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31"/>
  <workbookPr defaultThemeVersion="124226"/>
  <xr:revisionPtr revIDLastSave="0" documentId="11_E7CA7C691BF17BF68BF6C922811D2A4EA82F83E1" xr6:coauthVersionLast="44" xr6:coauthVersionMax="44" xr10:uidLastSave="{00000000-0000-0000-0000-000000000000}"/>
  <bookViews>
    <workbookView xWindow="480" yWindow="120" windowWidth="19440" windowHeight="11640" firstSheet="4" activeTab="4" xr2:uid="{00000000-000D-0000-FFFF-FFFF00000000}"/>
  </bookViews>
  <sheets>
    <sheet name="Infrastructure Costs - Salary " sheetId="1" r:id="rId1"/>
    <sheet name="Detailed Costs - Breakdown Time" sheetId="2" r:id="rId2"/>
    <sheet name="Consumables" sheetId="3" r:id="rId3"/>
    <sheet name="Summary" sheetId="5" r:id="rId4"/>
    <sheet name="YEARLY CONSUMABLES NO BLOODS" sheetId="6" r:id="rId5"/>
  </sheets>
  <externalReferences>
    <externalReference r:id="rId6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7" i="5"/>
  <c r="C40" i="5"/>
  <c r="C37" i="5"/>
  <c r="C34" i="5"/>
  <c r="C44" i="6"/>
  <c r="C42" i="6"/>
  <c r="C40" i="6"/>
  <c r="E45" i="6"/>
  <c r="C36" i="6"/>
  <c r="C35" i="6"/>
  <c r="C33" i="6"/>
  <c r="E37" i="6"/>
  <c r="C29" i="6"/>
  <c r="C28" i="6"/>
  <c r="C26" i="6"/>
  <c r="E30" i="6"/>
  <c r="C21" i="6"/>
  <c r="C20" i="6"/>
  <c r="C17" i="6"/>
  <c r="C16" i="6"/>
  <c r="C15" i="6"/>
  <c r="E22" i="6"/>
  <c r="C3" i="6"/>
  <c r="C4" i="6"/>
  <c r="C5" i="6"/>
  <c r="C8" i="6"/>
  <c r="C9" i="6"/>
  <c r="E11" i="6"/>
  <c r="C30" i="5"/>
  <c r="B30" i="5"/>
  <c r="E46" i="3"/>
  <c r="E26" i="3"/>
  <c r="F26" i="3"/>
  <c r="F29" i="3"/>
  <c r="C17" i="3"/>
  <c r="E17" i="3"/>
  <c r="E22" i="3"/>
  <c r="F30" i="3"/>
  <c r="C43" i="3"/>
  <c r="D44" i="3"/>
  <c r="F49" i="3"/>
  <c r="E29" i="3"/>
  <c r="E30" i="3"/>
  <c r="E49" i="3"/>
  <c r="D17" i="2"/>
  <c r="E17" i="2"/>
  <c r="L17" i="2"/>
  <c r="D18" i="2"/>
  <c r="E18" i="2"/>
  <c r="L18" i="2"/>
  <c r="P21" i="2"/>
  <c r="D40" i="2"/>
  <c r="D87" i="2"/>
  <c r="D56" i="2"/>
  <c r="G63" i="2"/>
  <c r="H63" i="2"/>
  <c r="M63" i="2"/>
  <c r="G34" i="2"/>
  <c r="H34" i="2"/>
  <c r="M34" i="2"/>
  <c r="G95" i="2"/>
  <c r="H95" i="2"/>
  <c r="M95" i="2"/>
  <c r="F95" i="2"/>
  <c r="G94" i="2"/>
  <c r="H94" i="2"/>
  <c r="M94" i="2"/>
  <c r="F94" i="2"/>
  <c r="G93" i="2"/>
  <c r="H93" i="2"/>
  <c r="M93" i="2"/>
  <c r="F93" i="2"/>
  <c r="G91" i="2"/>
  <c r="H91" i="2"/>
  <c r="M91" i="2"/>
  <c r="F91" i="2"/>
  <c r="G90" i="2"/>
  <c r="H90" i="2"/>
  <c r="M90" i="2"/>
  <c r="F90" i="2"/>
  <c r="G83" i="2"/>
  <c r="H83" i="2"/>
  <c r="M83" i="2"/>
  <c r="F83" i="2"/>
  <c r="G82" i="2"/>
  <c r="H82" i="2"/>
  <c r="M82" i="2"/>
  <c r="F82" i="2"/>
  <c r="G81" i="2"/>
  <c r="H81" i="2"/>
  <c r="M81" i="2"/>
  <c r="F81" i="2"/>
  <c r="G80" i="2"/>
  <c r="H80" i="2"/>
  <c r="M80" i="2"/>
  <c r="F80" i="2"/>
  <c r="G64" i="2"/>
  <c r="H64" i="2"/>
  <c r="M64" i="2"/>
  <c r="F64" i="2"/>
  <c r="F63" i="2"/>
  <c r="G62" i="2"/>
  <c r="H62" i="2"/>
  <c r="M62" i="2"/>
  <c r="F62" i="2"/>
  <c r="G60" i="2"/>
  <c r="H60" i="2"/>
  <c r="M60" i="2"/>
  <c r="F60" i="2"/>
  <c r="G59" i="2"/>
  <c r="H59" i="2"/>
  <c r="M59" i="2"/>
  <c r="F59" i="2"/>
  <c r="G52" i="2"/>
  <c r="H52" i="2"/>
  <c r="M52" i="2"/>
  <c r="F52" i="2"/>
  <c r="G51" i="2"/>
  <c r="H51" i="2"/>
  <c r="M51" i="2"/>
  <c r="F51" i="2"/>
  <c r="G50" i="2"/>
  <c r="H50" i="2"/>
  <c r="M50" i="2"/>
  <c r="F50" i="2"/>
  <c r="G49" i="2"/>
  <c r="H49" i="2"/>
  <c r="M49" i="2"/>
  <c r="F49" i="2"/>
  <c r="G36" i="2"/>
  <c r="H36" i="2"/>
  <c r="M36" i="2"/>
  <c r="F36" i="2"/>
  <c r="F34" i="2"/>
  <c r="G33" i="2"/>
  <c r="H33" i="2"/>
  <c r="M33" i="2"/>
  <c r="F33" i="2"/>
  <c r="G31" i="2"/>
  <c r="H31" i="2"/>
  <c r="M31" i="2"/>
  <c r="F31" i="2"/>
  <c r="G29" i="2"/>
  <c r="H29" i="2"/>
  <c r="M29" i="2"/>
  <c r="F29" i="2"/>
  <c r="G28" i="2"/>
  <c r="H28" i="2"/>
  <c r="M28" i="2"/>
  <c r="F28" i="2"/>
  <c r="G27" i="2"/>
  <c r="H27" i="2"/>
  <c r="M27" i="2"/>
  <c r="F27" i="2"/>
  <c r="H6" i="1"/>
  <c r="I6" i="1"/>
  <c r="G6" i="1"/>
  <c r="H5" i="1"/>
  <c r="I5" i="1"/>
  <c r="G5" i="1"/>
  <c r="H4" i="1"/>
  <c r="I4" i="1"/>
  <c r="G4" i="1"/>
  <c r="G88" i="2"/>
  <c r="H88" i="2"/>
  <c r="F88" i="2"/>
  <c r="G57" i="2"/>
  <c r="H57" i="2"/>
  <c r="F57" i="2"/>
  <c r="G41" i="2"/>
  <c r="H41" i="2"/>
  <c r="F41" i="2"/>
  <c r="G35" i="2"/>
  <c r="H35" i="2"/>
  <c r="M35" i="2"/>
  <c r="F35" i="2"/>
  <c r="F19" i="2"/>
  <c r="G19" i="2"/>
  <c r="H19" i="2"/>
  <c r="M19" i="2"/>
  <c r="H3" i="1"/>
  <c r="I3" i="1"/>
  <c r="H2" i="1"/>
  <c r="I2" i="1"/>
  <c r="G3" i="1"/>
  <c r="G2" i="1"/>
  <c r="B15" i="1"/>
  <c r="C2" i="1"/>
  <c r="C3" i="1"/>
  <c r="C4" i="1"/>
  <c r="C5" i="1"/>
  <c r="C6" i="1"/>
  <c r="B14" i="1"/>
  <c r="D93" i="2"/>
  <c r="D94" i="2"/>
  <c r="D95" i="2"/>
  <c r="A105" i="2"/>
  <c r="D91" i="2"/>
  <c r="D90" i="2"/>
  <c r="D88" i="2"/>
  <c r="D81" i="2"/>
  <c r="D82" i="2"/>
  <c r="D83" i="2"/>
  <c r="D84" i="2"/>
  <c r="D80" i="2"/>
  <c r="D62" i="2"/>
  <c r="D63" i="2"/>
  <c r="D64" i="2"/>
  <c r="A74" i="2"/>
  <c r="D60" i="2"/>
  <c r="D59" i="2"/>
  <c r="D57" i="2"/>
  <c r="A72" i="2"/>
  <c r="D50" i="2"/>
  <c r="D51" i="2"/>
  <c r="D52" i="2"/>
  <c r="D53" i="2"/>
  <c r="D49" i="2"/>
  <c r="D41" i="2"/>
  <c r="D37" i="2"/>
  <c r="D36" i="2"/>
  <c r="D35" i="2"/>
  <c r="D34" i="2"/>
  <c r="D33" i="2"/>
  <c r="D31" i="2"/>
  <c r="D28" i="2"/>
  <c r="D29" i="2"/>
  <c r="D27" i="2"/>
  <c r="D19" i="2"/>
  <c r="D11" i="2"/>
  <c r="D9" i="2"/>
  <c r="D8" i="2"/>
  <c r="D7" i="2"/>
  <c r="D6" i="2"/>
  <c r="D5" i="2"/>
  <c r="D4" i="2"/>
  <c r="D3" i="2"/>
  <c r="C4" i="3"/>
  <c r="C5" i="3"/>
  <c r="C6" i="3"/>
  <c r="C9" i="3"/>
  <c r="C10" i="3"/>
  <c r="E12" i="3"/>
  <c r="H4" i="3"/>
  <c r="H5" i="3"/>
  <c r="A75" i="2"/>
  <c r="F34" i="3"/>
  <c r="F37" i="3"/>
  <c r="E82" i="2"/>
  <c r="L82" i="2"/>
  <c r="C82" i="2"/>
  <c r="E50" i="2"/>
  <c r="L50" i="2"/>
  <c r="C50" i="2"/>
  <c r="E37" i="3"/>
  <c r="E95" i="2"/>
  <c r="L95" i="2"/>
  <c r="C95" i="2"/>
  <c r="E94" i="2"/>
  <c r="L94" i="2"/>
  <c r="C94" i="2"/>
  <c r="E93" i="2"/>
  <c r="L93" i="2"/>
  <c r="C93" i="2"/>
  <c r="E91" i="2"/>
  <c r="L91" i="2"/>
  <c r="C91" i="2"/>
  <c r="E90" i="2"/>
  <c r="L90" i="2"/>
  <c r="C90" i="2"/>
  <c r="E64" i="2"/>
  <c r="L64" i="2"/>
  <c r="C64" i="2"/>
  <c r="E63" i="2"/>
  <c r="L63" i="2"/>
  <c r="C63" i="2"/>
  <c r="I88" i="2"/>
  <c r="M88" i="2"/>
  <c r="E88" i="2"/>
  <c r="C88" i="2"/>
  <c r="I87" i="2"/>
  <c r="C87" i="2"/>
  <c r="D86" i="2"/>
  <c r="E86" i="2"/>
  <c r="C86" i="2"/>
  <c r="D85" i="2"/>
  <c r="E85" i="2"/>
  <c r="C85" i="2"/>
  <c r="E84" i="2"/>
  <c r="C84" i="2"/>
  <c r="E83" i="2"/>
  <c r="L83" i="2"/>
  <c r="C83" i="2"/>
  <c r="E81" i="2"/>
  <c r="L81" i="2"/>
  <c r="C81" i="2"/>
  <c r="E80" i="2"/>
  <c r="L80" i="2"/>
  <c r="C80" i="2"/>
  <c r="C62" i="2"/>
  <c r="E62" i="2"/>
  <c r="L62" i="2"/>
  <c r="I56" i="2"/>
  <c r="E56" i="2"/>
  <c r="C56" i="2"/>
  <c r="D55" i="2"/>
  <c r="E55" i="2"/>
  <c r="C55" i="2"/>
  <c r="D54" i="2"/>
  <c r="E54" i="2"/>
  <c r="C54" i="2"/>
  <c r="E53" i="2"/>
  <c r="C53" i="2"/>
  <c r="E52" i="2"/>
  <c r="C52" i="2"/>
  <c r="E51" i="2"/>
  <c r="C51" i="2"/>
  <c r="E49" i="2"/>
  <c r="C49" i="2"/>
  <c r="E60" i="2"/>
  <c r="C60" i="2"/>
  <c r="E59" i="2"/>
  <c r="C59" i="2"/>
  <c r="I57" i="2"/>
  <c r="M57" i="2"/>
  <c r="E57" i="2"/>
  <c r="C57" i="2"/>
  <c r="E35" i="2"/>
  <c r="L35" i="2"/>
  <c r="C35" i="2"/>
  <c r="E34" i="2"/>
  <c r="L34" i="2"/>
  <c r="C34" i="2"/>
  <c r="C40" i="2"/>
  <c r="E41" i="2"/>
  <c r="C41" i="2"/>
  <c r="D39" i="2"/>
  <c r="E39" i="2"/>
  <c r="C39" i="2"/>
  <c r="D38" i="2"/>
  <c r="E38" i="2"/>
  <c r="C38" i="2"/>
  <c r="E33" i="2"/>
  <c r="L33" i="2"/>
  <c r="C33" i="2"/>
  <c r="D11" i="1"/>
  <c r="E11" i="1"/>
  <c r="D10" i="1"/>
  <c r="E10" i="1"/>
  <c r="C11" i="1"/>
  <c r="C10" i="1"/>
  <c r="D9" i="1"/>
  <c r="E9" i="1"/>
  <c r="D8" i="1"/>
  <c r="E8" i="1"/>
  <c r="C9" i="1"/>
  <c r="C8" i="1"/>
  <c r="C37" i="2"/>
  <c r="C36" i="2"/>
  <c r="C31" i="2"/>
  <c r="C29" i="2"/>
  <c r="C28" i="2"/>
  <c r="C27" i="2"/>
  <c r="E19" i="2"/>
  <c r="L19" i="2"/>
  <c r="C19" i="2"/>
  <c r="C18" i="2"/>
  <c r="C17" i="2"/>
  <c r="C9" i="2"/>
  <c r="F38" i="3"/>
  <c r="F50" i="3"/>
  <c r="E38" i="3"/>
  <c r="E50" i="3"/>
  <c r="O21" i="2"/>
  <c r="E87" i="2"/>
  <c r="L87" i="2"/>
  <c r="A103" i="2"/>
  <c r="A106" i="2"/>
  <c r="L88" i="2"/>
  <c r="L86" i="2"/>
  <c r="L85" i="2"/>
  <c r="L84" i="2"/>
  <c r="L57" i="2"/>
  <c r="L54" i="2"/>
  <c r="L56" i="2"/>
  <c r="L53" i="2"/>
  <c r="L55" i="2"/>
  <c r="P66" i="2"/>
  <c r="N21" i="2"/>
  <c r="P97" i="2"/>
  <c r="O97" i="2"/>
  <c r="O99" i="2"/>
  <c r="O100" i="2"/>
  <c r="O66" i="2"/>
  <c r="O69" i="2"/>
  <c r="N97" i="2"/>
  <c r="N100" i="2"/>
  <c r="E3" i="2"/>
  <c r="E4" i="2"/>
  <c r="E5" i="2"/>
  <c r="E11" i="2"/>
  <c r="E7" i="2"/>
  <c r="E6" i="2"/>
  <c r="C11" i="2"/>
  <c r="C7" i="2"/>
  <c r="C5" i="2"/>
  <c r="C4" i="2"/>
  <c r="E36" i="2"/>
  <c r="L36" i="2"/>
  <c r="E28" i="2"/>
  <c r="L28" i="2"/>
  <c r="E29" i="2"/>
  <c r="L29" i="2"/>
  <c r="E27" i="2"/>
  <c r="L27" i="2"/>
  <c r="E31" i="2"/>
  <c r="L31" i="2"/>
  <c r="C6" i="2"/>
  <c r="C8" i="2"/>
  <c r="C3" i="2"/>
  <c r="O68" i="2"/>
  <c r="N99" i="2"/>
  <c r="E8" i="2"/>
  <c r="L51" i="2"/>
  <c r="L49" i="2"/>
  <c r="I41" i="2"/>
  <c r="M41" i="2"/>
  <c r="I40" i="2"/>
  <c r="E40" i="2"/>
  <c r="E37" i="2"/>
  <c r="E9" i="2"/>
  <c r="D4" i="1"/>
  <c r="E4" i="1"/>
  <c r="D5" i="1"/>
  <c r="E5" i="1"/>
  <c r="D6" i="1"/>
  <c r="E6" i="1"/>
  <c r="D3" i="1"/>
  <c r="E3" i="1"/>
  <c r="D2" i="1"/>
  <c r="E2" i="1"/>
  <c r="D7" i="1"/>
  <c r="E7" i="1"/>
  <c r="C7" i="1"/>
  <c r="L59" i="2"/>
  <c r="L60" i="2"/>
  <c r="L52" i="2"/>
  <c r="L39" i="2"/>
  <c r="L41" i="2"/>
  <c r="L37" i="2"/>
  <c r="L38" i="2"/>
  <c r="L40" i="2"/>
  <c r="P42" i="2"/>
  <c r="O42" i="2"/>
  <c r="F51" i="3"/>
  <c r="F55" i="3"/>
  <c r="N66" i="2"/>
  <c r="N69" i="2"/>
  <c r="N42" i="2"/>
  <c r="N44" i="2"/>
  <c r="N68" i="2"/>
  <c r="E51" i="3"/>
  <c r="E55" i="3"/>
  <c r="O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Rogers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30/09/2015 All salary figures taken from: http://www.nhsemployers.org/~/media/Employers/Documents/Pay%20and%20reward/AfC%20pay%20bands%20from%201%20April%202015.pdf
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30/09/2015 All salary figures taken from: http://www.nhsemployers.org/~/media/Employers/Documents/Pay%20and%20reward/AfC%20pay%20bands%20from%201%20April%202015.pdf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Rogers</author>
  </authors>
  <commentList>
    <comment ref="O6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1.9% increase in genetic test cost included</t>
        </r>
      </text>
    </comment>
    <comment ref="O10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1.9% increase in genetic test cost included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Rogers</author>
  </authors>
  <commentList>
    <comment ref="E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Royal Mail Safebox (First Class) (INC. in Total Lab Cost) £354.00 for 48 boxes (1 box holds 50ml)
</t>
        </r>
      </text>
    </comment>
    <comment ref="A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PERFORMED BY UHB LABS
</t>
        </r>
      </text>
    </comment>
    <comment ref="F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Bristol Genetics Laboratory confirmed the costs of genetic testing for FH WILL go up 2016/2017</t>
        </r>
      </text>
    </comment>
    <comment ref="F3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Bristol Genetics Laboratory confirmed the costs of genetic testing for FH WILL go up 2016/2017
</t>
        </r>
      </text>
    </comment>
    <comment ref="F5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THIS VALUE WILL CHANGE ONCE SERVICE RUNNING - ACCURATE TRAVEL EXPENSES ETC CAN BE CALCULATED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Rogers</author>
  </authors>
  <commentList>
    <comment ref="D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This is not a per patient cost and is reflective of 1800 patients </t>
        </r>
      </text>
    </comment>
    <comment ref="B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Per patient cost</t>
        </r>
      </text>
    </comment>
    <comment ref="B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Per patient cost</t>
        </r>
      </text>
    </comment>
    <comment ref="B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Per patient cost</t>
        </r>
      </text>
    </comment>
    <comment ref="D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Sarah Rogers:</t>
        </r>
        <r>
          <rPr>
            <sz val="9"/>
            <color indexed="81"/>
            <rFont val="Tahoma"/>
            <family val="2"/>
          </rPr>
          <t xml:space="preserve">
1.9% INFLATION ON GENETIC TESTING INCLUDED
</t>
        </r>
      </text>
    </comment>
    <comment ref="C34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Total costs including genetic inflation and FH nurse salaries minus BHF funding of £125K
</t>
        </r>
      </text>
    </comment>
    <comment ref="C3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NO BHF GRANT FUNDING
</t>
        </r>
      </text>
    </comment>
    <comment ref="C4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Sarah Rogers:</t>
        </r>
        <r>
          <rPr>
            <sz val="8"/>
            <color indexed="81"/>
            <rFont val="Tahoma"/>
            <family val="2"/>
          </rPr>
          <t xml:space="preserve">
NO BHF GRANT FUNDING
</t>
        </r>
      </text>
    </comment>
  </commentList>
</comments>
</file>

<file path=xl/sharedStrings.xml><?xml version="1.0" encoding="utf-8"?>
<sst xmlns="http://schemas.openxmlformats.org/spreadsheetml/2006/main" count="506" uniqueCount="220">
  <si>
    <t>Post</t>
  </si>
  <si>
    <t>Band - High Point</t>
  </si>
  <si>
    <t>Annual Salary 1.00 wte</t>
  </si>
  <si>
    <t>Cost Per hour (£)</t>
  </si>
  <si>
    <t>cost per minute (£)</t>
  </si>
  <si>
    <t>Band - Mid Point</t>
  </si>
  <si>
    <t>Programme Manager/Lead Specialist Nurse</t>
  </si>
  <si>
    <t>Band 8a - Point 38</t>
  </si>
  <si>
    <t>Band 8a - Point 36</t>
  </si>
  <si>
    <t xml:space="preserve">FH Specialist Nurse </t>
  </si>
  <si>
    <t>Band 7 - Point 34</t>
  </si>
  <si>
    <t>Band 7 - Point 30</t>
  </si>
  <si>
    <t>FH Clinical Director</t>
  </si>
  <si>
    <t>Consultant</t>
  </si>
  <si>
    <t>IT Developer</t>
  </si>
  <si>
    <t>Band 8a</t>
  </si>
  <si>
    <t>IT Systems Support</t>
  </si>
  <si>
    <t>IT maintenance and development</t>
  </si>
  <si>
    <t>Band 6</t>
  </si>
  <si>
    <t>IT Partner Support Post</t>
  </si>
  <si>
    <t>TOTAL SALARIES (FH NURSES ONLY) - Highest Point on BANDS 8A &amp; 7</t>
  </si>
  <si>
    <t>TOTAL SALARIES (FH NURSES ONLY) - Mid Point on BANDS 8A &amp; 7</t>
  </si>
  <si>
    <t>TOTAL FUNDING FROM BHF (Year 1)</t>
  </si>
  <si>
    <t>Roles below included in current salary as advertised in JD</t>
  </si>
  <si>
    <t>Salary (1.00 WTE)</t>
  </si>
  <si>
    <t>Groundwork</t>
  </si>
  <si>
    <t xml:space="preserve">PLEASE NOTE: Staff Costs as outlined below will be covered by the BHF grant (one band 8a and 4 Band 7 posts) for 18 months ONLY. 
In future years the FH staffing will need to be covered.
In relation to total costs - 1.9% Inflation cost has been included for genetic testing under '2016/2017' </t>
  </si>
  <si>
    <t>Protocol Development</t>
  </si>
  <si>
    <t>Document Development (PIS, screening logs etc.)</t>
  </si>
  <si>
    <t>Process development</t>
  </si>
  <si>
    <t>Relationship building?? Visiting GP Surgeries??</t>
  </si>
  <si>
    <t>Band 7</t>
  </si>
  <si>
    <t>Ethical Application</t>
  </si>
  <si>
    <t>PASS Software training (Band 8a &amp; 4*Band 7)</t>
  </si>
  <si>
    <t>ALL</t>
  </si>
  <si>
    <t>IT support training for host site</t>
  </si>
  <si>
    <t>BHF to FUND</t>
  </si>
  <si>
    <t>Management Training</t>
  </si>
  <si>
    <t>Genetic counselling training</t>
  </si>
  <si>
    <t>NB: This is NOT a per patient cost</t>
  </si>
  <si>
    <t>Salary (1.00 WTE) (High Point)</t>
  </si>
  <si>
    <t>Cost Per hour (High Point)</t>
  </si>
  <si>
    <t>Cost per minute (High Point)</t>
  </si>
  <si>
    <t>Salary (1.00 WTE) (Mid Point)</t>
  </si>
  <si>
    <t>Cost Per Hour (Mid Point)</t>
  </si>
  <si>
    <t>Cost Per minute (Mid Point)</t>
  </si>
  <si>
    <t>Staff Time required (minutes)</t>
  </si>
  <si>
    <t>Venue Cost</t>
  </si>
  <si>
    <t>Total Cost (High Point)</t>
  </si>
  <si>
    <t>Total Cost (Mid Point)</t>
  </si>
  <si>
    <t>TOTAL CLINICAL exc o/heads (HIGH POINT)</t>
  </si>
  <si>
    <t>TOTAL CLINICAL exc o/heads (MID POINT)</t>
  </si>
  <si>
    <t>TOTAL STAFF TIME MINUS FH NURSES</t>
  </si>
  <si>
    <t>Pathology</t>
  </si>
  <si>
    <t>Regional pathology laboratories identify patients with cholesterol &gt;9mmol (Welsh Criteria)</t>
  </si>
  <si>
    <t>Band 8b</t>
  </si>
  <si>
    <t>N/A</t>
  </si>
  <si>
    <t>Band 8b - Lab Manager</t>
  </si>
  <si>
    <t>Regional pathology laboratories notify Band 8A FH lead of results</t>
  </si>
  <si>
    <t>FH Band 8a nurse extracts data &amp; distributes workload</t>
  </si>
  <si>
    <t>??</t>
  </si>
  <si>
    <t>Band 8a - Lead Specialist Nurse</t>
  </si>
  <si>
    <t>Results &lt;9mmol as per Welsh Crieria sent as per standard practice to GP surgeries</t>
  </si>
  <si>
    <t>Pay costs</t>
  </si>
  <si>
    <t>PER PATIENT</t>
  </si>
  <si>
    <t>Venue Cost (GP Surgery/Clinic Space)</t>
  </si>
  <si>
    <t xml:space="preserve">Nurse referal and screening </t>
  </si>
  <si>
    <t xml:space="preserve">PRIMARY CARE &amp; SECONDARY CARE: Nurse to contact patients &amp; Invite to attend FH clinic </t>
  </si>
  <si>
    <t>Band 7 - Specialist Nurse</t>
  </si>
  <si>
    <t xml:space="preserve">PRIMARY CARE &amp; SECONDARY CARE SCREENING: History &amp; clinical assessment in GP surgery </t>
  </si>
  <si>
    <t>PRIMARY CARE &amp; SECONDARY CARE: Eligibility check for FH Criteria</t>
  </si>
  <si>
    <t>SECONDARY CARE: Direct pathway from secondary care if patients pre-identified (no bloods required as performed in secondary care)</t>
  </si>
  <si>
    <t>Explanation and general blood draw (non-genetic bloods - PRIMARY CARE ONLY)</t>
  </si>
  <si>
    <t>Bloods sent to local laboratory via GP as per standard route (no cost to FH service)</t>
  </si>
  <si>
    <t>Primary causes identified - Primary Hypercholesterolaemia - nurse call back patient</t>
  </si>
  <si>
    <t>Secondary causes identified - Band 7 Nurse refers to Band 8a</t>
  </si>
  <si>
    <t>Secondary causes identified - Band 8a refers patient to GP/consultant/lipid clinic</t>
  </si>
  <si>
    <t>Band 8a - Programme Manager/Lead Specialist Nurse</t>
  </si>
  <si>
    <t xml:space="preserve">Data entry into PASS system </t>
  </si>
  <si>
    <t>Band 7 - IT Systems Support Post</t>
  </si>
  <si>
    <t>Band 6 - IT Partner Support Post</t>
  </si>
  <si>
    <t>Band 6 - IT maintenance and development</t>
  </si>
  <si>
    <t>BHF/WM FH Service Clinical Director (Dr Rob Cramb)</t>
  </si>
  <si>
    <t>Programme Manager</t>
  </si>
  <si>
    <t>Pay costs (Clinical)</t>
  </si>
  <si>
    <t>Total</t>
  </si>
  <si>
    <t>Time required (minutes)</t>
  </si>
  <si>
    <t xml:space="preserve">GENETIC SCREENING </t>
  </si>
  <si>
    <t>Counselling and imparting of FH PIS, informed consent and (genetic) blood draw</t>
  </si>
  <si>
    <t>Transport of genetic bloods to laboratory for DNA extraction</t>
  </si>
  <si>
    <t>Transport of genetic bloods to laboratory for analysis</t>
  </si>
  <si>
    <t>Data entry in PASS system (paper results from laboratory)</t>
  </si>
  <si>
    <t>TREATMENT (POSITIVE RESULT): Local lipid clinic - standard protocol to be followed; GP to perform ECHO, ECG, bloods as per standard of care (no cost to FH service)</t>
  </si>
  <si>
    <t>Nurse distributes FH PROTOCOL to ALL CLINICS (Send electronically)</t>
  </si>
  <si>
    <t>Nurse counsels and refers new FH patients to local lipid clinic or GP for assessment</t>
  </si>
  <si>
    <t>TREATMENT (NEGATIVE RESULT): GP Practice</t>
  </si>
  <si>
    <t>Nurse refers patients back to GP (NO CASCADE SCREENING - recommends cholesterol testing as per SOC)</t>
  </si>
  <si>
    <t>MUTATION OF UNKNOWN SIGNIFICANCE: Patient counselled &amp; referred back to GP</t>
  </si>
  <si>
    <t xml:space="preserve">FOLLOW-UP: 1 yearly review if required for some patients </t>
  </si>
  <si>
    <t>FOLLOW-UP: 5 year review at lipid clinic or primary care as appropriate</t>
  </si>
  <si>
    <t xml:space="preserve"> Total Consumables for  Genetic Screening</t>
  </si>
  <si>
    <t>Total 2015/2016</t>
  </si>
  <si>
    <t>Total 2016/2017</t>
  </si>
  <si>
    <t>NB: COST SAVING AT LIPID CLINICS OF £2,810.95 (Based on 60 minutes): History and clinical assessment performed in FH service by B7 nurse will save consultant time in the clinic</t>
  </si>
  <si>
    <t xml:space="preserve">1 hour of consultant time saved per patient </t>
  </si>
  <si>
    <t>Compared to 1 hour of Band 7 nurse time</t>
  </si>
  <si>
    <t xml:space="preserve">COST SAVING </t>
  </si>
  <si>
    <t>CASCADE SCREENING (FOR POSITIVE PRIMARY HYPERLIPIDEAMIA PATIENT FAMILIES)</t>
  </si>
  <si>
    <t>Nurse distributes FH PROTOCOL to clinics (Send electronically)</t>
  </si>
  <si>
    <t>Nurse counsels and refers patients to local lipid clinic or GP for assessment</t>
  </si>
  <si>
    <t>Nurse refers patients back to GP (recommends cholesterol testing as per SOC)</t>
  </si>
  <si>
    <t>FOLLOW-UP: 5 year review at lipid clinic or primary care as appropriate (no cost to FH Service)</t>
  </si>
  <si>
    <t>Total Consumables for Cascade Screening</t>
  </si>
  <si>
    <t xml:space="preserve">Total 2016/2017 </t>
  </si>
  <si>
    <t>Non-Clinical Consumables</t>
  </si>
  <si>
    <t>Cost (Each)</t>
  </si>
  <si>
    <t xml:space="preserve">Total Cost </t>
  </si>
  <si>
    <t>Supplier</t>
  </si>
  <si>
    <t>Travel expenses based on the assumption that 20 miles is the largest distance between area base and furthest clinic</t>
  </si>
  <si>
    <t>PASS License Software</t>
  </si>
  <si>
    <t>£500 per license</t>
  </si>
  <si>
    <t>HEART UK (will fund for 3 years)</t>
  </si>
  <si>
    <t xml:space="preserve">1 clinic a day per nurse (5 clinics in total) = 100 miles - 5 working days with a clinic on each day = 500 miles </t>
  </si>
  <si>
    <t>Travel Expenses</t>
  </si>
  <si>
    <t>100 miles per nurse per week</t>
  </si>
  <si>
    <t>UHB</t>
  </si>
  <si>
    <t xml:space="preserve">500 miles x 44 working weeks a year </t>
  </si>
  <si>
    <t>miles per year</t>
  </si>
  <si>
    <t>Laptops (IT)</t>
  </si>
  <si>
    <t>0.56p per mile in staff transport</t>
  </si>
  <si>
    <t>ESTIMATE PER YEAR</t>
  </si>
  <si>
    <t>VPN Access (IT)</t>
  </si>
  <si>
    <t>Printer (HP 6000 Personal Officejet USB Colour A4 Printer for light use)</t>
  </si>
  <si>
    <t>PLEASE NOTE: As the service becomes operational accurate monthly travel costs can be calculated and re-worked for the following years.</t>
  </si>
  <si>
    <t>Printing Costs</t>
  </si>
  <si>
    <t>Mobile Wifi (Belkin N300 Wireless Dongle)</t>
  </si>
  <si>
    <t>Mobile Phones (Blackberry)</t>
  </si>
  <si>
    <t>Cost</t>
  </si>
  <si>
    <t>Blood per patient</t>
  </si>
  <si>
    <t>VACCUTAINERS</t>
  </si>
  <si>
    <t>cost per tube</t>
  </si>
  <si>
    <t>Number required</t>
  </si>
  <si>
    <t>cost</t>
  </si>
  <si>
    <t>EDTA tubes</t>
  </si>
  <si>
    <t xml:space="preserve">£3.42 per 50 pack, 9 ml </t>
  </si>
  <si>
    <t>Labels</t>
  </si>
  <si>
    <t>Packaging and transport to lab for DNA extraction</t>
  </si>
  <si>
    <t>£20.00 per extraction</t>
  </si>
  <si>
    <t>Packaging and transport to lab for genetic analysis</t>
  </si>
  <si>
    <t xml:space="preserve">Processing blood and DNA extraction </t>
  </si>
  <si>
    <t>Total per patient</t>
  </si>
  <si>
    <t>Genetic Testing per patient</t>
  </si>
  <si>
    <t>Number Required</t>
  </si>
  <si>
    <t>1.9% Inflation 2016/17</t>
  </si>
  <si>
    <t>FH Full Genomic Screen: LDLR, LDLRAP, PCSK9, ApoB 100</t>
  </si>
  <si>
    <t>£250 per test</t>
  </si>
  <si>
    <t>No DNA extraction</t>
  </si>
  <si>
    <t>quantification and QC</t>
  </si>
  <si>
    <t xml:space="preserve">Total Consumables per patient </t>
  </si>
  <si>
    <t>CASCADE Testing per patient</t>
  </si>
  <si>
    <t>FH panel Analysis: LDLR, LDLRAP, PCSK9, ApoB 100</t>
  </si>
  <si>
    <t>£75 per test</t>
  </si>
  <si>
    <t xml:space="preserve">Current patient popultaion eligible for FH screening per year approx. is 1500 - 1800 patients. </t>
  </si>
  <si>
    <t>Worst case Scenario: 1800 patients per year</t>
  </si>
  <si>
    <t>Number of Patients in WM</t>
  </si>
  <si>
    <t>Entering FH Service</t>
  </si>
  <si>
    <t xml:space="preserve">Genetic screening </t>
  </si>
  <si>
    <t>Cascade screen</t>
  </si>
  <si>
    <t>1800 patients - 60% will have primary hyperlipidaemia</t>
  </si>
  <si>
    <t>Of those approx. 2/3 will go onto genetic screening</t>
  </si>
  <si>
    <t>POSITIVE Results</t>
  </si>
  <si>
    <t>Cascade screen 5 people for every 1 patient</t>
  </si>
  <si>
    <t>2015/2016</t>
  </si>
  <si>
    <t>2016/2017</t>
  </si>
  <si>
    <t>TOTAL Genetics Testing</t>
  </si>
  <si>
    <t xml:space="preserve">TOTAL Cascade Screening </t>
  </si>
  <si>
    <t>Total Genetic &amp; Cascade Consumables for FH Service</t>
  </si>
  <si>
    <t>Total (non-clinical) Consumables for FH Service</t>
  </si>
  <si>
    <t xml:space="preserve">TOTAL CONSUMABLES FOR FH SERVICE </t>
  </si>
  <si>
    <t>All testing and consumables)</t>
  </si>
  <si>
    <t>Other Staff Time (NO FH NURSE INPUT)</t>
  </si>
  <si>
    <t>Number of Predicted Patients</t>
  </si>
  <si>
    <t>Total Other Staff Cost (NO FH NURSE INPUT)</t>
  </si>
  <si>
    <t>PATHOLOGY</t>
  </si>
  <si>
    <t>NURSE REFERAL &amp; SCREENING</t>
  </si>
  <si>
    <t>TOTAL FH NURSE SALARIES (MID-POINT)</t>
  </si>
  <si>
    <t>BHF GRANT FUNDING FOR FH NURSES YEAR ONE</t>
  </si>
  <si>
    <t>BHF GRANT FUNDING FOR FH NURSES YEAR TWO</t>
  </si>
  <si>
    <t>2017/2018</t>
  </si>
  <si>
    <t>2018/2019</t>
  </si>
  <si>
    <t>Year One</t>
  </si>
  <si>
    <t>Year Two</t>
  </si>
  <si>
    <t>Year Three</t>
  </si>
  <si>
    <t>Year Four</t>
  </si>
  <si>
    <t>Total Clinical Time (no FH Nurse Input)</t>
  </si>
  <si>
    <t xml:space="preserve">FH SERVICE FIXED COSTS - CLINIC SPACE </t>
  </si>
  <si>
    <t>Rachel to Input/confirm clinic space cost into C22 and D22</t>
  </si>
  <si>
    <t>FH SERVICE FIXED COSTS YEAR ONE</t>
  </si>
  <si>
    <t>NB: Total Fixed Cost depends on what financial year the FH service begins in)</t>
  </si>
  <si>
    <t>(Total Consumables &amp; Other Staff)</t>
  </si>
  <si>
    <t>Please note: There are 12,000 patients undiagnosed with FH in the west midlands
19% of patients will be tested in year one based on Dr Cramb &amp; NHS Engand figures, 13% predicted to be positive - FH service plan for 7-8 years
(12000/7 and 8 = 1600 - 1714 patients a year; figures &amp; cost diplayed here based on 1600)</t>
  </si>
  <si>
    <t>TOTAL COSTS YEAR TWO</t>
  </si>
  <si>
    <t>(Total Consumables, FH Nurse Salaries &amp; Clinical Time)</t>
  </si>
  <si>
    <t>TOTAL COSTS YEAR THREE</t>
  </si>
  <si>
    <t>TOTAL COSTS YEAR FOUR ONWARDS</t>
  </si>
  <si>
    <t>Laptops (IT) - One Off Cost</t>
  </si>
  <si>
    <t>VPN Access (IT - Yearly Cost))</t>
  </si>
  <si>
    <t>Printer (HP 6000 Personal Officejet USB Colour A4 Printer for light use) - One Off Cost</t>
  </si>
  <si>
    <t>Printing Costs (Yearly)</t>
  </si>
  <si>
    <t>Mobile Wifi (Belkin N300 Wireless Dongle) - One Off Cost</t>
  </si>
  <si>
    <t>Mobile Phones (Blackberry Line rental + handset)</t>
  </si>
  <si>
    <t xml:space="preserve">No insurance </t>
  </si>
  <si>
    <t>No tarriff included on dongle BUT can use phone as WIFI hotspot</t>
  </si>
  <si>
    <t xml:space="preserve">1st Year Consumables </t>
  </si>
  <si>
    <t xml:space="preserve">2nd Year Consumables </t>
  </si>
  <si>
    <t>Mobile Phones (Blackberry Line Rental )</t>
  </si>
  <si>
    <t>£40 per month</t>
  </si>
  <si>
    <t xml:space="preserve">3rd Year Consumables </t>
  </si>
  <si>
    <t xml:space="preserve">4th Year Consumables </t>
  </si>
  <si>
    <t>HEART UK (will fund for 3 years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</si>
</sst>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;[Red]\-&quot;£&quot;#,##0"/>
    <numFmt numFmtId="165" formatCode="&quot;£&quot;#,##0.00;\-&quot;£&quot;#,##0.00"/>
    <numFmt numFmtId="166" formatCode="&quot;£&quot;#,##0.00;[Red]\-&quot;£&quot;#,##0.00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&quot;£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8" fontId="0" fillId="0" borderId="1" xfId="1" applyFont="1" applyFill="1" applyBorder="1"/>
    <xf numFmtId="168" fontId="0" fillId="0" borderId="1" xfId="0" applyNumberFormat="1" applyBorder="1"/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168" fontId="0" fillId="2" borderId="1" xfId="1" applyFont="1" applyFill="1" applyBorder="1"/>
    <xf numFmtId="0" fontId="0" fillId="2" borderId="1" xfId="0" applyFill="1" applyBorder="1"/>
    <xf numFmtId="0" fontId="3" fillId="0" borderId="1" xfId="0" applyFont="1" applyBorder="1" applyAlignment="1">
      <alignment vertical="center"/>
    </xf>
    <xf numFmtId="0" fontId="3" fillId="2" borderId="1" xfId="0" applyFont="1" applyFill="1" applyBorder="1"/>
    <xf numFmtId="0" fontId="0" fillId="0" borderId="1" xfId="0" applyFill="1" applyBorder="1"/>
    <xf numFmtId="2" fontId="0" fillId="0" borderId="1" xfId="0" applyNumberFormat="1" applyBorder="1"/>
    <xf numFmtId="0" fontId="0" fillId="0" borderId="0" xfId="0" applyFill="1"/>
    <xf numFmtId="0" fontId="2" fillId="4" borderId="1" xfId="0" applyFont="1" applyFill="1" applyBorder="1"/>
    <xf numFmtId="0" fontId="0" fillId="4" borderId="1" xfId="0" applyFill="1" applyBorder="1"/>
    <xf numFmtId="0" fontId="2" fillId="4" borderId="0" xfId="0" applyFont="1" applyFill="1" applyBorder="1"/>
    <xf numFmtId="0" fontId="0" fillId="4" borderId="0" xfId="0" applyFill="1" applyBorder="1"/>
    <xf numFmtId="0" fontId="2" fillId="4" borderId="2" xfId="0" applyFont="1" applyFill="1" applyBorder="1"/>
    <xf numFmtId="0" fontId="3" fillId="0" borderId="0" xfId="0" applyFont="1"/>
    <xf numFmtId="166" fontId="0" fillId="0" borderId="0" xfId="0" applyNumberFormat="1"/>
    <xf numFmtId="169" fontId="0" fillId="0" borderId="0" xfId="0" applyNumberFormat="1"/>
    <xf numFmtId="0" fontId="2" fillId="0" borderId="0" xfId="0" applyFont="1"/>
    <xf numFmtId="166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Fill="1" applyBorder="1"/>
    <xf numFmtId="0" fontId="9" fillId="0" borderId="0" xfId="0" applyFont="1"/>
    <xf numFmtId="0" fontId="9" fillId="0" borderId="1" xfId="0" applyFont="1" applyBorder="1"/>
    <xf numFmtId="0" fontId="9" fillId="0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68" fontId="0" fillId="0" borderId="0" xfId="0" applyNumberFormat="1" applyFill="1" applyBorder="1"/>
    <xf numFmtId="0" fontId="9" fillId="0" borderId="0" xfId="0" applyFont="1" applyFill="1" applyBorder="1"/>
    <xf numFmtId="2" fontId="0" fillId="0" borderId="0" xfId="0" applyNumberFormat="1" applyFill="1" applyBorder="1"/>
    <xf numFmtId="0" fontId="9" fillId="6" borderId="1" xfId="0" applyFont="1" applyFill="1" applyBorder="1"/>
    <xf numFmtId="0" fontId="0" fillId="6" borderId="1" xfId="0" applyFill="1" applyBorder="1"/>
    <xf numFmtId="2" fontId="0" fillId="6" borderId="1" xfId="0" applyNumberFormat="1" applyFill="1" applyBorder="1"/>
    <xf numFmtId="0" fontId="0" fillId="6" borderId="0" xfId="0" applyFill="1"/>
    <xf numFmtId="0" fontId="9" fillId="6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2" borderId="3" xfId="0" applyFont="1" applyFill="1" applyBorder="1"/>
    <xf numFmtId="168" fontId="2" fillId="0" borderId="0" xfId="0" applyNumberFormat="1" applyFont="1" applyFill="1" applyBorder="1"/>
    <xf numFmtId="168" fontId="4" fillId="0" borderId="0" xfId="1" applyFont="1" applyFill="1" applyBorder="1"/>
    <xf numFmtId="0" fontId="0" fillId="6" borderId="0" xfId="0" applyFill="1" applyBorder="1"/>
    <xf numFmtId="0" fontId="8" fillId="0" borderId="1" xfId="0" applyFont="1" applyBorder="1"/>
    <xf numFmtId="0" fontId="0" fillId="0" borderId="1" xfId="0" applyFont="1" applyBorder="1"/>
    <xf numFmtId="169" fontId="0" fillId="0" borderId="1" xfId="0" applyNumberFormat="1" applyBorder="1"/>
    <xf numFmtId="169" fontId="3" fillId="0" borderId="3" xfId="0" applyNumberFormat="1" applyFont="1" applyBorder="1" applyAlignment="1">
      <alignment horizontal="center" vertical="center" wrapText="1"/>
    </xf>
    <xf numFmtId="169" fontId="0" fillId="0" borderId="1" xfId="1" applyNumberFormat="1" applyFont="1" applyFill="1" applyBorder="1"/>
    <xf numFmtId="169" fontId="0" fillId="6" borderId="0" xfId="0" applyNumberFormat="1" applyFill="1"/>
    <xf numFmtId="169" fontId="0" fillId="4" borderId="1" xfId="0" applyNumberFormat="1" applyFill="1" applyBorder="1"/>
    <xf numFmtId="169" fontId="0" fillId="0" borderId="0" xfId="0" applyNumberFormat="1" applyFill="1" applyBorder="1"/>
    <xf numFmtId="169" fontId="0" fillId="6" borderId="1" xfId="0" applyNumberFormat="1" applyFill="1" applyBorder="1"/>
    <xf numFmtId="169" fontId="0" fillId="0" borderId="1" xfId="0" applyNumberFormat="1" applyFill="1" applyBorder="1"/>
    <xf numFmtId="169" fontId="0" fillId="4" borderId="0" xfId="0" applyNumberFormat="1" applyFill="1" applyBorder="1"/>
    <xf numFmtId="169" fontId="3" fillId="0" borderId="1" xfId="0" applyNumberFormat="1" applyFont="1" applyFill="1" applyBorder="1" applyAlignment="1">
      <alignment horizontal="center" vertical="center" wrapText="1"/>
    </xf>
    <xf numFmtId="169" fontId="0" fillId="0" borderId="0" xfId="1" applyNumberFormat="1" applyFont="1" applyFill="1" applyBorder="1"/>
    <xf numFmtId="169" fontId="0" fillId="3" borderId="1" xfId="1" applyNumberFormat="1" applyFont="1" applyFill="1" applyBorder="1"/>
    <xf numFmtId="169" fontId="0" fillId="6" borderId="1" xfId="1" applyNumberFormat="1" applyFont="1" applyFill="1" applyBorder="1"/>
    <xf numFmtId="169" fontId="3" fillId="0" borderId="1" xfId="0" applyNumberFormat="1" applyFont="1" applyBorder="1" applyAlignment="1">
      <alignment horizontal="center" vertical="center" wrapText="1"/>
    </xf>
    <xf numFmtId="169" fontId="0" fillId="0" borderId="1" xfId="0" applyNumberFormat="1" applyFont="1" applyBorder="1"/>
    <xf numFmtId="169" fontId="3" fillId="6" borderId="1" xfId="0" applyNumberFormat="1" applyFont="1" applyFill="1" applyBorder="1" applyAlignment="1">
      <alignment horizontal="center" vertical="center" wrapText="1"/>
    </xf>
    <xf numFmtId="169" fontId="0" fillId="6" borderId="3" xfId="0" applyNumberFormat="1" applyFill="1" applyBorder="1"/>
    <xf numFmtId="169" fontId="10" fillId="0" borderId="1" xfId="0" applyNumberFormat="1" applyFont="1" applyBorder="1" applyAlignment="1">
      <alignment horizontal="center" vertical="center" wrapText="1"/>
    </xf>
    <xf numFmtId="169" fontId="0" fillId="5" borderId="1" xfId="0" applyNumberFormat="1" applyFill="1" applyBorder="1"/>
    <xf numFmtId="169" fontId="9" fillId="0" borderId="1" xfId="0" applyNumberFormat="1" applyFont="1" applyFill="1" applyBorder="1"/>
    <xf numFmtId="169" fontId="2" fillId="3" borderId="1" xfId="0" applyNumberFormat="1" applyFont="1" applyFill="1" applyBorder="1" applyAlignment="1">
      <alignment horizontal="center" vertical="center" wrapText="1"/>
    </xf>
    <xf numFmtId="169" fontId="0" fillId="3" borderId="1" xfId="0" applyNumberFormat="1" applyFill="1" applyBorder="1"/>
    <xf numFmtId="169" fontId="2" fillId="4" borderId="1" xfId="0" applyNumberFormat="1" applyFont="1" applyFill="1" applyBorder="1"/>
    <xf numFmtId="169" fontId="2" fillId="4" borderId="0" xfId="0" applyNumberFormat="1" applyFont="1" applyFill="1" applyBorder="1"/>
    <xf numFmtId="169" fontId="4" fillId="4" borderId="0" xfId="1" applyNumberFormat="1" applyFont="1" applyFill="1" applyBorder="1"/>
    <xf numFmtId="169" fontId="9" fillId="3" borderId="1" xfId="0" applyNumberFormat="1" applyFont="1" applyFill="1" applyBorder="1"/>
    <xf numFmtId="0" fontId="0" fillId="2" borderId="3" xfId="0" applyFill="1" applyBorder="1"/>
    <xf numFmtId="169" fontId="0" fillId="2" borderId="3" xfId="0" applyNumberFormat="1" applyFill="1" applyBorder="1"/>
    <xf numFmtId="169" fontId="0" fillId="2" borderId="1" xfId="0" applyNumberFormat="1" applyFill="1" applyBorder="1"/>
    <xf numFmtId="169" fontId="8" fillId="6" borderId="1" xfId="0" applyNumberFormat="1" applyFont="1" applyFill="1" applyBorder="1"/>
    <xf numFmtId="9" fontId="0" fillId="2" borderId="1" xfId="2" applyFont="1" applyFill="1" applyBorder="1" applyAlignment="1">
      <alignment vertical="center"/>
    </xf>
    <xf numFmtId="169" fontId="9" fillId="6" borderId="1" xfId="0" applyNumberFormat="1" applyFont="1" applyFill="1" applyBorder="1"/>
    <xf numFmtId="169" fontId="9" fillId="6" borderId="1" xfId="1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9" fontId="9" fillId="0" borderId="1" xfId="1" applyNumberFormat="1" applyFont="1" applyFill="1" applyBorder="1"/>
    <xf numFmtId="0" fontId="0" fillId="0" borderId="1" xfId="0" applyFont="1" applyFill="1" applyBorder="1"/>
    <xf numFmtId="169" fontId="11" fillId="0" borderId="1" xfId="0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Fill="1" applyBorder="1"/>
    <xf numFmtId="169" fontId="9" fillId="5" borderId="1" xfId="0" applyNumberFormat="1" applyFont="1" applyFill="1" applyBorder="1"/>
    <xf numFmtId="0" fontId="8" fillId="0" borderId="0" xfId="0" applyFont="1" applyFill="1"/>
    <xf numFmtId="2" fontId="9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9" fontId="11" fillId="5" borderId="1" xfId="0" applyNumberFormat="1" applyFont="1" applyFill="1" applyBorder="1"/>
    <xf numFmtId="169" fontId="0" fillId="0" borderId="0" xfId="0" applyNumberFormat="1" applyAlignment="1">
      <alignment horizontal="right"/>
    </xf>
    <xf numFmtId="169" fontId="2" fillId="0" borderId="0" xfId="0" applyNumberFormat="1" applyFont="1" applyAlignment="1">
      <alignment horizontal="right"/>
    </xf>
    <xf numFmtId="0" fontId="12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169" fontId="2" fillId="0" borderId="9" xfId="0" applyNumberFormat="1" applyFont="1" applyBorder="1" applyAlignment="1">
      <alignment horizontal="center" wrapText="1"/>
    </xf>
    <xf numFmtId="0" fontId="0" fillId="0" borderId="10" xfId="0" applyBorder="1"/>
    <xf numFmtId="0" fontId="2" fillId="0" borderId="0" xfId="0" applyFont="1" applyBorder="1"/>
    <xf numFmtId="169" fontId="0" fillId="0" borderId="11" xfId="0" applyNumberFormat="1" applyBorder="1" applyAlignment="1">
      <alignment horizontal="right"/>
    </xf>
    <xf numFmtId="0" fontId="2" fillId="0" borderId="10" xfId="0" applyFont="1" applyBorder="1"/>
    <xf numFmtId="169" fontId="2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2" fillId="6" borderId="10" xfId="0" applyFont="1" applyFill="1" applyBorder="1"/>
    <xf numFmtId="0" fontId="2" fillId="6" borderId="0" xfId="0" applyFont="1" applyFill="1" applyBorder="1"/>
    <xf numFmtId="169" fontId="2" fillId="6" borderId="11" xfId="0" applyNumberFormat="1" applyFont="1" applyFill="1" applyBorder="1" applyAlignment="1">
      <alignment horizontal="right"/>
    </xf>
    <xf numFmtId="0" fontId="3" fillId="2" borderId="0" xfId="0" applyFont="1" applyFill="1"/>
    <xf numFmtId="0" fontId="0" fillId="2" borderId="0" xfId="0" applyFill="1"/>
    <xf numFmtId="169" fontId="4" fillId="2" borderId="0" xfId="0" applyNumberFormat="1" applyFont="1" applyFill="1" applyAlignment="1">
      <alignment horizontal="right"/>
    </xf>
    <xf numFmtId="0" fontId="0" fillId="0" borderId="7" xfId="0" applyBorder="1"/>
    <xf numFmtId="0" fontId="0" fillId="0" borderId="8" xfId="0" applyBorder="1"/>
    <xf numFmtId="169" fontId="0" fillId="0" borderId="9" xfId="0" applyNumberFormat="1" applyBorder="1" applyAlignment="1">
      <alignment horizontal="right"/>
    </xf>
    <xf numFmtId="164" fontId="8" fillId="0" borderId="0" xfId="0" applyNumberFormat="1" applyFont="1" applyBorder="1"/>
    <xf numFmtId="166" fontId="0" fillId="0" borderId="0" xfId="0" applyNumberFormat="1" applyBorder="1"/>
    <xf numFmtId="0" fontId="8" fillId="0" borderId="10" xfId="0" applyFont="1" applyBorder="1"/>
    <xf numFmtId="0" fontId="0" fillId="0" borderId="12" xfId="0" applyBorder="1"/>
    <xf numFmtId="169" fontId="0" fillId="0" borderId="0" xfId="0" applyNumberFormat="1" applyBorder="1" applyAlignment="1">
      <alignment horizontal="right"/>
    </xf>
    <xf numFmtId="0" fontId="3" fillId="0" borderId="10" xfId="0" applyFont="1" applyBorder="1"/>
    <xf numFmtId="0" fontId="7" fillId="0" borderId="0" xfId="0" applyFont="1" applyBorder="1"/>
    <xf numFmtId="169" fontId="3" fillId="0" borderId="11" xfId="0" applyNumberFormat="1" applyFont="1" applyBorder="1" applyAlignment="1">
      <alignment horizontal="right"/>
    </xf>
    <xf numFmtId="0" fontId="7" fillId="0" borderId="8" xfId="0" applyFont="1" applyBorder="1"/>
    <xf numFmtId="169" fontId="3" fillId="0" borderId="9" xfId="0" applyNumberFormat="1" applyFont="1" applyBorder="1" applyAlignment="1">
      <alignment horizontal="right"/>
    </xf>
    <xf numFmtId="0" fontId="0" fillId="0" borderId="10" xfId="0" applyBorder="1" applyAlignment="1">
      <alignment horizontal="left" vertical="center" wrapText="1"/>
    </xf>
    <xf numFmtId="16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9" fontId="0" fillId="0" borderId="11" xfId="0" applyNumberFormat="1" applyBorder="1" applyAlignment="1">
      <alignment horizontal="right" vertical="center"/>
    </xf>
    <xf numFmtId="0" fontId="8" fillId="0" borderId="0" xfId="0" applyFont="1" applyBorder="1"/>
    <xf numFmtId="169" fontId="8" fillId="0" borderId="0" xfId="0" applyNumberFormat="1" applyFont="1" applyBorder="1"/>
    <xf numFmtId="169" fontId="8" fillId="0" borderId="11" xfId="0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166" fontId="12" fillId="0" borderId="0" xfId="0" applyNumberFormat="1" applyFont="1"/>
    <xf numFmtId="0" fontId="0" fillId="0" borderId="0" xfId="0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3" fillId="0" borderId="0" xfId="0" applyNumberFormat="1" applyFont="1" applyAlignment="1">
      <alignment horizontal="right"/>
    </xf>
    <xf numFmtId="0" fontId="2" fillId="8" borderId="12" xfId="0" applyFont="1" applyFill="1" applyBorder="1"/>
    <xf numFmtId="0" fontId="2" fillId="8" borderId="13" xfId="0" applyFont="1" applyFill="1" applyBorder="1"/>
    <xf numFmtId="169" fontId="2" fillId="8" borderId="14" xfId="0" applyNumberFormat="1" applyFont="1" applyFill="1" applyBorder="1" applyAlignment="1">
      <alignment horizontal="right"/>
    </xf>
    <xf numFmtId="0" fontId="3" fillId="8" borderId="7" xfId="0" applyFont="1" applyFill="1" applyBorder="1"/>
    <xf numFmtId="0" fontId="3" fillId="7" borderId="7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169" fontId="2" fillId="7" borderId="14" xfId="0" applyNumberFormat="1" applyFont="1" applyFill="1" applyBorder="1" applyAlignment="1">
      <alignment horizontal="right"/>
    </xf>
    <xf numFmtId="0" fontId="10" fillId="9" borderId="7" xfId="0" applyFont="1" applyFill="1" applyBorder="1"/>
    <xf numFmtId="0" fontId="2" fillId="9" borderId="12" xfId="0" applyFont="1" applyFill="1" applyBorder="1"/>
    <xf numFmtId="0" fontId="0" fillId="9" borderId="13" xfId="0" applyFill="1" applyBorder="1"/>
    <xf numFmtId="169" fontId="2" fillId="9" borderId="14" xfId="0" applyNumberFormat="1" applyFon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8" fillId="2" borderId="1" xfId="0" applyFont="1" applyFill="1" applyBorder="1"/>
    <xf numFmtId="165" fontId="0" fillId="0" borderId="0" xfId="0" applyNumberFormat="1"/>
    <xf numFmtId="165" fontId="0" fillId="8" borderId="0" xfId="0" applyNumberFormat="1" applyFill="1"/>
    <xf numFmtId="169" fontId="8" fillId="0" borderId="0" xfId="0" applyNumberFormat="1" applyFont="1" applyBorder="1" applyAlignment="1">
      <alignment horizontal="center" vertical="center" wrapText="1"/>
    </xf>
    <xf numFmtId="169" fontId="2" fillId="0" borderId="0" xfId="0" applyNumberFormat="1" applyFont="1" applyFill="1" applyBorder="1"/>
    <xf numFmtId="0" fontId="3" fillId="0" borderId="0" xfId="0" applyFont="1" applyFill="1"/>
    <xf numFmtId="0" fontId="2" fillId="2" borderId="0" xfId="0" applyFont="1" applyFill="1"/>
    <xf numFmtId="169" fontId="2" fillId="2" borderId="0" xfId="0" applyNumberFormat="1" applyFont="1" applyFill="1" applyBorder="1" applyAlignment="1">
      <alignment horizontal="right"/>
    </xf>
    <xf numFmtId="0" fontId="3" fillId="10" borderId="0" xfId="0" applyFont="1" applyFill="1"/>
    <xf numFmtId="0" fontId="0" fillId="10" borderId="0" xfId="0" applyFill="1"/>
    <xf numFmtId="169" fontId="0" fillId="10" borderId="0" xfId="0" applyNumberFormat="1" applyFill="1" applyAlignment="1">
      <alignment horizontal="right"/>
    </xf>
    <xf numFmtId="0" fontId="0" fillId="10" borderId="0" xfId="0" applyFont="1" applyFill="1"/>
    <xf numFmtId="166" fontId="0" fillId="10" borderId="0" xfId="0" applyNumberFormat="1" applyFill="1"/>
    <xf numFmtId="169" fontId="13" fillId="10" borderId="0" xfId="0" applyNumberFormat="1" applyFont="1" applyFill="1" applyAlignment="1">
      <alignment horizontal="right"/>
    </xf>
    <xf numFmtId="169" fontId="13" fillId="10" borderId="0" xfId="0" applyNumberFormat="1" applyFont="1" applyFill="1"/>
    <xf numFmtId="0" fontId="3" fillId="10" borderId="0" xfId="0" applyNumberFormat="1" applyFont="1" applyFill="1" applyAlignment="1">
      <alignment horizontal="right"/>
    </xf>
    <xf numFmtId="0" fontId="14" fillId="0" borderId="0" xfId="0" applyFont="1"/>
    <xf numFmtId="0" fontId="15" fillId="0" borderId="0" xfId="0" applyNumberFormat="1" applyFont="1" applyAlignment="1">
      <alignment horizontal="right"/>
    </xf>
    <xf numFmtId="0" fontId="15" fillId="10" borderId="0" xfId="0" applyFont="1" applyFill="1"/>
    <xf numFmtId="0" fontId="14" fillId="10" borderId="0" xfId="0" applyFont="1" applyFill="1"/>
    <xf numFmtId="169" fontId="15" fillId="10" borderId="0" xfId="0" applyNumberFormat="1" applyFont="1" applyFill="1"/>
    <xf numFmtId="0" fontId="4" fillId="8" borderId="0" xfId="0" applyFont="1" applyFill="1"/>
    <xf numFmtId="169" fontId="4" fillId="8" borderId="0" xfId="0" applyNumberFormat="1" applyFont="1" applyFill="1"/>
    <xf numFmtId="0" fontId="0" fillId="0" borderId="9" xfId="0" applyBorder="1"/>
    <xf numFmtId="0" fontId="0" fillId="0" borderId="11" xfId="0" applyBorder="1"/>
    <xf numFmtId="167" fontId="0" fillId="0" borderId="0" xfId="0" applyNumberFormat="1" applyBorder="1"/>
    <xf numFmtId="0" fontId="0" fillId="0" borderId="14" xfId="0" applyBorder="1"/>
    <xf numFmtId="0" fontId="14" fillId="5" borderId="0" xfId="0" applyFont="1" applyFill="1"/>
    <xf numFmtId="169" fontId="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4" fillId="0" borderId="0" xfId="0" applyFont="1" applyFill="1"/>
    <xf numFmtId="169" fontId="4" fillId="2" borderId="0" xfId="0" applyNumberFormat="1" applyFont="1" applyFill="1" applyBorder="1" applyAlignment="1">
      <alignment horizontal="right"/>
    </xf>
    <xf numFmtId="0" fontId="3" fillId="11" borderId="7" xfId="0" applyFont="1" applyFill="1" applyBorder="1"/>
    <xf numFmtId="0" fontId="2" fillId="11" borderId="12" xfId="0" applyFont="1" applyFill="1" applyBorder="1"/>
    <xf numFmtId="0" fontId="2" fillId="11" borderId="13" xfId="0" applyFont="1" applyFill="1" applyBorder="1"/>
    <xf numFmtId="169" fontId="2" fillId="11" borderId="14" xfId="0" applyNumberFormat="1" applyFont="1" applyFill="1" applyBorder="1" applyAlignment="1">
      <alignment horizontal="right"/>
    </xf>
    <xf numFmtId="168" fontId="8" fillId="0" borderId="0" xfId="0" applyNumberFormat="1" applyFont="1"/>
    <xf numFmtId="0" fontId="3" fillId="12" borderId="3" xfId="0" applyFont="1" applyFill="1" applyBorder="1" applyAlignment="1">
      <alignment vertical="center"/>
    </xf>
    <xf numFmtId="169" fontId="3" fillId="12" borderId="3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/>
    <xf numFmtId="0" fontId="0" fillId="12" borderId="1" xfId="0" applyFill="1" applyBorder="1"/>
    <xf numFmtId="169" fontId="0" fillId="12" borderId="1" xfId="0" applyNumberFormat="1" applyFill="1" applyBorder="1"/>
    <xf numFmtId="169" fontId="0" fillId="12" borderId="1" xfId="1" applyNumberFormat="1" applyFont="1" applyFill="1" applyBorder="1"/>
    <xf numFmtId="0" fontId="12" fillId="12" borderId="3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169" fontId="0" fillId="0" borderId="0" xfId="0" applyNumberFormat="1" applyFont="1" applyFill="1" applyBorder="1"/>
    <xf numFmtId="169" fontId="3" fillId="0" borderId="4" xfId="0" applyNumberFormat="1" applyFont="1" applyBorder="1" applyAlignment="1">
      <alignment horizontal="center" vertical="center" wrapText="1"/>
    </xf>
    <xf numFmtId="169" fontId="0" fillId="2" borderId="7" xfId="0" applyNumberFormat="1" applyFill="1" applyBorder="1"/>
    <xf numFmtId="169" fontId="0" fillId="0" borderId="4" xfId="0" applyNumberFormat="1" applyBorder="1"/>
    <xf numFmtId="0" fontId="3" fillId="0" borderId="6" xfId="0" applyFont="1" applyBorder="1" applyAlignment="1">
      <alignment horizontal="center" vertical="center" wrapText="1"/>
    </xf>
    <xf numFmtId="0" fontId="0" fillId="2" borderId="9" xfId="0" applyFill="1" applyBorder="1"/>
    <xf numFmtId="0" fontId="0" fillId="0" borderId="6" xfId="0" applyBorder="1"/>
    <xf numFmtId="169" fontId="3" fillId="0" borderId="16" xfId="0" applyNumberFormat="1" applyFont="1" applyBorder="1" applyAlignment="1">
      <alignment horizontal="center" vertical="center" wrapText="1"/>
    </xf>
    <xf numFmtId="169" fontId="3" fillId="0" borderId="17" xfId="0" applyNumberFormat="1" applyFont="1" applyBorder="1" applyAlignment="1">
      <alignment horizontal="center" vertical="center" wrapText="1"/>
    </xf>
    <xf numFmtId="169" fontId="0" fillId="2" borderId="18" xfId="0" applyNumberFormat="1" applyFill="1" applyBorder="1"/>
    <xf numFmtId="169" fontId="0" fillId="2" borderId="19" xfId="0" applyNumberFormat="1" applyFill="1" applyBorder="1"/>
    <xf numFmtId="169" fontId="0" fillId="0" borderId="24" xfId="0" applyNumberFormat="1" applyBorder="1"/>
    <xf numFmtId="169" fontId="0" fillId="2" borderId="4" xfId="0" applyNumberFormat="1" applyFill="1" applyBorder="1"/>
    <xf numFmtId="169" fontId="0" fillId="6" borderId="4" xfId="0" applyNumberFormat="1" applyFill="1" applyBorder="1"/>
    <xf numFmtId="169" fontId="9" fillId="6" borderId="4" xfId="0" applyNumberFormat="1" applyFont="1" applyFill="1" applyBorder="1"/>
    <xf numFmtId="169" fontId="0" fillId="0" borderId="4" xfId="0" applyNumberFormat="1" applyFill="1" applyBorder="1"/>
    <xf numFmtId="168" fontId="0" fillId="0" borderId="4" xfId="0" applyNumberFormat="1" applyBorder="1"/>
    <xf numFmtId="169" fontId="0" fillId="4" borderId="4" xfId="0" applyNumberFormat="1" applyFill="1" applyBorder="1"/>
    <xf numFmtId="0" fontId="0" fillId="2" borderId="6" xfId="0" applyFill="1" applyBorder="1"/>
    <xf numFmtId="0" fontId="0" fillId="6" borderId="6" xfId="0" applyFill="1" applyBorder="1"/>
    <xf numFmtId="0" fontId="9" fillId="6" borderId="6" xfId="0" applyFont="1" applyFill="1" applyBorder="1"/>
    <xf numFmtId="0" fontId="9" fillId="0" borderId="6" xfId="0" applyFont="1" applyFill="1" applyBorder="1"/>
    <xf numFmtId="0" fontId="0" fillId="0" borderId="6" xfId="0" applyFill="1" applyBorder="1"/>
    <xf numFmtId="0" fontId="0" fillId="4" borderId="6" xfId="0" applyFill="1" applyBorder="1"/>
    <xf numFmtId="169" fontId="0" fillId="2" borderId="20" xfId="0" applyNumberFormat="1" applyFill="1" applyBorder="1"/>
    <xf numFmtId="169" fontId="0" fillId="2" borderId="21" xfId="0" applyNumberFormat="1" applyFill="1" applyBorder="1"/>
    <xf numFmtId="169" fontId="0" fillId="6" borderId="20" xfId="0" applyNumberFormat="1" applyFill="1" applyBorder="1"/>
    <xf numFmtId="169" fontId="0" fillId="6" borderId="21" xfId="0" applyNumberFormat="1" applyFill="1" applyBorder="1"/>
    <xf numFmtId="169" fontId="9" fillId="6" borderId="20" xfId="0" applyNumberFormat="1" applyFont="1" applyFill="1" applyBorder="1"/>
    <xf numFmtId="169" fontId="9" fillId="6" borderId="21" xfId="0" applyNumberFormat="1" applyFont="1" applyFill="1" applyBorder="1"/>
    <xf numFmtId="168" fontId="0" fillId="0" borderId="21" xfId="0" applyNumberFormat="1" applyBorder="1"/>
    <xf numFmtId="169" fontId="0" fillId="4" borderId="22" xfId="0" applyNumberFormat="1" applyFill="1" applyBorder="1"/>
    <xf numFmtId="169" fontId="0" fillId="4" borderId="23" xfId="0" applyNumberFormat="1" applyFill="1" applyBorder="1"/>
    <xf numFmtId="169" fontId="0" fillId="4" borderId="24" xfId="0" applyNumberFormat="1" applyFill="1" applyBorder="1"/>
    <xf numFmtId="169" fontId="9" fillId="0" borderId="4" xfId="0" applyNumberFormat="1" applyFont="1" applyBorder="1"/>
    <xf numFmtId="0" fontId="0" fillId="0" borderId="6" xfId="0" applyFont="1" applyFill="1" applyBorder="1"/>
    <xf numFmtId="0" fontId="0" fillId="6" borderId="6" xfId="0" applyFont="1" applyFill="1" applyBorder="1"/>
    <xf numFmtId="0" fontId="0" fillId="0" borderId="6" xfId="0" applyFont="1" applyBorder="1"/>
    <xf numFmtId="0" fontId="3" fillId="0" borderId="4" xfId="0" applyFont="1" applyBorder="1" applyAlignment="1">
      <alignment horizontal="center" vertical="center" wrapText="1"/>
    </xf>
    <xf numFmtId="168" fontId="0" fillId="2" borderId="4" xfId="0" applyNumberFormat="1" applyFill="1" applyBorder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168" fontId="0" fillId="2" borderId="21" xfId="0" applyNumberFormat="1" applyFill="1" applyBorder="1"/>
    <xf numFmtId="0" fontId="0" fillId="0" borderId="22" xfId="0" applyFont="1" applyBorder="1" applyAlignment="1">
      <alignment horizontal="center"/>
    </xf>
    <xf numFmtId="168" fontId="0" fillId="0" borderId="23" xfId="1" applyFont="1" applyFill="1" applyBorder="1"/>
    <xf numFmtId="168" fontId="0" fillId="0" borderId="24" xfId="0" applyNumberFormat="1" applyBorder="1"/>
    <xf numFmtId="169" fontId="0" fillId="0" borderId="0" xfId="0" applyNumberForma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9" fontId="0" fillId="0" borderId="22" xfId="1" applyNumberFormat="1" applyFont="1" applyFill="1" applyBorder="1"/>
    <xf numFmtId="169" fontId="0" fillId="0" borderId="23" xfId="1" applyNumberFormat="1" applyFont="1" applyFill="1" applyBorder="1"/>
    <xf numFmtId="169" fontId="3" fillId="0" borderId="15" xfId="0" applyNumberFormat="1" applyFont="1" applyBorder="1" applyAlignment="1">
      <alignment horizontal="center" wrapText="1"/>
    </xf>
    <xf numFmtId="169" fontId="0" fillId="0" borderId="25" xfId="1" applyNumberFormat="1" applyFont="1" applyFill="1" applyBorder="1"/>
    <xf numFmtId="169" fontId="0" fillId="0" borderId="26" xfId="1" applyNumberFormat="1" applyFont="1" applyFill="1" applyBorder="1"/>
    <xf numFmtId="169" fontId="0" fillId="0" borderId="27" xfId="0" applyNumberFormat="1" applyBorder="1"/>
    <xf numFmtId="165" fontId="0" fillId="2" borderId="0" xfId="0" applyNumberFormat="1" applyFill="1"/>
    <xf numFmtId="166" fontId="8" fillId="0" borderId="0" xfId="0" applyNumberFormat="1" applyFont="1"/>
    <xf numFmtId="168" fontId="0" fillId="0" borderId="20" xfId="1" applyFont="1" applyFill="1" applyBorder="1"/>
    <xf numFmtId="0" fontId="9" fillId="0" borderId="0" xfId="0" applyFont="1" applyFill="1"/>
    <xf numFmtId="169" fontId="4" fillId="4" borderId="0" xfId="0" applyNumberFormat="1" applyFont="1" applyFill="1" applyBorder="1"/>
    <xf numFmtId="168" fontId="0" fillId="6" borderId="20" xfId="1" applyFont="1" applyFill="1" applyBorder="1"/>
    <xf numFmtId="168" fontId="0" fillId="6" borderId="1" xfId="1" applyFont="1" applyFill="1" applyBorder="1"/>
    <xf numFmtId="168" fontId="0" fillId="6" borderId="21" xfId="0" applyNumberFormat="1" applyFill="1" applyBorder="1"/>
    <xf numFmtId="169" fontId="2" fillId="0" borderId="0" xfId="0" applyNumberFormat="1" applyFont="1" applyFill="1"/>
    <xf numFmtId="169" fontId="4" fillId="10" borderId="0" xfId="1" applyNumberFormat="1" applyFont="1" applyFill="1" applyBorder="1"/>
    <xf numFmtId="0" fontId="0" fillId="10" borderId="0" xfId="0" applyFill="1" applyAlignment="1">
      <alignment horizontal="center" wrapText="1"/>
    </xf>
    <xf numFmtId="0" fontId="9" fillId="10" borderId="0" xfId="0" applyFont="1" applyFill="1"/>
    <xf numFmtId="0" fontId="2" fillId="10" borderId="0" xfId="0" applyFont="1" applyFill="1" applyAlignment="1">
      <alignment horizontal="center" wrapText="1"/>
    </xf>
    <xf numFmtId="0" fontId="2" fillId="10" borderId="0" xfId="0" applyFont="1" applyFill="1"/>
    <xf numFmtId="0" fontId="18" fillId="10" borderId="0" xfId="0" applyFont="1" applyFill="1"/>
    <xf numFmtId="169" fontId="2" fillId="10" borderId="0" xfId="0" applyNumberFormat="1" applyFont="1" applyFill="1"/>
    <xf numFmtId="0" fontId="0" fillId="2" borderId="0" xfId="0" applyFill="1" applyBorder="1"/>
    <xf numFmtId="169" fontId="2" fillId="2" borderId="0" xfId="0" applyNumberFormat="1" applyFont="1" applyFill="1" applyBorder="1"/>
    <xf numFmtId="0" fontId="19" fillId="0" borderId="0" xfId="0" applyFont="1" applyFill="1"/>
    <xf numFmtId="0" fontId="11" fillId="0" borderId="0" xfId="0" applyFont="1" applyFill="1"/>
    <xf numFmtId="169" fontId="20" fillId="0" borderId="0" xfId="0" applyNumberFormat="1" applyFont="1" applyFill="1" applyBorder="1" applyAlignment="1">
      <alignment horizontal="right"/>
    </xf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7" fillId="10" borderId="1" xfId="0" applyFont="1" applyFill="1" applyBorder="1"/>
    <xf numFmtId="169" fontId="0" fillId="10" borderId="1" xfId="0" applyNumberFormat="1" applyFont="1" applyFill="1" applyBorder="1"/>
    <xf numFmtId="169" fontId="1" fillId="10" borderId="1" xfId="1" applyNumberFormat="1" applyFont="1" applyFill="1" applyBorder="1"/>
    <xf numFmtId="0" fontId="2" fillId="2" borderId="0" xfId="0" applyFont="1" applyFill="1" applyBorder="1"/>
    <xf numFmtId="169" fontId="12" fillId="0" borderId="0" xfId="0" applyNumberFormat="1" applyFont="1"/>
    <xf numFmtId="0" fontId="0" fillId="11" borderId="10" xfId="0" applyFill="1" applyBorder="1"/>
    <xf numFmtId="0" fontId="0" fillId="11" borderId="0" xfId="0" applyFill="1" applyBorder="1"/>
    <xf numFmtId="169" fontId="2" fillId="11" borderId="9" xfId="0" applyNumberFormat="1" applyFont="1" applyFill="1" applyBorder="1"/>
    <xf numFmtId="169" fontId="0" fillId="0" borderId="18" xfId="1" applyNumberFormat="1" applyFont="1" applyFill="1" applyBorder="1"/>
    <xf numFmtId="169" fontId="0" fillId="0" borderId="3" xfId="1" applyNumberFormat="1" applyFont="1" applyFill="1" applyBorder="1"/>
    <xf numFmtId="169" fontId="0" fillId="0" borderId="19" xfId="0" applyNumberFormat="1" applyBorder="1"/>
    <xf numFmtId="168" fontId="0" fillId="6" borderId="28" xfId="1" applyFont="1" applyFill="1" applyBorder="1"/>
    <xf numFmtId="168" fontId="0" fillId="6" borderId="29" xfId="1" applyFont="1" applyFill="1" applyBorder="1"/>
    <xf numFmtId="168" fontId="0" fillId="6" borderId="30" xfId="0" applyNumberForma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2" fillId="0" borderId="0" xfId="0" applyFont="1" applyFill="1" applyBorder="1"/>
    <xf numFmtId="0" fontId="21" fillId="5" borderId="0" xfId="0" applyFont="1" applyFill="1"/>
    <xf numFmtId="0" fontId="2" fillId="9" borderId="14" xfId="0" applyFont="1" applyFill="1" applyBorder="1"/>
    <xf numFmtId="169" fontId="14" fillId="0" borderId="0" xfId="0" applyNumberFormat="1" applyFont="1" applyFill="1"/>
    <xf numFmtId="166" fontId="0" fillId="0" borderId="0" xfId="0" applyNumberFormat="1" applyBorder="1" applyAlignment="1">
      <alignment horizontal="left"/>
    </xf>
    <xf numFmtId="166" fontId="0" fillId="0" borderId="13" xfId="0" applyNumberFormat="1" applyBorder="1"/>
    <xf numFmtId="167" fontId="2" fillId="13" borderId="13" xfId="0" applyNumberFormat="1" applyFont="1" applyFill="1" applyBorder="1"/>
    <xf numFmtId="0" fontId="3" fillId="2" borderId="0" xfId="0" applyFont="1" applyFill="1" applyBorder="1"/>
    <xf numFmtId="166" fontId="0" fillId="0" borderId="13" xfId="0" applyNumberFormat="1" applyBorder="1" applyAlignment="1">
      <alignment horizontal="left"/>
    </xf>
    <xf numFmtId="164" fontId="11" fillId="0" borderId="0" xfId="0" applyNumberFormat="1" applyFont="1" applyBorder="1"/>
    <xf numFmtId="0" fontId="11" fillId="0" borderId="13" xfId="0" applyFont="1" applyBorder="1"/>
    <xf numFmtId="167" fontId="23" fillId="13" borderId="13" xfId="0" applyNumberFormat="1" applyFont="1" applyFill="1" applyBorder="1"/>
    <xf numFmtId="0" fontId="3" fillId="0" borderId="0" xfId="0" applyFont="1" applyAlignment="1">
      <alignment horizontal="right"/>
    </xf>
    <xf numFmtId="167" fontId="0" fillId="2" borderId="0" xfId="0" applyNumberFormat="1" applyFill="1"/>
    <xf numFmtId="167" fontId="4" fillId="2" borderId="0" xfId="0" applyNumberFormat="1" applyFont="1" applyFill="1"/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169" fontId="8" fillId="2" borderId="7" xfId="0" applyNumberFormat="1" applyFont="1" applyFill="1" applyBorder="1" applyAlignment="1">
      <alignment horizontal="center" vertical="center" wrapText="1"/>
    </xf>
    <xf numFmtId="169" fontId="8" fillId="2" borderId="8" xfId="0" applyNumberFormat="1" applyFont="1" applyFill="1" applyBorder="1" applyAlignment="1">
      <alignment horizontal="center" vertical="center" wrapText="1"/>
    </xf>
    <xf numFmtId="169" fontId="8" fillId="2" borderId="9" xfId="0" applyNumberFormat="1" applyFont="1" applyFill="1" applyBorder="1" applyAlignment="1">
      <alignment horizontal="center" vertical="center" wrapText="1"/>
    </xf>
    <xf numFmtId="169" fontId="8" fillId="2" borderId="10" xfId="0" applyNumberFormat="1" applyFont="1" applyFill="1" applyBorder="1" applyAlignment="1">
      <alignment horizontal="center" vertical="center" wrapText="1"/>
    </xf>
    <xf numFmtId="169" fontId="8" fillId="2" borderId="0" xfId="0" applyNumberFormat="1" applyFont="1" applyFill="1" applyBorder="1" applyAlignment="1">
      <alignment horizontal="center" vertical="center" wrapText="1"/>
    </xf>
    <xf numFmtId="169" fontId="8" fillId="2" borderId="11" xfId="0" applyNumberFormat="1" applyFont="1" applyFill="1" applyBorder="1" applyAlignment="1">
      <alignment horizontal="center" vertical="center" wrapText="1"/>
    </xf>
    <xf numFmtId="169" fontId="8" fillId="2" borderId="12" xfId="0" applyNumberFormat="1" applyFont="1" applyFill="1" applyBorder="1" applyAlignment="1">
      <alignment horizontal="center" vertical="center" wrapText="1"/>
    </xf>
    <xf numFmtId="169" fontId="8" fillId="2" borderId="13" xfId="0" applyNumberFormat="1" applyFont="1" applyFill="1" applyBorder="1" applyAlignment="1">
      <alignment horizontal="center" vertical="center" wrapText="1"/>
    </xf>
    <xf numFmtId="169" fontId="8" fillId="2" borderId="14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re\AppData\Local\Microsoft\Windows\Temporary%20Internet%20Files\Content.Outlook\P777M9QZ\Copy%20of%20Stage%202%20DM%20GMC%20costs%20v14%20-%20Chris%20New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 1"/>
      <sheetName val="Yr 2"/>
      <sheetName val="Yr 3"/>
      <sheetName val="Summary Y1-3"/>
      <sheetName val="Detail Costs"/>
      <sheetName val="consumables"/>
      <sheetName val="Central Infrastructure cost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E21">
            <v>1</v>
          </cell>
          <cell r="F21">
            <v>20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15" sqref="B15"/>
    </sheetView>
  </sheetViews>
  <sheetFormatPr defaultRowHeight="15"/>
  <cols>
    <col min="1" max="1" width="61" customWidth="1"/>
    <col min="2" max="2" width="31.5703125" customWidth="1"/>
    <col min="3" max="3" width="19.5703125" customWidth="1"/>
    <col min="4" max="4" width="12.85546875" customWidth="1"/>
    <col min="5" max="5" width="13" customWidth="1"/>
    <col min="6" max="6" width="19.28515625" customWidth="1"/>
    <col min="7" max="7" width="16.140625" customWidth="1"/>
    <col min="8" max="8" width="10.140625" customWidth="1"/>
    <col min="9" max="9" width="11.5703125" customWidth="1"/>
  </cols>
  <sheetData>
    <row r="1" spans="1:9" ht="30">
      <c r="A1" s="79" t="s">
        <v>0</v>
      </c>
      <c r="B1" s="1" t="s">
        <v>1</v>
      </c>
      <c r="C1" s="1" t="s">
        <v>2</v>
      </c>
      <c r="D1" s="1" t="s">
        <v>3</v>
      </c>
      <c r="E1" s="237" t="s">
        <v>4</v>
      </c>
      <c r="F1" s="239" t="s">
        <v>5</v>
      </c>
      <c r="G1" s="240" t="s">
        <v>2</v>
      </c>
      <c r="H1" s="240" t="s">
        <v>3</v>
      </c>
      <c r="I1" s="241" t="s">
        <v>4</v>
      </c>
    </row>
    <row r="2" spans="1:9">
      <c r="A2" s="80" t="s">
        <v>6</v>
      </c>
      <c r="B2" s="2" t="s">
        <v>7</v>
      </c>
      <c r="C2" s="3">
        <f>(47559*1.278*1.01)</f>
        <v>61388.206020000005</v>
      </c>
      <c r="D2" s="3">
        <f>(47559*1.278*1.01)/44/37.5</f>
        <v>37.204973345454547</v>
      </c>
      <c r="E2" s="215">
        <f t="shared" ref="E2:E3" si="0">D2/60</f>
        <v>0.62008288909090914</v>
      </c>
      <c r="F2" s="242" t="s">
        <v>8</v>
      </c>
      <c r="G2" s="3">
        <f>(44261*1.278*1.01)</f>
        <v>57131.213580000003</v>
      </c>
      <c r="H2" s="3">
        <f>(44261*1.278*1.01)/44/37.5</f>
        <v>34.624977927272724</v>
      </c>
      <c r="I2" s="229">
        <f t="shared" ref="I2:I3" si="1">H2/60</f>
        <v>0.5770829654545454</v>
      </c>
    </row>
    <row r="3" spans="1:9">
      <c r="A3" s="80" t="s">
        <v>9</v>
      </c>
      <c r="B3" s="2" t="s">
        <v>10</v>
      </c>
      <c r="C3" s="3">
        <f>(40964*1.278*1.01)</f>
        <v>52875.511919999997</v>
      </c>
      <c r="D3" s="3">
        <f>(40964*1.278*1.01)/44/37.5</f>
        <v>32.045764800000001</v>
      </c>
      <c r="E3" s="215">
        <f t="shared" si="0"/>
        <v>0.53409607999999997</v>
      </c>
      <c r="F3" s="242" t="s">
        <v>11</v>
      </c>
      <c r="G3" s="3">
        <f>(35891*1.278*1.01)</f>
        <v>46327.384980000003</v>
      </c>
      <c r="H3" s="3">
        <f>(35891*1.278*1.01)/44/37.5</f>
        <v>28.07720301818182</v>
      </c>
      <c r="I3" s="229">
        <f t="shared" si="1"/>
        <v>0.46795338363636368</v>
      </c>
    </row>
    <row r="4" spans="1:9">
      <c r="A4" s="80" t="s">
        <v>9</v>
      </c>
      <c r="B4" s="2" t="s">
        <v>10</v>
      </c>
      <c r="C4" s="3">
        <f t="shared" ref="C4:C6" si="2">(40964*1.278*1.01)</f>
        <v>52875.511919999997</v>
      </c>
      <c r="D4" s="3">
        <f t="shared" ref="D4:D6" si="3">(40964*1.278*1.01)/44/37.5</f>
        <v>32.045764800000001</v>
      </c>
      <c r="E4" s="215">
        <f t="shared" ref="E4:E6" si="4">D4/60</f>
        <v>0.53409607999999997</v>
      </c>
      <c r="F4" s="242" t="s">
        <v>11</v>
      </c>
      <c r="G4" s="3">
        <f>(35891*1.278*1.01)</f>
        <v>46327.384980000003</v>
      </c>
      <c r="H4" s="3">
        <f>(35891*1.278*1.01)/44/37.5</f>
        <v>28.07720301818182</v>
      </c>
      <c r="I4" s="229">
        <f t="shared" ref="I4:I6" si="5">H4/60</f>
        <v>0.46795338363636368</v>
      </c>
    </row>
    <row r="5" spans="1:9">
      <c r="A5" s="80" t="s">
        <v>9</v>
      </c>
      <c r="B5" s="2" t="s">
        <v>10</v>
      </c>
      <c r="C5" s="3">
        <f t="shared" si="2"/>
        <v>52875.511919999997</v>
      </c>
      <c r="D5" s="3">
        <f t="shared" si="3"/>
        <v>32.045764800000001</v>
      </c>
      <c r="E5" s="215">
        <f t="shared" si="4"/>
        <v>0.53409607999999997</v>
      </c>
      <c r="F5" s="242" t="s">
        <v>11</v>
      </c>
      <c r="G5" s="3">
        <f>(35891*1.278*1.01)</f>
        <v>46327.384980000003</v>
      </c>
      <c r="H5" s="3">
        <f>(35891*1.278*1.01)/44/37.5</f>
        <v>28.07720301818182</v>
      </c>
      <c r="I5" s="229">
        <f t="shared" si="5"/>
        <v>0.46795338363636368</v>
      </c>
    </row>
    <row r="6" spans="1:9">
      <c r="A6" s="80" t="s">
        <v>9</v>
      </c>
      <c r="B6" s="2" t="s">
        <v>10</v>
      </c>
      <c r="C6" s="3">
        <f t="shared" si="2"/>
        <v>52875.511919999997</v>
      </c>
      <c r="D6" s="3">
        <f t="shared" si="3"/>
        <v>32.045764800000001</v>
      </c>
      <c r="E6" s="215">
        <f t="shared" si="4"/>
        <v>0.53409607999999997</v>
      </c>
      <c r="F6" s="242" t="s">
        <v>11</v>
      </c>
      <c r="G6" s="3">
        <f>(35891*1.278*1.01)</f>
        <v>46327.384980000003</v>
      </c>
      <c r="H6" s="3">
        <f>(35891*1.278*1.01)/44/37.5</f>
        <v>28.07720301818182</v>
      </c>
      <c r="I6" s="229">
        <f t="shared" si="5"/>
        <v>0.46795338363636368</v>
      </c>
    </row>
    <row r="7" spans="1:9">
      <c r="A7" s="81" t="s">
        <v>12</v>
      </c>
      <c r="B7" s="6" t="s">
        <v>13</v>
      </c>
      <c r="C7" s="7">
        <f>(101450*1.278*1.01)</f>
        <v>130949.63100000001</v>
      </c>
      <c r="D7" s="7">
        <f>(101450*1.278)/46/37.5</f>
        <v>75.161217391304362</v>
      </c>
      <c r="E7" s="238">
        <f t="shared" ref="E7:E10" si="6">D7/60</f>
        <v>1.2526869565217393</v>
      </c>
      <c r="F7" s="243"/>
      <c r="G7" s="7"/>
      <c r="H7" s="7"/>
      <c r="I7" s="244"/>
    </row>
    <row r="8" spans="1:9">
      <c r="A8" s="80" t="s">
        <v>14</v>
      </c>
      <c r="B8" s="2" t="s">
        <v>15</v>
      </c>
      <c r="C8" s="3">
        <f>(47559*1.278*1.01)</f>
        <v>61388.206020000005</v>
      </c>
      <c r="D8" s="3">
        <f>(47559*1.278*1.01)/44/37.5</f>
        <v>37.204973345454547</v>
      </c>
      <c r="E8" s="215">
        <f t="shared" si="6"/>
        <v>0.62008288909090914</v>
      </c>
      <c r="F8" s="242"/>
      <c r="G8" s="3"/>
      <c r="H8" s="3"/>
      <c r="I8" s="229"/>
    </row>
    <row r="9" spans="1:9">
      <c r="A9" s="80" t="s">
        <v>16</v>
      </c>
      <c r="B9" s="2" t="s">
        <v>10</v>
      </c>
      <c r="C9" s="3">
        <f>(40964*1.278*1.01)</f>
        <v>52875.511919999997</v>
      </c>
      <c r="D9" s="3">
        <f t="shared" ref="D9" si="7">(40964*1.278*1.01)/44/37.5</f>
        <v>32.045764800000001</v>
      </c>
      <c r="E9" s="215">
        <f t="shared" si="6"/>
        <v>0.53409607999999997</v>
      </c>
      <c r="F9" s="242"/>
      <c r="G9" s="3"/>
      <c r="H9" s="3"/>
      <c r="I9" s="229"/>
    </row>
    <row r="10" spans="1:9">
      <c r="A10" s="80" t="s">
        <v>17</v>
      </c>
      <c r="B10" s="2" t="s">
        <v>18</v>
      </c>
      <c r="C10" s="3">
        <f>(34876*1.278*1.01)</f>
        <v>45017.243280000002</v>
      </c>
      <c r="D10" s="3">
        <f>(34876*1.278*1.01)/44/37.5</f>
        <v>27.283177745454548</v>
      </c>
      <c r="E10" s="215">
        <f t="shared" si="6"/>
        <v>0.45471962909090913</v>
      </c>
      <c r="F10" s="242"/>
      <c r="G10" s="3"/>
      <c r="H10" s="3"/>
      <c r="I10" s="229"/>
    </row>
    <row r="11" spans="1:9" ht="15.75" thickBot="1">
      <c r="A11" s="80" t="s">
        <v>19</v>
      </c>
      <c r="B11" s="2" t="s">
        <v>18</v>
      </c>
      <c r="C11" s="3">
        <f>(34876*1.278*1.01)</f>
        <v>45017.243280000002</v>
      </c>
      <c r="D11" s="3">
        <f>(34876*1.278*1.01)/44/37.5</f>
        <v>27.283177745454548</v>
      </c>
      <c r="E11" s="215">
        <f>D11/60</f>
        <v>0.45471962909090913</v>
      </c>
      <c r="F11" s="245"/>
      <c r="G11" s="246"/>
      <c r="H11" s="246"/>
      <c r="I11" s="247"/>
    </row>
    <row r="14" spans="1:9">
      <c r="A14" t="s">
        <v>20</v>
      </c>
      <c r="B14" s="153">
        <f>SUM(C2:C6)</f>
        <v>272890.2537</v>
      </c>
    </row>
    <row r="15" spans="1:9">
      <c r="A15" s="111" t="s">
        <v>21</v>
      </c>
      <c r="B15" s="256">
        <f>SUM(G3*4)+G2</f>
        <v>242440.75350000002</v>
      </c>
    </row>
    <row r="16" spans="1:9">
      <c r="A16" s="39" t="s">
        <v>22</v>
      </c>
      <c r="B16" s="257">
        <v>250000</v>
      </c>
      <c r="C16" s="18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114"/>
  <sheetViews>
    <sheetView topLeftCell="A79" workbookViewId="0">
      <selection activeCell="B111" sqref="B111"/>
    </sheetView>
  </sheetViews>
  <sheetFormatPr defaultRowHeight="15"/>
  <cols>
    <col min="1" max="1" width="80.5703125" customWidth="1"/>
    <col min="2" max="2" width="11.85546875" customWidth="1"/>
    <col min="3" max="3" width="11.42578125" style="21" customWidth="1"/>
    <col min="4" max="4" width="10.28515625" style="21" customWidth="1"/>
    <col min="5" max="5" width="13.42578125" style="21" customWidth="1"/>
    <col min="6" max="6" width="13.7109375" style="21" customWidth="1"/>
    <col min="7" max="8" width="9.140625" style="21"/>
    <col min="9" max="9" width="11" customWidth="1"/>
    <col min="10" max="10" width="13.5703125" style="21" customWidth="1"/>
    <col min="11" max="11" width="28.140625" customWidth="1"/>
    <col min="12" max="15" width="9.140625" style="21"/>
    <col min="16" max="16" width="9.85546875" customWidth="1"/>
    <col min="17" max="17" width="9.140625" style="25"/>
    <col min="18" max="18" width="14.28515625" customWidth="1"/>
  </cols>
  <sheetData>
    <row r="1" spans="1:17" ht="30">
      <c r="A1" s="195" t="s">
        <v>23</v>
      </c>
      <c r="B1" s="189" t="s">
        <v>0</v>
      </c>
      <c r="C1" s="190" t="s">
        <v>24</v>
      </c>
      <c r="D1" s="190" t="s">
        <v>3</v>
      </c>
      <c r="E1" s="190" t="s">
        <v>4</v>
      </c>
      <c r="F1" s="198"/>
      <c r="G1" s="198"/>
      <c r="H1" s="198"/>
      <c r="I1" s="197"/>
      <c r="J1" s="198"/>
      <c r="K1" s="198"/>
    </row>
    <row r="2" spans="1:17" ht="15" customHeight="1">
      <c r="A2" s="191" t="s">
        <v>25</v>
      </c>
      <c r="B2" s="192"/>
      <c r="C2" s="193"/>
      <c r="D2" s="193"/>
      <c r="E2" s="193"/>
      <c r="F2" s="51"/>
      <c r="G2" s="315" t="s">
        <v>26</v>
      </c>
      <c r="H2" s="316"/>
      <c r="I2" s="316"/>
      <c r="J2" s="316"/>
      <c r="K2" s="317"/>
    </row>
    <row r="3" spans="1:17">
      <c r="A3" s="192" t="s">
        <v>27</v>
      </c>
      <c r="B3" s="192" t="s">
        <v>15</v>
      </c>
      <c r="C3" s="194">
        <f>(47559*1.278*1.01)</f>
        <v>61388.206020000005</v>
      </c>
      <c r="D3" s="194">
        <f>(47559*1.278)/44/37.5</f>
        <v>36.836607272727278</v>
      </c>
      <c r="E3" s="193">
        <f>D3/60</f>
        <v>0.61394345454545463</v>
      </c>
      <c r="F3" s="51"/>
      <c r="G3" s="318"/>
      <c r="H3" s="319"/>
      <c r="I3" s="319"/>
      <c r="J3" s="319"/>
      <c r="K3" s="320"/>
    </row>
    <row r="4" spans="1:17">
      <c r="A4" s="192" t="s">
        <v>28</v>
      </c>
      <c r="B4" s="192" t="s">
        <v>15</v>
      </c>
      <c r="C4" s="194">
        <f>(47559*1.278*1.01)</f>
        <v>61388.206020000005</v>
      </c>
      <c r="D4" s="194">
        <f>(47559*1.278)/44/37.5</f>
        <v>36.836607272727278</v>
      </c>
      <c r="E4" s="193">
        <f t="shared" ref="E4:E11" si="0">D4/60</f>
        <v>0.61394345454545463</v>
      </c>
      <c r="F4" s="51"/>
      <c r="G4" s="318"/>
      <c r="H4" s="319"/>
      <c r="I4" s="319"/>
      <c r="J4" s="319"/>
      <c r="K4" s="320"/>
    </row>
    <row r="5" spans="1:17">
      <c r="A5" s="192" t="s">
        <v>29</v>
      </c>
      <c r="B5" s="192" t="s">
        <v>15</v>
      </c>
      <c r="C5" s="194">
        <f>(47559*1.278*1.01)</f>
        <v>61388.206020000005</v>
      </c>
      <c r="D5" s="194">
        <f>(47559*1.278)/44/37.5</f>
        <v>36.836607272727278</v>
      </c>
      <c r="E5" s="193">
        <f t="shared" si="0"/>
        <v>0.61394345454545463</v>
      </c>
      <c r="F5" s="51"/>
      <c r="G5" s="318"/>
      <c r="H5" s="319"/>
      <c r="I5" s="319"/>
      <c r="J5" s="319"/>
      <c r="K5" s="320"/>
    </row>
    <row r="6" spans="1:17">
      <c r="A6" s="192" t="s">
        <v>30</v>
      </c>
      <c r="B6" s="192" t="s">
        <v>31</v>
      </c>
      <c r="C6" s="194">
        <f>(40964*1.278*1.01)</f>
        <v>52875.511919999997</v>
      </c>
      <c r="D6" s="194">
        <f>(40964*1.278)/44/37.5</f>
        <v>31.728480000000001</v>
      </c>
      <c r="E6" s="193">
        <f t="shared" si="0"/>
        <v>0.52880800000000006</v>
      </c>
      <c r="F6" s="51"/>
      <c r="G6" s="318"/>
      <c r="H6" s="319"/>
      <c r="I6" s="319"/>
      <c r="J6" s="319"/>
      <c r="K6" s="320"/>
    </row>
    <row r="7" spans="1:17">
      <c r="A7" s="192" t="s">
        <v>32</v>
      </c>
      <c r="B7" s="192" t="s">
        <v>15</v>
      </c>
      <c r="C7" s="194">
        <f>(47559*1.278*1.01)</f>
        <v>61388.206020000005</v>
      </c>
      <c r="D7" s="194">
        <f>(47559*1.278)/44/37.5</f>
        <v>36.836607272727278</v>
      </c>
      <c r="E7" s="193">
        <f t="shared" si="0"/>
        <v>0.61394345454545463</v>
      </c>
      <c r="F7" s="51"/>
      <c r="G7" s="318"/>
      <c r="H7" s="319"/>
      <c r="I7" s="319"/>
      <c r="J7" s="319"/>
      <c r="K7" s="320"/>
    </row>
    <row r="8" spans="1:17">
      <c r="A8" s="192" t="s">
        <v>33</v>
      </c>
      <c r="B8" s="192" t="s">
        <v>34</v>
      </c>
      <c r="C8" s="193">
        <f>(C6*4)+C4</f>
        <v>272890.2537</v>
      </c>
      <c r="D8" s="194">
        <f>(272890.25*1.278)/44/37.5</f>
        <v>211.36590272727275</v>
      </c>
      <c r="E8" s="193">
        <f t="shared" si="0"/>
        <v>3.5227650454545461</v>
      </c>
      <c r="F8" s="51"/>
      <c r="G8" s="318"/>
      <c r="H8" s="319"/>
      <c r="I8" s="319"/>
      <c r="J8" s="319"/>
      <c r="K8" s="320"/>
    </row>
    <row r="9" spans="1:17">
      <c r="A9" s="192" t="s">
        <v>14</v>
      </c>
      <c r="B9" s="192" t="s">
        <v>15</v>
      </c>
      <c r="C9" s="194">
        <f>(47559*1.278*1.01)</f>
        <v>61388.206020000005</v>
      </c>
      <c r="D9" s="194">
        <f>(47559*1.278)/44/37.5</f>
        <v>36.836607272727278</v>
      </c>
      <c r="E9" s="193">
        <f>D9/60</f>
        <v>0.61394345454545463</v>
      </c>
      <c r="F9" s="51"/>
      <c r="G9" s="321"/>
      <c r="H9" s="322"/>
      <c r="I9" s="322"/>
      <c r="J9" s="322"/>
      <c r="K9" s="323"/>
    </row>
    <row r="10" spans="1:17">
      <c r="A10" s="192" t="s">
        <v>35</v>
      </c>
      <c r="B10" s="192" t="s">
        <v>31</v>
      </c>
      <c r="C10" s="312" t="s">
        <v>36</v>
      </c>
      <c r="D10" s="313"/>
      <c r="E10" s="314"/>
      <c r="F10" s="248"/>
      <c r="G10" s="248"/>
      <c r="H10" s="248"/>
      <c r="I10" s="196"/>
      <c r="J10" s="196"/>
      <c r="K10" s="155"/>
      <c r="L10" s="155"/>
      <c r="M10" s="155"/>
      <c r="N10" s="155"/>
      <c r="O10" s="155"/>
      <c r="P10" s="155"/>
      <c r="Q10" s="155"/>
    </row>
    <row r="11" spans="1:17">
      <c r="A11" s="192" t="s">
        <v>37</v>
      </c>
      <c r="B11" s="192" t="s">
        <v>15</v>
      </c>
      <c r="C11" s="194">
        <f>(47559*1.278*1.01)</f>
        <v>61388.206020000005</v>
      </c>
      <c r="D11" s="194">
        <f>(47559*1.278)/44/37.5</f>
        <v>36.836607272727278</v>
      </c>
      <c r="E11" s="193">
        <f t="shared" si="0"/>
        <v>0.61394345454545463</v>
      </c>
      <c r="F11" s="51"/>
      <c r="G11" s="51"/>
      <c r="H11" s="51"/>
      <c r="I11" s="25"/>
      <c r="J11" s="51"/>
    </row>
    <row r="12" spans="1:17">
      <c r="A12" s="192" t="s">
        <v>38</v>
      </c>
      <c r="B12" s="192" t="s">
        <v>34</v>
      </c>
      <c r="C12" s="312" t="s">
        <v>36</v>
      </c>
      <c r="D12" s="313"/>
      <c r="E12" s="314"/>
      <c r="F12" s="248"/>
      <c r="G12" s="248"/>
      <c r="H12" s="248"/>
      <c r="I12" s="196"/>
      <c r="J12" s="196"/>
    </row>
    <row r="13" spans="1:17">
      <c r="A13" s="90"/>
      <c r="B13" s="90"/>
      <c r="C13" s="91"/>
      <c r="D13" s="91"/>
      <c r="E13" s="91"/>
      <c r="F13" s="249"/>
      <c r="G13" s="249"/>
      <c r="H13" s="249"/>
      <c r="I13" s="91"/>
      <c r="J13" s="91"/>
    </row>
    <row r="14" spans="1:17" ht="14.25" customHeight="1" thickBot="1"/>
    <row r="15" spans="1:17" ht="90">
      <c r="A15" s="44" t="s">
        <v>39</v>
      </c>
      <c r="B15" s="9" t="s">
        <v>0</v>
      </c>
      <c r="C15" s="47" t="s">
        <v>40</v>
      </c>
      <c r="D15" s="55" t="s">
        <v>41</v>
      </c>
      <c r="E15" s="200" t="s">
        <v>42</v>
      </c>
      <c r="F15" s="252" t="s">
        <v>43</v>
      </c>
      <c r="G15" s="206" t="s">
        <v>44</v>
      </c>
      <c r="H15" s="207" t="s">
        <v>45</v>
      </c>
      <c r="I15" s="203" t="s">
        <v>46</v>
      </c>
      <c r="J15" s="61" t="s">
        <v>47</v>
      </c>
      <c r="K15" s="1"/>
      <c r="L15" s="59" t="s">
        <v>48</v>
      </c>
      <c r="M15" s="59" t="s">
        <v>49</v>
      </c>
      <c r="N15" s="66" t="s">
        <v>50</v>
      </c>
      <c r="O15" s="66" t="s">
        <v>51</v>
      </c>
      <c r="P15" s="268" t="s">
        <v>52</v>
      </c>
    </row>
    <row r="16" spans="1:17">
      <c r="A16" s="40" t="s">
        <v>53</v>
      </c>
      <c r="B16" s="72"/>
      <c r="C16" s="73"/>
      <c r="D16" s="73"/>
      <c r="E16" s="201"/>
      <c r="F16" s="208"/>
      <c r="G16" s="73"/>
      <c r="H16" s="209"/>
      <c r="I16" s="204"/>
      <c r="J16" s="62"/>
      <c r="K16" s="8"/>
      <c r="L16" s="74"/>
      <c r="M16" s="74"/>
      <c r="N16" s="67"/>
      <c r="O16" s="67"/>
      <c r="P16" s="269"/>
    </row>
    <row r="17" spans="1:106" ht="16.5" customHeight="1">
      <c r="A17" s="5" t="s">
        <v>54</v>
      </c>
      <c r="B17" s="5" t="s">
        <v>55</v>
      </c>
      <c r="C17" s="48">
        <f>(57069*1.278*1.01)</f>
        <v>73663.523820000002</v>
      </c>
      <c r="D17" s="48">
        <f>(57069*1.278)/44/37.5</f>
        <v>44.202534545454547</v>
      </c>
      <c r="E17" s="202">
        <f>D17/60</f>
        <v>0.73670890909090914</v>
      </c>
      <c r="F17" s="52"/>
      <c r="G17" s="52"/>
      <c r="H17" s="52"/>
      <c r="I17" s="205">
        <v>60</v>
      </c>
      <c r="J17" s="52" t="s">
        <v>56</v>
      </c>
      <c r="K17" s="5" t="s">
        <v>57</v>
      </c>
      <c r="L17" s="46">
        <f>I17*E17</f>
        <v>44.202534545454547</v>
      </c>
      <c r="M17" s="52"/>
      <c r="N17" s="67"/>
      <c r="O17" s="67"/>
      <c r="P17" s="269"/>
      <c r="Q17" s="29"/>
    </row>
    <row r="18" spans="1:106">
      <c r="A18" s="5" t="s">
        <v>58</v>
      </c>
      <c r="B18" s="5" t="s">
        <v>55</v>
      </c>
      <c r="C18" s="48">
        <f>(57069*1.278*1.01)</f>
        <v>73663.523820000002</v>
      </c>
      <c r="D18" s="48">
        <f>(57069*1.278)/44/37.5</f>
        <v>44.202534545454547</v>
      </c>
      <c r="E18" s="202">
        <f>D18/60</f>
        <v>0.73670890909090914</v>
      </c>
      <c r="F18" s="52"/>
      <c r="G18" s="52"/>
      <c r="H18" s="52"/>
      <c r="I18" s="205">
        <v>10</v>
      </c>
      <c r="J18" s="52" t="s">
        <v>56</v>
      </c>
      <c r="K18" s="5" t="s">
        <v>57</v>
      </c>
      <c r="L18" s="46">
        <f t="shared" ref="L18:L19" si="1">I18*E18</f>
        <v>7.3670890909090918</v>
      </c>
      <c r="M18" s="52"/>
      <c r="N18" s="67"/>
      <c r="O18" s="67"/>
      <c r="P18" s="269"/>
    </row>
    <row r="19" spans="1:106" ht="15.75" thickBot="1">
      <c r="A19" s="5" t="s">
        <v>59</v>
      </c>
      <c r="B19" s="5" t="s">
        <v>15</v>
      </c>
      <c r="C19" s="48">
        <f>(47559*1.278*1.01)</f>
        <v>61388.206020000005</v>
      </c>
      <c r="D19" s="48">
        <f>(47559*1.278)/44/37.5</f>
        <v>36.836607272727278</v>
      </c>
      <c r="E19" s="202">
        <f t="shared" ref="E19" si="2">D19/60</f>
        <v>0.61394345454545463</v>
      </c>
      <c r="F19" s="253">
        <f>(44261*1.278*1.01)</f>
        <v>57131.213580000003</v>
      </c>
      <c r="G19" s="254">
        <f>(44261*1.278*1.01)/44/37.5</f>
        <v>34.624977927272724</v>
      </c>
      <c r="H19" s="255">
        <f t="shared" ref="H19" si="3">G19/60</f>
        <v>0.5770829654545454</v>
      </c>
      <c r="I19" s="205">
        <v>180</v>
      </c>
      <c r="J19" s="92" t="s">
        <v>60</v>
      </c>
      <c r="K19" s="5" t="s">
        <v>61</v>
      </c>
      <c r="L19" s="46">
        <f t="shared" si="1"/>
        <v>110.50982181818183</v>
      </c>
      <c r="M19" s="46">
        <f>H19*I19</f>
        <v>103.87493378181817</v>
      </c>
      <c r="N19" s="67"/>
      <c r="O19" s="67"/>
      <c r="P19" s="269"/>
      <c r="Q19" s="30"/>
    </row>
    <row r="20" spans="1:106" s="36" customFormat="1">
      <c r="A20" s="37" t="s">
        <v>62</v>
      </c>
      <c r="C20" s="49"/>
      <c r="D20" s="49"/>
      <c r="E20" s="49"/>
      <c r="F20" s="49"/>
      <c r="G20" s="49"/>
      <c r="H20" s="49"/>
      <c r="J20" s="49"/>
      <c r="L20" s="49"/>
      <c r="M20" s="49"/>
      <c r="N20" s="49"/>
      <c r="O20" s="49"/>
      <c r="P20" s="269"/>
      <c r="Q20" s="25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>
      <c r="A21" s="14" t="s">
        <v>63</v>
      </c>
      <c r="B21" s="15"/>
      <c r="C21" s="50"/>
      <c r="D21" s="50"/>
      <c r="E21" s="50"/>
      <c r="F21" s="50"/>
      <c r="G21" s="50"/>
      <c r="H21" s="50"/>
      <c r="I21" s="15"/>
      <c r="J21" s="50"/>
      <c r="K21" s="15"/>
      <c r="L21" s="50"/>
      <c r="M21" s="50"/>
      <c r="N21" s="68">
        <f>SUM(L17:L19)</f>
        <v>162.07944545454546</v>
      </c>
      <c r="O21" s="68">
        <f>SUM(L17,L18,M19)</f>
        <v>155.4445574181818</v>
      </c>
      <c r="P21" s="271">
        <f>SUM(L17,L18)</f>
        <v>51.569623636363637</v>
      </c>
    </row>
    <row r="22" spans="1:106">
      <c r="A22" s="31"/>
      <c r="B22" s="25"/>
      <c r="C22" s="51"/>
      <c r="D22" s="56"/>
      <c r="E22" s="51"/>
      <c r="F22" s="51"/>
      <c r="G22" s="51"/>
      <c r="H22" s="51"/>
      <c r="I22" s="25"/>
      <c r="J22" s="51"/>
      <c r="K22" s="32"/>
      <c r="L22" s="51"/>
      <c r="M22" s="51"/>
      <c r="N22" s="51"/>
      <c r="O22" s="51"/>
      <c r="P22" s="13"/>
    </row>
    <row r="23" spans="1:106">
      <c r="A23" s="31"/>
      <c r="B23" s="25"/>
      <c r="C23" s="51"/>
      <c r="D23" s="56"/>
      <c r="E23" s="51"/>
      <c r="F23" s="51"/>
      <c r="G23" s="51"/>
      <c r="H23" s="51"/>
      <c r="I23" s="25"/>
      <c r="J23" s="51"/>
      <c r="K23" s="32"/>
      <c r="L23" s="51"/>
      <c r="M23" s="51"/>
      <c r="N23" s="51"/>
      <c r="O23" s="51"/>
      <c r="P23" s="13"/>
    </row>
    <row r="24" spans="1:106" ht="11.25" customHeight="1" thickBot="1">
      <c r="A24" s="31"/>
      <c r="B24" s="25"/>
      <c r="C24" s="51"/>
      <c r="D24" s="56"/>
      <c r="E24" s="51"/>
      <c r="F24" s="51"/>
      <c r="G24" s="51"/>
      <c r="H24" s="51"/>
      <c r="I24" s="25"/>
      <c r="J24" s="51"/>
      <c r="K24" s="32"/>
      <c r="L24" s="51"/>
      <c r="M24" s="51"/>
      <c r="N24" s="51"/>
      <c r="O24" s="51"/>
      <c r="P24" s="13"/>
    </row>
    <row r="25" spans="1:106" ht="93" customHeight="1">
      <c r="A25" s="44" t="s">
        <v>64</v>
      </c>
      <c r="B25" s="9" t="s">
        <v>0</v>
      </c>
      <c r="C25" s="47" t="s">
        <v>40</v>
      </c>
      <c r="D25" s="55" t="s">
        <v>41</v>
      </c>
      <c r="E25" s="200" t="s">
        <v>42</v>
      </c>
      <c r="F25" s="252" t="s">
        <v>43</v>
      </c>
      <c r="G25" s="206" t="s">
        <v>44</v>
      </c>
      <c r="H25" s="207" t="s">
        <v>45</v>
      </c>
      <c r="I25" s="203" t="s">
        <v>46</v>
      </c>
      <c r="J25" s="63" t="s">
        <v>65</v>
      </c>
      <c r="K25" s="1"/>
      <c r="L25" s="59" t="s">
        <v>48</v>
      </c>
      <c r="M25" s="59" t="s">
        <v>49</v>
      </c>
      <c r="N25" s="66" t="s">
        <v>50</v>
      </c>
      <c r="O25" s="66" t="s">
        <v>51</v>
      </c>
      <c r="P25" s="268" t="s">
        <v>52</v>
      </c>
    </row>
    <row r="26" spans="1:106">
      <c r="A26" s="10" t="s">
        <v>66</v>
      </c>
      <c r="B26" s="8"/>
      <c r="C26" s="74"/>
      <c r="D26" s="74"/>
      <c r="E26" s="211"/>
      <c r="F26" s="223"/>
      <c r="G26" s="74"/>
      <c r="H26" s="224"/>
      <c r="I26" s="217"/>
      <c r="J26" s="74"/>
      <c r="K26" s="76"/>
      <c r="L26" s="74"/>
      <c r="M26" s="74"/>
      <c r="N26" s="67"/>
      <c r="O26" s="67"/>
      <c r="P26" s="269"/>
    </row>
    <row r="27" spans="1:106">
      <c r="A27" s="45" t="s">
        <v>67</v>
      </c>
      <c r="B27" s="5" t="s">
        <v>31</v>
      </c>
      <c r="C27" s="48">
        <f>(40964*1.278*1.01)</f>
        <v>52875.511919999997</v>
      </c>
      <c r="D27" s="57">
        <f>(40964*1.278)/44/37.5</f>
        <v>31.728480000000001</v>
      </c>
      <c r="E27" s="202">
        <f>D27/60</f>
        <v>0.52880800000000006</v>
      </c>
      <c r="F27" s="258">
        <f>(35891*1.278*1.01)</f>
        <v>46327.384980000003</v>
      </c>
      <c r="G27" s="3">
        <f>(35891*1.278*1.01)/44/37.5</f>
        <v>28.07720301818182</v>
      </c>
      <c r="H27" s="229">
        <f t="shared" ref="H27:H29" si="4">G27/60</f>
        <v>0.46795338363636368</v>
      </c>
      <c r="I27" s="205">
        <v>5</v>
      </c>
      <c r="J27" s="64"/>
      <c r="K27" s="12" t="s">
        <v>68</v>
      </c>
      <c r="L27" s="53">
        <f>E27*I27</f>
        <v>2.6440400000000004</v>
      </c>
      <c r="M27" s="53">
        <f>H27*I27</f>
        <v>2.3397669181818186</v>
      </c>
      <c r="N27" s="67"/>
      <c r="O27" s="67"/>
      <c r="P27" s="269"/>
    </row>
    <row r="28" spans="1:106">
      <c r="A28" s="45" t="s">
        <v>69</v>
      </c>
      <c r="B28" s="5" t="s">
        <v>31</v>
      </c>
      <c r="C28" s="48">
        <f>(40964*1.278*1.01)</f>
        <v>52875.511919999997</v>
      </c>
      <c r="D28" s="57">
        <f t="shared" ref="D28:D29" si="5">(40964*1.278)/44/37.5</f>
        <v>31.728480000000001</v>
      </c>
      <c r="E28" s="202">
        <f t="shared" ref="E28:E29" si="6">D28/60</f>
        <v>0.52880800000000006</v>
      </c>
      <c r="F28" s="258">
        <f>(35891*1.278*1.01)</f>
        <v>46327.384980000003</v>
      </c>
      <c r="G28" s="3">
        <f>(35891*1.278*1.01)/44/37.5</f>
        <v>28.07720301818182</v>
      </c>
      <c r="H28" s="229">
        <f t="shared" si="4"/>
        <v>0.46795338363636368</v>
      </c>
      <c r="I28" s="205">
        <v>60</v>
      </c>
      <c r="J28" s="64"/>
      <c r="K28" s="12" t="s">
        <v>68</v>
      </c>
      <c r="L28" s="53">
        <f t="shared" ref="L28:L29" si="7">E28*I28</f>
        <v>31.728480000000005</v>
      </c>
      <c r="M28" s="53">
        <f t="shared" ref="M28:M29" si="8">H28*I28</f>
        <v>28.07720301818182</v>
      </c>
      <c r="N28" s="67"/>
      <c r="O28" s="67"/>
      <c r="P28" s="269"/>
    </row>
    <row r="29" spans="1:106">
      <c r="A29" s="45" t="s">
        <v>70</v>
      </c>
      <c r="B29" s="5" t="s">
        <v>31</v>
      </c>
      <c r="C29" s="48">
        <f>(40964*1.278*1.01)</f>
        <v>52875.511919999997</v>
      </c>
      <c r="D29" s="57">
        <f t="shared" si="5"/>
        <v>31.728480000000001</v>
      </c>
      <c r="E29" s="202">
        <f t="shared" si="6"/>
        <v>0.52880800000000006</v>
      </c>
      <c r="F29" s="258">
        <f>(35891*1.278*1.01)</f>
        <v>46327.384980000003</v>
      </c>
      <c r="G29" s="3">
        <f>(35891*1.278*1.01)/44/37.5</f>
        <v>28.07720301818182</v>
      </c>
      <c r="H29" s="229">
        <f t="shared" si="4"/>
        <v>0.46795338363636368</v>
      </c>
      <c r="I29" s="205">
        <v>15</v>
      </c>
      <c r="J29" s="64"/>
      <c r="K29" s="12" t="s">
        <v>68</v>
      </c>
      <c r="L29" s="53">
        <f t="shared" si="7"/>
        <v>7.9321200000000012</v>
      </c>
      <c r="M29" s="53">
        <f t="shared" si="8"/>
        <v>7.0193007545454549</v>
      </c>
      <c r="N29" s="67"/>
      <c r="O29" s="67"/>
      <c r="P29" s="269"/>
    </row>
    <row r="30" spans="1:106" s="36" customFormat="1">
      <c r="A30" s="33" t="s">
        <v>71</v>
      </c>
      <c r="B30" s="34"/>
      <c r="C30" s="52"/>
      <c r="D30" s="58"/>
      <c r="E30" s="212"/>
      <c r="F30" s="225"/>
      <c r="G30" s="52"/>
      <c r="H30" s="226"/>
      <c r="I30" s="218"/>
      <c r="J30" s="75"/>
      <c r="K30" s="35"/>
      <c r="L30" s="52"/>
      <c r="M30" s="52"/>
      <c r="N30" s="67"/>
      <c r="O30" s="67"/>
      <c r="P30" s="269"/>
      <c r="Q30" s="25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</row>
    <row r="31" spans="1:106">
      <c r="A31" s="5" t="s">
        <v>72</v>
      </c>
      <c r="B31" s="5" t="s">
        <v>31</v>
      </c>
      <c r="C31" s="48">
        <f>(40964*1.278*1.01)</f>
        <v>52875.511919999997</v>
      </c>
      <c r="D31" s="57">
        <f>(40964*1.278)/44/37.5</f>
        <v>31.728480000000001</v>
      </c>
      <c r="E31" s="202">
        <f t="shared" ref="E31:E36" si="9">D31/60</f>
        <v>0.52880800000000006</v>
      </c>
      <c r="F31" s="258">
        <f>(35891*1.278*1.01)</f>
        <v>46327.384980000003</v>
      </c>
      <c r="G31" s="3">
        <f>(35891*1.278*1.01)/44/37.5</f>
        <v>28.07720301818182</v>
      </c>
      <c r="H31" s="229">
        <f t="shared" ref="H31" si="10">G31/60</f>
        <v>0.46795338363636368</v>
      </c>
      <c r="I31" s="205">
        <v>15</v>
      </c>
      <c r="J31" s="64"/>
      <c r="K31" s="12" t="s">
        <v>68</v>
      </c>
      <c r="L31" s="53">
        <f t="shared" ref="L31:L41" si="11">E31*I31</f>
        <v>7.9321200000000012</v>
      </c>
      <c r="M31" s="53">
        <f>H31*I31</f>
        <v>7.0193007545454549</v>
      </c>
      <c r="N31" s="67"/>
      <c r="O31" s="67"/>
      <c r="P31" s="269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</row>
    <row r="32" spans="1:106" s="36" customFormat="1">
      <c r="A32" s="33" t="s">
        <v>73</v>
      </c>
      <c r="B32" s="33"/>
      <c r="C32" s="77"/>
      <c r="D32" s="78"/>
      <c r="E32" s="213"/>
      <c r="F32" s="227"/>
      <c r="G32" s="77"/>
      <c r="H32" s="228"/>
      <c r="I32" s="219"/>
      <c r="J32" s="77"/>
      <c r="K32" s="33"/>
      <c r="L32" s="52"/>
      <c r="M32" s="52"/>
      <c r="N32" s="67"/>
      <c r="O32" s="67"/>
      <c r="P32" s="269"/>
      <c r="Q32" s="25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</row>
    <row r="33" spans="1:17" s="13" customFormat="1">
      <c r="A33" s="83" t="s">
        <v>74</v>
      </c>
      <c r="B33" s="5" t="s">
        <v>31</v>
      </c>
      <c r="C33" s="48">
        <f>(40964*1.278*1.01)</f>
        <v>52875.511919999997</v>
      </c>
      <c r="D33" s="57">
        <f>(40964*1.278)/44/37.5</f>
        <v>31.728480000000001</v>
      </c>
      <c r="E33" s="202">
        <f t="shared" ref="E33" si="12">D33/60</f>
        <v>0.52880800000000006</v>
      </c>
      <c r="F33" s="258">
        <f>(35891*1.278*1.01)</f>
        <v>46327.384980000003</v>
      </c>
      <c r="G33" s="3">
        <f>(35891*1.278*1.01)/44/37.5</f>
        <v>28.07720301818182</v>
      </c>
      <c r="H33" s="229">
        <f t="shared" ref="H33:H34" si="13">G33/60</f>
        <v>0.46795338363636368</v>
      </c>
      <c r="I33" s="220">
        <v>5</v>
      </c>
      <c r="J33" s="84" t="s">
        <v>56</v>
      </c>
      <c r="K33" s="12" t="s">
        <v>68</v>
      </c>
      <c r="L33" s="53">
        <f t="shared" si="11"/>
        <v>2.6440400000000004</v>
      </c>
      <c r="M33" s="53">
        <f>H33*I33</f>
        <v>2.3397669181818186</v>
      </c>
      <c r="N33" s="67"/>
      <c r="O33" s="67"/>
      <c r="P33" s="269"/>
      <c r="Q33" s="25"/>
    </row>
    <row r="34" spans="1:17" s="13" customFormat="1">
      <c r="A34" s="83" t="s">
        <v>75</v>
      </c>
      <c r="B34" s="5" t="s">
        <v>31</v>
      </c>
      <c r="C34" s="48">
        <f>(40964*1.278*1.01)</f>
        <v>52875.511919999997</v>
      </c>
      <c r="D34" s="57">
        <f>(40964*1.278)/44/37.5</f>
        <v>31.728480000000001</v>
      </c>
      <c r="E34" s="202">
        <f t="shared" ref="E34:E35" si="14">D34/60</f>
        <v>0.52880800000000006</v>
      </c>
      <c r="F34" s="258">
        <f>(35891*1.278*1.01)</f>
        <v>46327.384980000003</v>
      </c>
      <c r="G34" s="3">
        <f>(35891*1.278*1.01)/44/37.5</f>
        <v>28.07720301818182</v>
      </c>
      <c r="H34" s="229">
        <f t="shared" si="13"/>
        <v>0.46795338363636368</v>
      </c>
      <c r="I34" s="220">
        <v>5</v>
      </c>
      <c r="J34" s="84" t="s">
        <v>56</v>
      </c>
      <c r="K34" s="12" t="s">
        <v>68</v>
      </c>
      <c r="L34" s="53">
        <f t="shared" ref="L34:L35" si="15">E34*I34</f>
        <v>2.6440400000000004</v>
      </c>
      <c r="M34" s="53">
        <f t="shared" ref="M34:M41" si="16">H34*I34</f>
        <v>2.3397669181818186</v>
      </c>
      <c r="N34" s="67"/>
      <c r="O34" s="67"/>
      <c r="P34" s="269"/>
      <c r="Q34" s="25"/>
    </row>
    <row r="35" spans="1:17" s="13" customFormat="1">
      <c r="A35" s="83" t="s">
        <v>76</v>
      </c>
      <c r="B35" s="5" t="s">
        <v>15</v>
      </c>
      <c r="C35" s="48">
        <f>(47559*1.278*1.01)</f>
        <v>61388.206020000005</v>
      </c>
      <c r="D35" s="57">
        <f>(47559*1.278)/44/37.5</f>
        <v>36.836607272727278</v>
      </c>
      <c r="E35" s="202">
        <f t="shared" si="14"/>
        <v>0.61394345454545463</v>
      </c>
      <c r="F35" s="288">
        <f>(44261*1.278*1.01)</f>
        <v>57131.213580000003</v>
      </c>
      <c r="G35" s="289">
        <f>(44261*1.278*1.01)/44/37.5</f>
        <v>34.624977927272724</v>
      </c>
      <c r="H35" s="290">
        <f t="shared" ref="H35:H36" si="17">G35/60</f>
        <v>0.5770829654545454</v>
      </c>
      <c r="I35" s="220">
        <v>5</v>
      </c>
      <c r="J35" s="84" t="s">
        <v>56</v>
      </c>
      <c r="K35" s="5" t="s">
        <v>77</v>
      </c>
      <c r="L35" s="53">
        <f t="shared" si="15"/>
        <v>3.069717272727273</v>
      </c>
      <c r="M35" s="53">
        <f t="shared" si="16"/>
        <v>2.8854148272727271</v>
      </c>
      <c r="N35" s="67"/>
      <c r="O35" s="67"/>
      <c r="P35" s="269"/>
      <c r="Q35" s="25"/>
    </row>
    <row r="36" spans="1:17">
      <c r="A36" s="11" t="s">
        <v>78</v>
      </c>
      <c r="B36" s="11" t="s">
        <v>31</v>
      </c>
      <c r="C36" s="48">
        <f>(40964*1.278*1.01)</f>
        <v>52875.511919999997</v>
      </c>
      <c r="D36" s="57">
        <f>(40964*1.278)/44/37.5</f>
        <v>31.728480000000001</v>
      </c>
      <c r="E36" s="214">
        <f t="shared" si="9"/>
        <v>0.52880800000000006</v>
      </c>
      <c r="F36" s="3">
        <f>(35891*1.278*1.01)</f>
        <v>46327.384980000003</v>
      </c>
      <c r="G36" s="3">
        <f>(35891*1.278*1.01)/44/37.5</f>
        <v>28.07720301818182</v>
      </c>
      <c r="H36" s="4">
        <f t="shared" si="17"/>
        <v>0.46795338363636368</v>
      </c>
      <c r="I36" s="221">
        <v>10</v>
      </c>
      <c r="J36" s="60" t="s">
        <v>56</v>
      </c>
      <c r="K36" s="12" t="s">
        <v>68</v>
      </c>
      <c r="L36" s="53">
        <f t="shared" si="11"/>
        <v>5.2880800000000008</v>
      </c>
      <c r="M36" s="53">
        <f t="shared" si="16"/>
        <v>4.6795338363636372</v>
      </c>
      <c r="N36" s="67"/>
      <c r="O36" s="67"/>
      <c r="P36" s="269"/>
    </row>
    <row r="37" spans="1:17">
      <c r="A37" s="5" t="s">
        <v>16</v>
      </c>
      <c r="B37" s="5" t="s">
        <v>31</v>
      </c>
      <c r="C37" s="48">
        <f>(40964*1.278*1.01)</f>
        <v>52875.511919999997</v>
      </c>
      <c r="D37" s="57">
        <f>(40964*1.278)/44/37.5</f>
        <v>31.728480000000001</v>
      </c>
      <c r="E37" s="202">
        <f t="shared" ref="E37:E41" si="18">D37/60</f>
        <v>0.52880800000000006</v>
      </c>
      <c r="F37" s="291"/>
      <c r="G37" s="292"/>
      <c r="H37" s="293"/>
      <c r="I37" s="205">
        <v>5</v>
      </c>
      <c r="J37" s="60" t="s">
        <v>56</v>
      </c>
      <c r="K37" s="5" t="s">
        <v>79</v>
      </c>
      <c r="L37" s="53">
        <f t="shared" si="11"/>
        <v>2.6440400000000004</v>
      </c>
      <c r="M37" s="52"/>
      <c r="N37" s="67"/>
      <c r="O37" s="67"/>
      <c r="P37" s="269"/>
    </row>
    <row r="38" spans="1:17">
      <c r="A38" s="5" t="s">
        <v>19</v>
      </c>
      <c r="B38" s="5" t="s">
        <v>18</v>
      </c>
      <c r="C38" s="86">
        <f>(34876*1.278*1.01)</f>
        <v>45017.243280000002</v>
      </c>
      <c r="D38" s="85">
        <f>(34876*1.278*1.01)/44/37.5</f>
        <v>27.283177745454548</v>
      </c>
      <c r="E38" s="215">
        <f t="shared" si="18"/>
        <v>0.45471962909090913</v>
      </c>
      <c r="F38" s="225"/>
      <c r="G38" s="52"/>
      <c r="H38" s="226"/>
      <c r="I38" s="205">
        <v>2</v>
      </c>
      <c r="J38" s="60" t="s">
        <v>56</v>
      </c>
      <c r="K38" s="5" t="s">
        <v>80</v>
      </c>
      <c r="L38" s="53">
        <f t="shared" si="11"/>
        <v>0.90943925818181826</v>
      </c>
      <c r="M38" s="52"/>
      <c r="N38" s="67"/>
      <c r="O38" s="67"/>
      <c r="P38" s="269"/>
    </row>
    <row r="39" spans="1:17">
      <c r="A39" s="5" t="s">
        <v>17</v>
      </c>
      <c r="B39" s="5" t="s">
        <v>18</v>
      </c>
      <c r="C39" s="86">
        <f>(34876*1.278*1.01)</f>
        <v>45017.243280000002</v>
      </c>
      <c r="D39" s="85">
        <f>(34876*1.278*1.01)/44/37.5</f>
        <v>27.283177745454548</v>
      </c>
      <c r="E39" s="215">
        <f t="shared" si="18"/>
        <v>0.45471962909090913</v>
      </c>
      <c r="F39" s="225"/>
      <c r="G39" s="52"/>
      <c r="H39" s="226"/>
      <c r="I39" s="205">
        <v>1</v>
      </c>
      <c r="J39" s="60" t="s">
        <v>56</v>
      </c>
      <c r="K39" s="5" t="s">
        <v>81</v>
      </c>
      <c r="L39" s="53">
        <f t="shared" si="11"/>
        <v>0.45471962909090913</v>
      </c>
      <c r="M39" s="52"/>
      <c r="N39" s="67"/>
      <c r="O39" s="67"/>
      <c r="P39" s="269"/>
    </row>
    <row r="40" spans="1:17">
      <c r="A40" s="5" t="s">
        <v>82</v>
      </c>
      <c r="B40" s="152" t="s">
        <v>13</v>
      </c>
      <c r="C40" s="86">
        <f>(101450*1.278*1.01)</f>
        <v>130949.63100000001</v>
      </c>
      <c r="D40" s="85">
        <f>(101450*1.278)/44/40</f>
        <v>73.666534090909096</v>
      </c>
      <c r="E40" s="202">
        <f t="shared" si="18"/>
        <v>1.2277755681818183</v>
      </c>
      <c r="F40" s="225"/>
      <c r="G40" s="52"/>
      <c r="H40" s="226"/>
      <c r="I40" s="205">
        <f>'[1]Central Infrastructure costs'!$E$21</f>
        <v>1</v>
      </c>
      <c r="J40" s="60" t="s">
        <v>56</v>
      </c>
      <c r="K40" s="5" t="s">
        <v>13</v>
      </c>
      <c r="L40" s="53">
        <f t="shared" si="11"/>
        <v>1.2277755681818183</v>
      </c>
      <c r="M40" s="52"/>
      <c r="N40" s="67"/>
      <c r="O40" s="67"/>
      <c r="P40" s="269"/>
      <c r="Q40" s="41"/>
    </row>
    <row r="41" spans="1:17" ht="16.5" thickBot="1">
      <c r="A41" s="5" t="s">
        <v>83</v>
      </c>
      <c r="B41" s="5" t="s">
        <v>15</v>
      </c>
      <c r="C41" s="48">
        <f>(47559*1.278*1.01)</f>
        <v>61388.206020000005</v>
      </c>
      <c r="D41" s="57">
        <f>(47559*1.278)/44/37.5</f>
        <v>36.836607272727278</v>
      </c>
      <c r="E41" s="202">
        <f t="shared" si="18"/>
        <v>0.61394345454545463</v>
      </c>
      <c r="F41" s="250">
        <f>(44261*1.278*1.01)</f>
        <v>57131.213580000003</v>
      </c>
      <c r="G41" s="251">
        <f>(44261*1.278*1.01)/44/37.5</f>
        <v>34.624977927272724</v>
      </c>
      <c r="H41" s="210">
        <f t="shared" ref="H41" si="19">G41/60</f>
        <v>0.5770829654545454</v>
      </c>
      <c r="I41" s="205">
        <f>'[1]Central Infrastructure costs'!$F$21</f>
        <v>20</v>
      </c>
      <c r="J41" s="60" t="s">
        <v>56</v>
      </c>
      <c r="K41" s="5" t="s">
        <v>77</v>
      </c>
      <c r="L41" s="53">
        <f t="shared" si="11"/>
        <v>12.278869090909092</v>
      </c>
      <c r="M41" s="53">
        <f t="shared" si="16"/>
        <v>11.541659309090909</v>
      </c>
      <c r="N41" s="67"/>
      <c r="O41" s="67"/>
      <c r="P41" s="269"/>
      <c r="Q41" s="42"/>
    </row>
    <row r="42" spans="1:17" ht="15.75" thickBot="1">
      <c r="A42" s="14" t="s">
        <v>84</v>
      </c>
      <c r="B42" s="15"/>
      <c r="C42" s="50"/>
      <c r="D42" s="50"/>
      <c r="E42" s="216"/>
      <c r="F42" s="230"/>
      <c r="G42" s="231"/>
      <c r="H42" s="232"/>
      <c r="I42" s="222"/>
      <c r="J42" s="50"/>
      <c r="K42" s="15"/>
      <c r="L42" s="50"/>
      <c r="M42" s="50"/>
      <c r="N42" s="68">
        <f>SUM(L27:L42)</f>
        <v>81.397480819090916</v>
      </c>
      <c r="O42" s="68">
        <f>SUM(M27:M41,L38:L40)</f>
        <v>70.833647709999994</v>
      </c>
      <c r="P42" s="271">
        <f>SUM(L37:L40)</f>
        <v>5.2359744554545458</v>
      </c>
    </row>
    <row r="43" spans="1:17">
      <c r="A43" s="16"/>
      <c r="B43" s="17"/>
      <c r="C43" s="54"/>
      <c r="D43" s="54"/>
      <c r="E43" s="54"/>
      <c r="F43" s="54"/>
      <c r="G43" s="54"/>
      <c r="H43" s="54"/>
      <c r="I43" s="17"/>
      <c r="J43" s="54"/>
      <c r="K43" s="17"/>
      <c r="L43" s="54"/>
      <c r="M43" s="54"/>
      <c r="N43" s="54"/>
      <c r="O43" s="69"/>
      <c r="Q43" s="30"/>
    </row>
    <row r="44" spans="1:17" ht="15.75">
      <c r="A44" s="18" t="s">
        <v>85</v>
      </c>
      <c r="B44" s="17"/>
      <c r="C44" s="54"/>
      <c r="D44" s="54"/>
      <c r="E44" s="54"/>
      <c r="F44" s="54"/>
      <c r="G44" s="54"/>
      <c r="H44" s="54"/>
      <c r="I44" s="17"/>
      <c r="J44" s="54"/>
      <c r="K44" s="17"/>
      <c r="L44" s="54"/>
      <c r="M44" s="54"/>
      <c r="N44" s="260">
        <f>SUM(N42,N43)</f>
        <v>81.397480819090916</v>
      </c>
      <c r="O44" s="70">
        <f>SUM(O42:O43)</f>
        <v>70.833647709999994</v>
      </c>
    </row>
    <row r="46" spans="1:17" ht="20.25" customHeight="1" thickBot="1">
      <c r="P46" s="13"/>
    </row>
    <row r="47" spans="1:17" ht="90">
      <c r="A47" s="44" t="s">
        <v>64</v>
      </c>
      <c r="B47" s="9" t="s">
        <v>0</v>
      </c>
      <c r="C47" s="47" t="s">
        <v>40</v>
      </c>
      <c r="D47" s="55" t="s">
        <v>41</v>
      </c>
      <c r="E47" s="200" t="s">
        <v>42</v>
      </c>
      <c r="F47" s="252" t="s">
        <v>43</v>
      </c>
      <c r="G47" s="206" t="s">
        <v>44</v>
      </c>
      <c r="H47" s="207" t="s">
        <v>45</v>
      </c>
      <c r="I47" s="203" t="s">
        <v>86</v>
      </c>
      <c r="J47" s="63" t="s">
        <v>65</v>
      </c>
      <c r="K47" s="1"/>
      <c r="L47" s="59" t="s">
        <v>48</v>
      </c>
      <c r="M47" s="59" t="s">
        <v>49</v>
      </c>
      <c r="N47" s="66" t="s">
        <v>50</v>
      </c>
      <c r="O47" s="66" t="s">
        <v>51</v>
      </c>
      <c r="P47" s="266" t="s">
        <v>52</v>
      </c>
    </row>
    <row r="48" spans="1:17">
      <c r="A48" s="10" t="s">
        <v>87</v>
      </c>
      <c r="B48" s="8"/>
      <c r="C48" s="74"/>
      <c r="D48" s="74"/>
      <c r="E48" s="211"/>
      <c r="F48" s="223"/>
      <c r="G48" s="74"/>
      <c r="H48" s="224"/>
      <c r="I48" s="217"/>
      <c r="J48" s="74"/>
      <c r="K48" s="76"/>
      <c r="L48" s="74"/>
      <c r="M48" s="74"/>
      <c r="N48" s="67"/>
      <c r="O48" s="67"/>
      <c r="P48" s="161"/>
    </row>
    <row r="49" spans="1:84">
      <c r="A49" s="11" t="s">
        <v>88</v>
      </c>
      <c r="B49" s="5" t="s">
        <v>31</v>
      </c>
      <c r="C49" s="48">
        <f>(40964*1.278*1.01)</f>
        <v>52875.511919999997</v>
      </c>
      <c r="D49" s="57">
        <f>(40964*1.278)/44/37.5</f>
        <v>31.728480000000001</v>
      </c>
      <c r="E49" s="202">
        <f t="shared" ref="E49:E56" si="20">D49/60</f>
        <v>0.52880800000000006</v>
      </c>
      <c r="F49" s="258">
        <f>(35891*1.278*1.01)</f>
        <v>46327.384980000003</v>
      </c>
      <c r="G49" s="3">
        <f>(35891*1.278*1.01)/44/37.5</f>
        <v>28.07720301818182</v>
      </c>
      <c r="H49" s="229">
        <f t="shared" ref="H49:H52" si="21">G49/60</f>
        <v>0.46795338363636368</v>
      </c>
      <c r="I49" s="234">
        <v>30</v>
      </c>
      <c r="J49" s="92"/>
      <c r="K49" s="12" t="s">
        <v>68</v>
      </c>
      <c r="L49" s="53">
        <f t="shared" ref="L49:L57" si="22">E49*I49</f>
        <v>15.864240000000002</v>
      </c>
      <c r="M49" s="53">
        <f>H49*I49</f>
        <v>14.03860150909091</v>
      </c>
      <c r="N49" s="67"/>
      <c r="O49" s="67"/>
      <c r="P49" s="161"/>
    </row>
    <row r="50" spans="1:84">
      <c r="A50" s="11" t="s">
        <v>89</v>
      </c>
      <c r="B50" s="5" t="s">
        <v>31</v>
      </c>
      <c r="C50" s="48">
        <f>(40964*1.278*1.01)</f>
        <v>52875.511919999997</v>
      </c>
      <c r="D50" s="57">
        <f t="shared" ref="D50:D53" si="23">(40964*1.278)/44/37.5</f>
        <v>31.728480000000001</v>
      </c>
      <c r="E50" s="202">
        <f t="shared" ref="E50" si="24">D50/60</f>
        <v>0.52880800000000006</v>
      </c>
      <c r="F50" s="258">
        <f>(35891*1.278*1.01)</f>
        <v>46327.384980000003</v>
      </c>
      <c r="G50" s="3">
        <f>(35891*1.278*1.01)/44/37.5</f>
        <v>28.07720301818182</v>
      </c>
      <c r="H50" s="229">
        <f t="shared" si="21"/>
        <v>0.46795338363636368</v>
      </c>
      <c r="I50" s="220">
        <v>5</v>
      </c>
      <c r="J50" s="84" t="s">
        <v>56</v>
      </c>
      <c r="K50" s="12" t="s">
        <v>68</v>
      </c>
      <c r="L50" s="53">
        <f t="shared" si="22"/>
        <v>2.6440400000000004</v>
      </c>
      <c r="M50" s="53">
        <f t="shared" ref="M50:M64" si="25">H50*I50</f>
        <v>2.3397669181818186</v>
      </c>
      <c r="N50" s="67"/>
      <c r="O50" s="67"/>
      <c r="P50" s="161"/>
    </row>
    <row r="51" spans="1:84">
      <c r="A51" s="11" t="s">
        <v>90</v>
      </c>
      <c r="B51" s="5" t="s">
        <v>31</v>
      </c>
      <c r="C51" s="48">
        <f>(40964*1.278*1.01)</f>
        <v>52875.511919999997</v>
      </c>
      <c r="D51" s="57">
        <f t="shared" si="23"/>
        <v>31.728480000000001</v>
      </c>
      <c r="E51" s="202">
        <f t="shared" si="20"/>
        <v>0.52880800000000006</v>
      </c>
      <c r="F51" s="258">
        <f>(35891*1.278*1.01)</f>
        <v>46327.384980000003</v>
      </c>
      <c r="G51" s="3">
        <f>(35891*1.278*1.01)/44/37.5</f>
        <v>28.07720301818182</v>
      </c>
      <c r="H51" s="229">
        <f t="shared" si="21"/>
        <v>0.46795338363636368</v>
      </c>
      <c r="I51" s="220">
        <v>5</v>
      </c>
      <c r="J51" s="84" t="s">
        <v>56</v>
      </c>
      <c r="K51" s="12" t="s">
        <v>68</v>
      </c>
      <c r="L51" s="53">
        <f t="shared" si="22"/>
        <v>2.6440400000000004</v>
      </c>
      <c r="M51" s="53">
        <f t="shared" si="25"/>
        <v>2.3397669181818186</v>
      </c>
      <c r="N51" s="67"/>
      <c r="O51" s="67"/>
      <c r="P51" s="161"/>
    </row>
    <row r="52" spans="1:84">
      <c r="A52" s="11" t="s">
        <v>91</v>
      </c>
      <c r="B52" s="5" t="s">
        <v>31</v>
      </c>
      <c r="C52" s="48">
        <f>(40964*1.278*1.01)</f>
        <v>52875.511919999997</v>
      </c>
      <c r="D52" s="57">
        <f t="shared" si="23"/>
        <v>31.728480000000001</v>
      </c>
      <c r="E52" s="202">
        <f t="shared" si="20"/>
        <v>0.52880800000000006</v>
      </c>
      <c r="F52" s="258">
        <f>(35891*1.278*1.01)</f>
        <v>46327.384980000003</v>
      </c>
      <c r="G52" s="3">
        <f>(35891*1.278*1.01)/44/37.5</f>
        <v>28.07720301818182</v>
      </c>
      <c r="H52" s="229">
        <f t="shared" si="21"/>
        <v>0.46795338363636368</v>
      </c>
      <c r="I52" s="220">
        <v>5</v>
      </c>
      <c r="J52" s="84" t="s">
        <v>56</v>
      </c>
      <c r="K52" s="12" t="s">
        <v>68</v>
      </c>
      <c r="L52" s="53">
        <f t="shared" si="22"/>
        <v>2.6440400000000004</v>
      </c>
      <c r="M52" s="53">
        <f t="shared" si="25"/>
        <v>2.3397669181818186</v>
      </c>
      <c r="N52" s="67"/>
      <c r="O52" s="67"/>
      <c r="P52" s="161"/>
    </row>
    <row r="53" spans="1:84">
      <c r="A53" s="11" t="s">
        <v>16</v>
      </c>
      <c r="B53" s="5" t="s">
        <v>31</v>
      </c>
      <c r="C53" s="48">
        <f>(40964*1.278*1.01)</f>
        <v>52875.511919999997</v>
      </c>
      <c r="D53" s="57">
        <f t="shared" si="23"/>
        <v>31.728480000000001</v>
      </c>
      <c r="E53" s="202">
        <f t="shared" si="20"/>
        <v>0.52880800000000006</v>
      </c>
      <c r="F53" s="261"/>
      <c r="G53" s="262"/>
      <c r="H53" s="263"/>
      <c r="I53" s="205">
        <v>5</v>
      </c>
      <c r="J53" s="60" t="s">
        <v>56</v>
      </c>
      <c r="K53" s="5" t="s">
        <v>79</v>
      </c>
      <c r="L53" s="53">
        <f t="shared" si="22"/>
        <v>2.6440400000000004</v>
      </c>
      <c r="M53" s="52"/>
      <c r="N53" s="67"/>
      <c r="O53" s="67"/>
      <c r="P53" s="161"/>
    </row>
    <row r="54" spans="1:84">
      <c r="A54" s="11" t="s">
        <v>19</v>
      </c>
      <c r="B54" s="5" t="s">
        <v>18</v>
      </c>
      <c r="C54" s="86">
        <f>(34876*1.278*1.01)</f>
        <v>45017.243280000002</v>
      </c>
      <c r="D54" s="85">
        <f>(34876*1.278*1.01)/44/37.5</f>
        <v>27.283177745454548</v>
      </c>
      <c r="E54" s="215">
        <f t="shared" si="20"/>
        <v>0.45471962909090913</v>
      </c>
      <c r="F54" s="225"/>
      <c r="G54" s="52"/>
      <c r="H54" s="226"/>
      <c r="I54" s="205">
        <v>2</v>
      </c>
      <c r="J54" s="60" t="s">
        <v>56</v>
      </c>
      <c r="K54" s="5" t="s">
        <v>80</v>
      </c>
      <c r="L54" s="53">
        <f t="shared" si="22"/>
        <v>0.90943925818181826</v>
      </c>
      <c r="M54" s="52"/>
      <c r="N54" s="67"/>
      <c r="O54" s="67"/>
      <c r="P54" s="161"/>
    </row>
    <row r="55" spans="1:84">
      <c r="A55" s="11" t="s">
        <v>17</v>
      </c>
      <c r="B55" s="5" t="s">
        <v>18</v>
      </c>
      <c r="C55" s="86">
        <f>(34876*1.278*1.01)</f>
        <v>45017.243280000002</v>
      </c>
      <c r="D55" s="85">
        <f>(34876*1.278*1.01)/44/37.5</f>
        <v>27.283177745454548</v>
      </c>
      <c r="E55" s="215">
        <f t="shared" si="20"/>
        <v>0.45471962909090913</v>
      </c>
      <c r="F55" s="225"/>
      <c r="G55" s="52"/>
      <c r="H55" s="226"/>
      <c r="I55" s="205">
        <v>1</v>
      </c>
      <c r="J55" s="60" t="s">
        <v>56</v>
      </c>
      <c r="K55" s="5" t="s">
        <v>81</v>
      </c>
      <c r="L55" s="53">
        <f t="shared" si="22"/>
        <v>0.45471962909090913</v>
      </c>
      <c r="M55" s="52"/>
      <c r="N55" s="67"/>
      <c r="O55" s="67"/>
      <c r="P55" s="161"/>
    </row>
    <row r="56" spans="1:84">
      <c r="A56" s="11" t="s">
        <v>82</v>
      </c>
      <c r="B56" s="152" t="s">
        <v>13</v>
      </c>
      <c r="C56" s="86">
        <f>(101450*1.278*1.01)</f>
        <v>130949.63100000001</v>
      </c>
      <c r="D56" s="85">
        <f>(101450*1.278)/44/40</f>
        <v>73.666534090909096</v>
      </c>
      <c r="E56" s="202">
        <f t="shared" si="20"/>
        <v>1.2277755681818183</v>
      </c>
      <c r="F56" s="225"/>
      <c r="G56" s="52"/>
      <c r="H56" s="226"/>
      <c r="I56" s="205">
        <f>'[1]Central Infrastructure costs'!$E$21</f>
        <v>1</v>
      </c>
      <c r="J56" s="60" t="s">
        <v>56</v>
      </c>
      <c r="K56" s="5" t="s">
        <v>13</v>
      </c>
      <c r="L56" s="53">
        <f t="shared" si="22"/>
        <v>1.2277755681818183</v>
      </c>
      <c r="M56" s="52"/>
      <c r="N56" s="67"/>
      <c r="O56" s="67"/>
      <c r="P56" s="161"/>
      <c r="Q56" s="41"/>
    </row>
    <row r="57" spans="1:84" ht="16.5" thickBot="1">
      <c r="A57" s="5" t="s">
        <v>83</v>
      </c>
      <c r="B57" s="5" t="s">
        <v>15</v>
      </c>
      <c r="C57" s="48">
        <f>(47559*1.278*1.01)</f>
        <v>61388.206020000005</v>
      </c>
      <c r="D57" s="57">
        <f>(47559*1.278)/44/37.5</f>
        <v>36.836607272727278</v>
      </c>
      <c r="E57" s="202">
        <f t="shared" ref="E57" si="26">D57/60</f>
        <v>0.61394345454545463</v>
      </c>
      <c r="F57" s="250">
        <f>(44261*1.278*1.01)</f>
        <v>57131.213580000003</v>
      </c>
      <c r="G57" s="251">
        <f>(44261*1.278*1.01)/44/37.5</f>
        <v>34.624977927272724</v>
      </c>
      <c r="H57" s="210">
        <f t="shared" ref="H57" si="27">G57/60</f>
        <v>0.5770829654545454</v>
      </c>
      <c r="I57" s="205">
        <f>'[1]Central Infrastructure costs'!$F$21</f>
        <v>20</v>
      </c>
      <c r="J57" s="60" t="s">
        <v>56</v>
      </c>
      <c r="K57" s="5" t="s">
        <v>77</v>
      </c>
      <c r="L57" s="53">
        <f t="shared" si="22"/>
        <v>12.278869090909092</v>
      </c>
      <c r="M57" s="53">
        <f t="shared" si="25"/>
        <v>11.541659309090909</v>
      </c>
      <c r="N57" s="67"/>
      <c r="O57" s="67"/>
      <c r="P57" s="161"/>
      <c r="Q57" s="42"/>
    </row>
    <row r="58" spans="1:84" s="36" customFormat="1">
      <c r="A58" s="34" t="s">
        <v>92</v>
      </c>
      <c r="B58" s="34"/>
      <c r="C58" s="52"/>
      <c r="D58" s="58"/>
      <c r="E58" s="212"/>
      <c r="F58" s="225"/>
      <c r="G58" s="52"/>
      <c r="H58" s="226"/>
      <c r="I58" s="218"/>
      <c r="J58" s="52"/>
      <c r="K58" s="34"/>
      <c r="L58" s="52"/>
      <c r="M58" s="52"/>
      <c r="N58" s="67"/>
      <c r="O58" s="67"/>
      <c r="P58" s="161"/>
      <c r="Q58" s="25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</row>
    <row r="59" spans="1:84">
      <c r="A59" s="45" t="s">
        <v>93</v>
      </c>
      <c r="B59" s="5" t="s">
        <v>31</v>
      </c>
      <c r="C59" s="48">
        <f>(40964*1.278*1.01)</f>
        <v>52875.511919999997</v>
      </c>
      <c r="D59" s="57">
        <f>(40964*1.278)/44/37.5</f>
        <v>31.728480000000001</v>
      </c>
      <c r="E59" s="202">
        <f>D59/60</f>
        <v>0.52880800000000006</v>
      </c>
      <c r="F59" s="258">
        <f>(35891*1.278*1.01)</f>
        <v>46327.384980000003</v>
      </c>
      <c r="G59" s="3">
        <f>(35891*1.278*1.01)/44/37.5</f>
        <v>28.07720301818182</v>
      </c>
      <c r="H59" s="229">
        <f t="shared" ref="H59:H60" si="28">G59/60</f>
        <v>0.46795338363636368</v>
      </c>
      <c r="I59" s="234">
        <v>5</v>
      </c>
      <c r="J59" s="84" t="s">
        <v>56</v>
      </c>
      <c r="K59" s="12" t="s">
        <v>68</v>
      </c>
      <c r="L59" s="53">
        <f>E59*I59</f>
        <v>2.6440400000000004</v>
      </c>
      <c r="M59" s="53">
        <f t="shared" si="25"/>
        <v>2.3397669181818186</v>
      </c>
      <c r="N59" s="67"/>
      <c r="O59" s="67"/>
      <c r="P59" s="161"/>
    </row>
    <row r="60" spans="1:84">
      <c r="A60" s="45" t="s">
        <v>94</v>
      </c>
      <c r="B60" s="5" t="s">
        <v>31</v>
      </c>
      <c r="C60" s="48">
        <f>(40964*1.278*1.01)</f>
        <v>52875.511919999997</v>
      </c>
      <c r="D60" s="57">
        <f>(40964*1.278)/44/37.5</f>
        <v>31.728480000000001</v>
      </c>
      <c r="E60" s="202">
        <f>D60/60</f>
        <v>0.52880800000000006</v>
      </c>
      <c r="F60" s="258">
        <f>(35891*1.278*1.01)</f>
        <v>46327.384980000003</v>
      </c>
      <c r="G60" s="3">
        <f>(35891*1.278*1.01)/44/37.5</f>
        <v>28.07720301818182</v>
      </c>
      <c r="H60" s="229">
        <f t="shared" si="28"/>
        <v>0.46795338363636368</v>
      </c>
      <c r="I60" s="234">
        <v>5</v>
      </c>
      <c r="J60" s="84" t="s">
        <v>56</v>
      </c>
      <c r="K60" s="12" t="s">
        <v>68</v>
      </c>
      <c r="L60" s="53">
        <f>E60*I60</f>
        <v>2.6440400000000004</v>
      </c>
      <c r="M60" s="53">
        <f t="shared" si="25"/>
        <v>2.3397669181818186</v>
      </c>
      <c r="N60" s="67"/>
      <c r="O60" s="67"/>
      <c r="P60" s="161"/>
    </row>
    <row r="61" spans="1:84" s="36" customFormat="1">
      <c r="A61" s="34" t="s">
        <v>95</v>
      </c>
      <c r="B61" s="34"/>
      <c r="C61" s="52"/>
      <c r="D61" s="58"/>
      <c r="E61" s="212"/>
      <c r="F61" s="225"/>
      <c r="G61" s="52"/>
      <c r="H61" s="226"/>
      <c r="I61" s="235"/>
      <c r="J61" s="52"/>
      <c r="K61" s="34"/>
      <c r="L61" s="52"/>
      <c r="M61" s="52"/>
      <c r="N61" s="67"/>
      <c r="O61" s="67"/>
      <c r="P61" s="161"/>
      <c r="Q61" s="25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</row>
    <row r="62" spans="1:84">
      <c r="A62" s="45" t="s">
        <v>96</v>
      </c>
      <c r="B62" s="5" t="s">
        <v>31</v>
      </c>
      <c r="C62" s="48">
        <f>(40964*1.278*1.01)</f>
        <v>52875.511919999997</v>
      </c>
      <c r="D62" s="57">
        <f t="shared" ref="D62:D64" si="29">(40964*1.278)/44/37.5</f>
        <v>31.728480000000001</v>
      </c>
      <c r="E62" s="202">
        <f>D62/60</f>
        <v>0.52880800000000006</v>
      </c>
      <c r="F62" s="258">
        <f>(35891*1.278*1.01)</f>
        <v>46327.384980000003</v>
      </c>
      <c r="G62" s="3">
        <f>(35891*1.278*1.01)/44/37.5</f>
        <v>28.07720301818182</v>
      </c>
      <c r="H62" s="229">
        <f t="shared" ref="H62:H64" si="30">G62/60</f>
        <v>0.46795338363636368</v>
      </c>
      <c r="I62" s="234">
        <v>5</v>
      </c>
      <c r="J62" s="84" t="s">
        <v>56</v>
      </c>
      <c r="K62" s="12" t="s">
        <v>68</v>
      </c>
      <c r="L62" s="53">
        <f>E62*I62</f>
        <v>2.6440400000000004</v>
      </c>
      <c r="M62" s="53">
        <f t="shared" si="25"/>
        <v>2.3397669181818186</v>
      </c>
      <c r="N62" s="67"/>
      <c r="O62" s="67"/>
      <c r="P62" s="161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</row>
    <row r="63" spans="1:84">
      <c r="A63" s="11" t="s">
        <v>97</v>
      </c>
      <c r="B63" s="5" t="s">
        <v>31</v>
      </c>
      <c r="C63" s="48">
        <f>(40964*1.278*1.01)</f>
        <v>52875.511919999997</v>
      </c>
      <c r="D63" s="57">
        <f t="shared" si="29"/>
        <v>31.728480000000001</v>
      </c>
      <c r="E63" s="202">
        <f t="shared" ref="E63" si="31">D63/60</f>
        <v>0.52880800000000006</v>
      </c>
      <c r="F63" s="258">
        <f>(35891*1.278*1.01)</f>
        <v>46327.384980000003</v>
      </c>
      <c r="G63" s="3">
        <f>(35891*1.278*1.01)/44/37.5</f>
        <v>28.07720301818182</v>
      </c>
      <c r="H63" s="229">
        <f t="shared" si="30"/>
        <v>0.46795338363636368</v>
      </c>
      <c r="I63" s="236">
        <v>5</v>
      </c>
      <c r="J63" s="46" t="s">
        <v>56</v>
      </c>
      <c r="K63" s="12" t="s">
        <v>68</v>
      </c>
      <c r="L63" s="53">
        <f t="shared" ref="L63:L64" si="32">E63*I63</f>
        <v>2.6440400000000004</v>
      </c>
      <c r="M63" s="53">
        <f t="shared" si="25"/>
        <v>2.3397669181818186</v>
      </c>
      <c r="N63" s="67"/>
      <c r="O63" s="67"/>
      <c r="P63" s="161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</row>
    <row r="64" spans="1:84" s="26" customFormat="1">
      <c r="A64" s="28" t="s">
        <v>98</v>
      </c>
      <c r="B64" s="27" t="s">
        <v>31</v>
      </c>
      <c r="C64" s="82">
        <f>(40964*1.278*1.01)</f>
        <v>52875.511919999997</v>
      </c>
      <c r="D64" s="57">
        <f t="shared" si="29"/>
        <v>31.728480000000001</v>
      </c>
      <c r="E64" s="233">
        <f>D64/60</f>
        <v>0.52880800000000006</v>
      </c>
      <c r="F64" s="258">
        <f>(35891*1.278*1.01)</f>
        <v>46327.384980000003</v>
      </c>
      <c r="G64" s="3">
        <f>(35891*1.278*1.01)/44/37.5</f>
        <v>28.07720301818182</v>
      </c>
      <c r="H64" s="229">
        <f t="shared" si="30"/>
        <v>0.46795338363636368</v>
      </c>
      <c r="I64" s="220">
        <v>15</v>
      </c>
      <c r="J64" s="87"/>
      <c r="K64" s="12" t="s">
        <v>68</v>
      </c>
      <c r="L64" s="53">
        <f t="shared" si="32"/>
        <v>7.9321200000000012</v>
      </c>
      <c r="M64" s="53">
        <f t="shared" si="25"/>
        <v>7.0193007545454549</v>
      </c>
      <c r="N64" s="67"/>
      <c r="O64" s="71"/>
      <c r="P64" s="267"/>
      <c r="Q64" s="31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59"/>
      <c r="AU64" s="259"/>
      <c r="AV64" s="259"/>
      <c r="AW64" s="259"/>
      <c r="AX64" s="259"/>
      <c r="AY64" s="259"/>
      <c r="AZ64" s="259"/>
      <c r="BA64" s="259"/>
      <c r="BB64" s="259"/>
      <c r="BC64" s="259"/>
      <c r="BD64" s="259"/>
      <c r="BE64" s="259"/>
      <c r="BF64" s="259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BV64" s="259"/>
      <c r="BW64" s="259"/>
      <c r="BX64" s="259"/>
      <c r="BY64" s="259"/>
      <c r="BZ64" s="259"/>
      <c r="CA64" s="259"/>
      <c r="CB64" s="259"/>
      <c r="CC64" s="259"/>
      <c r="CD64" s="259"/>
      <c r="CE64" s="259"/>
      <c r="CF64" s="259"/>
    </row>
    <row r="65" spans="1:84" s="36" customFormat="1">
      <c r="A65" s="34" t="s">
        <v>99</v>
      </c>
      <c r="B65" s="34"/>
      <c r="C65" s="52"/>
      <c r="D65" s="58"/>
      <c r="E65" s="212"/>
      <c r="F65" s="225"/>
      <c r="G65" s="52"/>
      <c r="H65" s="226"/>
      <c r="I65" s="235"/>
      <c r="J65" s="52"/>
      <c r="K65" s="34"/>
      <c r="L65" s="52"/>
      <c r="M65" s="52"/>
      <c r="N65" s="52"/>
      <c r="O65" s="52"/>
      <c r="P65" s="161"/>
      <c r="Q65" s="25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</row>
    <row r="66" spans="1:84" ht="16.5" thickBot="1">
      <c r="A66" s="14" t="s">
        <v>84</v>
      </c>
      <c r="B66" s="15"/>
      <c r="C66" s="50"/>
      <c r="D66" s="50"/>
      <c r="E66" s="216"/>
      <c r="F66" s="230"/>
      <c r="G66" s="231"/>
      <c r="H66" s="232"/>
      <c r="I66" s="222"/>
      <c r="J66" s="50"/>
      <c r="K66" s="15"/>
      <c r="L66" s="50"/>
      <c r="M66" s="50"/>
      <c r="N66" s="68">
        <f>SUM(L49:L66)</f>
        <v>59.819483546363657</v>
      </c>
      <c r="O66" s="68">
        <f>SUM(M49:M64,L54:L56)</f>
        <v>51.569864455454542</v>
      </c>
      <c r="P66" s="265">
        <f>SUM(L53:L56,)</f>
        <v>5.2359744554545458</v>
      </c>
    </row>
    <row r="67" spans="1:84">
      <c r="A67" s="16" t="s">
        <v>100</v>
      </c>
      <c r="B67" s="17"/>
      <c r="C67" s="54"/>
      <c r="D67" s="54"/>
      <c r="E67" s="54"/>
      <c r="F67" s="54"/>
      <c r="G67" s="54"/>
      <c r="H67" s="54"/>
      <c r="I67" s="17"/>
      <c r="J67" s="54"/>
      <c r="K67" s="17"/>
      <c r="L67" s="54"/>
      <c r="M67" s="54"/>
      <c r="N67" s="69">
        <v>272.17</v>
      </c>
      <c r="O67" s="69">
        <v>272.17</v>
      </c>
    </row>
    <row r="68" spans="1:84" ht="15.75">
      <c r="A68" s="18" t="s">
        <v>101</v>
      </c>
      <c r="B68" s="17"/>
      <c r="C68" s="54"/>
      <c r="D68" s="54"/>
      <c r="E68" s="54"/>
      <c r="F68" s="54"/>
      <c r="G68" s="54"/>
      <c r="H68" s="54"/>
      <c r="I68" s="17"/>
      <c r="J68" s="54"/>
      <c r="K68" s="17"/>
      <c r="L68" s="54"/>
      <c r="M68" s="54"/>
      <c r="N68" s="70">
        <f>SUM(N66:N67)</f>
        <v>331.98948354636366</v>
      </c>
      <c r="O68" s="260">
        <f>SUM(O66,O67)</f>
        <v>323.73986445545455</v>
      </c>
    </row>
    <row r="69" spans="1:84" ht="15.75">
      <c r="A69" s="16" t="s">
        <v>102</v>
      </c>
      <c r="B69" s="17"/>
      <c r="C69" s="54"/>
      <c r="D69" s="54"/>
      <c r="E69" s="54"/>
      <c r="F69" s="54"/>
      <c r="G69" s="54"/>
      <c r="H69" s="54"/>
      <c r="I69" s="17"/>
      <c r="J69" s="54"/>
      <c r="K69" s="17"/>
      <c r="L69" s="54"/>
      <c r="M69" s="54"/>
      <c r="N69" s="70">
        <f>276.92+N66</f>
        <v>336.73948354636366</v>
      </c>
      <c r="O69" s="260">
        <f>(SUM(276.92,O66))</f>
        <v>328.48986445545455</v>
      </c>
    </row>
    <row r="70" spans="1:84">
      <c r="A70" s="88" t="s">
        <v>103</v>
      </c>
    </row>
    <row r="71" spans="1:84">
      <c r="A71" s="16" t="s">
        <v>104</v>
      </c>
    </row>
    <row r="72" spans="1:84">
      <c r="A72" s="153">
        <f>D56*60</f>
        <v>4419.9920454545454</v>
      </c>
    </row>
    <row r="73" spans="1:84">
      <c r="A73" s="16" t="s">
        <v>105</v>
      </c>
    </row>
    <row r="74" spans="1:84">
      <c r="A74" s="21">
        <f>D64*60</f>
        <v>1903.7088000000001</v>
      </c>
    </row>
    <row r="75" spans="1:84">
      <c r="A75" s="154">
        <f>A72-A74</f>
        <v>2516.2832454545451</v>
      </c>
      <c r="B75" t="s">
        <v>106</v>
      </c>
    </row>
    <row r="76" spans="1:84">
      <c r="A76" s="88"/>
    </row>
    <row r="77" spans="1:84" ht="15.75" thickBot="1"/>
    <row r="78" spans="1:84" ht="90">
      <c r="A78" s="44" t="s">
        <v>64</v>
      </c>
      <c r="B78" s="9" t="s">
        <v>0</v>
      </c>
      <c r="C78" s="47" t="s">
        <v>40</v>
      </c>
      <c r="D78" s="55" t="s">
        <v>41</v>
      </c>
      <c r="E78" s="200" t="s">
        <v>42</v>
      </c>
      <c r="F78" s="252" t="s">
        <v>43</v>
      </c>
      <c r="G78" s="206" t="s">
        <v>44</v>
      </c>
      <c r="H78" s="207" t="s">
        <v>45</v>
      </c>
      <c r="I78" s="203" t="s">
        <v>86</v>
      </c>
      <c r="J78" s="63" t="s">
        <v>65</v>
      </c>
      <c r="K78" s="1"/>
      <c r="L78" s="59" t="s">
        <v>48</v>
      </c>
      <c r="M78" s="59" t="s">
        <v>49</v>
      </c>
      <c r="N78" s="66" t="s">
        <v>50</v>
      </c>
      <c r="O78" s="66" t="s">
        <v>51</v>
      </c>
      <c r="P78" s="268" t="s">
        <v>52</v>
      </c>
    </row>
    <row r="79" spans="1:84">
      <c r="A79" s="10" t="s">
        <v>107</v>
      </c>
      <c r="B79" s="8"/>
      <c r="C79" s="74"/>
      <c r="D79" s="74"/>
      <c r="E79" s="211"/>
      <c r="F79" s="208"/>
      <c r="G79" s="73"/>
      <c r="H79" s="209"/>
      <c r="I79" s="217"/>
      <c r="J79" s="74"/>
      <c r="K79" s="76"/>
      <c r="L79" s="74"/>
      <c r="M79" s="74"/>
      <c r="N79" s="67"/>
      <c r="O79" s="67"/>
      <c r="P79" s="269"/>
    </row>
    <row r="80" spans="1:84">
      <c r="A80" s="11" t="s">
        <v>88</v>
      </c>
      <c r="B80" s="5" t="s">
        <v>31</v>
      </c>
      <c r="C80" s="48">
        <f>(40964*1.278*1.01)</f>
        <v>52875.511919999997</v>
      </c>
      <c r="D80" s="57">
        <f>(40964*1.278)/44/37.5</f>
        <v>31.728480000000001</v>
      </c>
      <c r="E80" s="202">
        <f t="shared" ref="E80:E88" si="33">D80/60</f>
        <v>0.52880800000000006</v>
      </c>
      <c r="F80" s="258">
        <f>(35891*1.278*1.01)</f>
        <v>46327.384980000003</v>
      </c>
      <c r="G80" s="3">
        <f>(35891*1.278*1.01)/44/37.5</f>
        <v>28.07720301818182</v>
      </c>
      <c r="H80" s="229">
        <f t="shared" ref="H80:H83" si="34">G80/60</f>
        <v>0.46795338363636368</v>
      </c>
      <c r="I80" s="234">
        <v>30</v>
      </c>
      <c r="J80" s="92"/>
      <c r="K80" s="12" t="s">
        <v>68</v>
      </c>
      <c r="L80" s="53">
        <f t="shared" ref="L80:L88" si="35">E80*I80</f>
        <v>15.864240000000002</v>
      </c>
      <c r="M80" s="53">
        <f>H80*I80</f>
        <v>14.03860150909091</v>
      </c>
      <c r="N80" s="67"/>
      <c r="O80" s="67"/>
      <c r="P80" s="269"/>
    </row>
    <row r="81" spans="1:98">
      <c r="A81" s="11" t="s">
        <v>89</v>
      </c>
      <c r="B81" s="5" t="s">
        <v>31</v>
      </c>
      <c r="C81" s="48">
        <f>(40964*1.278*1.01)</f>
        <v>52875.511919999997</v>
      </c>
      <c r="D81" s="57">
        <f t="shared" ref="D81:D84" si="36">(40964*1.278)/44/37.5</f>
        <v>31.728480000000001</v>
      </c>
      <c r="E81" s="202">
        <f t="shared" si="33"/>
        <v>0.52880800000000006</v>
      </c>
      <c r="F81" s="258">
        <f>(35891*1.278*1.01)</f>
        <v>46327.384980000003</v>
      </c>
      <c r="G81" s="3">
        <f>(35891*1.278*1.01)/44/37.5</f>
        <v>28.07720301818182</v>
      </c>
      <c r="H81" s="229">
        <f t="shared" si="34"/>
        <v>0.46795338363636368</v>
      </c>
      <c r="I81" s="234">
        <v>5</v>
      </c>
      <c r="J81" s="84" t="s">
        <v>56</v>
      </c>
      <c r="K81" s="12" t="s">
        <v>68</v>
      </c>
      <c r="L81" s="53">
        <f t="shared" si="35"/>
        <v>2.6440400000000004</v>
      </c>
      <c r="M81" s="53">
        <f t="shared" ref="M81:M95" si="37">H81*I81</f>
        <v>2.3397669181818186</v>
      </c>
      <c r="N81" s="67"/>
      <c r="O81" s="67"/>
      <c r="P81" s="269"/>
    </row>
    <row r="82" spans="1:98">
      <c r="A82" s="11" t="s">
        <v>90</v>
      </c>
      <c r="B82" s="5" t="s">
        <v>31</v>
      </c>
      <c r="C82" s="48">
        <f>(40964*1.278*1.01)</f>
        <v>52875.511919999997</v>
      </c>
      <c r="D82" s="57">
        <f t="shared" si="36"/>
        <v>31.728480000000001</v>
      </c>
      <c r="E82" s="202">
        <f t="shared" si="33"/>
        <v>0.52880800000000006</v>
      </c>
      <c r="F82" s="258">
        <f>(35891*1.278*1.01)</f>
        <v>46327.384980000003</v>
      </c>
      <c r="G82" s="3">
        <f>(35891*1.278*1.01)/44/37.5</f>
        <v>28.07720301818182</v>
      </c>
      <c r="H82" s="229">
        <f t="shared" si="34"/>
        <v>0.46795338363636368</v>
      </c>
      <c r="I82" s="220">
        <v>5</v>
      </c>
      <c r="J82" s="84" t="s">
        <v>56</v>
      </c>
      <c r="K82" s="12" t="s">
        <v>68</v>
      </c>
      <c r="L82" s="53">
        <f t="shared" si="35"/>
        <v>2.6440400000000004</v>
      </c>
      <c r="M82" s="53">
        <f t="shared" si="37"/>
        <v>2.3397669181818186</v>
      </c>
      <c r="N82" s="67"/>
      <c r="O82" s="67"/>
      <c r="P82" s="269"/>
    </row>
    <row r="83" spans="1:98">
      <c r="A83" s="11" t="s">
        <v>91</v>
      </c>
      <c r="B83" s="5" t="s">
        <v>31</v>
      </c>
      <c r="C83" s="48">
        <f>(40964*1.278*1.01)</f>
        <v>52875.511919999997</v>
      </c>
      <c r="D83" s="57">
        <f t="shared" si="36"/>
        <v>31.728480000000001</v>
      </c>
      <c r="E83" s="202">
        <f t="shared" si="33"/>
        <v>0.52880800000000006</v>
      </c>
      <c r="F83" s="258">
        <f>(35891*1.278*1.01)</f>
        <v>46327.384980000003</v>
      </c>
      <c r="G83" s="3">
        <f>(35891*1.278*1.01)/44/37.5</f>
        <v>28.07720301818182</v>
      </c>
      <c r="H83" s="229">
        <f t="shared" si="34"/>
        <v>0.46795338363636368</v>
      </c>
      <c r="I83" s="234">
        <v>5</v>
      </c>
      <c r="J83" s="84" t="s">
        <v>56</v>
      </c>
      <c r="K83" s="12" t="s">
        <v>68</v>
      </c>
      <c r="L83" s="53">
        <f t="shared" si="35"/>
        <v>2.6440400000000004</v>
      </c>
      <c r="M83" s="53">
        <f t="shared" si="37"/>
        <v>2.3397669181818186</v>
      </c>
      <c r="N83" s="67"/>
      <c r="O83" s="67"/>
      <c r="P83" s="269"/>
    </row>
    <row r="84" spans="1:98">
      <c r="A84" s="11" t="s">
        <v>16</v>
      </c>
      <c r="B84" s="5" t="s">
        <v>31</v>
      </c>
      <c r="C84" s="48">
        <f>(40964*1.278*1.01)</f>
        <v>52875.511919999997</v>
      </c>
      <c r="D84" s="57">
        <f t="shared" si="36"/>
        <v>31.728480000000001</v>
      </c>
      <c r="E84" s="202">
        <f t="shared" si="33"/>
        <v>0.52880800000000006</v>
      </c>
      <c r="F84" s="261"/>
      <c r="G84" s="262"/>
      <c r="H84" s="263"/>
      <c r="I84" s="236">
        <v>5</v>
      </c>
      <c r="J84" s="60" t="s">
        <v>56</v>
      </c>
      <c r="K84" s="5" t="s">
        <v>79</v>
      </c>
      <c r="L84" s="53">
        <f t="shared" si="35"/>
        <v>2.6440400000000004</v>
      </c>
      <c r="M84" s="52"/>
      <c r="N84" s="67"/>
      <c r="O84" s="67"/>
      <c r="P84" s="269"/>
    </row>
    <row r="85" spans="1:98">
      <c r="A85" s="11" t="s">
        <v>19</v>
      </c>
      <c r="B85" s="5" t="s">
        <v>18</v>
      </c>
      <c r="C85" s="86">
        <f>(34876*1.278*1.01)</f>
        <v>45017.243280000002</v>
      </c>
      <c r="D85" s="85">
        <f>(34876*1.278*1.01)/44/37.5</f>
        <v>27.283177745454548</v>
      </c>
      <c r="E85" s="215">
        <f t="shared" si="33"/>
        <v>0.45471962909090913</v>
      </c>
      <c r="F85" s="225"/>
      <c r="G85" s="52"/>
      <c r="H85" s="226"/>
      <c r="I85" s="236">
        <v>2</v>
      </c>
      <c r="J85" s="60" t="s">
        <v>56</v>
      </c>
      <c r="K85" s="5" t="s">
        <v>80</v>
      </c>
      <c r="L85" s="53">
        <f t="shared" si="35"/>
        <v>0.90943925818181826</v>
      </c>
      <c r="M85" s="52"/>
      <c r="N85" s="67"/>
      <c r="O85" s="67"/>
      <c r="P85" s="269"/>
    </row>
    <row r="86" spans="1:98">
      <c r="A86" s="11" t="s">
        <v>17</v>
      </c>
      <c r="B86" s="5" t="s">
        <v>18</v>
      </c>
      <c r="C86" s="86">
        <f>(34876*1.278*1.01)</f>
        <v>45017.243280000002</v>
      </c>
      <c r="D86" s="85">
        <f>(34876*1.278*1.01)/44/37.5</f>
        <v>27.283177745454548</v>
      </c>
      <c r="E86" s="215">
        <f t="shared" si="33"/>
        <v>0.45471962909090913</v>
      </c>
      <c r="F86" s="225"/>
      <c r="G86" s="52"/>
      <c r="H86" s="226"/>
      <c r="I86" s="205">
        <v>1</v>
      </c>
      <c r="J86" s="60" t="s">
        <v>56</v>
      </c>
      <c r="K86" s="5" t="s">
        <v>81</v>
      </c>
      <c r="L86" s="53">
        <f t="shared" si="35"/>
        <v>0.45471962909090913</v>
      </c>
      <c r="M86" s="52"/>
      <c r="N86" s="67"/>
      <c r="O86" s="67"/>
      <c r="P86" s="269"/>
    </row>
    <row r="87" spans="1:98">
      <c r="A87" s="11" t="s">
        <v>82</v>
      </c>
      <c r="B87" s="8" t="s">
        <v>13</v>
      </c>
      <c r="C87" s="86">
        <f>(101450*1.278*1.01)</f>
        <v>130949.63100000001</v>
      </c>
      <c r="D87" s="85">
        <f>(101450*1.278)/44/40</f>
        <v>73.666534090909096</v>
      </c>
      <c r="E87" s="202">
        <f t="shared" si="33"/>
        <v>1.2277755681818183</v>
      </c>
      <c r="F87" s="225"/>
      <c r="G87" s="52"/>
      <c r="H87" s="226"/>
      <c r="I87" s="205">
        <f>'[1]Central Infrastructure costs'!$E$21</f>
        <v>1</v>
      </c>
      <c r="J87" s="60" t="s">
        <v>56</v>
      </c>
      <c r="K87" s="5" t="s">
        <v>13</v>
      </c>
      <c r="L87" s="53">
        <f t="shared" si="35"/>
        <v>1.2277755681818183</v>
      </c>
      <c r="M87" s="52"/>
      <c r="N87" s="67"/>
      <c r="O87" s="67"/>
      <c r="P87" s="269"/>
    </row>
    <row r="88" spans="1:98" ht="15.75" thickBot="1">
      <c r="A88" s="5" t="s">
        <v>83</v>
      </c>
      <c r="B88" s="5" t="s">
        <v>15</v>
      </c>
      <c r="C88" s="48">
        <f>(47559*1.278*1.01)</f>
        <v>61388.206020000005</v>
      </c>
      <c r="D88" s="57">
        <f>(47559*1.278)/44/37.5</f>
        <v>36.836607272727278</v>
      </c>
      <c r="E88" s="202">
        <f t="shared" si="33"/>
        <v>0.61394345454545463</v>
      </c>
      <c r="F88" s="250">
        <f>(44261*1.278*1.01)</f>
        <v>57131.213580000003</v>
      </c>
      <c r="G88" s="251">
        <f>(44261*1.278*1.01)/44/37.5</f>
        <v>34.624977927272724</v>
      </c>
      <c r="H88" s="210">
        <f t="shared" ref="H88" si="38">G88/60</f>
        <v>0.5770829654545454</v>
      </c>
      <c r="I88" s="205">
        <f>'[1]Central Infrastructure costs'!$F$21</f>
        <v>20</v>
      </c>
      <c r="J88" s="60" t="s">
        <v>56</v>
      </c>
      <c r="K88" s="5" t="s">
        <v>77</v>
      </c>
      <c r="L88" s="53">
        <f t="shared" si="35"/>
        <v>12.278869090909092</v>
      </c>
      <c r="M88" s="53">
        <f t="shared" si="37"/>
        <v>11.541659309090909</v>
      </c>
      <c r="N88" s="67"/>
      <c r="O88" s="67"/>
      <c r="P88" s="269"/>
    </row>
    <row r="89" spans="1:98" s="36" customFormat="1">
      <c r="A89" s="34" t="s">
        <v>92</v>
      </c>
      <c r="B89" s="34"/>
      <c r="C89" s="52"/>
      <c r="D89" s="58"/>
      <c r="E89" s="212"/>
      <c r="F89" s="225"/>
      <c r="G89" s="52"/>
      <c r="H89" s="226"/>
      <c r="I89" s="218"/>
      <c r="J89" s="52"/>
      <c r="K89" s="34"/>
      <c r="L89" s="52"/>
      <c r="M89" s="52"/>
      <c r="N89" s="67"/>
      <c r="O89" s="67"/>
      <c r="P89" s="269"/>
      <c r="Q89" s="25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</row>
    <row r="90" spans="1:98">
      <c r="A90" s="45" t="s">
        <v>108</v>
      </c>
      <c r="B90" s="5" t="s">
        <v>31</v>
      </c>
      <c r="C90" s="48">
        <f>(40964*1.278*1.01)</f>
        <v>52875.511919999997</v>
      </c>
      <c r="D90" s="57">
        <f>(40964*1.278)/44/37.5</f>
        <v>31.728480000000001</v>
      </c>
      <c r="E90" s="202">
        <f>D90/60</f>
        <v>0.52880800000000006</v>
      </c>
      <c r="F90" s="258">
        <f>(35891*1.278*1.01)</f>
        <v>46327.384980000003</v>
      </c>
      <c r="G90" s="3">
        <f>(35891*1.278*1.01)/44/37.5</f>
        <v>28.07720301818182</v>
      </c>
      <c r="H90" s="229">
        <f t="shared" ref="H90:H91" si="39">G90/60</f>
        <v>0.46795338363636368</v>
      </c>
      <c r="I90" s="234">
        <v>5</v>
      </c>
      <c r="J90" s="84" t="s">
        <v>56</v>
      </c>
      <c r="K90" s="12" t="s">
        <v>68</v>
      </c>
      <c r="L90" s="53">
        <f>E90*I90</f>
        <v>2.6440400000000004</v>
      </c>
      <c r="M90" s="53">
        <f t="shared" si="37"/>
        <v>2.3397669181818186</v>
      </c>
      <c r="N90" s="67"/>
      <c r="O90" s="67"/>
      <c r="P90" s="269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</row>
    <row r="91" spans="1:98">
      <c r="A91" s="45" t="s">
        <v>109</v>
      </c>
      <c r="B91" s="5" t="s">
        <v>31</v>
      </c>
      <c r="C91" s="48">
        <f>(40964*1.278*1.01)</f>
        <v>52875.511919999997</v>
      </c>
      <c r="D91" s="57">
        <f>(40964*1.278)/44/37.5</f>
        <v>31.728480000000001</v>
      </c>
      <c r="E91" s="202">
        <f>D91/60</f>
        <v>0.52880800000000006</v>
      </c>
      <c r="F91" s="258">
        <f>(35891*1.278*1.01)</f>
        <v>46327.384980000003</v>
      </c>
      <c r="G91" s="3">
        <f>(35891*1.278*1.01)/44/37.5</f>
        <v>28.07720301818182</v>
      </c>
      <c r="H91" s="229">
        <f t="shared" si="39"/>
        <v>0.46795338363636368</v>
      </c>
      <c r="I91" s="234">
        <v>5</v>
      </c>
      <c r="J91" s="84" t="s">
        <v>56</v>
      </c>
      <c r="K91" s="12" t="s">
        <v>68</v>
      </c>
      <c r="L91" s="53">
        <f>E91*I91</f>
        <v>2.6440400000000004</v>
      </c>
      <c r="M91" s="53">
        <f t="shared" si="37"/>
        <v>2.3397669181818186</v>
      </c>
      <c r="N91" s="67"/>
      <c r="O91" s="67"/>
      <c r="P91" s="269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</row>
    <row r="92" spans="1:98" s="36" customFormat="1">
      <c r="A92" s="34" t="s">
        <v>95</v>
      </c>
      <c r="B92" s="34"/>
      <c r="C92" s="52"/>
      <c r="D92" s="58"/>
      <c r="E92" s="212"/>
      <c r="F92" s="225"/>
      <c r="G92" s="52"/>
      <c r="H92" s="226"/>
      <c r="I92" s="235"/>
      <c r="J92" s="52"/>
      <c r="K92" s="34"/>
      <c r="L92" s="52"/>
      <c r="M92" s="52"/>
      <c r="N92" s="67"/>
      <c r="O92" s="67"/>
      <c r="P92" s="269"/>
      <c r="Q92" s="25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</row>
    <row r="93" spans="1:98">
      <c r="A93" s="45" t="s">
        <v>110</v>
      </c>
      <c r="B93" s="5" t="s">
        <v>31</v>
      </c>
      <c r="C93" s="48">
        <f>(40964*1.278*1.01)</f>
        <v>52875.511919999997</v>
      </c>
      <c r="D93" s="57">
        <f t="shared" ref="D93:D95" si="40">(40964*1.278)/44/37.5</f>
        <v>31.728480000000001</v>
      </c>
      <c r="E93" s="202">
        <f>D93/60</f>
        <v>0.52880800000000006</v>
      </c>
      <c r="F93" s="258">
        <f>(35891*1.278*1.01)</f>
        <v>46327.384980000003</v>
      </c>
      <c r="G93" s="3">
        <f>(35891*1.278*1.01)/44/37.5</f>
        <v>28.07720301818182</v>
      </c>
      <c r="H93" s="229">
        <f t="shared" ref="H93:H95" si="41">G93/60</f>
        <v>0.46795338363636368</v>
      </c>
      <c r="I93" s="234">
        <v>5</v>
      </c>
      <c r="J93" s="84" t="s">
        <v>56</v>
      </c>
      <c r="K93" s="12" t="s">
        <v>68</v>
      </c>
      <c r="L93" s="53">
        <f>E93*I93</f>
        <v>2.6440400000000004</v>
      </c>
      <c r="M93" s="53">
        <f t="shared" si="37"/>
        <v>2.3397669181818186</v>
      </c>
      <c r="N93" s="67"/>
      <c r="O93" s="67"/>
      <c r="P93" s="269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</row>
    <row r="94" spans="1:98">
      <c r="A94" s="11" t="s">
        <v>97</v>
      </c>
      <c r="B94" s="5" t="s">
        <v>31</v>
      </c>
      <c r="C94" s="48">
        <f>(40964*1.278*1.01)</f>
        <v>52875.511919999997</v>
      </c>
      <c r="D94" s="57">
        <f t="shared" si="40"/>
        <v>31.728480000000001</v>
      </c>
      <c r="E94" s="202">
        <f t="shared" ref="E94" si="42">D94/60</f>
        <v>0.52880800000000006</v>
      </c>
      <c r="F94" s="258">
        <f>(35891*1.278*1.01)</f>
        <v>46327.384980000003</v>
      </c>
      <c r="G94" s="3">
        <f>(35891*1.278*1.01)/44/37.5</f>
        <v>28.07720301818182</v>
      </c>
      <c r="H94" s="229">
        <f t="shared" si="41"/>
        <v>0.46795338363636368</v>
      </c>
      <c r="I94" s="236">
        <v>5</v>
      </c>
      <c r="J94" s="46" t="s">
        <v>56</v>
      </c>
      <c r="K94" s="12" t="s">
        <v>68</v>
      </c>
      <c r="L94" s="53">
        <f t="shared" ref="L94:L95" si="43">E94*I94</f>
        <v>2.6440400000000004</v>
      </c>
      <c r="M94" s="53">
        <f t="shared" si="37"/>
        <v>2.3397669181818186</v>
      </c>
      <c r="N94" s="67"/>
      <c r="O94" s="67"/>
      <c r="P94" s="269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</row>
    <row r="95" spans="1:98" s="26" customFormat="1">
      <c r="A95" s="28" t="s">
        <v>98</v>
      </c>
      <c r="B95" s="27" t="s">
        <v>31</v>
      </c>
      <c r="C95" s="82">
        <f>(40964*1.278*1.01)</f>
        <v>52875.511919999997</v>
      </c>
      <c r="D95" s="57">
        <f t="shared" si="40"/>
        <v>31.728480000000001</v>
      </c>
      <c r="E95" s="233">
        <f>D95/60</f>
        <v>0.52880800000000006</v>
      </c>
      <c r="F95" s="258">
        <f>(35891*1.278*1.01)</f>
        <v>46327.384980000003</v>
      </c>
      <c r="G95" s="3">
        <f>(35891*1.278*1.01)/44/37.5</f>
        <v>28.07720301818182</v>
      </c>
      <c r="H95" s="229">
        <f t="shared" si="41"/>
        <v>0.46795338363636368</v>
      </c>
      <c r="I95" s="220">
        <v>15</v>
      </c>
      <c r="J95" s="87"/>
      <c r="K95" s="89" t="s">
        <v>68</v>
      </c>
      <c r="L95" s="65">
        <f t="shared" si="43"/>
        <v>7.9321200000000012</v>
      </c>
      <c r="M95" s="53">
        <f t="shared" si="37"/>
        <v>7.0193007545454549</v>
      </c>
      <c r="N95" s="67"/>
      <c r="O95" s="71"/>
      <c r="P95" s="270"/>
      <c r="Q95" s="31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59"/>
      <c r="AU95" s="259"/>
      <c r="AV95" s="259"/>
      <c r="AW95" s="259"/>
      <c r="AX95" s="259"/>
      <c r="AY95" s="259"/>
      <c r="AZ95" s="259"/>
      <c r="BA95" s="259"/>
      <c r="BB95" s="259"/>
      <c r="BC95" s="259"/>
      <c r="BD95" s="259"/>
      <c r="BE95" s="259"/>
      <c r="BF95" s="259"/>
      <c r="BG95" s="259"/>
      <c r="BH95" s="259"/>
      <c r="BI95" s="259"/>
      <c r="BJ95" s="259"/>
      <c r="BK95" s="259"/>
      <c r="BL95" s="259"/>
      <c r="BM95" s="259"/>
      <c r="BN95" s="259"/>
      <c r="BO95" s="259"/>
      <c r="BP95" s="259"/>
      <c r="BQ95" s="259"/>
      <c r="BR95" s="259"/>
      <c r="BS95" s="259"/>
      <c r="BT95" s="259"/>
      <c r="BU95" s="259"/>
      <c r="BV95" s="259"/>
      <c r="BW95" s="259"/>
      <c r="BX95" s="259"/>
      <c r="BY95" s="259"/>
      <c r="BZ95" s="259"/>
      <c r="CA95" s="259"/>
      <c r="CB95" s="259"/>
      <c r="CC95" s="259"/>
      <c r="CD95" s="259"/>
      <c r="CE95" s="259"/>
      <c r="CF95" s="259"/>
      <c r="CG95" s="259"/>
      <c r="CH95" s="259"/>
      <c r="CI95" s="259"/>
      <c r="CJ95" s="259"/>
      <c r="CK95" s="259"/>
      <c r="CL95" s="259"/>
      <c r="CM95" s="259"/>
      <c r="CN95" s="259"/>
      <c r="CO95" s="259"/>
      <c r="CP95" s="259"/>
      <c r="CQ95" s="259"/>
      <c r="CR95" s="259"/>
      <c r="CS95" s="259"/>
      <c r="CT95" s="259"/>
    </row>
    <row r="96" spans="1:98" s="36" customFormat="1">
      <c r="A96" s="34" t="s">
        <v>111</v>
      </c>
      <c r="B96" s="34"/>
      <c r="C96" s="52"/>
      <c r="D96" s="58"/>
      <c r="E96" s="212"/>
      <c r="F96" s="225"/>
      <c r="G96" s="52"/>
      <c r="H96" s="226"/>
      <c r="I96" s="235"/>
      <c r="J96" s="52"/>
      <c r="K96" s="34"/>
      <c r="L96" s="52"/>
      <c r="M96" s="52"/>
      <c r="N96" s="67"/>
      <c r="O96" s="67"/>
      <c r="P96" s="269"/>
      <c r="Q96" s="25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</row>
    <row r="97" spans="1:16" ht="15.75" thickBot="1">
      <c r="A97" s="14" t="s">
        <v>84</v>
      </c>
      <c r="B97" s="15"/>
      <c r="C97" s="50"/>
      <c r="D97" s="50"/>
      <c r="E97" s="216"/>
      <c r="F97" s="230"/>
      <c r="G97" s="231"/>
      <c r="H97" s="232"/>
      <c r="I97" s="222"/>
      <c r="J97" s="50"/>
      <c r="K97" s="15"/>
      <c r="L97" s="50"/>
      <c r="M97" s="50"/>
      <c r="N97" s="68">
        <f>SUM(L80:L97)</f>
        <v>59.819483546363657</v>
      </c>
      <c r="O97" s="68">
        <f>SUM(M80:M95,L84:L87)</f>
        <v>54.213904455454539</v>
      </c>
      <c r="P97" s="271">
        <f>SUM(L84:L87)</f>
        <v>5.2359744554545458</v>
      </c>
    </row>
    <row r="98" spans="1:16">
      <c r="A98" s="16" t="s">
        <v>112</v>
      </c>
      <c r="B98" s="17"/>
      <c r="C98" s="54"/>
      <c r="D98" s="54"/>
      <c r="E98" s="54"/>
      <c r="F98" s="54"/>
      <c r="G98" s="54"/>
      <c r="H98" s="54"/>
      <c r="I98" s="17"/>
      <c r="J98" s="54"/>
      <c r="K98" s="17"/>
      <c r="L98" s="54"/>
      <c r="M98" s="54"/>
      <c r="N98" s="69">
        <v>97.17</v>
      </c>
      <c r="O98" s="69">
        <v>97.17</v>
      </c>
      <c r="P98" s="156"/>
    </row>
    <row r="99" spans="1:16" ht="15.75">
      <c r="A99" s="18" t="s">
        <v>101</v>
      </c>
      <c r="B99" s="17"/>
      <c r="C99" s="54"/>
      <c r="D99" s="54"/>
      <c r="E99" s="54"/>
      <c r="F99" s="54"/>
      <c r="G99" s="54"/>
      <c r="H99" s="54"/>
      <c r="I99" s="17"/>
      <c r="J99" s="54"/>
      <c r="K99" s="17"/>
      <c r="L99" s="54"/>
      <c r="M99" s="54"/>
      <c r="N99" s="70">
        <f>SUM(N97:N98)</f>
        <v>156.98948354636366</v>
      </c>
      <c r="O99" s="69">
        <f>SUM(O97,O98)</f>
        <v>151.38390445545454</v>
      </c>
      <c r="P99" s="264"/>
    </row>
    <row r="100" spans="1:16" ht="15.75">
      <c r="A100" s="16" t="s">
        <v>113</v>
      </c>
      <c r="B100" s="17"/>
      <c r="C100" s="54"/>
      <c r="D100" s="54"/>
      <c r="E100" s="54"/>
      <c r="F100" s="54"/>
      <c r="G100" s="54"/>
      <c r="H100" s="54"/>
      <c r="I100" s="17"/>
      <c r="J100" s="54"/>
      <c r="K100" s="17"/>
      <c r="L100" s="54"/>
      <c r="M100" s="54"/>
      <c r="N100" s="260">
        <f>(N97+98.59)</f>
        <v>158.40948354636367</v>
      </c>
      <c r="O100" s="70">
        <f>SUM(98.59,O97)</f>
        <v>152.80390445545453</v>
      </c>
      <c r="P100" s="264"/>
    </row>
    <row r="101" spans="1:16">
      <c r="A101" s="88" t="s">
        <v>103</v>
      </c>
    </row>
    <row r="102" spans="1:16">
      <c r="A102" s="16" t="s">
        <v>104</v>
      </c>
    </row>
    <row r="103" spans="1:16">
      <c r="A103" s="153">
        <f>D87*60</f>
        <v>4419.9920454545454</v>
      </c>
    </row>
    <row r="104" spans="1:16">
      <c r="A104" s="16" t="s">
        <v>105</v>
      </c>
    </row>
    <row r="105" spans="1:16">
      <c r="A105" s="21">
        <f>D95*60</f>
        <v>1903.7088000000001</v>
      </c>
    </row>
    <row r="106" spans="1:16">
      <c r="A106" s="154">
        <f>A103-A105</f>
        <v>2516.2832454545451</v>
      </c>
      <c r="B106" t="s">
        <v>106</v>
      </c>
    </row>
    <row r="108" spans="1:16">
      <c r="A108" s="294"/>
      <c r="B108" s="295"/>
      <c r="C108" s="295"/>
      <c r="D108" s="295"/>
      <c r="E108" s="295"/>
      <c r="F108" s="295"/>
    </row>
    <row r="109" spans="1:16">
      <c r="A109" s="296"/>
      <c r="B109" s="199"/>
      <c r="C109" s="199"/>
      <c r="D109" s="294"/>
      <c r="E109" s="199"/>
      <c r="F109" s="199"/>
    </row>
    <row r="110" spans="1:16">
      <c r="A110" s="296"/>
      <c r="B110" s="199"/>
      <c r="C110" s="199"/>
      <c r="D110" s="294"/>
      <c r="E110" s="199"/>
      <c r="F110" s="199"/>
    </row>
    <row r="111" spans="1:16">
      <c r="A111" s="296"/>
      <c r="B111" s="199"/>
      <c r="C111" s="199"/>
      <c r="D111" s="294"/>
      <c r="E111" s="199"/>
      <c r="F111" s="199"/>
    </row>
    <row r="112" spans="1:16">
      <c r="A112" s="296"/>
      <c r="B112" s="199"/>
      <c r="C112" s="199"/>
      <c r="D112" s="294"/>
      <c r="E112" s="199"/>
      <c r="F112" s="199"/>
    </row>
    <row r="113" spans="1:6">
      <c r="A113" s="294"/>
      <c r="B113" s="294"/>
      <c r="C113" s="294"/>
      <c r="D113" s="294"/>
      <c r="E113" s="294"/>
      <c r="F113" s="199"/>
    </row>
    <row r="114" spans="1:6">
      <c r="A114" s="297"/>
      <c r="B114" s="25"/>
      <c r="C114" s="25"/>
      <c r="D114" s="25"/>
      <c r="E114" s="156"/>
      <c r="F114" s="156"/>
    </row>
  </sheetData>
  <mergeCells count="3">
    <mergeCell ref="C10:E10"/>
    <mergeCell ref="C12:E12"/>
    <mergeCell ref="G2:K9"/>
  </mergeCells>
  <pageMargins left="0.7" right="0.7" top="0.75" bottom="0.75" header="0.3" footer="0.3"/>
  <pageSetup paperSize="8"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70"/>
  <sheetViews>
    <sheetView topLeftCell="A22" workbookViewId="0">
      <selection sqref="A1:XFD1048576"/>
    </sheetView>
  </sheetViews>
  <sheetFormatPr defaultRowHeight="15"/>
  <cols>
    <col min="1" max="1" width="51.42578125" customWidth="1"/>
    <col min="2" max="2" width="26.42578125" customWidth="1"/>
    <col min="3" max="3" width="19.28515625" customWidth="1"/>
    <col min="4" max="4" width="19.7109375" customWidth="1"/>
    <col min="5" max="5" width="15.28515625" style="93" customWidth="1"/>
    <col min="6" max="6" width="20.5703125" customWidth="1"/>
    <col min="7" max="7" width="33.5703125" customWidth="1"/>
    <col min="8" max="8" width="13.140625" customWidth="1"/>
    <col min="13" max="13" width="38.42578125" customWidth="1"/>
  </cols>
  <sheetData>
    <row r="2" spans="1:13">
      <c r="A2" s="184" t="s">
        <v>114</v>
      </c>
      <c r="B2" s="114" t="s">
        <v>115</v>
      </c>
      <c r="C2" s="114" t="s">
        <v>116</v>
      </c>
      <c r="D2" s="114" t="s">
        <v>117</v>
      </c>
      <c r="E2" s="115"/>
      <c r="F2" s="20"/>
      <c r="G2" s="113" t="s">
        <v>118</v>
      </c>
      <c r="H2" s="114"/>
      <c r="I2" s="114"/>
      <c r="J2" s="114"/>
      <c r="K2" s="114"/>
      <c r="L2" s="114"/>
      <c r="M2" s="175"/>
    </row>
    <row r="3" spans="1:13">
      <c r="A3" s="102" t="s">
        <v>119</v>
      </c>
      <c r="B3" s="90" t="s">
        <v>120</v>
      </c>
      <c r="C3" s="116">
        <v>2500</v>
      </c>
      <c r="D3" s="117" t="s">
        <v>121</v>
      </c>
      <c r="E3" s="101"/>
      <c r="G3" s="99" t="s">
        <v>122</v>
      </c>
      <c r="H3" s="90"/>
      <c r="I3" s="90"/>
      <c r="J3" s="90"/>
      <c r="K3" s="90"/>
      <c r="L3" s="90"/>
      <c r="M3" s="176"/>
    </row>
    <row r="4" spans="1:13">
      <c r="A4" s="102" t="s">
        <v>123</v>
      </c>
      <c r="B4" s="25" t="s">
        <v>124</v>
      </c>
      <c r="C4" s="151">
        <f>500*44*0.56</f>
        <v>12320.000000000002</v>
      </c>
      <c r="D4" s="90" t="s">
        <v>125</v>
      </c>
      <c r="E4" s="101"/>
      <c r="G4" s="99" t="s">
        <v>126</v>
      </c>
      <c r="H4" s="90">
        <f>500*44</f>
        <v>22000</v>
      </c>
      <c r="I4" s="90" t="s">
        <v>127</v>
      </c>
      <c r="J4" s="90"/>
      <c r="K4" s="90"/>
      <c r="L4" s="90"/>
      <c r="M4" s="176"/>
    </row>
    <row r="5" spans="1:13">
      <c r="A5" s="102" t="s">
        <v>128</v>
      </c>
      <c r="B5" s="117">
        <v>690</v>
      </c>
      <c r="C5" s="117">
        <f>B5*5</f>
        <v>3450</v>
      </c>
      <c r="D5" s="117" t="s">
        <v>125</v>
      </c>
      <c r="E5" s="101"/>
      <c r="G5" s="99" t="s">
        <v>129</v>
      </c>
      <c r="H5" s="177">
        <f>H4*0.56</f>
        <v>12320.000000000002</v>
      </c>
      <c r="I5" s="90" t="s">
        <v>130</v>
      </c>
      <c r="J5" s="90"/>
      <c r="K5" s="90"/>
      <c r="L5" s="90"/>
      <c r="M5" s="176"/>
    </row>
    <row r="6" spans="1:13">
      <c r="A6" s="102" t="s">
        <v>131</v>
      </c>
      <c r="B6" s="117">
        <v>150</v>
      </c>
      <c r="C6" s="117">
        <f>B6*5</f>
        <v>750</v>
      </c>
      <c r="D6" s="90" t="s">
        <v>125</v>
      </c>
      <c r="E6" s="101"/>
      <c r="G6" s="99"/>
      <c r="H6" s="90"/>
      <c r="I6" s="90"/>
      <c r="J6" s="90"/>
      <c r="K6" s="90"/>
      <c r="L6" s="90"/>
      <c r="M6" s="176"/>
    </row>
    <row r="7" spans="1:13">
      <c r="A7" s="102" t="s">
        <v>132</v>
      </c>
      <c r="B7" s="117">
        <v>60</v>
      </c>
      <c r="C7" s="117">
        <v>60</v>
      </c>
      <c r="D7" s="117" t="s">
        <v>125</v>
      </c>
      <c r="E7" s="101"/>
      <c r="G7" s="118" t="s">
        <v>133</v>
      </c>
      <c r="H7" s="90"/>
      <c r="I7" s="90"/>
      <c r="J7" s="90"/>
      <c r="K7" s="90"/>
      <c r="L7" s="90"/>
      <c r="M7" s="176"/>
    </row>
    <row r="8" spans="1:13">
      <c r="A8" s="102" t="s">
        <v>134</v>
      </c>
      <c r="B8" s="117">
        <v>500</v>
      </c>
      <c r="C8" s="117">
        <v>500</v>
      </c>
      <c r="D8" s="117" t="s">
        <v>125</v>
      </c>
      <c r="E8" s="101"/>
      <c r="G8" s="119"/>
      <c r="H8" s="106"/>
      <c r="I8" s="106"/>
      <c r="J8" s="106"/>
      <c r="K8" s="106"/>
      <c r="L8" s="106"/>
      <c r="M8" s="178"/>
    </row>
    <row r="9" spans="1:13">
      <c r="A9" s="102" t="s">
        <v>135</v>
      </c>
      <c r="B9" s="117">
        <v>25</v>
      </c>
      <c r="C9" s="117">
        <f>B9*5</f>
        <v>125</v>
      </c>
      <c r="D9" s="117" t="s">
        <v>125</v>
      </c>
      <c r="E9" s="101"/>
    </row>
    <row r="10" spans="1:13">
      <c r="A10" s="100" t="s">
        <v>136</v>
      </c>
      <c r="B10" s="117">
        <v>780</v>
      </c>
      <c r="C10" s="117">
        <f>B10*5</f>
        <v>3900</v>
      </c>
      <c r="D10" s="117" t="s">
        <v>125</v>
      </c>
      <c r="E10" s="101"/>
    </row>
    <row r="11" spans="1:13">
      <c r="B11" s="117"/>
      <c r="C11" s="117"/>
      <c r="D11" s="117"/>
      <c r="E11" s="103" t="s">
        <v>137</v>
      </c>
      <c r="F11" s="22"/>
    </row>
    <row r="12" spans="1:13">
      <c r="A12" s="185" t="s">
        <v>85</v>
      </c>
      <c r="B12" s="186"/>
      <c r="C12" s="186"/>
      <c r="D12" s="186"/>
      <c r="E12" s="187">
        <f>SUM(C4:C10)</f>
        <v>21105</v>
      </c>
      <c r="F12" s="20"/>
    </row>
    <row r="13" spans="1:13">
      <c r="A13" s="90"/>
      <c r="B13" s="90"/>
      <c r="C13" s="90"/>
      <c r="D13" s="90"/>
      <c r="E13" s="120"/>
      <c r="F13" s="20"/>
    </row>
    <row r="14" spans="1:13">
      <c r="A14" s="147" t="s">
        <v>138</v>
      </c>
      <c r="B14" s="114"/>
      <c r="C14" s="114"/>
      <c r="D14" s="114"/>
      <c r="E14" s="115"/>
      <c r="G14" s="134"/>
      <c r="H14" s="136"/>
    </row>
    <row r="15" spans="1:13">
      <c r="A15" s="99"/>
      <c r="B15" s="90"/>
      <c r="C15" s="90"/>
      <c r="D15" s="90"/>
      <c r="E15" s="101"/>
    </row>
    <row r="16" spans="1:13">
      <c r="A16" s="121" t="s">
        <v>139</v>
      </c>
      <c r="B16" s="90" t="s">
        <v>137</v>
      </c>
      <c r="C16" s="122" t="s">
        <v>140</v>
      </c>
      <c r="D16" s="122" t="s">
        <v>141</v>
      </c>
      <c r="E16" s="123" t="s">
        <v>142</v>
      </c>
      <c r="F16" s="19"/>
    </row>
    <row r="17" spans="1:7">
      <c r="A17" s="99" t="s">
        <v>143</v>
      </c>
      <c r="B17" s="90" t="s">
        <v>144</v>
      </c>
      <c r="C17" s="117">
        <f>0.0684</f>
        <v>6.8400000000000002E-2</v>
      </c>
      <c r="D17" s="90">
        <v>1</v>
      </c>
      <c r="E17" s="101">
        <f t="shared" ref="E17" si="0">C17*D17</f>
        <v>6.8400000000000002E-2</v>
      </c>
      <c r="F17" s="20"/>
    </row>
    <row r="18" spans="1:7">
      <c r="A18" s="99" t="s">
        <v>145</v>
      </c>
      <c r="B18" s="90"/>
      <c r="C18" s="90"/>
      <c r="D18" s="90"/>
      <c r="E18" s="101">
        <v>2</v>
      </c>
      <c r="F18" s="20"/>
    </row>
    <row r="19" spans="1:7">
      <c r="A19" s="118" t="s">
        <v>146</v>
      </c>
      <c r="B19" s="131" t="s">
        <v>147</v>
      </c>
      <c r="C19" s="132"/>
      <c r="D19" s="131">
        <v>1</v>
      </c>
      <c r="E19" s="133">
        <v>20</v>
      </c>
      <c r="F19" s="20"/>
      <c r="G19" s="39"/>
    </row>
    <row r="20" spans="1:7">
      <c r="A20" s="118" t="s">
        <v>148</v>
      </c>
      <c r="B20" s="131"/>
      <c r="C20" s="132"/>
      <c r="D20" s="131"/>
      <c r="E20" s="133"/>
      <c r="F20" s="20"/>
    </row>
    <row r="21" spans="1:7">
      <c r="A21" s="118" t="s">
        <v>149</v>
      </c>
      <c r="B21" s="131"/>
      <c r="C21" s="131"/>
      <c r="D21" s="131"/>
      <c r="E21" s="133"/>
      <c r="F21" s="21"/>
    </row>
    <row r="22" spans="1:7">
      <c r="A22" s="148" t="s">
        <v>150</v>
      </c>
      <c r="B22" s="149"/>
      <c r="C22" s="149"/>
      <c r="D22" s="149"/>
      <c r="E22" s="150">
        <f>SUM(E17:E21)</f>
        <v>22.0684</v>
      </c>
      <c r="F22" s="23"/>
    </row>
    <row r="23" spans="1:7">
      <c r="A23" s="22"/>
      <c r="E23" s="94"/>
      <c r="F23" s="23"/>
    </row>
    <row r="25" spans="1:7">
      <c r="A25" s="143" t="s">
        <v>151</v>
      </c>
      <c r="B25" s="114" t="s">
        <v>137</v>
      </c>
      <c r="C25" s="114"/>
      <c r="D25" s="124" t="s">
        <v>152</v>
      </c>
      <c r="E25" s="125" t="s">
        <v>137</v>
      </c>
      <c r="F25" s="19" t="s">
        <v>153</v>
      </c>
    </row>
    <row r="26" spans="1:7" s="38" customFormat="1" ht="14.25" customHeight="1">
      <c r="A26" s="126" t="s">
        <v>154</v>
      </c>
      <c r="B26" s="127" t="s">
        <v>155</v>
      </c>
      <c r="C26" s="128" t="s">
        <v>156</v>
      </c>
      <c r="D26" s="129">
        <v>1</v>
      </c>
      <c r="E26" s="130">
        <f>D26*250</f>
        <v>250</v>
      </c>
      <c r="F26" s="137">
        <f>E26/100*1.9 +E26</f>
        <v>254.75</v>
      </c>
    </row>
    <row r="27" spans="1:7">
      <c r="A27" s="99" t="s">
        <v>157</v>
      </c>
      <c r="B27" s="90"/>
      <c r="C27" s="90"/>
      <c r="D27" s="90"/>
      <c r="E27" s="101">
        <v>0.1</v>
      </c>
      <c r="F27" s="101">
        <v>0.1</v>
      </c>
    </row>
    <row r="28" spans="1:7">
      <c r="A28" s="99"/>
      <c r="B28" s="90"/>
      <c r="C28" s="90"/>
      <c r="D28" s="90"/>
      <c r="E28" s="101"/>
    </row>
    <row r="29" spans="1:7">
      <c r="A29" s="102" t="s">
        <v>150</v>
      </c>
      <c r="B29" s="100"/>
      <c r="C29" s="100"/>
      <c r="D29" s="100"/>
      <c r="E29" s="103">
        <f>SUM(E26:E27)</f>
        <v>250.1</v>
      </c>
      <c r="F29" s="23">
        <f>SUM(F26:F28)</f>
        <v>254.85</v>
      </c>
    </row>
    <row r="30" spans="1:7">
      <c r="A30" s="144" t="s">
        <v>158</v>
      </c>
      <c r="B30" s="145"/>
      <c r="C30" s="145"/>
      <c r="D30" s="145"/>
      <c r="E30" s="146">
        <f>E29+E22</f>
        <v>272.16840000000002</v>
      </c>
      <c r="F30" s="23">
        <f>F29+E22</f>
        <v>276.91840000000002</v>
      </c>
    </row>
    <row r="31" spans="1:7">
      <c r="A31" s="22"/>
      <c r="B31" s="22"/>
      <c r="C31" s="22"/>
      <c r="D31" s="22"/>
      <c r="E31" s="94"/>
      <c r="F31" s="23"/>
    </row>
    <row r="32" spans="1:7">
      <c r="A32" s="22"/>
      <c r="B32" s="22"/>
      <c r="C32" s="22"/>
      <c r="D32" s="22"/>
      <c r="E32" s="94"/>
      <c r="F32" s="135"/>
      <c r="G32" s="39"/>
    </row>
    <row r="33" spans="1:6">
      <c r="A33" s="142" t="s">
        <v>159</v>
      </c>
      <c r="B33" s="114" t="s">
        <v>137</v>
      </c>
      <c r="C33" s="114"/>
      <c r="D33" s="124" t="s">
        <v>152</v>
      </c>
      <c r="E33" s="125" t="s">
        <v>137</v>
      </c>
      <c r="F33" s="19" t="s">
        <v>153</v>
      </c>
    </row>
    <row r="34" spans="1:6">
      <c r="A34" s="126" t="s">
        <v>160</v>
      </c>
      <c r="B34" s="127" t="s">
        <v>161</v>
      </c>
      <c r="C34" s="128" t="s">
        <v>156</v>
      </c>
      <c r="D34" s="129">
        <v>1</v>
      </c>
      <c r="E34" s="130">
        <v>75</v>
      </c>
      <c r="F34" s="137">
        <f>E34/100*1.9 +E34</f>
        <v>76.424999999999997</v>
      </c>
    </row>
    <row r="35" spans="1:6">
      <c r="A35" s="99" t="s">
        <v>157</v>
      </c>
      <c r="B35" s="90"/>
      <c r="C35" s="90"/>
      <c r="D35" s="90"/>
      <c r="E35" s="101">
        <v>0.1</v>
      </c>
      <c r="F35" s="101">
        <v>0.1</v>
      </c>
    </row>
    <row r="36" spans="1:6">
      <c r="A36" s="99"/>
      <c r="B36" s="90"/>
      <c r="C36" s="90"/>
      <c r="D36" s="90"/>
      <c r="E36" s="101"/>
      <c r="F36" s="23"/>
    </row>
    <row r="37" spans="1:6">
      <c r="A37" s="102" t="s">
        <v>150</v>
      </c>
      <c r="B37" s="100"/>
      <c r="C37" s="100"/>
      <c r="D37" s="100"/>
      <c r="E37" s="103">
        <f>SUM(E34:E35)</f>
        <v>75.099999999999994</v>
      </c>
      <c r="F37" s="23">
        <f>SUM(F34:F36)</f>
        <v>76.524999999999991</v>
      </c>
    </row>
    <row r="38" spans="1:6">
      <c r="A38" s="139" t="s">
        <v>158</v>
      </c>
      <c r="B38" s="140"/>
      <c r="C38" s="140"/>
      <c r="D38" s="140"/>
      <c r="E38" s="141">
        <f>E37+E22</f>
        <v>97.168399999999991</v>
      </c>
      <c r="F38" s="23">
        <f>F37+E22</f>
        <v>98.593399999999988</v>
      </c>
    </row>
    <row r="39" spans="1:6">
      <c r="A39" s="22"/>
      <c r="B39" s="22"/>
      <c r="C39" s="22"/>
      <c r="D39" s="22"/>
      <c r="E39" s="94"/>
      <c r="F39" s="23"/>
    </row>
    <row r="40" spans="1:6">
      <c r="A40" s="95" t="s">
        <v>162</v>
      </c>
      <c r="B40" s="22"/>
      <c r="C40" s="22"/>
      <c r="D40" s="22"/>
      <c r="E40" s="94"/>
      <c r="F40" s="23"/>
    </row>
    <row r="41" spans="1:6">
      <c r="A41" s="96" t="s">
        <v>163</v>
      </c>
      <c r="B41" s="97" t="s">
        <v>164</v>
      </c>
      <c r="C41" s="97" t="s">
        <v>165</v>
      </c>
      <c r="D41" s="97" t="s">
        <v>166</v>
      </c>
      <c r="E41" s="98" t="s">
        <v>167</v>
      </c>
      <c r="F41" s="23"/>
    </row>
    <row r="42" spans="1:6">
      <c r="A42" s="99"/>
      <c r="B42" s="100">
        <v>1600</v>
      </c>
      <c r="C42" s="90"/>
      <c r="D42" s="90"/>
      <c r="E42" s="101"/>
      <c r="F42" s="23"/>
    </row>
    <row r="43" spans="1:6">
      <c r="A43" s="102" t="s">
        <v>168</v>
      </c>
      <c r="B43" s="90"/>
      <c r="C43" s="100">
        <f>B42*0.6</f>
        <v>960</v>
      </c>
      <c r="D43" s="100"/>
      <c r="E43" s="103"/>
      <c r="F43" s="23"/>
    </row>
    <row r="44" spans="1:6">
      <c r="A44" s="102" t="s">
        <v>169</v>
      </c>
      <c r="B44" s="90"/>
      <c r="C44" s="100"/>
      <c r="D44" s="100">
        <f>C43/3*2</f>
        <v>640</v>
      </c>
      <c r="E44" s="103"/>
      <c r="F44" s="23"/>
    </row>
    <row r="45" spans="1:6">
      <c r="A45" s="107" t="s">
        <v>170</v>
      </c>
      <c r="B45" s="43"/>
      <c r="C45" s="108"/>
      <c r="D45" s="108">
        <v>380</v>
      </c>
      <c r="E45" s="109"/>
      <c r="F45" s="23"/>
    </row>
    <row r="46" spans="1:6">
      <c r="A46" s="104" t="s">
        <v>171</v>
      </c>
      <c r="B46" s="105"/>
      <c r="C46" s="105"/>
      <c r="D46" s="106"/>
      <c r="E46" s="299">
        <f>D45*5</f>
        <v>1900</v>
      </c>
      <c r="F46" s="135"/>
    </row>
    <row r="47" spans="1:6">
      <c r="A47" s="100"/>
      <c r="B47" s="100"/>
      <c r="C47" s="100"/>
      <c r="D47" s="90"/>
      <c r="E47" s="100"/>
      <c r="F47" s="23"/>
    </row>
    <row r="48" spans="1:6">
      <c r="A48" s="22"/>
      <c r="B48" s="22"/>
      <c r="C48" s="22"/>
      <c r="D48" s="22"/>
      <c r="E48" s="167" t="s">
        <v>172</v>
      </c>
      <c r="F48" s="167" t="s">
        <v>173</v>
      </c>
    </row>
    <row r="49" spans="1:6">
      <c r="A49" s="22" t="s">
        <v>174</v>
      </c>
      <c r="B49" s="22"/>
      <c r="C49" s="22"/>
      <c r="D49" s="22"/>
      <c r="E49" s="94">
        <f>E30*D44</f>
        <v>174187.77600000001</v>
      </c>
      <c r="F49" s="94">
        <f>F30*D44</f>
        <v>177227.77600000001</v>
      </c>
    </row>
    <row r="50" spans="1:6">
      <c r="A50" s="22" t="s">
        <v>175</v>
      </c>
      <c r="B50" s="22"/>
      <c r="C50" s="22"/>
      <c r="D50" s="22"/>
      <c r="E50" s="94">
        <f>E38*E46</f>
        <v>184619.96</v>
      </c>
      <c r="F50" s="94">
        <f>F38*E46</f>
        <v>187327.46</v>
      </c>
    </row>
    <row r="51" spans="1:6" ht="15.75">
      <c r="A51" s="110" t="s">
        <v>176</v>
      </c>
      <c r="B51" s="111"/>
      <c r="C51" s="111"/>
      <c r="D51" s="111"/>
      <c r="E51" s="112">
        <f>SUM(E49,E50)</f>
        <v>358807.73600000003</v>
      </c>
      <c r="F51" s="112">
        <f>SUM(F49,F50)</f>
        <v>364555.23600000003</v>
      </c>
    </row>
    <row r="52" spans="1:6">
      <c r="F52" s="20"/>
    </row>
    <row r="53" spans="1:6">
      <c r="A53" s="158" t="s">
        <v>177</v>
      </c>
      <c r="B53" s="158"/>
      <c r="C53" s="158"/>
      <c r="D53" s="158"/>
      <c r="E53" s="159">
        <v>21105</v>
      </c>
      <c r="F53" s="159">
        <v>21105</v>
      </c>
    </row>
    <row r="55" spans="1:6" ht="18.75">
      <c r="A55" s="160" t="s">
        <v>178</v>
      </c>
      <c r="B55" s="161"/>
      <c r="C55" s="161"/>
      <c r="D55" s="161"/>
      <c r="E55" s="165">
        <f>SUM(E51,E53)</f>
        <v>379912.73600000003</v>
      </c>
      <c r="F55" s="166">
        <f>SUM(F51,F53)</f>
        <v>385660.23600000003</v>
      </c>
    </row>
    <row r="56" spans="1:6">
      <c r="A56" s="163" t="s">
        <v>179</v>
      </c>
      <c r="B56" s="161"/>
      <c r="C56" s="164"/>
      <c r="D56" s="161"/>
      <c r="E56" s="162"/>
      <c r="F56" s="164"/>
    </row>
    <row r="57" spans="1:6">
      <c r="C57" s="20"/>
      <c r="F57" s="20"/>
    </row>
    <row r="58" spans="1:6">
      <c r="B58" s="20"/>
      <c r="C58" s="20"/>
      <c r="F58" s="20"/>
    </row>
    <row r="59" spans="1:6">
      <c r="B59" s="20"/>
      <c r="C59" s="20"/>
      <c r="F59" s="20"/>
    </row>
    <row r="60" spans="1:6">
      <c r="C60" s="20"/>
      <c r="F60" s="20"/>
    </row>
    <row r="61" spans="1:6">
      <c r="C61" s="20"/>
      <c r="F61" s="20"/>
    </row>
    <row r="62" spans="1:6">
      <c r="F62" s="20"/>
    </row>
    <row r="63" spans="1:6">
      <c r="A63" s="22"/>
      <c r="E63" s="94"/>
      <c r="F63" s="23"/>
    </row>
    <row r="64" spans="1:6">
      <c r="B64" s="24"/>
      <c r="F64" s="20"/>
    </row>
    <row r="65" spans="1:6">
      <c r="A65" s="19"/>
    </row>
    <row r="66" spans="1:6">
      <c r="F66" s="20"/>
    </row>
    <row r="67" spans="1:6">
      <c r="A67" s="24"/>
      <c r="F67" s="20"/>
    </row>
    <row r="70" spans="1:6">
      <c r="E70" s="94"/>
      <c r="F70" s="23"/>
    </row>
  </sheetData>
  <pageMargins left="0.7" right="0.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opLeftCell="A10" workbookViewId="0">
      <selection activeCell="D43" sqref="D43"/>
    </sheetView>
  </sheetViews>
  <sheetFormatPr defaultRowHeight="15"/>
  <cols>
    <col min="1" max="1" width="39.140625" customWidth="1"/>
    <col min="2" max="2" width="20.85546875" customWidth="1"/>
    <col min="3" max="3" width="20.140625" customWidth="1"/>
    <col min="4" max="4" width="18.28515625" customWidth="1"/>
    <col min="5" max="5" width="17.7109375" customWidth="1"/>
    <col min="6" max="6" width="18.140625" customWidth="1"/>
    <col min="7" max="7" width="17.85546875" customWidth="1"/>
    <col min="9" max="9" width="11.28515625" customWidth="1"/>
    <col min="10" max="10" width="12.140625" customWidth="1"/>
  </cols>
  <sheetData>
    <row r="1" spans="1:8" ht="45">
      <c r="A1" s="277"/>
      <c r="B1" s="278" t="s">
        <v>180</v>
      </c>
      <c r="C1" s="278" t="s">
        <v>181</v>
      </c>
      <c r="D1" s="279" t="s">
        <v>182</v>
      </c>
    </row>
    <row r="2" spans="1:8">
      <c r="A2" s="280" t="s">
        <v>183</v>
      </c>
      <c r="B2" s="281">
        <v>51.57</v>
      </c>
      <c r="C2" s="277">
        <v>1600</v>
      </c>
      <c r="D2" s="281">
        <v>51.57</v>
      </c>
    </row>
    <row r="3" spans="1:8">
      <c r="A3" s="280" t="s">
        <v>184</v>
      </c>
      <c r="B3" s="282">
        <v>5.24</v>
      </c>
      <c r="C3" s="277">
        <v>960</v>
      </c>
      <c r="D3" s="281">
        <f>B3*C3</f>
        <v>5030.4000000000005</v>
      </c>
    </row>
    <row r="4" spans="1:8">
      <c r="A4" s="280" t="s">
        <v>87</v>
      </c>
      <c r="B4" s="281">
        <v>5.24</v>
      </c>
      <c r="C4" s="277">
        <v>640</v>
      </c>
      <c r="D4" s="281">
        <f>B4*C4</f>
        <v>3353.6000000000004</v>
      </c>
    </row>
    <row r="5" spans="1:8">
      <c r="A5" s="280" t="s">
        <v>107</v>
      </c>
      <c r="B5" s="281">
        <v>5.24</v>
      </c>
      <c r="C5" s="277">
        <v>1900</v>
      </c>
      <c r="D5" s="281">
        <f>B5*C5</f>
        <v>9956</v>
      </c>
    </row>
    <row r="6" spans="1:8">
      <c r="A6" s="277"/>
      <c r="B6" s="277"/>
      <c r="C6" s="277"/>
      <c r="D6" s="277"/>
    </row>
    <row r="7" spans="1:8">
      <c r="A7" s="285"/>
      <c r="B7" s="286"/>
      <c r="C7" s="286"/>
      <c r="D7" s="287">
        <f>SUM(D2:D5)</f>
        <v>18391.57</v>
      </c>
    </row>
    <row r="8" spans="1:8" s="25" customFormat="1">
      <c r="D8" s="156"/>
      <c r="G8"/>
      <c r="H8"/>
    </row>
    <row r="9" spans="1:8">
      <c r="A9" s="283" t="s">
        <v>185</v>
      </c>
      <c r="B9" s="272"/>
      <c r="C9" s="273">
        <v>242440.75350000002</v>
      </c>
      <c r="D9" s="273"/>
    </row>
    <row r="10" spans="1:8">
      <c r="A10" s="95" t="s">
        <v>186</v>
      </c>
      <c r="B10" s="22"/>
      <c r="C10" s="284">
        <v>250000</v>
      </c>
    </row>
    <row r="11" spans="1:8">
      <c r="A11" s="95" t="s">
        <v>187</v>
      </c>
      <c r="B11" s="22"/>
      <c r="C11" s="284">
        <v>125000</v>
      </c>
    </row>
    <row r="13" spans="1:8">
      <c r="A13" s="22"/>
      <c r="B13" s="22"/>
      <c r="C13" s="138" t="s">
        <v>172</v>
      </c>
      <c r="D13" s="138" t="s">
        <v>173</v>
      </c>
      <c r="E13" s="309" t="s">
        <v>188</v>
      </c>
      <c r="F13" s="309" t="s">
        <v>189</v>
      </c>
    </row>
    <row r="14" spans="1:8">
      <c r="A14" s="22" t="s">
        <v>174</v>
      </c>
      <c r="B14" s="22"/>
      <c r="C14" s="94">
        <v>174187.77600000001</v>
      </c>
      <c r="D14" s="94">
        <v>177227.77600000001</v>
      </c>
    </row>
    <row r="15" spans="1:8">
      <c r="A15" s="22" t="s">
        <v>175</v>
      </c>
      <c r="B15" s="22"/>
      <c r="C15" s="94">
        <v>184619.96</v>
      </c>
      <c r="D15" s="94">
        <v>187327.46</v>
      </c>
    </row>
    <row r="16" spans="1:8" ht="15.75">
      <c r="A16" s="110" t="s">
        <v>176</v>
      </c>
      <c r="B16" s="111"/>
      <c r="C16" s="112">
        <v>358807.73600000003</v>
      </c>
      <c r="D16" s="112">
        <v>364555.23600000003</v>
      </c>
    </row>
    <row r="17" spans="1:6">
      <c r="A17" s="157"/>
      <c r="B17" s="13"/>
    </row>
    <row r="18" spans="1:6" ht="15.75">
      <c r="A18" s="110" t="s">
        <v>177</v>
      </c>
      <c r="B18" s="111"/>
      <c r="C18" s="183">
        <v>21105</v>
      </c>
      <c r="D18" s="183">
        <v>21105</v>
      </c>
      <c r="E18" s="111"/>
      <c r="F18" s="111"/>
    </row>
    <row r="19" spans="1:6" ht="15.75">
      <c r="A19" s="110" t="s">
        <v>190</v>
      </c>
      <c r="B19" s="111"/>
      <c r="C19" s="183">
        <v>21105</v>
      </c>
      <c r="D19" s="183"/>
      <c r="E19" s="111"/>
      <c r="F19" s="111"/>
    </row>
    <row r="20" spans="1:6" ht="15.75">
      <c r="A20" s="110" t="s">
        <v>191</v>
      </c>
      <c r="B20" s="111"/>
      <c r="C20" s="183"/>
      <c r="D20" s="183">
        <v>15970.000000000002</v>
      </c>
      <c r="E20" s="111"/>
      <c r="F20" s="111"/>
    </row>
    <row r="21" spans="1:6" ht="15.75">
      <c r="A21" s="110" t="s">
        <v>192</v>
      </c>
      <c r="B21" s="111"/>
      <c r="C21" s="183"/>
      <c r="D21" s="183"/>
      <c r="E21" s="311">
        <v>15970.000000000002</v>
      </c>
      <c r="F21" s="310"/>
    </row>
    <row r="22" spans="1:6" ht="15.75">
      <c r="A22" s="110" t="s">
        <v>193</v>
      </c>
      <c r="B22" s="111"/>
      <c r="C22" s="183"/>
      <c r="D22" s="183"/>
      <c r="E22" s="310"/>
      <c r="F22" s="311">
        <v>18470</v>
      </c>
    </row>
    <row r="23" spans="1:6" s="275" customFormat="1" ht="15.75">
      <c r="A23" s="274"/>
      <c r="C23" s="276"/>
      <c r="D23" s="276"/>
    </row>
    <row r="24" spans="1:6">
      <c r="A24" s="110" t="s">
        <v>194</v>
      </c>
      <c r="B24" s="111"/>
      <c r="C24" s="273">
        <v>18391.57</v>
      </c>
      <c r="D24" s="273">
        <v>18391.57</v>
      </c>
    </row>
    <row r="25" spans="1:6">
      <c r="A25" s="157"/>
      <c r="B25" s="13"/>
      <c r="C25" s="180"/>
      <c r="D25" s="180"/>
    </row>
    <row r="26" spans="1:6" ht="15.75">
      <c r="A26" s="170" t="s">
        <v>195</v>
      </c>
      <c r="B26" s="171"/>
      <c r="C26" s="179"/>
      <c r="D26" s="298"/>
      <c r="E26" s="39" t="s">
        <v>196</v>
      </c>
    </row>
    <row r="27" spans="1:6" ht="15.75">
      <c r="A27" s="181"/>
      <c r="B27" s="182"/>
      <c r="C27" s="300"/>
      <c r="D27" s="182"/>
      <c r="E27" s="39"/>
    </row>
    <row r="28" spans="1:6" ht="15.75">
      <c r="A28" s="181"/>
      <c r="B28" s="182"/>
      <c r="C28" s="182"/>
      <c r="D28" s="39"/>
    </row>
    <row r="29" spans="1:6" ht="15.75">
      <c r="A29" s="168"/>
      <c r="B29" s="169" t="s">
        <v>172</v>
      </c>
      <c r="C29" s="169" t="s">
        <v>173</v>
      </c>
    </row>
    <row r="30" spans="1:6" ht="15.75">
      <c r="A30" s="170" t="s">
        <v>197</v>
      </c>
      <c r="B30" s="172">
        <f>SUM(C16,C18,C24,C26)</f>
        <v>398304.30600000004</v>
      </c>
      <c r="C30" s="172">
        <f>SUM(D16,D18,D24,D26)</f>
        <v>404051.80600000004</v>
      </c>
      <c r="D30" s="39" t="s">
        <v>198</v>
      </c>
    </row>
    <row r="31" spans="1:6" ht="15.75">
      <c r="A31" s="171" t="s">
        <v>199</v>
      </c>
      <c r="B31" s="171"/>
      <c r="C31" s="171"/>
    </row>
    <row r="33" spans="1:7" ht="15" customHeight="1">
      <c r="E33" s="324" t="s">
        <v>200</v>
      </c>
      <c r="F33" s="324"/>
      <c r="G33" s="324"/>
    </row>
    <row r="34" spans="1:7" ht="15.75">
      <c r="A34" s="173" t="s">
        <v>201</v>
      </c>
      <c r="B34" s="174"/>
      <c r="C34" s="174">
        <f>SUM(D16,D20,D24,C9)-C11</f>
        <v>516357.55950000009</v>
      </c>
      <c r="E34" s="325"/>
      <c r="F34" s="325"/>
      <c r="G34" s="325"/>
    </row>
    <row r="35" spans="1:7" ht="15.75">
      <c r="A35" s="173" t="s">
        <v>202</v>
      </c>
      <c r="B35" s="173"/>
      <c r="C35" s="173"/>
      <c r="E35" s="325"/>
      <c r="F35" s="325"/>
      <c r="G35" s="325"/>
    </row>
    <row r="36" spans="1:7">
      <c r="E36" s="325"/>
      <c r="F36" s="325"/>
      <c r="G36" s="325"/>
    </row>
    <row r="37" spans="1:7" ht="15.75">
      <c r="A37" s="173" t="s">
        <v>203</v>
      </c>
      <c r="B37" s="174"/>
      <c r="C37" s="174">
        <f>SUM(C9,D16,E21,D24, D26)</f>
        <v>641357.55949999997</v>
      </c>
      <c r="E37" s="325"/>
      <c r="F37" s="325"/>
      <c r="G37" s="325"/>
    </row>
    <row r="38" spans="1:7" ht="15.75">
      <c r="A38" s="173" t="s">
        <v>202</v>
      </c>
      <c r="B38" s="173"/>
      <c r="C38" s="173"/>
      <c r="E38" s="325"/>
      <c r="F38" s="325"/>
      <c r="G38" s="325"/>
    </row>
    <row r="39" spans="1:7">
      <c r="E39" s="325"/>
      <c r="F39" s="325"/>
      <c r="G39" s="325"/>
    </row>
    <row r="40" spans="1:7" ht="15.75">
      <c r="A40" s="173" t="s">
        <v>204</v>
      </c>
      <c r="B40" s="174"/>
      <c r="C40" s="174">
        <f>SUM(D7,C9,D16,F22)</f>
        <v>643857.55950000009</v>
      </c>
      <c r="E40" s="325"/>
      <c r="F40" s="325"/>
      <c r="G40" s="325"/>
    </row>
    <row r="41" spans="1:7" ht="15.75">
      <c r="A41" s="173" t="s">
        <v>202</v>
      </c>
      <c r="B41" s="173"/>
      <c r="C41" s="173"/>
    </row>
  </sheetData>
  <mergeCells count="1">
    <mergeCell ref="E33:G4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tabSelected="1" workbookViewId="0">
      <selection activeCell="E45" sqref="E45"/>
    </sheetView>
  </sheetViews>
  <sheetFormatPr defaultRowHeight="15"/>
  <cols>
    <col min="1" max="1" width="45.7109375" customWidth="1"/>
    <col min="2" max="2" width="27.5703125" customWidth="1"/>
    <col min="3" max="3" width="22.7109375" customWidth="1"/>
    <col min="4" max="4" width="23.42578125" customWidth="1"/>
    <col min="5" max="5" width="28.42578125" customWidth="1"/>
  </cols>
  <sheetData>
    <row r="1" spans="1:7">
      <c r="A1" s="184" t="s">
        <v>114</v>
      </c>
      <c r="B1" s="114" t="s">
        <v>115</v>
      </c>
      <c r="C1" s="114" t="s">
        <v>116</v>
      </c>
      <c r="D1" s="114" t="s">
        <v>117</v>
      </c>
      <c r="E1" s="115"/>
    </row>
    <row r="2" spans="1:7">
      <c r="A2" s="102" t="s">
        <v>119</v>
      </c>
      <c r="B2" s="90" t="s">
        <v>120</v>
      </c>
      <c r="C2" s="116">
        <v>2500</v>
      </c>
      <c r="D2" s="117" t="s">
        <v>121</v>
      </c>
      <c r="E2" s="101"/>
    </row>
    <row r="3" spans="1:7">
      <c r="A3" s="102" t="s">
        <v>123</v>
      </c>
      <c r="B3" s="25" t="s">
        <v>124</v>
      </c>
      <c r="C3" s="151">
        <f>500*44*0.56</f>
        <v>12320.000000000002</v>
      </c>
      <c r="D3" s="90" t="s">
        <v>125</v>
      </c>
      <c r="E3" s="101"/>
    </row>
    <row r="4" spans="1:7">
      <c r="A4" s="102" t="s">
        <v>205</v>
      </c>
      <c r="B4" s="117">
        <v>690</v>
      </c>
      <c r="C4" s="117">
        <f>B4*5</f>
        <v>3450</v>
      </c>
      <c r="D4" s="117" t="s">
        <v>125</v>
      </c>
      <c r="E4" s="101"/>
    </row>
    <row r="5" spans="1:7">
      <c r="A5" s="102" t="s">
        <v>206</v>
      </c>
      <c r="B5" s="117">
        <v>150</v>
      </c>
      <c r="C5" s="117">
        <f>B5*5</f>
        <v>750</v>
      </c>
      <c r="D5" s="90" t="s">
        <v>125</v>
      </c>
      <c r="E5" s="101"/>
    </row>
    <row r="6" spans="1:7">
      <c r="A6" s="102" t="s">
        <v>207</v>
      </c>
      <c r="B6" s="117">
        <v>60</v>
      </c>
      <c r="C6" s="117">
        <v>60</v>
      </c>
      <c r="D6" s="117" t="s">
        <v>125</v>
      </c>
      <c r="E6" s="101"/>
    </row>
    <row r="7" spans="1:7">
      <c r="A7" s="102" t="s">
        <v>208</v>
      </c>
      <c r="B7" s="117">
        <v>500</v>
      </c>
      <c r="C7" s="117">
        <v>500</v>
      </c>
      <c r="D7" s="117" t="s">
        <v>125</v>
      </c>
      <c r="E7" s="101"/>
    </row>
    <row r="8" spans="1:7">
      <c r="A8" s="102" t="s">
        <v>209</v>
      </c>
      <c r="B8" s="117">
        <v>25</v>
      </c>
      <c r="C8" s="117">
        <f>B8*5</f>
        <v>125</v>
      </c>
      <c r="D8" s="117" t="s">
        <v>125</v>
      </c>
      <c r="E8" s="101"/>
    </row>
    <row r="9" spans="1:7">
      <c r="A9" s="100" t="s">
        <v>210</v>
      </c>
      <c r="B9" s="117">
        <v>780</v>
      </c>
      <c r="C9" s="117">
        <f>B9*5</f>
        <v>3900</v>
      </c>
      <c r="D9" s="117" t="s">
        <v>125</v>
      </c>
      <c r="E9" s="101"/>
      <c r="G9" t="s">
        <v>211</v>
      </c>
    </row>
    <row r="10" spans="1:7">
      <c r="B10" s="117"/>
      <c r="C10" s="117"/>
      <c r="D10" s="117"/>
      <c r="E10" s="103" t="s">
        <v>137</v>
      </c>
      <c r="G10" t="s">
        <v>212</v>
      </c>
    </row>
    <row r="11" spans="1:7">
      <c r="A11" s="185" t="s">
        <v>85</v>
      </c>
      <c r="B11" s="186"/>
      <c r="C11" s="186"/>
      <c r="D11" s="186"/>
      <c r="E11" s="187">
        <f>SUM(C3:C9)</f>
        <v>21105</v>
      </c>
    </row>
    <row r="14" spans="1:7">
      <c r="A14" s="110" t="s">
        <v>213</v>
      </c>
      <c r="B14" s="111"/>
      <c r="C14" s="111"/>
      <c r="D14" s="111"/>
      <c r="E14" s="111"/>
    </row>
    <row r="15" spans="1:7">
      <c r="A15" s="102" t="s">
        <v>123</v>
      </c>
      <c r="B15" s="25" t="s">
        <v>124</v>
      </c>
      <c r="C15" s="151">
        <f>500*44*0.56</f>
        <v>12320.000000000002</v>
      </c>
    </row>
    <row r="16" spans="1:7">
      <c r="A16" s="102" t="s">
        <v>128</v>
      </c>
      <c r="B16" s="301">
        <v>690</v>
      </c>
      <c r="C16" s="117">
        <f>B16*5</f>
        <v>3450</v>
      </c>
    </row>
    <row r="17" spans="1:5">
      <c r="A17" s="102" t="s">
        <v>131</v>
      </c>
      <c r="B17" s="301">
        <v>150</v>
      </c>
      <c r="C17" s="117">
        <f>B17*5</f>
        <v>750</v>
      </c>
    </row>
    <row r="18" spans="1:5">
      <c r="A18" s="102" t="s">
        <v>132</v>
      </c>
      <c r="B18" s="301">
        <v>60</v>
      </c>
      <c r="C18" s="117">
        <v>60</v>
      </c>
    </row>
    <row r="19" spans="1:5">
      <c r="A19" s="102" t="s">
        <v>134</v>
      </c>
      <c r="B19" s="301">
        <v>500</v>
      </c>
      <c r="C19" s="117">
        <v>500</v>
      </c>
    </row>
    <row r="20" spans="1:5">
      <c r="A20" s="102" t="s">
        <v>135</v>
      </c>
      <c r="B20" s="301">
        <v>25</v>
      </c>
      <c r="C20" s="117">
        <f>B20*5</f>
        <v>125</v>
      </c>
    </row>
    <row r="21" spans="1:5">
      <c r="A21" s="100" t="s">
        <v>136</v>
      </c>
      <c r="B21" s="301">
        <v>780</v>
      </c>
      <c r="C21" s="117">
        <f>B21*5</f>
        <v>3900</v>
      </c>
    </row>
    <row r="22" spans="1:5">
      <c r="A22" s="105"/>
      <c r="B22" s="302"/>
      <c r="C22" s="302"/>
      <c r="D22" s="106"/>
      <c r="E22" s="303">
        <f>SUM(C15:C21)</f>
        <v>21105</v>
      </c>
    </row>
    <row r="23" spans="1:5">
      <c r="A23" s="100"/>
      <c r="B23" s="117"/>
      <c r="C23" s="117"/>
    </row>
    <row r="25" spans="1:5">
      <c r="A25" s="304" t="s">
        <v>214</v>
      </c>
      <c r="B25" s="111"/>
      <c r="C25" s="111"/>
      <c r="D25" s="111"/>
      <c r="E25" s="111"/>
    </row>
    <row r="26" spans="1:5">
      <c r="A26" s="102" t="s">
        <v>123</v>
      </c>
      <c r="B26" s="25" t="s">
        <v>124</v>
      </c>
      <c r="C26" s="151">
        <f>500*44*0.56</f>
        <v>12320.000000000002</v>
      </c>
    </row>
    <row r="27" spans="1:5">
      <c r="A27" s="102" t="s">
        <v>134</v>
      </c>
      <c r="B27" s="301">
        <v>500</v>
      </c>
      <c r="C27" s="117">
        <v>500</v>
      </c>
    </row>
    <row r="28" spans="1:5">
      <c r="A28" s="100" t="s">
        <v>215</v>
      </c>
      <c r="B28" s="117" t="s">
        <v>216</v>
      </c>
      <c r="C28" s="117">
        <f>(40*12)*5</f>
        <v>2400</v>
      </c>
    </row>
    <row r="29" spans="1:5">
      <c r="A29" s="102" t="s">
        <v>131</v>
      </c>
      <c r="B29" s="301">
        <v>150</v>
      </c>
      <c r="C29" s="117">
        <f>B29*5</f>
        <v>750</v>
      </c>
    </row>
    <row r="30" spans="1:5">
      <c r="A30" s="105"/>
      <c r="B30" s="305"/>
      <c r="C30" s="302"/>
      <c r="D30" s="106"/>
      <c r="E30" s="303">
        <f>SUM(C26:C29)</f>
        <v>15970.000000000002</v>
      </c>
    </row>
    <row r="32" spans="1:5">
      <c r="A32" s="304" t="s">
        <v>217</v>
      </c>
      <c r="B32" s="111"/>
      <c r="C32" s="111"/>
      <c r="D32" s="111"/>
      <c r="E32" s="111"/>
    </row>
    <row r="33" spans="1:5">
      <c r="A33" s="102" t="s">
        <v>123</v>
      </c>
      <c r="B33" s="25" t="s">
        <v>124</v>
      </c>
      <c r="C33" s="151">
        <f>500*44*0.56</f>
        <v>12320.000000000002</v>
      </c>
    </row>
    <row r="34" spans="1:5">
      <c r="A34" s="102" t="s">
        <v>134</v>
      </c>
      <c r="B34" s="301">
        <v>500</v>
      </c>
      <c r="C34" s="117">
        <v>500</v>
      </c>
    </row>
    <row r="35" spans="1:5">
      <c r="A35" s="100" t="s">
        <v>215</v>
      </c>
      <c r="B35" s="301">
        <v>40</v>
      </c>
      <c r="C35" s="117">
        <f>(40*12)*5</f>
        <v>2400</v>
      </c>
    </row>
    <row r="36" spans="1:5">
      <c r="A36" s="102" t="s">
        <v>131</v>
      </c>
      <c r="B36" s="301">
        <v>150</v>
      </c>
      <c r="C36" s="117">
        <f>B36*5</f>
        <v>750</v>
      </c>
    </row>
    <row r="37" spans="1:5">
      <c r="A37" s="105"/>
      <c r="B37" s="305"/>
      <c r="C37" s="302"/>
      <c r="D37" s="106"/>
      <c r="E37" s="303">
        <f>SUM(C33:C36)</f>
        <v>15970.000000000002</v>
      </c>
    </row>
    <row r="39" spans="1:5">
      <c r="A39" s="304" t="s">
        <v>218</v>
      </c>
      <c r="B39" s="111"/>
      <c r="C39" s="111"/>
      <c r="D39" s="111"/>
      <c r="E39" s="111"/>
    </row>
    <row r="40" spans="1:5">
      <c r="A40" s="102" t="s">
        <v>123</v>
      </c>
      <c r="B40" s="25" t="s">
        <v>124</v>
      </c>
      <c r="C40" s="151">
        <f>500*44*0.56</f>
        <v>12320.000000000002</v>
      </c>
    </row>
    <row r="41" spans="1:5">
      <c r="A41" s="102" t="s">
        <v>134</v>
      </c>
      <c r="B41" s="301">
        <v>500</v>
      </c>
      <c r="C41" s="117">
        <v>500</v>
      </c>
    </row>
    <row r="42" spans="1:5">
      <c r="A42" s="100" t="s">
        <v>215</v>
      </c>
      <c r="B42" s="117" t="s">
        <v>216</v>
      </c>
      <c r="C42" s="117">
        <f>(40*12)*5</f>
        <v>2400</v>
      </c>
    </row>
    <row r="43" spans="1:5">
      <c r="A43" s="102" t="s">
        <v>119</v>
      </c>
      <c r="B43" s="90" t="s">
        <v>120</v>
      </c>
      <c r="C43" s="306">
        <v>2500</v>
      </c>
      <c r="D43" s="117" t="s">
        <v>219</v>
      </c>
      <c r="E43" s="120"/>
    </row>
    <row r="44" spans="1:5">
      <c r="A44" s="102" t="s">
        <v>131</v>
      </c>
      <c r="B44" s="301">
        <v>150</v>
      </c>
      <c r="C44" s="117">
        <f>B44*5</f>
        <v>750</v>
      </c>
    </row>
    <row r="45" spans="1:5">
      <c r="A45" s="307"/>
      <c r="B45" s="307"/>
      <c r="C45" s="307"/>
      <c r="D45" s="307"/>
      <c r="E45" s="308">
        <f>SUM(C40:C44)</f>
        <v>18470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186003A03CD40B3A610C9BC57CA65" ma:contentTypeVersion="10" ma:contentTypeDescription="Create a new document." ma:contentTypeScope="" ma:versionID="1caa22485ce72e5be85845cbc8cf289e">
  <xsd:schema xmlns:xsd="http://www.w3.org/2001/XMLSchema" xmlns:xs="http://www.w3.org/2001/XMLSchema" xmlns:p="http://schemas.microsoft.com/office/2006/metadata/properties" xmlns:ns2="a3e8a4da-d3d7-4ced-984a-b0cae2f5c114" xmlns:ns3="70a8c163-9edb-4c90-b199-1456d4b92c98" targetNamespace="http://schemas.microsoft.com/office/2006/metadata/properties" ma:root="true" ma:fieldsID="cf0e47c292e11d61404fd78db48ffeb4" ns2:_="" ns3:_="">
    <xsd:import namespace="a3e8a4da-d3d7-4ced-984a-b0cae2f5c114"/>
    <xsd:import namespace="70a8c163-9edb-4c90-b199-1456d4b92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8a4da-d3d7-4ced-984a-b0cae2f5c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8c163-9edb-4c90-b199-1456d4b92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8EAD2-4000-4C97-9BBF-AABC43488B45}"/>
</file>

<file path=customXml/itemProps2.xml><?xml version="1.0" encoding="utf-8"?>
<ds:datastoreItem xmlns:ds="http://schemas.openxmlformats.org/officeDocument/2006/customXml" ds:itemID="{C129CD73-D7B6-4C9C-8164-FB189CD00324}"/>
</file>

<file path=customXml/itemProps3.xml><?xml version="1.0" encoding="utf-8"?>
<ds:datastoreItem xmlns:ds="http://schemas.openxmlformats.org/officeDocument/2006/customXml" ds:itemID="{F78FBE0B-0A5E-47E3-B11D-71C5C866B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Rogers</dc:creator>
  <cp:keywords/>
  <dc:description/>
  <cp:lastModifiedBy>HEEGER, Gregory (HEALTH INNOVATION NETWORK SOUTH LONDON)</cp:lastModifiedBy>
  <cp:revision/>
  <dcterms:created xsi:type="dcterms:W3CDTF">2015-09-30T13:55:42Z</dcterms:created>
  <dcterms:modified xsi:type="dcterms:W3CDTF">2019-08-05T11:09:36Z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0x010100DB5186003A03CD40B3A610C9BC57CA65</vt:lpwstr>
  </property>
</Properties>
</file>