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hsengland-my.sharepoint.com/personal/yesmin_gomez_england_nhs_uk/Documents/Desktop/Vaccs requests/Pseudo-ID Issues Regional files/"/>
    </mc:Choice>
  </mc:AlternateContent>
  <xr:revisionPtr revIDLastSave="16" documentId="8_{60E4227A-FC68-4712-AB49-6AA293004102}" xr6:coauthVersionLast="47" xr6:coauthVersionMax="47" xr10:uidLastSave="{D1853C39-9A7F-4A35-A965-58C4D719BD11}"/>
  <workbookProtection workbookAlgorithmName="SHA-512" workbookHashValue="vLJ6VLASFCTdrUd49wz10/KFI/HroKVc7ErjQwXr4Pl9jUgT/41aTC3x8IZuaGQPJ9C+g0N0xOm+hJwm80D+wg==" workbookSaltValue="xEc1xC4XxYyobPEh56D5cQ==" workbookSpinCount="100000" lockStructure="1"/>
  <bookViews>
    <workbookView xWindow="-110" yWindow="-110" windowWidth="22780" windowHeight="14660" xr2:uid="{68E0B4F1-C46B-4D5D-A8E1-113A83202D44}"/>
  </bookViews>
  <sheets>
    <sheet name="Introduction" sheetId="4" r:id="rId1"/>
    <sheet name="Records failing" sheetId="8" r:id="rId2"/>
    <sheet name="Data" sheetId="2" state="hidden" r:id="rId3"/>
    <sheet name="Definitions" sheetId="6" r:id="rId4"/>
    <sheet name="Logic" sheetId="1" r:id="rId5"/>
    <sheet name="Abbreviations_Glossary" sheetId="9" r:id="rId6"/>
    <sheet name="Suggestions" sheetId="10" r:id="rId7"/>
    <sheet name="Edd data" sheetId="7" state="hidden" r:id="rId8"/>
  </sheets>
  <definedNames>
    <definedName name="_xlnm._FilterDatabase" localSheetId="7" hidden="1">'Edd data'!$A$1:$U$21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7" l="1"/>
  <c r="D3" i="7"/>
  <c r="D4" i="7"/>
  <c r="D5" i="7"/>
  <c r="D6" i="7"/>
  <c r="D7" i="7"/>
  <c r="D8" i="7"/>
  <c r="D9" i="7"/>
  <c r="D21" i="7"/>
  <c r="D20" i="7"/>
  <c r="D16" i="7"/>
  <c r="D17" i="7"/>
  <c r="D18" i="7"/>
  <c r="D19" i="7"/>
  <c r="D14" i="7"/>
  <c r="D15" i="7"/>
  <c r="D10" i="7"/>
  <c r="D11" i="7"/>
  <c r="D12" i="7"/>
  <c r="D13" i="7"/>
  <c r="D33" i="8"/>
  <c r="D32" i="8"/>
  <c r="D31" i="8"/>
  <c r="D30" i="8"/>
  <c r="D29" i="8"/>
  <c r="D28" i="8"/>
  <c r="D27" i="8"/>
  <c r="D24" i="8"/>
  <c r="D23" i="8"/>
  <c r="D22" i="8"/>
  <c r="D21" i="8"/>
  <c r="D20" i="8"/>
  <c r="D19" i="8"/>
  <c r="D18" i="8"/>
  <c r="D14" i="8"/>
  <c r="D10" i="8"/>
  <c r="D9" i="8"/>
  <c r="AI19" i="2"/>
  <c r="B16" i="2"/>
  <c r="D11" i="2"/>
  <c r="E19" i="2"/>
  <c r="E20" i="2"/>
  <c r="E21" i="2"/>
  <c r="E22" i="2"/>
  <c r="E23" i="2"/>
  <c r="E24" i="2"/>
  <c r="E27" i="2"/>
  <c r="E28" i="2"/>
  <c r="E29" i="2"/>
  <c r="E30" i="2"/>
  <c r="E31" i="2"/>
  <c r="E32" i="2"/>
  <c r="E33" i="2"/>
  <c r="E18" i="2"/>
  <c r="AI23" i="2" s="1"/>
  <c r="AI21" i="2" s="1"/>
  <c r="D11" i="8" l="1"/>
  <c r="E32" i="8"/>
  <c r="AI19" i="8"/>
  <c r="E18" i="8"/>
  <c r="E24" i="8"/>
  <c r="E30" i="8"/>
  <c r="E22" i="8"/>
  <c r="E19" i="8"/>
  <c r="B16" i="8"/>
  <c r="E28" i="8"/>
  <c r="E23" i="8"/>
  <c r="E29" i="8"/>
  <c r="E31" i="8"/>
  <c r="E27" i="8"/>
  <c r="E21" i="8"/>
  <c r="E20" i="8"/>
  <c r="E33" i="8"/>
  <c r="AI16" i="2"/>
  <c r="AI13" i="2" s="1"/>
  <c r="B38" i="2" s="1"/>
  <c r="AI16" i="8" l="1"/>
  <c r="AI13" i="8" s="1"/>
  <c r="AI23" i="8"/>
  <c r="AI21" i="8" s="1"/>
  <c r="B3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edda</author>
  </authors>
  <commentList>
    <comment ref="C10" authorId="0" shapeId="0" xr:uid="{9EEEBC93-580F-4269-A259-3A5697F7AC80}">
      <text>
        <r>
          <rPr>
            <b/>
            <sz val="9"/>
            <color indexed="81"/>
            <rFont val="Tahoma"/>
            <family val="2"/>
          </rPr>
          <t>edda:</t>
        </r>
        <r>
          <rPr>
            <sz val="9"/>
            <color indexed="81"/>
            <rFont val="Tahoma"/>
            <family val="2"/>
          </rPr>
          <t xml:space="preserve">
This is the total number of ESR records which had a failure in MPS/PDS matching
</t>
        </r>
      </text>
    </comment>
    <comment ref="C14" authorId="0" shapeId="0" xr:uid="{2E201CF4-12B3-4D5B-8901-1D63940D4FDA}">
      <text>
        <r>
          <rPr>
            <b/>
            <sz val="9"/>
            <color indexed="81"/>
            <rFont val="Tahoma"/>
            <family val="2"/>
          </rPr>
          <t>edda:</t>
        </r>
        <r>
          <rPr>
            <sz val="9"/>
            <color indexed="81"/>
            <rFont val="Tahoma"/>
            <family val="2"/>
          </rPr>
          <t xml:space="preserve">
This number indicates where we did receive a record back from MPS, but it either was with a message of 'no match' or the subsequent checks on pds fields failed.
</t>
        </r>
      </text>
    </comment>
    <comment ref="C18" authorId="0" shapeId="0" xr:uid="{9DB2D21A-628D-4029-999E-7F3E171A5C69}">
      <text>
        <r>
          <rPr>
            <b/>
            <sz val="9"/>
            <color indexed="81"/>
            <rFont val="Tahoma"/>
            <family val="2"/>
          </rPr>
          <t>edda:</t>
        </r>
        <r>
          <rPr>
            <sz val="9"/>
            <color indexed="81"/>
            <rFont val="Tahoma"/>
            <family val="2"/>
          </rPr>
          <t xml:space="preserve">
Did the record first name match the pds first name for the returned NHS Number.
Same logic applied for each column from E onwards, but with the column header being compared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edda</author>
  </authors>
  <commentList>
    <comment ref="C10" authorId="0" shapeId="0" xr:uid="{2ADC2439-9C8F-4B13-917B-4B3B6C40E137}">
      <text>
        <r>
          <rPr>
            <b/>
            <sz val="9"/>
            <color indexed="81"/>
            <rFont val="Tahoma"/>
            <family val="2"/>
          </rPr>
          <t>edda:</t>
        </r>
        <r>
          <rPr>
            <sz val="9"/>
            <color indexed="81"/>
            <rFont val="Tahoma"/>
            <family val="2"/>
          </rPr>
          <t xml:space="preserve">
This is the total number of ESR records which had a failure in MPS/PDS matching
</t>
        </r>
      </text>
    </comment>
    <comment ref="C14" authorId="0" shapeId="0" xr:uid="{F89D6034-5DE3-471D-86C3-FD7407F6D735}">
      <text>
        <r>
          <rPr>
            <b/>
            <sz val="9"/>
            <color indexed="81"/>
            <rFont val="Tahoma"/>
            <family val="2"/>
          </rPr>
          <t>edda:</t>
        </r>
        <r>
          <rPr>
            <sz val="9"/>
            <color indexed="81"/>
            <rFont val="Tahoma"/>
            <family val="2"/>
          </rPr>
          <t xml:space="preserve">
This number indicates where we did receive a record back from MPS, but it either was with a message of 'no match' or the subsequent checks on pds fields failed.
</t>
        </r>
      </text>
    </comment>
    <comment ref="C18" authorId="0" shapeId="0" xr:uid="{233F86B8-0D01-4FBE-82E3-776FC1E7068B}">
      <text>
        <r>
          <rPr>
            <b/>
            <sz val="9"/>
            <color indexed="81"/>
            <rFont val="Tahoma"/>
            <family val="2"/>
          </rPr>
          <t>edda:</t>
        </r>
        <r>
          <rPr>
            <sz val="9"/>
            <color indexed="81"/>
            <rFont val="Tahoma"/>
            <family val="2"/>
          </rPr>
          <t xml:space="preserve">
Did the record first name match the pds first name for the returned NHS Number.
Same logic applied for each column from E onwards, but with the column header being compared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edda</author>
  </authors>
  <commentList>
    <comment ref="C1" authorId="0" shapeId="0" xr:uid="{15B7C1A2-AF30-4AD3-8432-1E93E23E6ABC}">
      <text>
        <r>
          <rPr>
            <b/>
            <sz val="9"/>
            <color indexed="81"/>
            <rFont val="Tahoma"/>
            <family val="2"/>
          </rPr>
          <t>edda:</t>
        </r>
        <r>
          <rPr>
            <sz val="9"/>
            <color indexed="81"/>
            <rFont val="Tahoma"/>
            <family val="2"/>
          </rPr>
          <t xml:space="preserve">
This is the total number of ESR records which had a failure in MPS/PDS matching
</t>
        </r>
      </text>
    </comment>
    <comment ref="E1" authorId="0" shapeId="0" xr:uid="{F4B79A76-EED4-4F5C-98A9-4E9EA985339C}">
      <text>
        <r>
          <rPr>
            <b/>
            <sz val="9"/>
            <color indexed="81"/>
            <rFont val="Tahoma"/>
            <family val="2"/>
          </rPr>
          <t>edda:</t>
        </r>
        <r>
          <rPr>
            <sz val="9"/>
            <color indexed="81"/>
            <rFont val="Tahoma"/>
            <family val="2"/>
          </rPr>
          <t xml:space="preserve">
This number indicates where we did receive a record back from MPS, but it either was with a message of 'no match' or the subsequent checks on pds fields failed (as it was a match using algorithm 4)</t>
        </r>
      </text>
    </comment>
    <comment ref="F1" authorId="0" shapeId="0" xr:uid="{ECB9BCA6-A87F-465F-8814-F4CC8EC362AF}">
      <text>
        <r>
          <rPr>
            <b/>
            <sz val="9"/>
            <color indexed="81"/>
            <rFont val="Tahoma"/>
            <family val="2"/>
          </rPr>
          <t>edda:</t>
        </r>
        <r>
          <rPr>
            <sz val="9"/>
            <color indexed="81"/>
            <rFont val="Tahoma"/>
            <family val="2"/>
          </rPr>
          <t xml:space="preserve">
If the algo was 1 or 3 from MPS then that would indicate a good match - this is just a check to confirm none of the records had this</t>
        </r>
      </text>
    </comment>
    <comment ref="G1" authorId="0" shapeId="0" xr:uid="{76CFCC9B-B548-4530-8265-5132B8DACB29}">
      <text>
        <r>
          <rPr>
            <b/>
            <sz val="9"/>
            <color indexed="81"/>
            <rFont val="Tahoma"/>
            <family val="2"/>
          </rPr>
          <t>edda:</t>
        </r>
        <r>
          <rPr>
            <sz val="9"/>
            <color indexed="81"/>
            <rFont val="Tahoma"/>
            <family val="2"/>
          </rPr>
          <t xml:space="preserve">
Did the record first name match the pds first name for the returned NHS Number.
Same logic applied for each column from E onwards, but with the column header being compared</t>
        </r>
      </text>
    </comment>
  </commentList>
</comments>
</file>

<file path=xl/sharedStrings.xml><?xml version="1.0" encoding="utf-8"?>
<sst xmlns="http://schemas.openxmlformats.org/spreadsheetml/2006/main" count="228" uniqueCount="138">
  <si>
    <t>Description</t>
  </si>
  <si>
    <t>Additional notes</t>
  </si>
  <si>
    <t>Trust Code</t>
  </si>
  <si>
    <t>Total records</t>
  </si>
  <si>
    <t>Total number of records per trust from ESR</t>
  </si>
  <si>
    <t>Total_records with an MPS matching failure</t>
  </si>
  <si>
    <t>The total number of ESR records received which had a failure in MPS/PDS matching</t>
  </si>
  <si>
    <t>Number records where a match was returned</t>
  </si>
  <si>
    <t>Number records where a match was returned – This number indicates where we did receive a record back from MPS, but it either was with a message of 'no match' or the subsequent checks on PDS fields failed (as it was a match using algorithm 4)</t>
  </si>
  <si>
    <t>Of column C, column E gives the number where we received a response from MPS but where subsequent PDS matching wasn't of sufficient quality to indicate it was a good enough (i.e. clinically safe) match.</t>
  </si>
  <si>
    <t>FIRSTNAME_OK</t>
  </si>
  <si>
    <t>the number of records where a match was found between PDS and the record, for the focal field/condition given as the column name.</t>
  </si>
  <si>
    <t>The record needs to match on either:</t>
  </si>
  <si>
    <r>
      <t>1.</t>
    </r>
    <r>
      <rPr>
        <sz val="7"/>
        <color rgb="FF000000"/>
        <rFont val="Times New Roman"/>
        <family val="1"/>
      </rPr>
      <t xml:space="preserve">       </t>
    </r>
    <r>
      <rPr>
        <sz val="12"/>
        <color rgb="FF000000"/>
        <rFont val="Calibri"/>
        <family val="2"/>
        <scheme val="minor"/>
      </rPr>
      <t>Forename, surname, DOB, Gender and postcode</t>
    </r>
  </si>
  <si>
    <r>
      <t>2.</t>
    </r>
    <r>
      <rPr>
        <sz val="7"/>
        <color rgb="FF000000"/>
        <rFont val="Times New Roman"/>
        <family val="1"/>
      </rPr>
      <t xml:space="preserve">       </t>
    </r>
    <r>
      <rPr>
        <sz val="12"/>
        <color rgb="FF000000"/>
        <rFont val="Calibri"/>
        <family val="2"/>
        <scheme val="minor"/>
      </rPr>
      <t>Forename OR forename matches pds second given name OR partial matches on firstname or second given name AND surname, DOB, Gender and Postcode</t>
    </r>
  </si>
  <si>
    <r>
      <t>3.</t>
    </r>
    <r>
      <rPr>
        <sz val="7"/>
        <color rgb="FF000000"/>
        <rFont val="Times New Roman"/>
        <family val="1"/>
      </rPr>
      <t xml:space="preserve">       </t>
    </r>
    <r>
      <rPr>
        <sz val="12"/>
        <color rgb="FF000000"/>
        <rFont val="Calibri"/>
        <family val="2"/>
        <scheme val="minor"/>
      </rPr>
      <t>Forename, surname, gender, postcode and either DOB, yyyymm of DOB or yyyydd of DOB.</t>
    </r>
  </si>
  <si>
    <r>
      <t>4.</t>
    </r>
    <r>
      <rPr>
        <sz val="7"/>
        <color rgb="FF000000"/>
        <rFont val="Times New Roman"/>
        <family val="1"/>
      </rPr>
      <t xml:space="preserve">       </t>
    </r>
    <r>
      <rPr>
        <sz val="12"/>
        <color rgb="FF000000"/>
        <rFont val="Calibri"/>
        <family val="2"/>
        <scheme val="minor"/>
      </rPr>
      <t>Or forename = pds surname and surname = pds first name AND DOB and Gender and Postcode.</t>
    </r>
  </si>
  <si>
    <t>SURNAME_OK</t>
  </si>
  <si>
    <t>DOB_OK</t>
  </si>
  <si>
    <t>GENDER_OK</t>
  </si>
  <si>
    <t>POSTCODE_OK</t>
  </si>
  <si>
    <t>POSTCODE_ALGO_OK</t>
  </si>
  <si>
    <t>POSTCODE_OUTCODE_OK</t>
  </si>
  <si>
    <t>Firstname_match_second_given_name</t>
  </si>
  <si>
    <t>FIRSTNAME_PARTIAL</t>
  </si>
  <si>
    <t>FIRSTNAME_SURNAME_PARTIAL</t>
  </si>
  <si>
    <t>DOB YYYYMM Match</t>
  </si>
  <si>
    <t>DOB YYYYDD match</t>
  </si>
  <si>
    <t>Firstname_surname_match</t>
  </si>
  <si>
    <t>Surname_firstname_match</t>
  </si>
  <si>
    <t>Assumptions</t>
  </si>
  <si>
    <t>Pseudo-ID analysis to show data completeness for Trust.</t>
  </si>
  <si>
    <t>Analysis run in March 2023.</t>
  </si>
  <si>
    <t>refers to the percentage of ESR records without a clinically sound successful MPS/PDS match</t>
  </si>
  <si>
    <t>This refers to the number of records and not the number of staff. There could be multiple records for one individual based on different positions held on ESR.
Note that this could presumably also be an update record for the same position e.g if demographic information has changed for an individual and this change sent as a record.</t>
  </si>
  <si>
    <t>1. Alphanumeric trace - this tries to match the patient to a single record using:</t>
  </si>
  <si>
    <t>family name, DOB and gender</t>
  </si>
  <si>
    <t>Other Given Names (up to four)</t>
  </si>
  <si>
    <t>Postcode (including historical values)</t>
  </si>
  <si>
    <t>GP Provider</t>
  </si>
  <si>
    <t>Date of Death</t>
  </si>
  <si>
    <t>PAF Address Key – unique address identifier from Royal Mail Postcode Address File</t>
  </si>
  <si>
    <t>NHAIS Posting – Identifier from National Health Application and Infrastructure Services dataset which contains demographic information of people residing in England</t>
  </si>
  <si>
    <t>2. Algorithmic Trace - matches 'blocks' of data to try find a single match and gives a score for each block, then gives a total score. The blocks are:</t>
  </si>
  <si>
    <t>Logic for matching records</t>
  </si>
  <si>
    <t>1. The DPS team match records in their local copy of the pds data - ESR record has to match on NHS Number and Date of Birth.</t>
  </si>
  <si>
    <t>2. Any records that don't match get sent to MPS for further matching, and DPS team use the matching result to determine whether the match was good enough:</t>
  </si>
  <si>
    <t>This report shows the number and percentage of ESR records which have failed the MPS/PDS matching process.</t>
  </si>
  <si>
    <t>Identifier Field</t>
  </si>
  <si>
    <t>Output</t>
  </si>
  <si>
    <t>Item</t>
  </si>
  <si>
    <t>Number of records failing</t>
  </si>
  <si>
    <t>Matching records</t>
  </si>
  <si>
    <t>https://digital.nhs.uk/services/demographics/master-person-service</t>
  </si>
  <si>
    <t>https://digital.nhs.uk/services/demographics#the-personal-demographics-service</t>
  </si>
  <si>
    <t>Further information on MPS/PDS:</t>
  </si>
  <si>
    <t>Number records where a match was returned but it was not clinically safe to use.</t>
  </si>
  <si>
    <t>6-19</t>
  </si>
  <si>
    <t>Item definitions</t>
  </si>
  <si>
    <t>Number of records failing pseudonymisation process</t>
  </si>
  <si>
    <t>Failure as a % of the total records</t>
  </si>
  <si>
    <t xml:space="preserve">    Second attempt for matching undertaken:</t>
  </si>
  <si>
    <t xml:space="preserve">    First attempt at matching records in MPS/PDS:</t>
  </si>
  <si>
    <t>A ladder of accuracy to strengthen the match if primary fields fail.</t>
  </si>
  <si>
    <t xml:space="preserve">    Additional checks using alternative demographics looking for a match undertaken (larger number of failing records to be expected for these particular identifier fields)</t>
  </si>
  <si>
    <t>The purpose of the this anaylsis is to support your internal data completeness by showing the most common issues in mismatching.</t>
  </si>
  <si>
    <t>Firstname
Surname
DOB
Gender
Postcode</t>
  </si>
  <si>
    <t xml:space="preserve"> records that were not safe to use, the match/fail for each identifier field are as follows:</t>
  </si>
  <si>
    <t xml:space="preserve">    Out of </t>
  </si>
  <si>
    <t>Firstname</t>
  </si>
  <si>
    <t>Surname</t>
  </si>
  <si>
    <t>Gender</t>
  </si>
  <si>
    <t>Postcode</t>
  </si>
  <si>
    <t>DOB</t>
  </si>
  <si>
    <t xml:space="preserve"> to those stored in PDS, around </t>
  </si>
  <si>
    <t xml:space="preserve"> records out of </t>
  </si>
  <si>
    <t xml:space="preserve"> records which failed MPS tracing didn't match postcode information to the data in pds). The second most common issue was matching of the </t>
  </si>
  <si>
    <t xml:space="preserve"> records had an issue in at least one of those fields. Addressing mismatches in these fields should improve the total number of successfully traced records.</t>
  </si>
  <si>
    <t xml:space="preserve">Looking at the data for Barts Health NHS Trust, of the records which failed MPS tracing, the most common issue was a mismatch in the </t>
  </si>
  <si>
    <t xml:space="preserve"> provided in the record and the one stored in PDS (~</t>
  </si>
  <si>
    <t>% of records</t>
  </si>
  <si>
    <t>Algo 1 and 3 matches</t>
  </si>
  <si>
    <t>R0D</t>
  </si>
  <si>
    <t>RA2</t>
  </si>
  <si>
    <t>RA4</t>
  </si>
  <si>
    <t>RA7</t>
  </si>
  <si>
    <t>RA9</t>
  </si>
  <si>
    <t>RBD</t>
  </si>
  <si>
    <t>RD1</t>
  </si>
  <si>
    <t>RDY</t>
  </si>
  <si>
    <t>REF</t>
  </si>
  <si>
    <t>RH5</t>
  </si>
  <si>
    <t>RH8</t>
  </si>
  <si>
    <t>RJ8</t>
  </si>
  <si>
    <t>RK9</t>
  </si>
  <si>
    <t>RN3</t>
  </si>
  <si>
    <t>RNZ</t>
  </si>
  <si>
    <t>RTE</t>
  </si>
  <si>
    <t>RTQ</t>
  </si>
  <si>
    <t>RVJ</t>
  </si>
  <si>
    <t>RVN</t>
  </si>
  <si>
    <t>RWV</t>
  </si>
  <si>
    <t>RYF</t>
  </si>
  <si>
    <t xml:space="preserve">Looking at the data for the Trust, of the records which failed MPS tracing, the most common issue was a mismatch in the </t>
  </si>
  <si>
    <t>Abbreviations and glossary</t>
  </si>
  <si>
    <t>The following table contains a quick reference for abbreviation terms across the document.</t>
  </si>
  <si>
    <t>Term</t>
  </si>
  <si>
    <t>Definition</t>
  </si>
  <si>
    <t>Meaning</t>
  </si>
  <si>
    <t>DPS</t>
  </si>
  <si>
    <t>Data Processing Services</t>
  </si>
  <si>
    <t>A set of secure technologies and processes that enable NHS Digital to collect, process and access data</t>
  </si>
  <si>
    <t>PDS</t>
  </si>
  <si>
    <t>Personal Demographic Service</t>
  </si>
  <si>
    <t>PDS is the national electronic database of NHS patient details, which holds about 80M records. The demographic details are normally updated when patients visit their GP but may also be updated by other healthcare professionals.</t>
  </si>
  <si>
    <t>Algorithm</t>
  </si>
  <si>
    <t>An algorithm is a set of well-defined instructions used to solve a class of specific problems. In this context, the algorithm is defined to undertake data linkage, the task of finding records in a data set that refer to the same entity across different data sources</t>
  </si>
  <si>
    <t>Algorithmic trace</t>
  </si>
  <si>
    <t>Algorithmic trace is the final stage in MPS to match records with PDS. For each query record, a set of PDS candidate records are identified by blocking. Each PDS candidate is then scored. The highest scoring candidate record is chosen as the matching record.</t>
  </si>
  <si>
    <t>Blocking</t>
  </si>
  <si>
    <t>Blocking divides datasets into sections, called blocks, to reduce the number of comparisons that need to be conducted to find the linked PDS record.</t>
  </si>
  <si>
    <t>MPS</t>
  </si>
  <si>
    <t>Master Person Service</t>
  </si>
  <si>
    <t>A system that enables data linkage between data sets through Person_ID by tracing and verifying key identifiers against the Personal Demographics Service (PDS).</t>
  </si>
  <si>
    <t>Region</t>
  </si>
  <si>
    <t>South West</t>
  </si>
  <si>
    <t>Trust MPS field issues</t>
  </si>
  <si>
    <t>The Master Person Service (MPS) helps us increase the amount of usable, better-quality data available to support research and planning. Patients can visit multiple places where they register to receive care or treatment. This information is stored and recorded in various systems around the country. MPS aims to match the right person with the right record.
MPS takes the demographic information contained in a person’s health and care records and matches it to their unique NHS number to confirm their identity. A bespoke deterministic linking approach is used to provide a single best result for each record against the Personal Demographics Service (PDS) or against the MPS record bucket that contains previously unmatched records.
The matching process is comprised of several steps of increasing computational intensity, designed to address the challenges provided by data sets of different degrees of quality.
As a result of the matching process, a person identifier is assigned to the record. This might be an NHS number if the record was matched in PDS, or an alternative identifier called MPS_ID if the match was found on the MPS record bucket or there was enough information to create a new one. Records that could not be matched against either databases are assigned a randomly generated one-time-use ID.
Like any data linkage method, MPS cannot provide perfect matching. There are risks of both failing to match a record (false negative) and matching to a record incorrectly (false positive). The performance of MPS is determined by both the algorithm itself and the quality of incoming data. 
MPS operates in the same way for all data sets and is not tuned to any particular use case. For example, where records reliably have accurate NHS numbers attached, MPS will provide a correct match with high confidence. Where solely relying on other personal identifiers, such as name, postcode, gender or date of birth which may be incomplete, inconsistently recorded or duplicated across the population, the algorithm will be less able to return a correct match in all cases. 
Mature health datasets, where identity is typically validated in a healthcare setting at point of recording (such as HES), have higher levels of matching accuracy through MPS for most records. Performance for other datasets may be variable.</t>
  </si>
  <si>
    <t>How MPS works</t>
  </si>
  <si>
    <t xml:space="preserve">% failure </t>
  </si>
  <si>
    <t xml:space="preserve">We know that over the total population, the percentage of records failing the process is 10% approx. However, after a few discussions with colleagues from Trusts, we discovered that some Trusts will have more than 10% records failing. </t>
  </si>
  <si>
    <t xml:space="preserve">The analysis on 'Records failing' tab is showing the absolutes and percentage of records failing for each Trust. It also provides number of records failing by Identifier field. </t>
  </si>
  <si>
    <t>Suggestions</t>
  </si>
  <si>
    <t xml:space="preserve">Making sure the data is up to date on both platforms will significally decrease the pseudonymisation process to fail. </t>
  </si>
  <si>
    <t xml:space="preserve">Individuals have access to their own data for both platforms and are  able to update their own records. </t>
  </si>
  <si>
    <t>About your NHS account - NHS (www.nhs.uk)</t>
  </si>
  <si>
    <t xml:space="preserve">For more information about NHS app/ NHS account, please follow the link below. </t>
  </si>
  <si>
    <r>
      <t xml:space="preserve">Encouraging all staff to download the </t>
    </r>
    <r>
      <rPr>
        <b/>
        <sz val="11"/>
        <color theme="4" tint="-0.249977111117893"/>
        <rFont val="Calibri"/>
        <family val="2"/>
        <scheme val="minor"/>
      </rPr>
      <t>NHS App</t>
    </r>
    <r>
      <rPr>
        <sz val="11"/>
        <color theme="1"/>
        <rFont val="Calibri"/>
        <family val="2"/>
        <scheme val="minor"/>
      </rPr>
      <t xml:space="preserve"> or use their </t>
    </r>
    <r>
      <rPr>
        <b/>
        <sz val="11"/>
        <color theme="4" tint="-0.249977111117893"/>
        <rFont val="Calibri"/>
        <family val="2"/>
        <scheme val="minor"/>
      </rPr>
      <t>NHS account</t>
    </r>
    <r>
      <rPr>
        <sz val="11"/>
        <color theme="1"/>
        <rFont val="Calibri"/>
        <family val="2"/>
        <scheme val="minor"/>
      </rPr>
      <t xml:space="preserve"> to compare their personal details vs </t>
    </r>
    <r>
      <rPr>
        <b/>
        <sz val="11"/>
        <color theme="4" tint="-0.249977111117893"/>
        <rFont val="Calibri"/>
        <family val="2"/>
        <scheme val="minor"/>
      </rPr>
      <t>ESR</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</si>
</sst>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2"/>
      <color rgb="FF000000"/>
      <name val="Calibri"/>
      <family val="2"/>
      <scheme val="minor"/>
    </font>
    <font>
      <sz val="11"/>
      <color rgb="FF000000"/>
      <name val="Calibri"/>
      <family val="2"/>
      <scheme val="minor"/>
    </font>
    <font>
      <sz val="7"/>
      <color rgb="FF000000"/>
      <name val="Times New Roman"/>
      <family val="1"/>
    </font>
    <font>
      <b/>
      <sz val="9"/>
      <color indexed="81"/>
      <name val="Tahoma"/>
      <family val="2"/>
    </font>
    <font>
      <sz val="9"/>
      <color indexed="81"/>
      <name val="Tahoma"/>
      <family val="2"/>
    </font>
    <font>
      <i/>
      <sz val="11"/>
      <color theme="1"/>
      <name val="Calibri"/>
      <family val="2"/>
      <scheme val="minor"/>
    </font>
    <font>
      <b/>
      <i/>
      <sz val="11"/>
      <color theme="1"/>
      <name val="Calibri"/>
      <family val="2"/>
      <scheme val="minor"/>
    </font>
    <font>
      <sz val="11"/>
      <color theme="1"/>
      <name val="Calibri"/>
      <family val="2"/>
      <scheme val="minor"/>
    </font>
    <font>
      <sz val="11"/>
      <color rgb="FF333333"/>
      <name val="Calibri"/>
      <family val="2"/>
      <scheme val="minor"/>
    </font>
    <font>
      <b/>
      <sz val="14"/>
      <color theme="1"/>
      <name val="Calibri"/>
      <family val="2"/>
      <scheme val="minor"/>
    </font>
    <font>
      <i/>
      <sz val="11"/>
      <color theme="4"/>
      <name val="Calibri"/>
      <family val="2"/>
      <scheme val="minor"/>
    </font>
    <font>
      <i/>
      <sz val="10"/>
      <color theme="1"/>
      <name val="Calibri"/>
      <family val="2"/>
      <scheme val="minor"/>
    </font>
    <font>
      <b/>
      <sz val="9"/>
      <color rgb="FF111111"/>
      <name val="Roboto"/>
    </font>
    <font>
      <u/>
      <sz val="11"/>
      <color theme="10"/>
      <name val="Calibri"/>
      <family val="2"/>
      <scheme val="minor"/>
    </font>
    <font>
      <i/>
      <sz val="11"/>
      <color rgb="FF0070C0"/>
      <name val="Calibri"/>
      <family val="2"/>
      <scheme val="minor"/>
    </font>
    <font>
      <b/>
      <sz val="14"/>
      <color theme="4" tint="-0.249977111117893"/>
      <name val="Calibri"/>
      <family val="2"/>
      <scheme val="minor"/>
    </font>
    <font>
      <b/>
      <sz val="11"/>
      <color theme="4" tint="-0.249977111117893"/>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tint="-4.9989318521683403E-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43" fontId="10" fillId="0" borderId="0" applyFon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cellStyleXfs>
  <cellXfs count="50">
    <xf numFmtId="0" fontId="0" fillId="0" borderId="0" xfId="0"/>
    <xf numFmtId="0" fontId="8" fillId="0" borderId="0" xfId="0" applyFont="1"/>
    <xf numFmtId="0" fontId="9" fillId="0" borderId="0" xfId="0" applyFont="1"/>
    <xf numFmtId="0" fontId="11" fillId="0" borderId="0" xfId="0" applyFont="1" applyAlignment="1">
      <alignment horizontal="left" vertical="center" indent="1"/>
    </xf>
    <xf numFmtId="0" fontId="11" fillId="0" borderId="0" xfId="0" applyFont="1" applyAlignment="1">
      <alignment horizontal="left" vertical="center" indent="2"/>
    </xf>
    <xf numFmtId="0" fontId="11" fillId="0" borderId="0" xfId="0" applyFont="1" applyAlignment="1">
      <alignment horizontal="left" vertical="center" indent="3"/>
    </xf>
    <xf numFmtId="0" fontId="2" fillId="0" borderId="0" xfId="0" applyFont="1"/>
    <xf numFmtId="0" fontId="12" fillId="0" borderId="0" xfId="0" applyFont="1"/>
    <xf numFmtId="0" fontId="0" fillId="0" borderId="1" xfId="0" applyBorder="1"/>
    <xf numFmtId="10" fontId="0" fillId="0" borderId="1" xfId="0" applyNumberFormat="1" applyBorder="1"/>
    <xf numFmtId="164" fontId="0" fillId="0" borderId="1" xfId="1" applyNumberFormat="1" applyFont="1" applyBorder="1"/>
    <xf numFmtId="0" fontId="13" fillId="0" borderId="0" xfId="0" applyFont="1"/>
    <xf numFmtId="0" fontId="1" fillId="2" borderId="1" xfId="0" applyFont="1" applyFill="1" applyBorder="1" applyAlignment="1">
      <alignment vertical="center"/>
    </xf>
    <xf numFmtId="164" fontId="0" fillId="3" borderId="1" xfId="1" applyNumberFormat="1" applyFont="1" applyFill="1" applyBorder="1"/>
    <xf numFmtId="0" fontId="1" fillId="2" borderId="3" xfId="0" applyFont="1" applyFill="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horizontal="left" vertical="center" wrapText="1" indent="4"/>
    </xf>
    <xf numFmtId="0" fontId="14" fillId="0" borderId="0" xfId="0" applyFont="1"/>
    <xf numFmtId="0" fontId="0" fillId="0" borderId="1" xfId="0" applyBorder="1" applyAlignment="1">
      <alignment wrapText="1"/>
    </xf>
    <xf numFmtId="10" fontId="0" fillId="0" borderId="0" xfId="0" applyNumberFormat="1"/>
    <xf numFmtId="164" fontId="0" fillId="0" borderId="0" xfId="1" applyNumberFormat="1" applyFont="1" applyBorder="1"/>
    <xf numFmtId="164" fontId="0" fillId="3" borderId="0" xfId="1" applyNumberFormat="1" applyFont="1" applyFill="1" applyBorder="1"/>
    <xf numFmtId="0" fontId="2" fillId="0" borderId="1" xfId="0" applyFont="1" applyBorder="1" applyAlignment="1">
      <alignment horizontal="center"/>
    </xf>
    <xf numFmtId="0" fontId="0" fillId="0" borderId="3" xfId="0" applyBorder="1" applyAlignment="1">
      <alignment horizontal="center" vertical="center" wrapText="1"/>
    </xf>
    <xf numFmtId="10" fontId="0" fillId="0" borderId="1" xfId="0" applyNumberFormat="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top" wrapText="1"/>
    </xf>
    <xf numFmtId="164" fontId="0" fillId="0" borderId="0" xfId="0" applyNumberFormat="1"/>
    <xf numFmtId="0" fontId="15" fillId="0" borderId="0" xfId="0" applyFont="1"/>
    <xf numFmtId="10" fontId="0" fillId="0" borderId="1" xfId="2" applyNumberFormat="1" applyFont="1" applyBorder="1"/>
    <xf numFmtId="164" fontId="15" fillId="0" borderId="0" xfId="1" applyNumberFormat="1" applyFont="1"/>
    <xf numFmtId="164" fontId="0" fillId="0" borderId="0" xfId="1" applyNumberFormat="1" applyFont="1"/>
    <xf numFmtId="0" fontId="2" fillId="0" borderId="3" xfId="0" applyFont="1" applyBorder="1"/>
    <xf numFmtId="0" fontId="0" fillId="0" borderId="3" xfId="0" applyBorder="1"/>
    <xf numFmtId="0" fontId="0" fillId="0" borderId="3" xfId="0" applyBorder="1" applyAlignment="1">
      <alignment wrapText="1"/>
    </xf>
    <xf numFmtId="0" fontId="0" fillId="0" borderId="0" xfId="0" applyAlignment="1">
      <alignment horizontal="left" vertical="top" wrapText="1"/>
    </xf>
    <xf numFmtId="0" fontId="16" fillId="0" borderId="0" xfId="3"/>
    <xf numFmtId="0" fontId="17" fillId="0" borderId="0" xfId="0" applyFont="1"/>
    <xf numFmtId="0" fontId="18" fillId="0" borderId="0" xfId="0" applyFont="1"/>
    <xf numFmtId="0" fontId="0" fillId="0" borderId="0" xfId="0" applyAlignment="1">
      <alignment horizontal="left" vertical="top"/>
    </xf>
    <xf numFmtId="0" fontId="2" fillId="0" borderId="1" xfId="0" applyFont="1" applyBorder="1" applyAlignment="1" applyProtection="1">
      <alignment horizontal="center"/>
      <protection locked="0"/>
    </xf>
    <xf numFmtId="0" fontId="0" fillId="0" borderId="0" xfId="0" applyAlignment="1">
      <alignment horizontal="left" vertical="top" wrapText="1"/>
    </xf>
    <xf numFmtId="17" fontId="0" fillId="0" borderId="3" xfId="0" quotePrefix="1"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left" wrapText="1"/>
    </xf>
    <xf numFmtId="0" fontId="0" fillId="0" borderId="5" xfId="0" applyBorder="1" applyAlignment="1">
      <alignment horizontal="left" wrapText="1"/>
    </xf>
  </cellXfs>
  <cellStyles count="4">
    <cellStyle name="Comma" xfId="1" builtinId="3"/>
    <cellStyle name="Hyperlink" xfId="3" builtinId="8"/>
    <cellStyle name="Normal" xfId="0" builtinId="0"/>
    <cellStyle name="Per cent"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5CCB.8927BE6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352426</xdr:colOff>
      <xdr:row>18</xdr:row>
      <xdr:rowOff>15875</xdr:rowOff>
    </xdr:from>
    <xdr:to>
      <xdr:col>2</xdr:col>
      <xdr:colOff>1409947</xdr:colOff>
      <xdr:row>44</xdr:row>
      <xdr:rowOff>0</xdr:rowOff>
    </xdr:to>
    <xdr:pic>
      <xdr:nvPicPr>
        <xdr:cNvPr id="3" name="x_x_x_x_x_x_Picture 1">
          <a:extLst>
            <a:ext uri="{FF2B5EF4-FFF2-40B4-BE49-F238E27FC236}">
              <a16:creationId xmlns:a16="http://schemas.microsoft.com/office/drawing/2014/main" id="{D07FC0CF-9711-4F97-9A8E-AA3D30B47FD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23876" y="3063875"/>
          <a:ext cx="1533771" cy="493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gital.nhs.uk/services/demographics/master-person-servi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hs.uk/nhs-app/about-the-nhs-app/"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75A6-C848-460F-8D46-99AD479605D7}">
  <dimension ref="A2:Z44"/>
  <sheetViews>
    <sheetView showGridLines="0" tabSelected="1" zoomScale="96" zoomScaleNormal="96" workbookViewId="0">
      <selection activeCell="N10" sqref="N10"/>
    </sheetView>
  </sheetViews>
  <sheetFormatPr defaultRowHeight="14.5" x14ac:dyDescent="0.35"/>
  <sheetData>
    <row r="2" spans="1:26" ht="18.5" x14ac:dyDescent="0.45">
      <c r="A2" s="41" t="s">
        <v>126</v>
      </c>
    </row>
    <row r="4" spans="1:26" x14ac:dyDescent="0.35">
      <c r="A4" t="s">
        <v>31</v>
      </c>
    </row>
    <row r="5" spans="1:26" ht="6.5" customHeight="1" x14ac:dyDescent="0.35"/>
    <row r="6" spans="1:26" x14ac:dyDescent="0.35">
      <c r="A6" s="1" t="s">
        <v>32</v>
      </c>
    </row>
    <row r="7" spans="1:26" ht="7.5" customHeight="1" x14ac:dyDescent="0.35"/>
    <row r="8" spans="1:26" x14ac:dyDescent="0.35">
      <c r="A8" t="s">
        <v>47</v>
      </c>
    </row>
    <row r="9" spans="1:26" ht="8" customHeight="1" x14ac:dyDescent="0.35"/>
    <row r="10" spans="1:26" x14ac:dyDescent="0.35">
      <c r="A10" s="40" t="s">
        <v>65</v>
      </c>
    </row>
    <row r="13" spans="1:26" ht="18.5" x14ac:dyDescent="0.45">
      <c r="A13" s="41" t="s">
        <v>128</v>
      </c>
    </row>
    <row r="15" spans="1:26" x14ac:dyDescent="0.35">
      <c r="A15" s="44" t="s">
        <v>127</v>
      </c>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3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3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3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3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3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3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x14ac:dyDescent="0.3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3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3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3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x14ac:dyDescent="0.3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3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3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3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3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3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3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8.5" x14ac:dyDescent="0.45">
      <c r="A35" s="41" t="s">
        <v>129</v>
      </c>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35">
      <c r="A37" s="42" t="s">
        <v>130</v>
      </c>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35">
      <c r="A38" s="42" t="s">
        <v>131</v>
      </c>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1" spans="1:26" x14ac:dyDescent="0.35">
      <c r="A41" s="6" t="s">
        <v>55</v>
      </c>
    </row>
    <row r="43" spans="1:26" x14ac:dyDescent="0.35">
      <c r="A43" s="39" t="s">
        <v>53</v>
      </c>
    </row>
    <row r="44" spans="1:26" x14ac:dyDescent="0.35">
      <c r="A44" s="18" t="s">
        <v>54</v>
      </c>
    </row>
  </sheetData>
  <sheetProtection algorithmName="SHA-512" hashValue="nAzYl6+UaD26m0sTT1v9DWScs4I6k1kGVwWITtBAgB+0FS03aQFmqJM7Cbswhk9pwQY1XR46o4slQNpsU2H9ww==" saltValue="GvPr0CtlnGa3ve06KplfTQ==" spinCount="100000" sheet="1" objects="1" scenarios="1"/>
  <mergeCells count="1">
    <mergeCell ref="A15:Z33"/>
  </mergeCells>
  <hyperlinks>
    <hyperlink ref="A43" r:id="rId1" xr:uid="{632A9DB0-EA40-4D27-9049-DA66E325CBDD}"/>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A9CD2-2622-4CE3-93E5-1FD107EFA1A3}">
  <dimension ref="B2:AX42"/>
  <sheetViews>
    <sheetView showGridLines="0" zoomScale="104" zoomScaleNormal="104" workbookViewId="0">
      <selection activeCell="D6" sqref="D6"/>
    </sheetView>
  </sheetViews>
  <sheetFormatPr defaultRowHeight="14.5" x14ac:dyDescent="0.35"/>
  <cols>
    <col min="1" max="1" width="4.7265625" customWidth="1"/>
    <col min="2" max="2" width="4.81640625" bestFit="1" customWidth="1"/>
    <col min="3" max="3" width="41.81640625" bestFit="1" customWidth="1"/>
    <col min="4" max="4" width="11.1796875" bestFit="1" customWidth="1"/>
    <col min="5" max="5" width="11.7265625" customWidth="1"/>
    <col min="6" max="6" width="0" hidden="1" customWidth="1"/>
    <col min="35" max="35" width="10.1796875" hidden="1" customWidth="1"/>
    <col min="36" max="36" width="8.7265625" customWidth="1"/>
  </cols>
  <sheetData>
    <row r="2" spans="2:50" ht="18.5" x14ac:dyDescent="0.45">
      <c r="B2" s="7" t="s">
        <v>59</v>
      </c>
    </row>
    <row r="3" spans="2:50" x14ac:dyDescent="0.35">
      <c r="B3" s="1" t="s">
        <v>63</v>
      </c>
      <c r="AI3" s="11" t="s">
        <v>68</v>
      </c>
    </row>
    <row r="4" spans="2:50" x14ac:dyDescent="0.35">
      <c r="AI4" s="11" t="s">
        <v>67</v>
      </c>
    </row>
    <row r="5" spans="2:50" x14ac:dyDescent="0.35">
      <c r="B5" s="12" t="s">
        <v>50</v>
      </c>
      <c r="C5" s="12" t="s">
        <v>48</v>
      </c>
      <c r="D5" s="26" t="s">
        <v>49</v>
      </c>
    </row>
    <row r="6" spans="2:50" x14ac:dyDescent="0.35">
      <c r="B6" s="8">
        <v>1</v>
      </c>
      <c r="C6" s="8" t="s">
        <v>2</v>
      </c>
      <c r="D6" s="43" t="s">
        <v>85</v>
      </c>
    </row>
    <row r="7" spans="2:50" ht="3.75" customHeight="1" x14ac:dyDescent="0.35">
      <c r="C7" s="20"/>
      <c r="D7" s="20"/>
    </row>
    <row r="8" spans="2:50" x14ac:dyDescent="0.35">
      <c r="B8" s="11" t="s">
        <v>62</v>
      </c>
    </row>
    <row r="9" spans="2:50" x14ac:dyDescent="0.35">
      <c r="B9" s="8">
        <v>2</v>
      </c>
      <c r="C9" s="8" t="s">
        <v>3</v>
      </c>
      <c r="D9" s="10">
        <f>VLOOKUP($D$6,'Edd data'!$A$2:$T$21,2,FALSE)</f>
        <v>81102</v>
      </c>
    </row>
    <row r="10" spans="2:50" ht="14.5" customHeight="1" x14ac:dyDescent="0.35">
      <c r="B10" s="8">
        <v>3</v>
      </c>
      <c r="C10" s="8" t="s">
        <v>5</v>
      </c>
      <c r="D10" s="10">
        <f>VLOOKUP($D$6,'Edd data'!$A$2:$T$21,3,FALSE)</f>
        <v>12878</v>
      </c>
      <c r="AI10" s="29" t="s">
        <v>103</v>
      </c>
      <c r="AJ10" s="29"/>
      <c r="AK10" s="29"/>
      <c r="AL10" s="29"/>
      <c r="AM10" s="29"/>
      <c r="AN10" s="29"/>
      <c r="AO10" s="29"/>
      <c r="AP10" s="29"/>
      <c r="AQ10" s="29"/>
      <c r="AR10" s="29"/>
      <c r="AS10" s="29"/>
      <c r="AT10" s="29"/>
      <c r="AU10" s="29"/>
      <c r="AV10" s="29"/>
      <c r="AW10" s="29"/>
      <c r="AX10" s="29"/>
    </row>
    <row r="11" spans="2:50" x14ac:dyDescent="0.35">
      <c r="B11" s="8">
        <v>4</v>
      </c>
      <c r="C11" s="9" t="s">
        <v>60</v>
      </c>
      <c r="D11" s="32">
        <f>VLOOKUP($D$6,'Edd data'!$A$2:$T$21,4,FALSE)</f>
        <v>0.15878769944021109</v>
      </c>
      <c r="AI11" s="29"/>
      <c r="AJ11" s="29"/>
      <c r="AK11" s="29"/>
      <c r="AL11" s="29"/>
      <c r="AM11" s="29"/>
      <c r="AN11" s="29"/>
      <c r="AO11" s="29"/>
      <c r="AP11" s="29"/>
      <c r="AQ11" s="29"/>
      <c r="AR11" s="29"/>
      <c r="AS11" s="29"/>
      <c r="AT11" s="29"/>
      <c r="AU11" s="29"/>
      <c r="AV11" s="29"/>
      <c r="AW11" s="29"/>
      <c r="AX11" s="29"/>
    </row>
    <row r="12" spans="2:50" ht="3.75" customHeight="1" x14ac:dyDescent="0.35">
      <c r="C12" s="20"/>
      <c r="D12" s="20"/>
      <c r="AI12" s="29"/>
      <c r="AJ12" s="29"/>
      <c r="AK12" s="29"/>
      <c r="AL12" s="29"/>
      <c r="AM12" s="29"/>
      <c r="AN12" s="29"/>
      <c r="AO12" s="29"/>
      <c r="AP12" s="29"/>
      <c r="AQ12" s="29"/>
      <c r="AR12" s="29"/>
      <c r="AS12" s="29"/>
      <c r="AT12" s="29"/>
      <c r="AU12" s="29"/>
      <c r="AV12" s="29"/>
      <c r="AW12" s="29"/>
      <c r="AX12" s="29"/>
    </row>
    <row r="13" spans="2:50" x14ac:dyDescent="0.35">
      <c r="B13" s="11" t="s">
        <v>61</v>
      </c>
      <c r="AI13" t="str">
        <f>VLOOKUP(AI16,E18:F22,2,FALSE)</f>
        <v>Postcode</v>
      </c>
    </row>
    <row r="14" spans="2:50" ht="29" x14ac:dyDescent="0.35">
      <c r="B14" s="8">
        <v>5</v>
      </c>
      <c r="C14" s="19" t="s">
        <v>56</v>
      </c>
      <c r="D14" s="10">
        <f>VLOOKUP($D$6,'Edd data'!$A$2:$T$21,5,FALSE)</f>
        <v>11726</v>
      </c>
      <c r="AI14" t="s">
        <v>79</v>
      </c>
    </row>
    <row r="15" spans="2:50" ht="3.75" customHeight="1" x14ac:dyDescent="0.35">
      <c r="D15" s="21"/>
    </row>
    <row r="16" spans="2:50" x14ac:dyDescent="0.35">
      <c r="B16" s="11" t="str">
        <f>CONCATENATE(AI3,D14,AI4)</f>
        <v xml:space="preserve">    Out of 11726 records that were not safe to use, the match/fail for each identifier field are as follows:</v>
      </c>
      <c r="AI16" s="34">
        <f>MAX(E18:E22)</f>
        <v>7656</v>
      </c>
    </row>
    <row r="17" spans="2:35" ht="43.5" x14ac:dyDescent="0.35">
      <c r="B17" s="12" t="s">
        <v>50</v>
      </c>
      <c r="C17" s="12" t="s">
        <v>48</v>
      </c>
      <c r="D17" s="27" t="s">
        <v>52</v>
      </c>
      <c r="E17" s="28" t="s">
        <v>51</v>
      </c>
      <c r="AI17" t="s">
        <v>75</v>
      </c>
    </row>
    <row r="18" spans="2:35" x14ac:dyDescent="0.35">
      <c r="B18" s="8">
        <v>6</v>
      </c>
      <c r="C18" s="8" t="s">
        <v>10</v>
      </c>
      <c r="D18" s="10">
        <f>VLOOKUP($D$6,'Edd data'!$A$2:$T$21,7,FALSE)</f>
        <v>10410</v>
      </c>
      <c r="E18" s="13">
        <f>$D$14-D18</f>
        <v>1316</v>
      </c>
      <c r="F18" t="s">
        <v>69</v>
      </c>
    </row>
    <row r="19" spans="2:35" x14ac:dyDescent="0.35">
      <c r="B19" s="8">
        <v>7</v>
      </c>
      <c r="C19" s="8" t="s">
        <v>17</v>
      </c>
      <c r="D19" s="10">
        <f>VLOOKUP($D$6,'Edd data'!$A$2:$T$21,8,FALSE)</f>
        <v>10094</v>
      </c>
      <c r="E19" s="13">
        <f t="shared" ref="E19:E33" si="0">$D$14-D19</f>
        <v>1632</v>
      </c>
      <c r="F19" t="s">
        <v>70</v>
      </c>
      <c r="AI19" s="34">
        <f>MAX(D14)</f>
        <v>11726</v>
      </c>
    </row>
    <row r="20" spans="2:35" x14ac:dyDescent="0.35">
      <c r="B20" s="8">
        <v>8</v>
      </c>
      <c r="C20" s="8" t="s">
        <v>18</v>
      </c>
      <c r="D20" s="10">
        <f>VLOOKUP($D$6,'Edd data'!$A$2:$T$21,9,FALSE)</f>
        <v>11470</v>
      </c>
      <c r="E20" s="13">
        <f t="shared" si="0"/>
        <v>256</v>
      </c>
      <c r="F20" t="s">
        <v>73</v>
      </c>
      <c r="AI20" t="s">
        <v>76</v>
      </c>
    </row>
    <row r="21" spans="2:35" x14ac:dyDescent="0.35">
      <c r="B21" s="8">
        <v>9</v>
      </c>
      <c r="C21" s="8" t="s">
        <v>19</v>
      </c>
      <c r="D21" s="10">
        <f>VLOOKUP($D$6,'Edd data'!$A$2:$T$21,10,FALSE)</f>
        <v>11571</v>
      </c>
      <c r="E21" s="13">
        <f t="shared" si="0"/>
        <v>155</v>
      </c>
      <c r="F21" t="s">
        <v>71</v>
      </c>
      <c r="AI21" t="str">
        <f>VLOOKUP(AI23,E18:F22,2,FALSE)</f>
        <v>Surname</v>
      </c>
    </row>
    <row r="22" spans="2:35" x14ac:dyDescent="0.35">
      <c r="B22" s="8">
        <v>10</v>
      </c>
      <c r="C22" s="8" t="s">
        <v>20</v>
      </c>
      <c r="D22" s="10">
        <f>VLOOKUP($D$6,'Edd data'!$A$2:$T$21,11,FALSE)</f>
        <v>4070</v>
      </c>
      <c r="E22" s="13">
        <f t="shared" si="0"/>
        <v>7656</v>
      </c>
      <c r="F22" t="s">
        <v>72</v>
      </c>
      <c r="AI22" t="s">
        <v>74</v>
      </c>
    </row>
    <row r="23" spans="2:35" x14ac:dyDescent="0.35">
      <c r="B23" s="8">
        <v>11</v>
      </c>
      <c r="C23" s="8" t="s">
        <v>21</v>
      </c>
      <c r="D23" s="10">
        <f>VLOOKUP($D$6,'Edd data'!$A$2:$T$21,12,FALSE)</f>
        <v>2241</v>
      </c>
      <c r="E23" s="13">
        <f t="shared" si="0"/>
        <v>9485</v>
      </c>
      <c r="AI23" s="33">
        <f>LARGE(E18:E22,2)</f>
        <v>1632</v>
      </c>
    </row>
    <row r="24" spans="2:35" x14ac:dyDescent="0.35">
      <c r="B24" s="8">
        <v>12</v>
      </c>
      <c r="C24" s="8" t="s">
        <v>22</v>
      </c>
      <c r="D24" s="10">
        <f>VLOOKUP($D$6,'Edd data'!$A$2:$T$21,13,FALSE)</f>
        <v>4285</v>
      </c>
      <c r="E24" s="13">
        <f t="shared" si="0"/>
        <v>7441</v>
      </c>
      <c r="AI24" t="s">
        <v>77</v>
      </c>
    </row>
    <row r="25" spans="2:35" ht="3.75" customHeight="1" x14ac:dyDescent="0.35">
      <c r="D25" s="21"/>
      <c r="E25" s="22"/>
    </row>
    <row r="26" spans="2:35" x14ac:dyDescent="0.35">
      <c r="B26" s="11" t="s">
        <v>64</v>
      </c>
    </row>
    <row r="27" spans="2:35" x14ac:dyDescent="0.35">
      <c r="B27" s="8">
        <v>13</v>
      </c>
      <c r="C27" s="8" t="s">
        <v>23</v>
      </c>
      <c r="D27" s="10">
        <f>VLOOKUP($D$6,'Edd data'!$A$2:$T$21,14,FALSE)</f>
        <v>4</v>
      </c>
      <c r="E27" s="13">
        <f t="shared" si="0"/>
        <v>11722</v>
      </c>
    </row>
    <row r="28" spans="2:35" x14ac:dyDescent="0.35">
      <c r="B28" s="8">
        <v>14</v>
      </c>
      <c r="C28" s="8" t="s">
        <v>24</v>
      </c>
      <c r="D28" s="10">
        <f>VLOOKUP($D$6,'Edd data'!$A$2:$T$21,15,FALSE)</f>
        <v>11017</v>
      </c>
      <c r="E28" s="13">
        <f t="shared" si="0"/>
        <v>709</v>
      </c>
    </row>
    <row r="29" spans="2:35" x14ac:dyDescent="0.35">
      <c r="B29" s="8">
        <v>15</v>
      </c>
      <c r="C29" s="8" t="s">
        <v>25</v>
      </c>
      <c r="D29" s="10">
        <f>VLOOKUP($D$6,'Edd data'!$A$2:$T$21,16,FALSE)</f>
        <v>10</v>
      </c>
      <c r="E29" s="13">
        <f t="shared" si="0"/>
        <v>11716</v>
      </c>
    </row>
    <row r="30" spans="2:35" x14ac:dyDescent="0.35">
      <c r="B30" s="8">
        <v>16</v>
      </c>
      <c r="C30" s="8" t="s">
        <v>26</v>
      </c>
      <c r="D30" s="10">
        <f>VLOOKUP($D$6,'Edd data'!$A$2:$T$21,17,FALSE)</f>
        <v>11556</v>
      </c>
      <c r="E30" s="13">
        <f t="shared" si="0"/>
        <v>170</v>
      </c>
    </row>
    <row r="31" spans="2:35" x14ac:dyDescent="0.35">
      <c r="B31" s="8">
        <v>17</v>
      </c>
      <c r="C31" s="8" t="s">
        <v>27</v>
      </c>
      <c r="D31" s="10">
        <f>VLOOKUP($D$6,'Edd data'!$A$2:$T$21,18,FALSE)</f>
        <v>11507</v>
      </c>
      <c r="E31" s="13">
        <f t="shared" si="0"/>
        <v>219</v>
      </c>
    </row>
    <row r="32" spans="2:35" x14ac:dyDescent="0.35">
      <c r="B32" s="8">
        <v>18</v>
      </c>
      <c r="C32" s="8" t="s">
        <v>28</v>
      </c>
      <c r="D32" s="10">
        <f>VLOOKUP($D$6,'Edd data'!$A$2:$T$21,19,FALSE)</f>
        <v>5</v>
      </c>
      <c r="E32" s="13">
        <f t="shared" si="0"/>
        <v>11721</v>
      </c>
    </row>
    <row r="33" spans="2:17" x14ac:dyDescent="0.35">
      <c r="B33" s="8">
        <v>19</v>
      </c>
      <c r="C33" s="8" t="s">
        <v>29</v>
      </c>
      <c r="D33" s="10">
        <f>VLOOKUP($D$6,'Edd data'!$A$2:$T$21,20,FALSE)</f>
        <v>16</v>
      </c>
      <c r="E33" s="13">
        <f t="shared" si="0"/>
        <v>11710</v>
      </c>
    </row>
    <row r="36" spans="2:17" x14ac:dyDescent="0.35">
      <c r="B36" s="2" t="s">
        <v>30</v>
      </c>
    </row>
    <row r="37" spans="2:17" ht="7.5" customHeight="1" x14ac:dyDescent="0.35"/>
    <row r="38" spans="2:17" x14ac:dyDescent="0.35">
      <c r="B38" s="44" t="str">
        <f>CONCATENATE(AI10,AI13,AI14,AI16,AI17,AI19,AI20,AI21,AI22,AI23,AI24)</f>
        <v>Looking at the data for the Trust, of the records which failed MPS tracing, the most common issue was a mismatch in the Postcode provided in the record and the one stored in PDS (~7656 records out of 11726 records which failed MPS tracing didn't match postcode information to the data in pds). The second most common issue was matching of the Surname to those stored in PDS, around 1632 records had an issue in at least one of those fields. Addressing mismatches in these fields should improve the total number of successfully traced records.</v>
      </c>
      <c r="C38" s="44"/>
      <c r="D38" s="44"/>
      <c r="E38" s="44"/>
      <c r="F38" s="44"/>
      <c r="G38" s="44"/>
      <c r="H38" s="44"/>
      <c r="I38" s="44"/>
      <c r="J38" s="44"/>
      <c r="K38" s="44"/>
      <c r="L38" s="44"/>
      <c r="M38" s="44"/>
      <c r="N38" s="44"/>
      <c r="O38" s="44"/>
      <c r="P38" s="44"/>
      <c r="Q38" s="44"/>
    </row>
    <row r="39" spans="2:17" x14ac:dyDescent="0.35">
      <c r="B39" s="44"/>
      <c r="C39" s="44"/>
      <c r="D39" s="44"/>
      <c r="E39" s="44"/>
      <c r="F39" s="44"/>
      <c r="G39" s="44"/>
      <c r="H39" s="44"/>
      <c r="I39" s="44"/>
      <c r="J39" s="44"/>
      <c r="K39" s="44"/>
      <c r="L39" s="44"/>
      <c r="M39" s="44"/>
      <c r="N39" s="44"/>
      <c r="O39" s="44"/>
      <c r="P39" s="44"/>
      <c r="Q39" s="44"/>
    </row>
    <row r="40" spans="2:17" x14ac:dyDescent="0.35">
      <c r="B40" s="44"/>
      <c r="C40" s="44"/>
      <c r="D40" s="44"/>
      <c r="E40" s="44"/>
      <c r="F40" s="44"/>
      <c r="G40" s="44"/>
      <c r="H40" s="44"/>
      <c r="I40" s="44"/>
      <c r="J40" s="44"/>
      <c r="K40" s="44"/>
      <c r="L40" s="44"/>
      <c r="M40" s="44"/>
      <c r="N40" s="44"/>
      <c r="O40" s="44"/>
      <c r="P40" s="44"/>
      <c r="Q40" s="44"/>
    </row>
    <row r="41" spans="2:17" x14ac:dyDescent="0.35">
      <c r="B41" s="44"/>
      <c r="C41" s="44"/>
      <c r="D41" s="44"/>
      <c r="E41" s="44"/>
      <c r="F41" s="44"/>
      <c r="G41" s="44"/>
      <c r="H41" s="44"/>
      <c r="I41" s="44"/>
      <c r="J41" s="44"/>
      <c r="K41" s="44"/>
      <c r="L41" s="44"/>
      <c r="M41" s="44"/>
      <c r="N41" s="44"/>
      <c r="O41" s="44"/>
      <c r="P41" s="44"/>
      <c r="Q41" s="44"/>
    </row>
    <row r="42" spans="2:17" x14ac:dyDescent="0.35">
      <c r="B42" s="44"/>
      <c r="C42" s="44"/>
      <c r="D42" s="44"/>
      <c r="E42" s="44"/>
      <c r="F42" s="44"/>
      <c r="G42" s="44"/>
      <c r="H42" s="44"/>
      <c r="I42" s="44"/>
      <c r="J42" s="44"/>
      <c r="K42" s="44"/>
      <c r="L42" s="44"/>
      <c r="M42" s="44"/>
      <c r="N42" s="44"/>
      <c r="O42" s="44"/>
      <c r="P42" s="44"/>
      <c r="Q42" s="44"/>
    </row>
  </sheetData>
  <sheetProtection algorithmName="SHA-512" hashValue="wBvu7avpqTqeY/StboWwLSVJ01cY8MBmD7tZalLTL7wJBwdAH4tG1RYB3/1oxfRi90rsOOwuVupKMl55xNqCSQ==" saltValue="gaxG4OmErjM6X9EP7cz1+g==" spinCount="100000" sheet="1" objects="1" scenarios="1"/>
  <mergeCells count="1">
    <mergeCell ref="B38:Q42"/>
  </mergeCells>
  <conditionalFormatting sqref="E18:E24">
    <cfRule type="colorScale" priority="2">
      <colorScale>
        <cfvo type="min"/>
        <cfvo type="max"/>
        <color theme="0"/>
        <color rgb="FFFF5050"/>
      </colorScale>
    </cfRule>
  </conditionalFormatting>
  <conditionalFormatting sqref="E27:E33">
    <cfRule type="colorScale" priority="1">
      <colorScale>
        <cfvo type="min"/>
        <cfvo type="max"/>
        <color theme="0"/>
        <color rgb="FFFF5050"/>
      </colorScale>
    </cfRule>
  </conditionalFormatting>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ABDB5C-0ECC-42A3-B37A-19BB6F1B8966}">
          <x14:formula1>
            <xm:f>'Edd data'!$A:$A</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54449-5741-42F3-B03F-83051929585E}">
  <dimension ref="B2:AX42"/>
  <sheetViews>
    <sheetView showGridLines="0" workbookViewId="0">
      <selection activeCell="D6" sqref="D6"/>
    </sheetView>
  </sheetViews>
  <sheetFormatPr defaultRowHeight="14.5" x14ac:dyDescent="0.35"/>
  <cols>
    <col min="1" max="1" width="4.7265625" customWidth="1"/>
    <col min="2" max="2" width="4.81640625" bestFit="1" customWidth="1"/>
    <col min="3" max="3" width="41.81640625" bestFit="1" customWidth="1"/>
    <col min="4" max="4" width="11.1796875" bestFit="1" customWidth="1"/>
    <col min="5" max="5" width="11.7265625" customWidth="1"/>
  </cols>
  <sheetData>
    <row r="2" spans="2:50" ht="18.5" x14ac:dyDescent="0.45">
      <c r="B2" s="7" t="s">
        <v>59</v>
      </c>
    </row>
    <row r="3" spans="2:50" x14ac:dyDescent="0.35">
      <c r="B3" s="1" t="s">
        <v>63</v>
      </c>
      <c r="AI3" s="11" t="s">
        <v>68</v>
      </c>
    </row>
    <row r="4" spans="2:50" x14ac:dyDescent="0.35">
      <c r="AI4" s="11" t="s">
        <v>67</v>
      </c>
    </row>
    <row r="5" spans="2:50" x14ac:dyDescent="0.35">
      <c r="B5" s="12" t="s">
        <v>50</v>
      </c>
      <c r="C5" s="12" t="s">
        <v>48</v>
      </c>
      <c r="D5" s="26" t="s">
        <v>49</v>
      </c>
    </row>
    <row r="6" spans="2:50" x14ac:dyDescent="0.35">
      <c r="B6" s="8">
        <v>1</v>
      </c>
      <c r="C6" s="8" t="s">
        <v>2</v>
      </c>
      <c r="D6" s="23" t="s">
        <v>83</v>
      </c>
    </row>
    <row r="7" spans="2:50" ht="3.75" customHeight="1" x14ac:dyDescent="0.35">
      <c r="C7" s="20"/>
      <c r="D7" s="20"/>
    </row>
    <row r="8" spans="2:50" x14ac:dyDescent="0.35">
      <c r="B8" s="11" t="s">
        <v>62</v>
      </c>
    </row>
    <row r="9" spans="2:50" x14ac:dyDescent="0.35">
      <c r="B9" s="8">
        <v>2</v>
      </c>
      <c r="C9" s="8" t="s">
        <v>3</v>
      </c>
      <c r="D9" s="10">
        <v>161143</v>
      </c>
    </row>
    <row r="10" spans="2:50" x14ac:dyDescent="0.35">
      <c r="B10" s="8">
        <v>3</v>
      </c>
      <c r="C10" s="8" t="s">
        <v>5</v>
      </c>
      <c r="D10" s="10">
        <v>27587</v>
      </c>
      <c r="AI10" s="44" t="s">
        <v>78</v>
      </c>
      <c r="AJ10" s="44"/>
      <c r="AK10" s="44"/>
      <c r="AL10" s="44"/>
      <c r="AM10" s="44"/>
      <c r="AN10" s="44"/>
      <c r="AO10" s="44"/>
      <c r="AP10" s="44"/>
      <c r="AQ10" s="44"/>
      <c r="AR10" s="44"/>
      <c r="AS10" s="44"/>
      <c r="AT10" s="44"/>
      <c r="AU10" s="44"/>
      <c r="AV10" s="44"/>
      <c r="AW10" s="44"/>
      <c r="AX10" s="44"/>
    </row>
    <row r="11" spans="2:50" x14ac:dyDescent="0.35">
      <c r="B11" s="8">
        <v>4</v>
      </c>
      <c r="C11" s="9" t="s">
        <v>60</v>
      </c>
      <c r="D11" s="9">
        <f>D10/D9</f>
        <v>0.17119577021651577</v>
      </c>
      <c r="AI11" s="44"/>
      <c r="AJ11" s="44"/>
      <c r="AK11" s="44"/>
      <c r="AL11" s="44"/>
      <c r="AM11" s="44"/>
      <c r="AN11" s="44"/>
      <c r="AO11" s="44"/>
      <c r="AP11" s="44"/>
      <c r="AQ11" s="44"/>
      <c r="AR11" s="44"/>
      <c r="AS11" s="44"/>
      <c r="AT11" s="44"/>
      <c r="AU11" s="44"/>
      <c r="AV11" s="44"/>
      <c r="AW11" s="44"/>
      <c r="AX11" s="44"/>
    </row>
    <row r="12" spans="2:50" ht="3.75" customHeight="1" x14ac:dyDescent="0.35">
      <c r="C12" s="20"/>
      <c r="D12" s="20"/>
      <c r="AI12" s="44"/>
      <c r="AJ12" s="44"/>
      <c r="AK12" s="44"/>
      <c r="AL12" s="44"/>
      <c r="AM12" s="44"/>
      <c r="AN12" s="44"/>
      <c r="AO12" s="44"/>
      <c r="AP12" s="44"/>
      <c r="AQ12" s="44"/>
      <c r="AR12" s="44"/>
      <c r="AS12" s="44"/>
      <c r="AT12" s="44"/>
      <c r="AU12" s="44"/>
      <c r="AV12" s="44"/>
      <c r="AW12" s="44"/>
      <c r="AX12" s="44"/>
    </row>
    <row r="13" spans="2:50" x14ac:dyDescent="0.35">
      <c r="B13" s="11" t="s">
        <v>61</v>
      </c>
      <c r="AI13" t="str">
        <f>VLOOKUP(AI16,E18:F22,2,FALSE)</f>
        <v>Postcode</v>
      </c>
    </row>
    <row r="14" spans="2:50" ht="29" x14ac:dyDescent="0.35">
      <c r="B14" s="8">
        <v>5</v>
      </c>
      <c r="C14" s="19" t="s">
        <v>56</v>
      </c>
      <c r="D14" s="10">
        <v>25043</v>
      </c>
      <c r="AI14" t="s">
        <v>79</v>
      </c>
    </row>
    <row r="15" spans="2:50" ht="3.75" customHeight="1" x14ac:dyDescent="0.35">
      <c r="D15" s="21"/>
    </row>
    <row r="16" spans="2:50" x14ac:dyDescent="0.35">
      <c r="B16" s="11" t="str">
        <f>CONCATENATE(AI3,D14,AI4)</f>
        <v xml:space="preserve">    Out of 25043 records that were not safe to use, the match/fail for each identifier field are as follows:</v>
      </c>
      <c r="AI16" s="30">
        <f>MAX(E18:E22)</f>
        <v>16682</v>
      </c>
    </row>
    <row r="17" spans="2:35" ht="43.5" x14ac:dyDescent="0.35">
      <c r="B17" s="12" t="s">
        <v>50</v>
      </c>
      <c r="C17" s="12" t="s">
        <v>48</v>
      </c>
      <c r="D17" s="27" t="s">
        <v>52</v>
      </c>
      <c r="E17" s="28" t="s">
        <v>51</v>
      </c>
      <c r="AI17" t="s">
        <v>75</v>
      </c>
    </row>
    <row r="18" spans="2:35" x14ac:dyDescent="0.35">
      <c r="B18" s="8">
        <v>6</v>
      </c>
      <c r="C18" s="8" t="s">
        <v>10</v>
      </c>
      <c r="D18" s="10">
        <v>20133</v>
      </c>
      <c r="E18" s="13">
        <f>$D$14-D18</f>
        <v>4910</v>
      </c>
      <c r="F18" t="s">
        <v>69</v>
      </c>
    </row>
    <row r="19" spans="2:35" x14ac:dyDescent="0.35">
      <c r="B19" s="8">
        <v>7</v>
      </c>
      <c r="C19" s="8" t="s">
        <v>17</v>
      </c>
      <c r="D19" s="10">
        <v>20661</v>
      </c>
      <c r="E19" s="13">
        <f t="shared" ref="E19:E33" si="0">$D$14-D19</f>
        <v>4382</v>
      </c>
      <c r="F19" t="s">
        <v>70</v>
      </c>
      <c r="AI19" s="30">
        <f>MAX(D14)</f>
        <v>25043</v>
      </c>
    </row>
    <row r="20" spans="2:35" x14ac:dyDescent="0.35">
      <c r="B20" s="8">
        <v>8</v>
      </c>
      <c r="C20" s="8" t="s">
        <v>18</v>
      </c>
      <c r="D20" s="10">
        <v>24422</v>
      </c>
      <c r="E20" s="13">
        <f t="shared" si="0"/>
        <v>621</v>
      </c>
      <c r="F20" t="s">
        <v>73</v>
      </c>
      <c r="AI20" t="s">
        <v>76</v>
      </c>
    </row>
    <row r="21" spans="2:35" x14ac:dyDescent="0.35">
      <c r="B21" s="8">
        <v>9</v>
      </c>
      <c r="C21" s="8" t="s">
        <v>19</v>
      </c>
      <c r="D21" s="10">
        <v>24769</v>
      </c>
      <c r="E21" s="13">
        <f t="shared" si="0"/>
        <v>274</v>
      </c>
      <c r="F21" t="s">
        <v>71</v>
      </c>
      <c r="AI21" t="str">
        <f>VLOOKUP(AI23,E18:F22,2,FALSE)</f>
        <v>Firstname</v>
      </c>
    </row>
    <row r="22" spans="2:35" x14ac:dyDescent="0.35">
      <c r="B22" s="8">
        <v>10</v>
      </c>
      <c r="C22" s="8" t="s">
        <v>20</v>
      </c>
      <c r="D22" s="10">
        <v>8361</v>
      </c>
      <c r="E22" s="13">
        <f t="shared" si="0"/>
        <v>16682</v>
      </c>
      <c r="F22" t="s">
        <v>72</v>
      </c>
      <c r="AI22" t="s">
        <v>74</v>
      </c>
    </row>
    <row r="23" spans="2:35" x14ac:dyDescent="0.35">
      <c r="B23" s="8">
        <v>11</v>
      </c>
      <c r="C23" s="8" t="s">
        <v>21</v>
      </c>
      <c r="D23" s="10">
        <v>5928</v>
      </c>
      <c r="E23" s="13">
        <f t="shared" si="0"/>
        <v>19115</v>
      </c>
      <c r="AI23" s="31">
        <f>LARGE(E18:E22,2)</f>
        <v>4910</v>
      </c>
    </row>
    <row r="24" spans="2:35" x14ac:dyDescent="0.35">
      <c r="B24" s="8">
        <v>12</v>
      </c>
      <c r="C24" s="8" t="s">
        <v>22</v>
      </c>
      <c r="D24" s="10">
        <v>8792</v>
      </c>
      <c r="E24" s="13">
        <f t="shared" si="0"/>
        <v>16251</v>
      </c>
      <c r="AI24" t="s">
        <v>77</v>
      </c>
    </row>
    <row r="25" spans="2:35" ht="3.75" customHeight="1" x14ac:dyDescent="0.35">
      <c r="D25" s="21"/>
      <c r="E25" s="22"/>
    </row>
    <row r="26" spans="2:35" x14ac:dyDescent="0.35">
      <c r="B26" s="11" t="s">
        <v>64</v>
      </c>
    </row>
    <row r="27" spans="2:35" x14ac:dyDescent="0.35">
      <c r="B27" s="8">
        <v>13</v>
      </c>
      <c r="C27" s="8" t="s">
        <v>23</v>
      </c>
      <c r="D27" s="10">
        <v>59</v>
      </c>
      <c r="E27" s="13">
        <f t="shared" si="0"/>
        <v>24984</v>
      </c>
    </row>
    <row r="28" spans="2:35" x14ac:dyDescent="0.35">
      <c r="B28" s="8">
        <v>14</v>
      </c>
      <c r="C28" s="8" t="s">
        <v>24</v>
      </c>
      <c r="D28" s="10">
        <v>22712</v>
      </c>
      <c r="E28" s="13">
        <f t="shared" si="0"/>
        <v>2331</v>
      </c>
    </row>
    <row r="29" spans="2:35" x14ac:dyDescent="0.35">
      <c r="B29" s="8">
        <v>15</v>
      </c>
      <c r="C29" s="8" t="s">
        <v>25</v>
      </c>
      <c r="D29" s="10">
        <v>94</v>
      </c>
      <c r="E29" s="13">
        <f t="shared" si="0"/>
        <v>24949</v>
      </c>
    </row>
    <row r="30" spans="2:35" x14ac:dyDescent="0.35">
      <c r="B30" s="8">
        <v>16</v>
      </c>
      <c r="C30" s="8" t="s">
        <v>26</v>
      </c>
      <c r="D30" s="10">
        <v>24661</v>
      </c>
      <c r="E30" s="13">
        <f t="shared" si="0"/>
        <v>382</v>
      </c>
    </row>
    <row r="31" spans="2:35" x14ac:dyDescent="0.35">
      <c r="B31" s="8">
        <v>17</v>
      </c>
      <c r="C31" s="8" t="s">
        <v>27</v>
      </c>
      <c r="D31" s="10">
        <v>24494</v>
      </c>
      <c r="E31" s="13">
        <f t="shared" si="0"/>
        <v>549</v>
      </c>
    </row>
    <row r="32" spans="2:35" x14ac:dyDescent="0.35">
      <c r="B32" s="8">
        <v>18</v>
      </c>
      <c r="C32" s="8" t="s">
        <v>28</v>
      </c>
      <c r="D32" s="10">
        <v>42</v>
      </c>
      <c r="E32" s="13">
        <f t="shared" si="0"/>
        <v>25001</v>
      </c>
    </row>
    <row r="33" spans="2:17" x14ac:dyDescent="0.35">
      <c r="B33" s="8">
        <v>19</v>
      </c>
      <c r="C33" s="8" t="s">
        <v>29</v>
      </c>
      <c r="D33" s="10">
        <v>51</v>
      </c>
      <c r="E33" s="13">
        <f t="shared" si="0"/>
        <v>24992</v>
      </c>
    </row>
    <row r="36" spans="2:17" x14ac:dyDescent="0.35">
      <c r="B36" s="2" t="s">
        <v>30</v>
      </c>
    </row>
    <row r="37" spans="2:17" ht="7.5" customHeight="1" x14ac:dyDescent="0.35"/>
    <row r="38" spans="2:17" x14ac:dyDescent="0.35">
      <c r="B38" s="44" t="str">
        <f>CONCATENATE(AI10,AI13,AI14,AI16,AI17,AI19,AI20,AI21,AI22,AI23,AI24)</f>
        <v>Looking at the data for Barts Health NHS Trust, of the records which failed MPS tracing, the most common issue was a mismatch in the Postcode provided in the record and the one stored in PDS (~16682 records out of 25043 records which failed MPS tracing didn't match postcode information to the data in pds). The second most common issue was matching of the Firstname to those stored in PDS, around 4910 records had an issue in at least one of those fields. Addressing mismatches in these fields should improve the total number of successfully traced records.</v>
      </c>
      <c r="C38" s="44"/>
      <c r="D38" s="44"/>
      <c r="E38" s="44"/>
      <c r="F38" s="44"/>
      <c r="G38" s="44"/>
      <c r="H38" s="44"/>
      <c r="I38" s="44"/>
      <c r="J38" s="44"/>
      <c r="K38" s="44"/>
      <c r="L38" s="44"/>
      <c r="M38" s="44"/>
      <c r="N38" s="44"/>
      <c r="O38" s="44"/>
      <c r="P38" s="44"/>
      <c r="Q38" s="44"/>
    </row>
    <row r="39" spans="2:17" x14ac:dyDescent="0.35">
      <c r="B39" s="44"/>
      <c r="C39" s="44"/>
      <c r="D39" s="44"/>
      <c r="E39" s="44"/>
      <c r="F39" s="44"/>
      <c r="G39" s="44"/>
      <c r="H39" s="44"/>
      <c r="I39" s="44"/>
      <c r="J39" s="44"/>
      <c r="K39" s="44"/>
      <c r="L39" s="44"/>
      <c r="M39" s="44"/>
      <c r="N39" s="44"/>
      <c r="O39" s="44"/>
      <c r="P39" s="44"/>
      <c r="Q39" s="44"/>
    </row>
    <row r="40" spans="2:17" x14ac:dyDescent="0.35">
      <c r="B40" s="44"/>
      <c r="C40" s="44"/>
      <c r="D40" s="44"/>
      <c r="E40" s="44"/>
      <c r="F40" s="44"/>
      <c r="G40" s="44"/>
      <c r="H40" s="44"/>
      <c r="I40" s="44"/>
      <c r="J40" s="44"/>
      <c r="K40" s="44"/>
      <c r="L40" s="44"/>
      <c r="M40" s="44"/>
      <c r="N40" s="44"/>
      <c r="O40" s="44"/>
      <c r="P40" s="44"/>
      <c r="Q40" s="44"/>
    </row>
    <row r="41" spans="2:17" x14ac:dyDescent="0.35">
      <c r="B41" s="44"/>
      <c r="C41" s="44"/>
      <c r="D41" s="44"/>
      <c r="E41" s="44"/>
      <c r="F41" s="44"/>
      <c r="G41" s="44"/>
      <c r="H41" s="44"/>
      <c r="I41" s="44"/>
      <c r="J41" s="44"/>
      <c r="K41" s="44"/>
      <c r="L41" s="44"/>
      <c r="M41" s="44"/>
      <c r="N41" s="44"/>
      <c r="O41" s="44"/>
      <c r="P41" s="44"/>
      <c r="Q41" s="44"/>
    </row>
    <row r="42" spans="2:17" x14ac:dyDescent="0.35">
      <c r="B42" s="44"/>
      <c r="C42" s="44"/>
      <c r="D42" s="44"/>
      <c r="E42" s="44"/>
      <c r="F42" s="44"/>
      <c r="G42" s="44"/>
      <c r="H42" s="44"/>
      <c r="I42" s="44"/>
      <c r="J42" s="44"/>
      <c r="K42" s="44"/>
      <c r="L42" s="44"/>
      <c r="M42" s="44"/>
      <c r="N42" s="44"/>
      <c r="O42" s="44"/>
      <c r="P42" s="44"/>
      <c r="Q42" s="44"/>
    </row>
  </sheetData>
  <mergeCells count="2">
    <mergeCell ref="AI10:AX12"/>
    <mergeCell ref="B38:Q42"/>
  </mergeCells>
  <conditionalFormatting sqref="E18:E24">
    <cfRule type="colorScale" priority="3">
      <colorScale>
        <cfvo type="min"/>
        <cfvo type="max"/>
        <color theme="0"/>
        <color rgb="FFFF5050"/>
      </colorScale>
    </cfRule>
  </conditionalFormatting>
  <conditionalFormatting sqref="E27:E33">
    <cfRule type="colorScale" priority="1">
      <colorScale>
        <cfvo type="min"/>
        <cfvo type="max"/>
        <color theme="0"/>
        <color rgb="FFFF5050"/>
      </colorScale>
    </cfRule>
  </conditionalFormatting>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E8DCF5-0C6B-431C-9E81-A6FA68861AC9}">
          <x14:formula1>
            <xm:f>'Edd data'!$A:$A</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7A874-6A9A-42F1-8B31-C8F1B787772D}">
  <dimension ref="B2:E14"/>
  <sheetViews>
    <sheetView showGridLines="0" zoomScale="71" zoomScaleNormal="71" workbookViewId="0">
      <selection activeCell="V25" sqref="V25"/>
    </sheetView>
  </sheetViews>
  <sheetFormatPr defaultRowHeight="14.5" x14ac:dyDescent="0.35"/>
  <cols>
    <col min="1" max="1" width="2.54296875" customWidth="1"/>
    <col min="2" max="2" width="7.1796875" customWidth="1"/>
    <col min="3" max="3" width="22.453125" customWidth="1"/>
    <col min="4" max="4" width="30.54296875" customWidth="1"/>
    <col min="5" max="5" width="54.7265625" customWidth="1"/>
  </cols>
  <sheetData>
    <row r="2" spans="2:5" ht="18.5" x14ac:dyDescent="0.45">
      <c r="B2" s="7" t="s">
        <v>58</v>
      </c>
    </row>
    <row r="3" spans="2:5" x14ac:dyDescent="0.35">
      <c r="B3" s="6"/>
    </row>
    <row r="4" spans="2:5" x14ac:dyDescent="0.35">
      <c r="B4" s="14" t="s">
        <v>50</v>
      </c>
      <c r="C4" s="14" t="s">
        <v>48</v>
      </c>
      <c r="D4" s="14" t="s">
        <v>0</v>
      </c>
      <c r="E4" s="14" t="s">
        <v>1</v>
      </c>
    </row>
    <row r="5" spans="2:5" x14ac:dyDescent="0.35">
      <c r="B5" s="24">
        <v>1</v>
      </c>
      <c r="C5" s="15" t="s">
        <v>2</v>
      </c>
      <c r="D5" s="15"/>
      <c r="E5" s="15"/>
    </row>
    <row r="6" spans="2:5" ht="101.5" x14ac:dyDescent="0.35">
      <c r="B6" s="24">
        <v>2</v>
      </c>
      <c r="C6" s="15" t="s">
        <v>3</v>
      </c>
      <c r="D6" s="15" t="s">
        <v>4</v>
      </c>
      <c r="E6" s="15" t="s">
        <v>34</v>
      </c>
    </row>
    <row r="7" spans="2:5" ht="43.5" x14ac:dyDescent="0.35">
      <c r="B7" s="24">
        <v>3</v>
      </c>
      <c r="C7" s="15" t="s">
        <v>5</v>
      </c>
      <c r="D7" s="15" t="s">
        <v>6</v>
      </c>
      <c r="E7" s="15"/>
    </row>
    <row r="8" spans="2:5" ht="43.5" x14ac:dyDescent="0.35">
      <c r="B8" s="24">
        <v>4</v>
      </c>
      <c r="C8" s="25" t="s">
        <v>60</v>
      </c>
      <c r="D8" s="15" t="s">
        <v>33</v>
      </c>
      <c r="E8" s="15"/>
    </row>
    <row r="9" spans="2:5" ht="116" x14ac:dyDescent="0.35">
      <c r="B9" s="24">
        <v>5</v>
      </c>
      <c r="C9" s="15" t="s">
        <v>7</v>
      </c>
      <c r="D9" s="15" t="s">
        <v>8</v>
      </c>
      <c r="E9" s="15" t="s">
        <v>9</v>
      </c>
    </row>
    <row r="10" spans="2:5" ht="15.5" x14ac:dyDescent="0.35">
      <c r="B10" s="45" t="s">
        <v>57</v>
      </c>
      <c r="C10" s="47" t="s">
        <v>66</v>
      </c>
      <c r="D10" s="47" t="s">
        <v>11</v>
      </c>
      <c r="E10" s="16" t="s">
        <v>12</v>
      </c>
    </row>
    <row r="11" spans="2:5" ht="15.65" customHeight="1" x14ac:dyDescent="0.35">
      <c r="B11" s="46"/>
      <c r="C11" s="47"/>
      <c r="D11" s="47"/>
      <c r="E11" s="17" t="s">
        <v>13</v>
      </c>
    </row>
    <row r="12" spans="2:5" ht="62" x14ac:dyDescent="0.35">
      <c r="B12" s="46"/>
      <c r="C12" s="47"/>
      <c r="D12" s="47"/>
      <c r="E12" s="17" t="s">
        <v>14</v>
      </c>
    </row>
    <row r="13" spans="2:5" ht="31" x14ac:dyDescent="0.35">
      <c r="B13" s="46"/>
      <c r="C13" s="47"/>
      <c r="D13" s="47"/>
      <c r="E13" s="17" t="s">
        <v>15</v>
      </c>
    </row>
    <row r="14" spans="2:5" ht="31" x14ac:dyDescent="0.35">
      <c r="B14" s="46"/>
      <c r="C14" s="47"/>
      <c r="D14" s="47"/>
      <c r="E14" s="17" t="s">
        <v>16</v>
      </c>
    </row>
  </sheetData>
  <sheetProtection algorithmName="SHA-512" hashValue="hvXqvVaVjTATRUA6SjdYd7m1XyooKHWM8JJmL9BtvTZio9tJRUQthXXb7j4OvJqpXMvU5bBA3LnrTt8ynJ3OZg==" saltValue="QK0t9NirJ8hKAQOa1c9+pw==" spinCount="100000" sheet="1" objects="1" scenarios="1"/>
  <mergeCells count="3">
    <mergeCell ref="B10:B14"/>
    <mergeCell ref="C10:C14"/>
    <mergeCell ref="D10:D1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A1F33-E5B2-4E5B-8AD2-4880C4B5C16A}">
  <dimension ref="B2:B17"/>
  <sheetViews>
    <sheetView showGridLines="0" topLeftCell="A3" zoomScale="120" zoomScaleNormal="120" workbookViewId="0">
      <selection activeCell="D20" sqref="D20"/>
    </sheetView>
  </sheetViews>
  <sheetFormatPr defaultRowHeight="14.5" x14ac:dyDescent="0.35"/>
  <cols>
    <col min="1" max="1" width="2.54296875" customWidth="1"/>
    <col min="2" max="2" width="7.1796875" customWidth="1"/>
    <col min="3" max="3" width="22.453125" customWidth="1"/>
    <col min="4" max="4" width="30.54296875" customWidth="1"/>
    <col min="5" max="5" width="54.7265625" customWidth="1"/>
  </cols>
  <sheetData>
    <row r="2" spans="2:2" ht="18.5" x14ac:dyDescent="0.45">
      <c r="B2" s="7" t="s">
        <v>44</v>
      </c>
    </row>
    <row r="3" spans="2:2" x14ac:dyDescent="0.35">
      <c r="B3" s="6"/>
    </row>
    <row r="4" spans="2:2" x14ac:dyDescent="0.35">
      <c r="B4" s="3" t="s">
        <v>45</v>
      </c>
    </row>
    <row r="5" spans="2:2" ht="3.75" customHeight="1" x14ac:dyDescent="0.35">
      <c r="B5" s="3"/>
    </row>
    <row r="6" spans="2:2" x14ac:dyDescent="0.35">
      <c r="B6" s="3" t="s">
        <v>46</v>
      </c>
    </row>
    <row r="7" spans="2:2" ht="3.75" customHeight="1" x14ac:dyDescent="0.35">
      <c r="B7" s="3"/>
    </row>
    <row r="8" spans="2:2" x14ac:dyDescent="0.35">
      <c r="B8" s="4" t="s">
        <v>35</v>
      </c>
    </row>
    <row r="9" spans="2:2" x14ac:dyDescent="0.35">
      <c r="B9" s="5" t="s">
        <v>36</v>
      </c>
    </row>
    <row r="10" spans="2:2" x14ac:dyDescent="0.35">
      <c r="B10" s="5" t="s">
        <v>37</v>
      </c>
    </row>
    <row r="11" spans="2:2" x14ac:dyDescent="0.35">
      <c r="B11" s="5" t="s">
        <v>38</v>
      </c>
    </row>
    <row r="12" spans="2:2" x14ac:dyDescent="0.35">
      <c r="B12" s="5" t="s">
        <v>39</v>
      </c>
    </row>
    <row r="13" spans="2:2" x14ac:dyDescent="0.35">
      <c r="B13" s="5" t="s">
        <v>40</v>
      </c>
    </row>
    <row r="14" spans="2:2" x14ac:dyDescent="0.35">
      <c r="B14" s="5" t="s">
        <v>41</v>
      </c>
    </row>
    <row r="15" spans="2:2" x14ac:dyDescent="0.35">
      <c r="B15" s="5" t="s">
        <v>42</v>
      </c>
    </row>
    <row r="16" spans="2:2" ht="3.75" customHeight="1" x14ac:dyDescent="0.35">
      <c r="B16" s="5"/>
    </row>
    <row r="17" spans="2:2" x14ac:dyDescent="0.35">
      <c r="B17" s="4" t="s">
        <v>43</v>
      </c>
    </row>
  </sheetData>
  <sheetProtection algorithmName="SHA-512" hashValue="MrRq370vKF8OAcqGkQ/7SVenPXu62FNJTnWcQGkDl3Nfdv536+Bzto8w6JqodP5WUX/SXTb2X5cvRJwTCdEqfg==" saltValue="Gkn62DG4UjenlOiwYNoQmg==" spinCount="100000" sheet="1" objects="1" scenarios="1"/>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7A0B-303B-4A69-81C9-1059C03369E5}">
  <dimension ref="B2:D14"/>
  <sheetViews>
    <sheetView showGridLines="0" zoomScale="84" zoomScaleNormal="84" workbookViewId="0">
      <selection activeCell="B2" sqref="B2"/>
    </sheetView>
  </sheetViews>
  <sheetFormatPr defaultRowHeight="14.5" x14ac:dyDescent="0.35"/>
  <cols>
    <col min="1" max="1" width="5" customWidth="1"/>
    <col min="2" max="2" width="16.54296875" customWidth="1"/>
    <col min="3" max="3" width="23" bestFit="1" customWidth="1"/>
    <col min="4" max="4" width="92.7265625" bestFit="1" customWidth="1"/>
  </cols>
  <sheetData>
    <row r="2" spans="2:4" ht="18.5" x14ac:dyDescent="0.45">
      <c r="B2" s="7" t="s">
        <v>104</v>
      </c>
    </row>
    <row r="4" spans="2:4" x14ac:dyDescent="0.35">
      <c r="B4" t="s">
        <v>105</v>
      </c>
    </row>
    <row r="6" spans="2:4" x14ac:dyDescent="0.35">
      <c r="B6" s="35" t="s">
        <v>106</v>
      </c>
      <c r="C6" s="35" t="s">
        <v>107</v>
      </c>
      <c r="D6" s="35" t="s">
        <v>108</v>
      </c>
    </row>
    <row r="7" spans="2:4" x14ac:dyDescent="0.35">
      <c r="B7" s="36" t="s">
        <v>109</v>
      </c>
      <c r="C7" s="36" t="s">
        <v>110</v>
      </c>
      <c r="D7" s="36" t="s">
        <v>111</v>
      </c>
    </row>
    <row r="8" spans="2:4" ht="29" x14ac:dyDescent="0.35">
      <c r="B8" s="36" t="s">
        <v>121</v>
      </c>
      <c r="C8" s="36" t="s">
        <v>122</v>
      </c>
      <c r="D8" s="37" t="s">
        <v>123</v>
      </c>
    </row>
    <row r="9" spans="2:4" ht="43.5" x14ac:dyDescent="0.35">
      <c r="B9" s="36" t="s">
        <v>112</v>
      </c>
      <c r="C9" s="37" t="s">
        <v>113</v>
      </c>
      <c r="D9" s="37" t="s">
        <v>114</v>
      </c>
    </row>
    <row r="12" spans="2:4" ht="45.75" customHeight="1" x14ac:dyDescent="0.35">
      <c r="B12" s="36" t="s">
        <v>115</v>
      </c>
      <c r="C12" s="48" t="s">
        <v>116</v>
      </c>
      <c r="D12" s="49"/>
    </row>
    <row r="13" spans="2:4" ht="29.25" customHeight="1" x14ac:dyDescent="0.35">
      <c r="B13" s="36" t="s">
        <v>117</v>
      </c>
      <c r="C13" s="48" t="s">
        <v>118</v>
      </c>
      <c r="D13" s="49"/>
    </row>
    <row r="14" spans="2:4" ht="29.25" customHeight="1" x14ac:dyDescent="0.35">
      <c r="B14" s="36" t="s">
        <v>119</v>
      </c>
      <c r="C14" s="48" t="s">
        <v>120</v>
      </c>
      <c r="D14" s="49"/>
    </row>
  </sheetData>
  <sheetProtection algorithmName="SHA-512" hashValue="fKiuYpjUdAjh9Iwu7u5ta387dWI7salSFalF30i4ycEhNeLY5PIrz6kMllsXvRnpOL0Euzt2mVu2qRxEyYbBnw==" saltValue="DhflwQ3KRZU8SHrJljRWuQ==" spinCount="100000" sheet="1" objects="1" scenarios="1"/>
  <mergeCells count="3">
    <mergeCell ref="C12:D12"/>
    <mergeCell ref="C13:D13"/>
    <mergeCell ref="C14: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B7CF8-6F37-45D8-8BFA-A544FAC737E0}">
  <dimension ref="A3:A11"/>
  <sheetViews>
    <sheetView showGridLines="0" workbookViewId="0">
      <selection activeCell="L15" sqref="L15"/>
    </sheetView>
  </sheetViews>
  <sheetFormatPr defaultRowHeight="14.5" x14ac:dyDescent="0.35"/>
  <sheetData>
    <row r="3" spans="1:1" ht="18.5" x14ac:dyDescent="0.45">
      <c r="A3" s="7" t="s">
        <v>132</v>
      </c>
    </row>
    <row r="5" spans="1:1" x14ac:dyDescent="0.35">
      <c r="A5" t="s">
        <v>137</v>
      </c>
    </row>
    <row r="6" spans="1:1" x14ac:dyDescent="0.35">
      <c r="A6" t="s">
        <v>134</v>
      </c>
    </row>
    <row r="7" spans="1:1" x14ac:dyDescent="0.35">
      <c r="A7" t="s">
        <v>133</v>
      </c>
    </row>
    <row r="9" spans="1:1" x14ac:dyDescent="0.35">
      <c r="A9" t="s">
        <v>136</v>
      </c>
    </row>
    <row r="11" spans="1:1" x14ac:dyDescent="0.35">
      <c r="A11" s="39" t="s">
        <v>135</v>
      </c>
    </row>
  </sheetData>
  <sheetProtection algorithmName="SHA-512" hashValue="EPIhxikeDWBqX5veVRqifE9rbYfDBkwnUj6MLDdiliPscYCfblxNxgrQzpu8A3AJxyizfsThf3QFrQxZbfxeEg==" saltValue="WzlLBKjn1eIVM3JXOTPFxA==" spinCount="100000" sheet="1" objects="1" scenarios="1"/>
  <hyperlinks>
    <hyperlink ref="A11" r:id="rId1" display="https://www.nhs.uk/nhs-app/about-the-nhs-app/" xr:uid="{261D873B-AB25-45AD-A45A-EF4DA0B0360C}"/>
  </hyperlinks>
  <pageMargins left="0.7" right="0.7" top="0.75" bottom="0.75" header="0.3" footer="0.3"/>
  <pageSetup paperSize="9" orientation="portrait" horizontalDpi="300" verticalDpi="300"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9266-5D2D-45A3-A929-A9D2D5470FBA}">
  <dimension ref="A1:U21"/>
  <sheetViews>
    <sheetView workbookViewId="0">
      <selection activeCell="U26" sqref="U26"/>
    </sheetView>
  </sheetViews>
  <sheetFormatPr defaultRowHeight="14.5" x14ac:dyDescent="0.35"/>
  <cols>
    <col min="1" max="3" width="9.453125" customWidth="1"/>
    <col min="4" max="4" width="9.453125" style="20" customWidth="1"/>
    <col min="5" max="7" width="9.453125" customWidth="1"/>
    <col min="8" max="8" width="13.54296875" bestFit="1" customWidth="1"/>
    <col min="9" max="9" width="8.453125" bestFit="1" customWidth="1"/>
    <col min="10" max="10" width="11.7265625" bestFit="1" customWidth="1"/>
    <col min="11" max="16" width="7" customWidth="1"/>
    <col min="17" max="17" width="8.453125" bestFit="1" customWidth="1"/>
    <col min="18" max="18" width="7.54296875" bestFit="1" customWidth="1"/>
    <col min="19" max="20" width="8.26953125" customWidth="1"/>
    <col min="21" max="21" width="25.6328125" bestFit="1" customWidth="1"/>
    <col min="23" max="23" width="25.6328125" bestFit="1" customWidth="1"/>
  </cols>
  <sheetData>
    <row r="1" spans="1:21" x14ac:dyDescent="0.35">
      <c r="A1" t="s">
        <v>2</v>
      </c>
      <c r="B1" t="s">
        <v>3</v>
      </c>
      <c r="C1" t="s">
        <v>5</v>
      </c>
      <c r="D1" s="20" t="s">
        <v>80</v>
      </c>
      <c r="E1" t="s">
        <v>7</v>
      </c>
      <c r="F1" t="s">
        <v>81</v>
      </c>
      <c r="G1" t="s">
        <v>10</v>
      </c>
      <c r="H1" t="s">
        <v>17</v>
      </c>
      <c r="I1" t="s">
        <v>18</v>
      </c>
      <c r="J1" t="s">
        <v>19</v>
      </c>
      <c r="K1" t="s">
        <v>20</v>
      </c>
      <c r="L1" t="s">
        <v>21</v>
      </c>
      <c r="M1" t="s">
        <v>22</v>
      </c>
      <c r="N1" t="s">
        <v>23</v>
      </c>
      <c r="O1" t="s">
        <v>24</v>
      </c>
      <c r="P1" t="s">
        <v>25</v>
      </c>
      <c r="Q1" t="s">
        <v>26</v>
      </c>
      <c r="R1" t="s">
        <v>27</v>
      </c>
      <c r="S1" t="s">
        <v>28</v>
      </c>
      <c r="T1" t="s">
        <v>29</v>
      </c>
      <c r="U1" t="s">
        <v>124</v>
      </c>
    </row>
    <row r="2" spans="1:21" x14ac:dyDescent="0.35">
      <c r="A2" t="s">
        <v>82</v>
      </c>
      <c r="B2">
        <v>55341</v>
      </c>
      <c r="C2">
        <v>8087</v>
      </c>
      <c r="D2" s="20">
        <f t="shared" ref="D2:D11" si="0">C2/B2</f>
        <v>0.14613035543268102</v>
      </c>
      <c r="E2">
        <v>7484</v>
      </c>
      <c r="F2">
        <v>0</v>
      </c>
      <c r="G2">
        <v>6743</v>
      </c>
      <c r="H2">
        <v>6367</v>
      </c>
      <c r="I2">
        <v>7392</v>
      </c>
      <c r="J2">
        <v>7334</v>
      </c>
      <c r="K2">
        <v>2686</v>
      </c>
      <c r="L2">
        <v>1480</v>
      </c>
      <c r="M2">
        <v>2851</v>
      </c>
      <c r="N2">
        <v>9</v>
      </c>
      <c r="O2">
        <v>7037</v>
      </c>
      <c r="P2">
        <v>14</v>
      </c>
      <c r="Q2">
        <v>7427</v>
      </c>
      <c r="R2">
        <v>7400</v>
      </c>
      <c r="S2">
        <v>9</v>
      </c>
      <c r="T2">
        <v>10</v>
      </c>
      <c r="U2" t="s">
        <v>125</v>
      </c>
    </row>
    <row r="3" spans="1:21" x14ac:dyDescent="0.35">
      <c r="A3" t="s">
        <v>84</v>
      </c>
      <c r="B3">
        <v>17526</v>
      </c>
      <c r="C3">
        <v>2100</v>
      </c>
      <c r="D3" s="20">
        <f t="shared" si="0"/>
        <v>0.11982197877439234</v>
      </c>
      <c r="E3">
        <v>1880</v>
      </c>
      <c r="F3">
        <v>0</v>
      </c>
      <c r="G3">
        <v>1577</v>
      </c>
      <c r="H3">
        <v>1592</v>
      </c>
      <c r="I3">
        <v>1824</v>
      </c>
      <c r="J3">
        <v>1858</v>
      </c>
      <c r="K3">
        <v>774</v>
      </c>
      <c r="L3">
        <v>409</v>
      </c>
      <c r="M3">
        <v>887</v>
      </c>
      <c r="N3">
        <v>9</v>
      </c>
      <c r="O3">
        <v>1741</v>
      </c>
      <c r="P3">
        <v>9</v>
      </c>
      <c r="Q3">
        <v>1835</v>
      </c>
      <c r="R3">
        <v>1843</v>
      </c>
      <c r="S3">
        <v>9</v>
      </c>
      <c r="T3">
        <v>6</v>
      </c>
      <c r="U3" t="s">
        <v>125</v>
      </c>
    </row>
    <row r="4" spans="1:21" x14ac:dyDescent="0.35">
      <c r="A4" t="s">
        <v>85</v>
      </c>
      <c r="B4">
        <v>81102</v>
      </c>
      <c r="C4">
        <v>12878</v>
      </c>
      <c r="D4" s="20">
        <f t="shared" si="0"/>
        <v>0.15878769944021109</v>
      </c>
      <c r="E4">
        <v>11726</v>
      </c>
      <c r="F4">
        <v>0</v>
      </c>
      <c r="G4">
        <v>10410</v>
      </c>
      <c r="H4">
        <v>10094</v>
      </c>
      <c r="I4">
        <v>11470</v>
      </c>
      <c r="J4">
        <v>11571</v>
      </c>
      <c r="K4">
        <v>4070</v>
      </c>
      <c r="L4">
        <v>2241</v>
      </c>
      <c r="M4">
        <v>4285</v>
      </c>
      <c r="N4">
        <v>4</v>
      </c>
      <c r="O4">
        <v>11017</v>
      </c>
      <c r="P4">
        <v>10</v>
      </c>
      <c r="Q4">
        <v>11556</v>
      </c>
      <c r="R4">
        <v>11507</v>
      </c>
      <c r="S4">
        <v>5</v>
      </c>
      <c r="T4">
        <v>16</v>
      </c>
      <c r="U4" t="s">
        <v>125</v>
      </c>
    </row>
    <row r="5" spans="1:21" x14ac:dyDescent="0.35">
      <c r="A5" t="s">
        <v>86</v>
      </c>
      <c r="B5">
        <v>38283</v>
      </c>
      <c r="C5">
        <v>4798</v>
      </c>
      <c r="D5" s="20">
        <f t="shared" si="0"/>
        <v>0.12532978084267168</v>
      </c>
      <c r="E5">
        <v>4415</v>
      </c>
      <c r="F5">
        <v>0</v>
      </c>
      <c r="G5">
        <v>3856</v>
      </c>
      <c r="H5">
        <v>3831</v>
      </c>
      <c r="I5">
        <v>4318</v>
      </c>
      <c r="J5">
        <v>4392</v>
      </c>
      <c r="K5">
        <v>1836</v>
      </c>
      <c r="L5">
        <v>988</v>
      </c>
      <c r="M5">
        <v>1970</v>
      </c>
      <c r="N5">
        <v>11</v>
      </c>
      <c r="O5">
        <v>4027</v>
      </c>
      <c r="P5">
        <v>16</v>
      </c>
      <c r="Q5">
        <v>4357</v>
      </c>
      <c r="R5">
        <v>4327</v>
      </c>
      <c r="S5">
        <v>3</v>
      </c>
      <c r="T5">
        <v>9</v>
      </c>
      <c r="U5" t="s">
        <v>125</v>
      </c>
    </row>
    <row r="6" spans="1:21" x14ac:dyDescent="0.35">
      <c r="A6" t="s">
        <v>87</v>
      </c>
      <c r="B6">
        <v>22092</v>
      </c>
      <c r="C6">
        <v>2611</v>
      </c>
      <c r="D6" s="20">
        <f t="shared" si="0"/>
        <v>0.11818757921419519</v>
      </c>
      <c r="E6">
        <v>2400</v>
      </c>
      <c r="F6">
        <v>0</v>
      </c>
      <c r="G6">
        <v>1887</v>
      </c>
      <c r="H6">
        <v>2075</v>
      </c>
      <c r="I6">
        <v>2323</v>
      </c>
      <c r="J6">
        <v>2350</v>
      </c>
      <c r="K6">
        <v>985</v>
      </c>
      <c r="L6">
        <v>623</v>
      </c>
      <c r="M6">
        <v>1069</v>
      </c>
      <c r="N6">
        <v>16</v>
      </c>
      <c r="O6">
        <v>2039</v>
      </c>
      <c r="P6">
        <v>16</v>
      </c>
      <c r="Q6">
        <v>2340</v>
      </c>
      <c r="R6">
        <v>2346</v>
      </c>
      <c r="S6">
        <v>6</v>
      </c>
      <c r="T6">
        <v>8</v>
      </c>
      <c r="U6" t="s">
        <v>125</v>
      </c>
    </row>
    <row r="7" spans="1:21" x14ac:dyDescent="0.35">
      <c r="A7" t="s">
        <v>88</v>
      </c>
      <c r="B7">
        <v>44596</v>
      </c>
      <c r="C7">
        <v>4952</v>
      </c>
      <c r="D7" s="20">
        <f t="shared" si="0"/>
        <v>0.11104134899991031</v>
      </c>
      <c r="E7">
        <v>4596</v>
      </c>
      <c r="F7">
        <v>0</v>
      </c>
      <c r="G7">
        <v>3779</v>
      </c>
      <c r="H7">
        <v>3940</v>
      </c>
      <c r="I7">
        <v>4530</v>
      </c>
      <c r="J7">
        <v>4559</v>
      </c>
      <c r="K7">
        <v>1831</v>
      </c>
      <c r="L7">
        <v>976</v>
      </c>
      <c r="M7">
        <v>2000</v>
      </c>
      <c r="N7">
        <v>4</v>
      </c>
      <c r="O7">
        <v>4233</v>
      </c>
      <c r="P7">
        <v>17</v>
      </c>
      <c r="Q7">
        <v>4542</v>
      </c>
      <c r="R7">
        <v>4544</v>
      </c>
      <c r="S7">
        <v>14</v>
      </c>
      <c r="T7">
        <v>11</v>
      </c>
      <c r="U7" t="s">
        <v>125</v>
      </c>
    </row>
    <row r="8" spans="1:21" x14ac:dyDescent="0.35">
      <c r="A8" t="s">
        <v>89</v>
      </c>
      <c r="B8">
        <v>45820</v>
      </c>
      <c r="C8">
        <v>4676</v>
      </c>
      <c r="D8" s="20">
        <f t="shared" si="0"/>
        <v>0.10205150589262331</v>
      </c>
      <c r="E8">
        <v>4369</v>
      </c>
      <c r="F8">
        <v>0</v>
      </c>
      <c r="G8">
        <v>3999</v>
      </c>
      <c r="H8">
        <v>3669</v>
      </c>
      <c r="I8">
        <v>4297</v>
      </c>
      <c r="J8">
        <v>4359</v>
      </c>
      <c r="K8">
        <v>1946</v>
      </c>
      <c r="L8">
        <v>984</v>
      </c>
      <c r="M8">
        <v>2063</v>
      </c>
      <c r="N8">
        <v>5</v>
      </c>
      <c r="O8">
        <v>4109</v>
      </c>
      <c r="P8">
        <v>5</v>
      </c>
      <c r="Q8">
        <v>4323</v>
      </c>
      <c r="R8">
        <v>4315</v>
      </c>
      <c r="S8">
        <v>1</v>
      </c>
      <c r="T8">
        <v>0</v>
      </c>
      <c r="U8" t="s">
        <v>125</v>
      </c>
    </row>
    <row r="9" spans="1:21" x14ac:dyDescent="0.35">
      <c r="A9" t="s">
        <v>90</v>
      </c>
      <c r="B9">
        <v>47696</v>
      </c>
      <c r="C9">
        <v>6347</v>
      </c>
      <c r="D9" s="20">
        <f t="shared" si="0"/>
        <v>0.13307195571955718</v>
      </c>
      <c r="E9">
        <v>5822</v>
      </c>
      <c r="F9">
        <v>0</v>
      </c>
      <c r="G9">
        <v>4788</v>
      </c>
      <c r="H9">
        <v>5098</v>
      </c>
      <c r="I9">
        <v>5652</v>
      </c>
      <c r="J9">
        <v>5757</v>
      </c>
      <c r="K9">
        <v>2050</v>
      </c>
      <c r="L9">
        <v>1194</v>
      </c>
      <c r="M9">
        <v>2316</v>
      </c>
      <c r="N9">
        <v>13</v>
      </c>
      <c r="O9">
        <v>5223</v>
      </c>
      <c r="P9">
        <v>18</v>
      </c>
      <c r="Q9">
        <v>5701</v>
      </c>
      <c r="R9">
        <v>5673</v>
      </c>
      <c r="S9">
        <v>5</v>
      </c>
      <c r="T9">
        <v>6</v>
      </c>
      <c r="U9" t="s">
        <v>125</v>
      </c>
    </row>
    <row r="10" spans="1:21" x14ac:dyDescent="0.35">
      <c r="A10" t="s">
        <v>91</v>
      </c>
      <c r="B10">
        <v>62781</v>
      </c>
      <c r="C10">
        <v>7987</v>
      </c>
      <c r="D10" s="20">
        <f t="shared" si="0"/>
        <v>0.12722001879549547</v>
      </c>
      <c r="E10">
        <v>7377</v>
      </c>
      <c r="F10">
        <v>0</v>
      </c>
      <c r="G10">
        <v>6551</v>
      </c>
      <c r="H10">
        <v>6331</v>
      </c>
      <c r="I10">
        <v>7238</v>
      </c>
      <c r="J10">
        <v>7363</v>
      </c>
      <c r="K10">
        <v>2914</v>
      </c>
      <c r="L10">
        <v>1533</v>
      </c>
      <c r="M10">
        <v>3115</v>
      </c>
      <c r="N10">
        <v>12</v>
      </c>
      <c r="O10">
        <v>6805</v>
      </c>
      <c r="P10">
        <v>18</v>
      </c>
      <c r="Q10">
        <v>7295</v>
      </c>
      <c r="R10">
        <v>7256</v>
      </c>
      <c r="S10">
        <v>26</v>
      </c>
      <c r="T10">
        <v>14</v>
      </c>
      <c r="U10" t="s">
        <v>125</v>
      </c>
    </row>
    <row r="11" spans="1:21" x14ac:dyDescent="0.35">
      <c r="A11" t="s">
        <v>92</v>
      </c>
      <c r="B11">
        <v>66309</v>
      </c>
      <c r="C11">
        <v>8870</v>
      </c>
      <c r="D11" s="20">
        <f t="shared" si="0"/>
        <v>0.13376766351475666</v>
      </c>
      <c r="E11">
        <v>8243</v>
      </c>
      <c r="F11">
        <v>0</v>
      </c>
      <c r="G11">
        <v>6683</v>
      </c>
      <c r="H11">
        <v>7216</v>
      </c>
      <c r="I11">
        <v>8031</v>
      </c>
      <c r="J11">
        <v>8141</v>
      </c>
      <c r="K11">
        <v>3127</v>
      </c>
      <c r="L11">
        <v>1772</v>
      </c>
      <c r="M11">
        <v>3531</v>
      </c>
      <c r="N11">
        <v>13</v>
      </c>
      <c r="O11">
        <v>7431</v>
      </c>
      <c r="P11">
        <v>22</v>
      </c>
      <c r="Q11">
        <v>8117</v>
      </c>
      <c r="R11">
        <v>8066</v>
      </c>
      <c r="S11">
        <v>8</v>
      </c>
      <c r="T11">
        <v>3</v>
      </c>
      <c r="U11" t="s">
        <v>125</v>
      </c>
    </row>
    <row r="12" spans="1:21" x14ac:dyDescent="0.35">
      <c r="A12" t="s">
        <v>93</v>
      </c>
      <c r="B12">
        <v>28405</v>
      </c>
      <c r="C12">
        <v>2859</v>
      </c>
      <c r="D12" s="20">
        <f t="shared" ref="D12:D16" si="1">C12/B12</f>
        <v>0.10065129378630523</v>
      </c>
      <c r="E12">
        <v>2695</v>
      </c>
      <c r="F12">
        <v>0</v>
      </c>
      <c r="G12">
        <v>2407</v>
      </c>
      <c r="H12">
        <v>2383</v>
      </c>
      <c r="I12">
        <v>2663</v>
      </c>
      <c r="J12">
        <v>2686</v>
      </c>
      <c r="K12">
        <v>1183</v>
      </c>
      <c r="L12">
        <v>583</v>
      </c>
      <c r="M12">
        <v>1247</v>
      </c>
      <c r="N12">
        <v>0</v>
      </c>
      <c r="O12">
        <v>2459</v>
      </c>
      <c r="P12">
        <v>0</v>
      </c>
      <c r="Q12">
        <v>2673</v>
      </c>
      <c r="R12">
        <v>2663</v>
      </c>
      <c r="S12">
        <v>0</v>
      </c>
      <c r="T12">
        <v>0</v>
      </c>
      <c r="U12" t="s">
        <v>125</v>
      </c>
    </row>
    <row r="13" spans="1:21" x14ac:dyDescent="0.35">
      <c r="A13" t="s">
        <v>94</v>
      </c>
      <c r="B13">
        <v>50219</v>
      </c>
      <c r="C13">
        <v>7777</v>
      </c>
      <c r="D13" s="20">
        <f t="shared" si="1"/>
        <v>0.1548617057289074</v>
      </c>
      <c r="E13">
        <v>7134</v>
      </c>
      <c r="F13">
        <v>0</v>
      </c>
      <c r="G13">
        <v>6319</v>
      </c>
      <c r="H13">
        <v>6434</v>
      </c>
      <c r="I13">
        <v>7011</v>
      </c>
      <c r="J13">
        <v>7074</v>
      </c>
      <c r="K13">
        <v>2683</v>
      </c>
      <c r="L13">
        <v>1004</v>
      </c>
      <c r="M13">
        <v>2885</v>
      </c>
      <c r="N13">
        <v>3</v>
      </c>
      <c r="O13">
        <v>6792</v>
      </c>
      <c r="P13">
        <v>6</v>
      </c>
      <c r="Q13">
        <v>7047</v>
      </c>
      <c r="R13">
        <v>7035</v>
      </c>
      <c r="S13">
        <v>10</v>
      </c>
      <c r="T13">
        <v>8</v>
      </c>
      <c r="U13" t="s">
        <v>125</v>
      </c>
    </row>
    <row r="14" spans="1:21" x14ac:dyDescent="0.35">
      <c r="A14" t="s">
        <v>95</v>
      </c>
      <c r="B14">
        <v>37804</v>
      </c>
      <c r="C14">
        <v>4916</v>
      </c>
      <c r="D14" s="20">
        <f t="shared" si="1"/>
        <v>0.13003914929637075</v>
      </c>
      <c r="E14">
        <v>4476</v>
      </c>
      <c r="F14">
        <v>0</v>
      </c>
      <c r="G14">
        <v>3822</v>
      </c>
      <c r="H14">
        <v>3689</v>
      </c>
      <c r="I14">
        <v>4357</v>
      </c>
      <c r="J14">
        <v>4442</v>
      </c>
      <c r="K14">
        <v>1913</v>
      </c>
      <c r="L14">
        <v>1116</v>
      </c>
      <c r="M14">
        <v>2032</v>
      </c>
      <c r="N14">
        <v>16</v>
      </c>
      <c r="O14">
        <v>4002</v>
      </c>
      <c r="P14">
        <v>18</v>
      </c>
      <c r="Q14">
        <v>4403</v>
      </c>
      <c r="R14">
        <v>4376</v>
      </c>
      <c r="S14">
        <v>9</v>
      </c>
      <c r="T14">
        <v>6</v>
      </c>
      <c r="U14" t="s">
        <v>125</v>
      </c>
    </row>
    <row r="15" spans="1:21" x14ac:dyDescent="0.35">
      <c r="A15" t="s">
        <v>96</v>
      </c>
      <c r="B15">
        <v>26052</v>
      </c>
      <c r="C15">
        <v>3414</v>
      </c>
      <c r="D15" s="20">
        <f t="shared" si="1"/>
        <v>0.13104560110548136</v>
      </c>
      <c r="E15">
        <v>3116</v>
      </c>
      <c r="F15">
        <v>0</v>
      </c>
      <c r="G15">
        <v>2705</v>
      </c>
      <c r="H15">
        <v>2662</v>
      </c>
      <c r="I15">
        <v>3055</v>
      </c>
      <c r="J15">
        <v>3098</v>
      </c>
      <c r="K15">
        <v>1204</v>
      </c>
      <c r="L15">
        <v>677</v>
      </c>
      <c r="M15">
        <v>1314</v>
      </c>
      <c r="N15">
        <v>7</v>
      </c>
      <c r="O15">
        <v>2793</v>
      </c>
      <c r="P15">
        <v>16</v>
      </c>
      <c r="Q15">
        <v>3073</v>
      </c>
      <c r="R15">
        <v>3061</v>
      </c>
      <c r="S15">
        <v>5</v>
      </c>
      <c r="T15">
        <v>2</v>
      </c>
      <c r="U15" t="s">
        <v>125</v>
      </c>
    </row>
    <row r="16" spans="1:21" x14ac:dyDescent="0.35">
      <c r="A16" t="s">
        <v>97</v>
      </c>
      <c r="B16">
        <v>55557</v>
      </c>
      <c r="C16">
        <v>6427</v>
      </c>
      <c r="D16" s="20">
        <f t="shared" si="1"/>
        <v>0.1156829922422017</v>
      </c>
      <c r="E16">
        <v>5947</v>
      </c>
      <c r="F16">
        <v>0</v>
      </c>
      <c r="G16">
        <v>5345</v>
      </c>
      <c r="H16">
        <v>5157</v>
      </c>
      <c r="I16">
        <v>5875</v>
      </c>
      <c r="J16">
        <v>5899</v>
      </c>
      <c r="K16">
        <v>2404</v>
      </c>
      <c r="L16">
        <v>1176</v>
      </c>
      <c r="M16">
        <v>2564</v>
      </c>
      <c r="N16">
        <v>12</v>
      </c>
      <c r="O16">
        <v>5535</v>
      </c>
      <c r="P16">
        <v>17</v>
      </c>
      <c r="Q16">
        <v>5906</v>
      </c>
      <c r="R16">
        <v>5879</v>
      </c>
      <c r="S16">
        <v>2</v>
      </c>
      <c r="T16">
        <v>5</v>
      </c>
      <c r="U16" t="s">
        <v>125</v>
      </c>
    </row>
    <row r="17" spans="1:21" x14ac:dyDescent="0.35">
      <c r="A17" t="s">
        <v>98</v>
      </c>
      <c r="B17">
        <v>28838</v>
      </c>
      <c r="C17">
        <v>2425</v>
      </c>
      <c r="D17" s="20">
        <f t="shared" ref="D17:D20" si="2">C17/B17</f>
        <v>8.4090436229974336E-2</v>
      </c>
      <c r="E17">
        <v>2221</v>
      </c>
      <c r="F17">
        <v>0</v>
      </c>
      <c r="G17">
        <v>1985</v>
      </c>
      <c r="H17">
        <v>1854</v>
      </c>
      <c r="I17">
        <v>2185</v>
      </c>
      <c r="J17">
        <v>2219</v>
      </c>
      <c r="K17">
        <v>1115</v>
      </c>
      <c r="L17">
        <v>581</v>
      </c>
      <c r="M17">
        <v>1165</v>
      </c>
      <c r="N17">
        <v>7</v>
      </c>
      <c r="O17">
        <v>2037</v>
      </c>
      <c r="P17">
        <v>8</v>
      </c>
      <c r="Q17">
        <v>2200</v>
      </c>
      <c r="R17">
        <v>2195</v>
      </c>
      <c r="S17">
        <v>4</v>
      </c>
      <c r="T17">
        <v>7</v>
      </c>
      <c r="U17" t="s">
        <v>125</v>
      </c>
    </row>
    <row r="18" spans="1:21" x14ac:dyDescent="0.35">
      <c r="A18" t="s">
        <v>99</v>
      </c>
      <c r="B18">
        <v>69064</v>
      </c>
      <c r="C18">
        <v>9512</v>
      </c>
      <c r="D18" s="20">
        <f t="shared" si="2"/>
        <v>0.13772732537935828</v>
      </c>
      <c r="E18">
        <v>8604</v>
      </c>
      <c r="F18">
        <v>0</v>
      </c>
      <c r="G18">
        <v>7627</v>
      </c>
      <c r="H18">
        <v>7344</v>
      </c>
      <c r="I18">
        <v>8411</v>
      </c>
      <c r="J18">
        <v>8543</v>
      </c>
      <c r="K18">
        <v>2974</v>
      </c>
      <c r="L18">
        <v>1617</v>
      </c>
      <c r="M18">
        <v>3144</v>
      </c>
      <c r="N18">
        <v>10</v>
      </c>
      <c r="O18">
        <v>8004</v>
      </c>
      <c r="P18">
        <v>16</v>
      </c>
      <c r="Q18">
        <v>8476</v>
      </c>
      <c r="R18">
        <v>8448</v>
      </c>
      <c r="S18">
        <v>9</v>
      </c>
      <c r="T18">
        <v>10</v>
      </c>
      <c r="U18" t="s">
        <v>125</v>
      </c>
    </row>
    <row r="19" spans="1:21" x14ac:dyDescent="0.35">
      <c r="A19" t="s">
        <v>100</v>
      </c>
      <c r="B19">
        <v>31222</v>
      </c>
      <c r="C19">
        <v>3840</v>
      </c>
      <c r="D19" s="20">
        <f t="shared" si="2"/>
        <v>0.12299019921849978</v>
      </c>
      <c r="E19">
        <v>3616</v>
      </c>
      <c r="F19">
        <v>0</v>
      </c>
      <c r="G19">
        <v>3354</v>
      </c>
      <c r="H19">
        <v>3148</v>
      </c>
      <c r="I19">
        <v>3589</v>
      </c>
      <c r="J19">
        <v>3595</v>
      </c>
      <c r="K19">
        <v>1343</v>
      </c>
      <c r="L19">
        <v>640</v>
      </c>
      <c r="M19">
        <v>1390</v>
      </c>
      <c r="N19">
        <v>16</v>
      </c>
      <c r="O19">
        <v>3425</v>
      </c>
      <c r="P19">
        <v>25</v>
      </c>
      <c r="Q19">
        <v>3602</v>
      </c>
      <c r="R19">
        <v>3591</v>
      </c>
      <c r="S19">
        <v>5</v>
      </c>
      <c r="T19">
        <v>4</v>
      </c>
      <c r="U19" t="s">
        <v>125</v>
      </c>
    </row>
    <row r="20" spans="1:21" x14ac:dyDescent="0.35">
      <c r="A20" t="s">
        <v>101</v>
      </c>
      <c r="B20">
        <v>26178</v>
      </c>
      <c r="C20">
        <v>3007</v>
      </c>
      <c r="D20" s="20">
        <f t="shared" si="2"/>
        <v>0.11486744594697838</v>
      </c>
      <c r="E20">
        <v>2774</v>
      </c>
      <c r="F20">
        <v>0</v>
      </c>
      <c r="G20">
        <v>2444</v>
      </c>
      <c r="H20">
        <v>2392</v>
      </c>
      <c r="I20">
        <v>2721</v>
      </c>
      <c r="J20">
        <v>2744</v>
      </c>
      <c r="K20">
        <v>1166</v>
      </c>
      <c r="L20">
        <v>637</v>
      </c>
      <c r="M20">
        <v>1207</v>
      </c>
      <c r="N20">
        <v>3</v>
      </c>
      <c r="O20">
        <v>2514</v>
      </c>
      <c r="P20">
        <v>3</v>
      </c>
      <c r="Q20">
        <v>2739</v>
      </c>
      <c r="R20">
        <v>2722</v>
      </c>
      <c r="S20">
        <v>0</v>
      </c>
      <c r="T20">
        <v>0</v>
      </c>
      <c r="U20" t="s">
        <v>125</v>
      </c>
    </row>
    <row r="21" spans="1:21" x14ac:dyDescent="0.35">
      <c r="A21" t="s">
        <v>102</v>
      </c>
      <c r="B21">
        <v>35106</v>
      </c>
      <c r="C21">
        <v>5914</v>
      </c>
      <c r="D21" s="20">
        <f t="shared" ref="D21" si="3">C21/B21</f>
        <v>0.1684612316982852</v>
      </c>
      <c r="E21">
        <v>5405</v>
      </c>
      <c r="F21">
        <v>0</v>
      </c>
      <c r="G21">
        <v>4958</v>
      </c>
      <c r="H21">
        <v>5073</v>
      </c>
      <c r="I21">
        <v>5290</v>
      </c>
      <c r="J21">
        <v>5391</v>
      </c>
      <c r="K21">
        <v>1750</v>
      </c>
      <c r="L21">
        <v>657</v>
      </c>
      <c r="M21">
        <v>1861</v>
      </c>
      <c r="N21">
        <v>5</v>
      </c>
      <c r="O21">
        <v>5056</v>
      </c>
      <c r="P21">
        <v>5</v>
      </c>
      <c r="Q21">
        <v>5330</v>
      </c>
      <c r="R21">
        <v>5304</v>
      </c>
      <c r="S21">
        <v>2</v>
      </c>
      <c r="T21">
        <v>0</v>
      </c>
      <c r="U21" t="s">
        <v>125</v>
      </c>
    </row>
  </sheetData>
  <autoFilter ref="A1:U21" xr:uid="{30D59266-5D2D-45A3-A929-A9D2D5470FB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BA12B1CAFAAC4881AA17D9CF752AB3" ma:contentTypeVersion="10" ma:contentTypeDescription="Create a new document." ma:contentTypeScope="" ma:versionID="d2e356b2c5b5a23543f80165695d5e5c">
  <xsd:schema xmlns:xsd="http://www.w3.org/2001/XMLSchema" xmlns:xs="http://www.w3.org/2001/XMLSchema" xmlns:p="http://schemas.microsoft.com/office/2006/metadata/properties" xmlns:ns1="http://schemas.microsoft.com/sharepoint/v3" xmlns:ns2="0506bbb8-09b7-4259-8960-5a8c86672430" xmlns:ns3="1eb72f9a-a77f-4ad5-85e9-cee1d074b2cf" targetNamespace="http://schemas.microsoft.com/office/2006/metadata/properties" ma:root="true" ma:fieldsID="f70a12a2f60a500499c8c54ce54f59ca" ns1:_="" ns2:_="" ns3:_="">
    <xsd:import namespace="http://schemas.microsoft.com/sharepoint/v3"/>
    <xsd:import namespace="0506bbb8-09b7-4259-8960-5a8c86672430"/>
    <xsd:import namespace="1eb72f9a-a77f-4ad5-85e9-cee1d074b2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06bbb8-09b7-4259-8960-5a8c866724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b72f9a-a77f-4ad5-85e9-cee1d074b2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1eb72f9a-a77f-4ad5-85e9-cee1d074b2cf">
      <UserInfo>
        <DisplayName>Yesmin  Gomez</DisplayName>
        <AccountId>54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DEC22-45E5-427E-B107-861563827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06bbb8-09b7-4259-8960-5a8c86672430"/>
    <ds:schemaRef ds:uri="1eb72f9a-a77f-4ad5-85e9-cee1d074b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2C7BD0-5859-4177-BFA1-281E9B1D54E7}">
  <ds:schemaRefs>
    <ds:schemaRef ds:uri="http://schemas.microsoft.com/office/2006/metadata/properties"/>
    <ds:schemaRef ds:uri="http://schemas.microsoft.com/office/infopath/2007/PartnerControls"/>
    <ds:schemaRef ds:uri="http://schemas.microsoft.com/sharepoint/v3"/>
    <ds:schemaRef ds:uri="1eb72f9a-a77f-4ad5-85e9-cee1d074b2cf"/>
  </ds:schemaRefs>
</ds:datastoreItem>
</file>

<file path=customXml/itemProps3.xml><?xml version="1.0" encoding="utf-8"?>
<ds:datastoreItem xmlns:ds="http://schemas.openxmlformats.org/officeDocument/2006/customXml" ds:itemID="{6788AE94-2D52-42F1-B364-33B96DCEF0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Records failing</vt:lpstr>
      <vt:lpstr>Data</vt:lpstr>
      <vt:lpstr>Definitions</vt:lpstr>
      <vt:lpstr>Logic</vt:lpstr>
      <vt:lpstr>Abbreviations_Glossary</vt:lpstr>
      <vt:lpstr>Suggestions</vt:lpstr>
      <vt:lpstr>Edd data</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Jaspreet Sura</dc:creator>
  <cp:lastModifiedBy>Yesmin  Gomez</cp:lastModifiedBy>
  <dcterms:created xsi:type="dcterms:W3CDTF">2023-03-22T13:17:10Z</dcterms:created>
  <dcterms:modified xsi:type="dcterms:W3CDTF">2023-04-05T04:33:45Z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0x01010065BA12B1CAFAAC4881AA17D9CF752AB3</vt:lpwstr>
  </property>
</Properties>
</file>