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autoCompressPictures="0"/>
  <bookViews>
    <workbookView xWindow="-9495" yWindow="2190" windowWidth="15570" windowHeight="5835" tabRatio="718"/>
  </bookViews>
  <sheets>
    <sheet name="Welcome" sheetId="18" r:id="rId1"/>
    <sheet name="Menu" sheetId="112" r:id="rId2"/>
    <sheet name="local_data_input" sheetId="4" r:id="rId3"/>
    <sheet name="Data Sheet" sheetId="80" state="hidden" r:id="rId4"/>
    <sheet name="control_sheet_and_graphs" sheetId="79" r:id="rId5"/>
    <sheet name="outputs_by_channel" sheetId="12" r:id="rId6"/>
    <sheet name="Graph Data Sheet" sheetId="78" r:id="rId7"/>
    <sheet name="projections" sheetId="77" r:id="rId8"/>
    <sheet name="staff_costs" sheetId="2" r:id="rId9"/>
    <sheet name="hear_and_treat" sheetId="21" r:id="rId10"/>
    <sheet name="see_and_treat" sheetId="22" r:id="rId11"/>
    <sheet name="Clinical_advisor_consultations" sheetId="35" r:id="rId12"/>
    <sheet name="Integration_of_hubs" sheetId="36" r:id="rId13"/>
    <sheet name="AEC" sheetId="41" r:id="rId14"/>
    <sheet name="Care_planning" sheetId="44" r:id="rId15"/>
    <sheet name="Colocate_UTC" sheetId="47" r:id="rId16"/>
    <sheet name="Enhanced_UCS" sheetId="50" state="hidden" r:id="rId17"/>
    <sheet name="PGD_Minor_ailments" sheetId="56" r:id="rId18"/>
    <sheet name="GP_Hours" sheetId="53" r:id="rId19"/>
    <sheet name="Emergency_medication_supply" sheetId="59" r:id="rId20"/>
    <sheet name="IP_drug_reconciliation" sheetId="60" r:id="rId21"/>
    <sheet name="SCR_in_ED" sheetId="63" r:id="rId22"/>
    <sheet name="IR_in_AS" sheetId="90" r:id="rId23"/>
    <sheet name="IR_in_ED" sheetId="91" r:id="rId24"/>
    <sheet name="IR_in_CH" sheetId="92" r:id="rId25"/>
    <sheet name="D2A" sheetId="83" r:id="rId26"/>
    <sheet name="Dis_Pl" sheetId="94" r:id="rId27"/>
    <sheet name="Rapid_Response" sheetId="82" r:id="rId28"/>
    <sheet name="Falls" sheetId="93" r:id="rId29"/>
    <sheet name="CHE" sheetId="95" r:id="rId30"/>
    <sheet name="EWS_in_CH" sheetId="96" r:id="rId31"/>
    <sheet name="other_intervention" sheetId="81" r:id="rId32"/>
    <sheet name="Set_up_hear_and_treat" sheetId="25" r:id="rId33"/>
    <sheet name="Set_up_ICH" sheetId="38" r:id="rId34"/>
    <sheet name="Set_up_AEC" sheetId="42" r:id="rId35"/>
    <sheet name="Set_up_PCP" sheetId="45" r:id="rId36"/>
    <sheet name="Set_up_Co_UTC" sheetId="48" r:id="rId37"/>
    <sheet name="Set_up_Ad_UCS" sheetId="51" r:id="rId38"/>
    <sheet name="Set_Up_GP_hrs" sheetId="54" r:id="rId39"/>
    <sheet name="Set_up_MAS" sheetId="57" r:id="rId40"/>
    <sheet name="Set_up_SCR" sheetId="61" r:id="rId41"/>
    <sheet name="Set_up_IR" sheetId="107" r:id="rId42"/>
    <sheet name="Set_Up_RR" sheetId="85" r:id="rId43"/>
    <sheet name="D2A Comm_Ward" sheetId="111" r:id="rId44"/>
    <sheet name="Run_D2A" sheetId="110" r:id="rId45"/>
    <sheet name="Set_up_Dis_Pl" sheetId="86" r:id="rId46"/>
    <sheet name="Set_up_Falls" sheetId="108" r:id="rId47"/>
    <sheet name="Set_up_CHE" sheetId="87" r:id="rId48"/>
    <sheet name="Set_up_EWS_in_CH" sheetId="88" r:id="rId49"/>
    <sheet name="E_Ambulance" sheetId="65" r:id="rId50"/>
    <sheet name="E_ICH" sheetId="66" r:id="rId51"/>
    <sheet name="E_AEC" sheetId="67" r:id="rId52"/>
    <sheet name="E_care_plan" sheetId="70" r:id="rId53"/>
    <sheet name="E_colocation_UCC_ED" sheetId="71" r:id="rId54"/>
    <sheet name="E_UCC_standards" sheetId="72" state="hidden" r:id="rId55"/>
    <sheet name="E_GP_hrs" sheetId="73" r:id="rId56"/>
    <sheet name="E_MAS" sheetId="74" r:id="rId57"/>
    <sheet name="E_SCR" sheetId="75" r:id="rId58"/>
    <sheet name="E_IR" sheetId="99" r:id="rId59"/>
    <sheet name="E_D2A" sheetId="104" r:id="rId60"/>
    <sheet name="E_Dis_Pl" sheetId="101" r:id="rId61"/>
    <sheet name="E_RR" sheetId="98" r:id="rId62"/>
    <sheet name="E_Falls" sheetId="100" r:id="rId63"/>
    <sheet name="E_CHE" sheetId="102" r:id="rId64"/>
    <sheet name="E_EWS_in_CH" sheetId="103"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15" hidden="1">#REF!</definedName>
    <definedName name="__123Graph_A" localSheetId="25" hidden="1">#REF!</definedName>
    <definedName name="__123Graph_A" localSheetId="26" hidden="1">#REF!</definedName>
    <definedName name="__123Graph_A" localSheetId="51" hidden="1">#REF!</definedName>
    <definedName name="__123Graph_A" localSheetId="60" hidden="1">#REF!</definedName>
    <definedName name="__123Graph_A" localSheetId="50" hidden="1">#REF!</definedName>
    <definedName name="__123Graph_A" localSheetId="58" hidden="1">#REF!</definedName>
    <definedName name="__123Graph_A" localSheetId="61" hidden="1">#REF!</definedName>
    <definedName name="__123Graph_A" localSheetId="16" hidden="1">#REF!</definedName>
    <definedName name="__123Graph_A" localSheetId="18" hidden="1">#REF!</definedName>
    <definedName name="__123Graph_A" localSheetId="20" hidden="1">#REF!</definedName>
    <definedName name="__123Graph_A" localSheetId="22" hidden="1">#REF!</definedName>
    <definedName name="__123Graph_A" localSheetId="24" hidden="1">#REF!</definedName>
    <definedName name="__123Graph_A" localSheetId="23" hidden="1">#REF!</definedName>
    <definedName name="__123Graph_A" localSheetId="17" hidden="1">#REF!</definedName>
    <definedName name="__123Graph_A" localSheetId="27" hidden="1">#REF!</definedName>
    <definedName name="__123Graph_A" localSheetId="21" hidden="1">#REF!</definedName>
    <definedName name="__123Graph_A" localSheetId="37" hidden="1">#REF!</definedName>
    <definedName name="__123Graph_A" localSheetId="45" hidden="1">#REF!</definedName>
    <definedName name="__123Graph_A" localSheetId="46" hidden="1">#REF!</definedName>
    <definedName name="__123Graph_A" localSheetId="38" hidden="1">#REF!</definedName>
    <definedName name="__123Graph_A" localSheetId="41" hidden="1">#REF!</definedName>
    <definedName name="__123Graph_A" localSheetId="40" hidden="1">#REF!</definedName>
    <definedName name="__123Graph_A" hidden="1">#REF!</definedName>
    <definedName name="__123Graph_ACFSINDIV" localSheetId="25" hidden="1">[1]Data!#REF!</definedName>
    <definedName name="__123Graph_ACFSINDIV" localSheetId="26" hidden="1">[1]Data!#REF!</definedName>
    <definedName name="__123Graph_ACFSINDIV" localSheetId="51" hidden="1">[1]Data!#REF!</definedName>
    <definedName name="__123Graph_ACFSINDIV" localSheetId="60" hidden="1">[1]Data!#REF!</definedName>
    <definedName name="__123Graph_ACFSINDIV" localSheetId="50" hidden="1">[1]Data!#REF!</definedName>
    <definedName name="__123Graph_ACFSINDIV" localSheetId="58" hidden="1">[1]Data!#REF!</definedName>
    <definedName name="__123Graph_ACFSINDIV" localSheetId="22" hidden="1">[1]Data!#REF!</definedName>
    <definedName name="__123Graph_ACFSINDIV" localSheetId="24" hidden="1">[1]Data!#REF!</definedName>
    <definedName name="__123Graph_ACFSINDIV" localSheetId="23" hidden="1">[1]Data!#REF!</definedName>
    <definedName name="__123Graph_ACFSINDIV" localSheetId="17" hidden="1">[1]Data!#REF!</definedName>
    <definedName name="__123Graph_ACFSINDIV" localSheetId="27" hidden="1">[1]Data!#REF!</definedName>
    <definedName name="__123Graph_ACFSINDIV" localSheetId="45" hidden="1">[1]Data!#REF!</definedName>
    <definedName name="__123Graph_ACFSINDIV" localSheetId="41" hidden="1">[1]Data!#REF!</definedName>
    <definedName name="__123Graph_ACFSINDIV" hidden="1">[1]Data!#REF!</definedName>
    <definedName name="__123Graph_ACHGSPD1" hidden="1">[2]CHGSPD19.FIN!$B$10:$B$20</definedName>
    <definedName name="__123Graph_ACHGSPD2" hidden="1">[2]CHGSPD19.FIN!$E$11:$E$20</definedName>
    <definedName name="__123Graph_AEFF" localSheetId="25" hidden="1">'[3]T3 Page 1'!#REF!</definedName>
    <definedName name="__123Graph_AEFF" localSheetId="26" hidden="1">'[3]T3 Page 1'!#REF!</definedName>
    <definedName name="__123Graph_AEFF" localSheetId="51" hidden="1">'[3]T3 Page 1'!#REF!</definedName>
    <definedName name="__123Graph_AEFF" localSheetId="60" hidden="1">'[3]T3 Page 1'!#REF!</definedName>
    <definedName name="__123Graph_AEFF" localSheetId="50" hidden="1">'[3]T3 Page 1'!#REF!</definedName>
    <definedName name="__123Graph_AEFF" localSheetId="58" hidden="1">'[3]T3 Page 1'!#REF!</definedName>
    <definedName name="__123Graph_AEFF" localSheetId="22" hidden="1">'[3]T3 Page 1'!#REF!</definedName>
    <definedName name="__123Graph_AEFF" localSheetId="24" hidden="1">'[3]T3 Page 1'!#REF!</definedName>
    <definedName name="__123Graph_AEFF" localSheetId="23" hidden="1">'[3]T3 Page 1'!#REF!</definedName>
    <definedName name="__123Graph_AEFF" localSheetId="17" hidden="1">'[3]T3 Page 1'!#REF!</definedName>
    <definedName name="__123Graph_AEFF" localSheetId="27" hidden="1">'[3]T3 Page 1'!#REF!</definedName>
    <definedName name="__123Graph_AEFF" localSheetId="45" hidden="1">'[3]T3 Page 1'!#REF!</definedName>
    <definedName name="__123Graph_AEFF" localSheetId="41" hidden="1">'[3]T3 Page 1'!#REF!</definedName>
    <definedName name="__123Graph_AEFF" hidden="1">'[3]T3 Page 1'!#REF!</definedName>
    <definedName name="__123Graph_AGR14PBF1" hidden="1">'[4]HIS19FIN(A)'!$AF$70:$AF$81</definedName>
    <definedName name="__123Graph_ALBFFIN" localSheetId="25" hidden="1">'[3]FC Page 1'!#REF!</definedName>
    <definedName name="__123Graph_ALBFFIN" localSheetId="26" hidden="1">'[3]FC Page 1'!#REF!</definedName>
    <definedName name="__123Graph_ALBFFIN" localSheetId="51" hidden="1">'[3]FC Page 1'!#REF!</definedName>
    <definedName name="__123Graph_ALBFFIN" localSheetId="60" hidden="1">'[3]FC Page 1'!#REF!</definedName>
    <definedName name="__123Graph_ALBFFIN" localSheetId="50" hidden="1">'[3]FC Page 1'!#REF!</definedName>
    <definedName name="__123Graph_ALBFFIN" localSheetId="58" hidden="1">'[3]FC Page 1'!#REF!</definedName>
    <definedName name="__123Graph_ALBFFIN" localSheetId="22" hidden="1">'[3]FC Page 1'!#REF!</definedName>
    <definedName name="__123Graph_ALBFFIN" localSheetId="24" hidden="1">'[3]FC Page 1'!#REF!</definedName>
    <definedName name="__123Graph_ALBFFIN" localSheetId="23" hidden="1">'[3]FC Page 1'!#REF!</definedName>
    <definedName name="__123Graph_ALBFFIN" localSheetId="17" hidden="1">'[3]FC Page 1'!#REF!</definedName>
    <definedName name="__123Graph_ALBFFIN" localSheetId="27" hidden="1">'[3]FC Page 1'!#REF!</definedName>
    <definedName name="__123Graph_ALBFFIN" localSheetId="45" hidden="1">'[3]FC Page 1'!#REF!</definedName>
    <definedName name="__123Graph_ALBFFIN" localSheetId="41" hidden="1">'[3]FC Page 1'!#REF!</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DNUMBERS" hidden="1">'[5]SUMMARY TABLE'!$U$6:$U$49</definedName>
    <definedName name="__123Graph_APDTRENDS" hidden="1">'[5]SUMMARY TABLE'!$S$23:$S$46</definedName>
    <definedName name="__123Graph_APIC" localSheetId="25" hidden="1">'[3]T3 Page 1'!#REF!</definedName>
    <definedName name="__123Graph_APIC" localSheetId="26" hidden="1">'[3]T3 Page 1'!#REF!</definedName>
    <definedName name="__123Graph_APIC" localSheetId="51" hidden="1">'[3]T3 Page 1'!#REF!</definedName>
    <definedName name="__123Graph_APIC" localSheetId="60" hidden="1">'[3]T3 Page 1'!#REF!</definedName>
    <definedName name="__123Graph_APIC" localSheetId="50" hidden="1">'[3]T3 Page 1'!#REF!</definedName>
    <definedName name="__123Graph_APIC" localSheetId="58" hidden="1">'[3]T3 Page 1'!#REF!</definedName>
    <definedName name="__123Graph_APIC" localSheetId="22" hidden="1">'[3]T3 Page 1'!#REF!</definedName>
    <definedName name="__123Graph_APIC" localSheetId="24" hidden="1">'[3]T3 Page 1'!#REF!</definedName>
    <definedName name="__123Graph_APIC" localSheetId="23" hidden="1">'[3]T3 Page 1'!#REF!</definedName>
    <definedName name="__123Graph_APIC" localSheetId="17" hidden="1">'[3]T3 Page 1'!#REF!</definedName>
    <definedName name="__123Graph_APIC" localSheetId="27" hidden="1">'[3]T3 Page 1'!#REF!</definedName>
    <definedName name="__123Graph_APIC" localSheetId="45" hidden="1">'[3]T3 Page 1'!#REF!</definedName>
    <definedName name="__123Graph_APIC" localSheetId="41" hidden="1">'[3]T3 Page 1'!#REF!</definedName>
    <definedName name="__123Graph_APIC" hidden="1">'[3]T3 Page 1'!#REF!</definedName>
    <definedName name="__123Graph_B" localSheetId="14" hidden="1">'[6]Table 1'!#REF!</definedName>
    <definedName name="__123Graph_B" localSheetId="15" hidden="1">'[6]Table 1'!#REF!</definedName>
    <definedName name="__123Graph_B" localSheetId="25" hidden="1">'[6]Table 1'!#REF!</definedName>
    <definedName name="__123Graph_B" localSheetId="26" hidden="1">'[6]Table 1'!#REF!</definedName>
    <definedName name="__123Graph_B" localSheetId="51" hidden="1">'[6]Table 1'!#REF!</definedName>
    <definedName name="__123Graph_B" localSheetId="52" hidden="1">'[6]Table 1'!#REF!</definedName>
    <definedName name="__123Graph_B" localSheetId="60" hidden="1">'[6]Table 1'!#REF!</definedName>
    <definedName name="__123Graph_B" localSheetId="50" hidden="1">'[6]Table 1'!#REF!</definedName>
    <definedName name="__123Graph_B" localSheetId="58" hidden="1">'[6]Table 1'!#REF!</definedName>
    <definedName name="__123Graph_B" localSheetId="61" hidden="1">'[6]Table 1'!#REF!</definedName>
    <definedName name="__123Graph_B" localSheetId="19" hidden="1">'[6]Table 1'!#REF!</definedName>
    <definedName name="__123Graph_B" localSheetId="16" hidden="1">'[6]Table 1'!#REF!</definedName>
    <definedName name="__123Graph_B" localSheetId="18" hidden="1">'[6]Table 1'!#REF!</definedName>
    <definedName name="__123Graph_B" localSheetId="20" hidden="1">'[6]Table 1'!#REF!</definedName>
    <definedName name="__123Graph_B" localSheetId="22" hidden="1">'[6]Table 1'!#REF!</definedName>
    <definedName name="__123Graph_B" localSheetId="24" hidden="1">'[6]Table 1'!#REF!</definedName>
    <definedName name="__123Graph_B" localSheetId="23" hidden="1">'[6]Table 1'!#REF!</definedName>
    <definedName name="__123Graph_B" localSheetId="17" hidden="1">'[6]Table 1'!#REF!</definedName>
    <definedName name="__123Graph_B" localSheetId="27" hidden="1">'[6]Table 1'!#REF!</definedName>
    <definedName name="__123Graph_B" localSheetId="21" hidden="1">'[6]Table 1'!#REF!</definedName>
    <definedName name="__123Graph_B" localSheetId="37" hidden="1">'[6]Table 1'!#REF!</definedName>
    <definedName name="__123Graph_B" localSheetId="45" hidden="1">'[6]Table 1'!#REF!</definedName>
    <definedName name="__123Graph_B" localSheetId="38" hidden="1">'[6]Table 1'!#REF!</definedName>
    <definedName name="__123Graph_B" localSheetId="41" hidden="1">'[6]Table 1'!#REF!</definedName>
    <definedName name="__123Graph_B" localSheetId="39" hidden="1">'[6]Table 1'!#REF!</definedName>
    <definedName name="__123Graph_B" localSheetId="35" hidden="1">'[6]Table 1'!#REF!</definedName>
    <definedName name="__123Graph_B" localSheetId="40" hidden="1">'[6]Table 1'!#REF!</definedName>
    <definedName name="__123Graph_B" hidden="1">'[6]Table 1'!#REF!</definedName>
    <definedName name="__123Graph_BCFSINDIV" localSheetId="25" hidden="1">[1]Data!#REF!</definedName>
    <definedName name="__123Graph_BCFSINDIV" localSheetId="26" hidden="1">[1]Data!#REF!</definedName>
    <definedName name="__123Graph_BCFSINDIV" localSheetId="51" hidden="1">[1]Data!#REF!</definedName>
    <definedName name="__123Graph_BCFSINDIV" localSheetId="60" hidden="1">[1]Data!#REF!</definedName>
    <definedName name="__123Graph_BCFSINDIV" localSheetId="50" hidden="1">[1]Data!#REF!</definedName>
    <definedName name="__123Graph_BCFSINDIV" localSheetId="58" hidden="1">[1]Data!#REF!</definedName>
    <definedName name="__123Graph_BCFSINDIV" localSheetId="22" hidden="1">[1]Data!#REF!</definedName>
    <definedName name="__123Graph_BCFSINDIV" localSheetId="24" hidden="1">[1]Data!#REF!</definedName>
    <definedName name="__123Graph_BCFSINDIV" localSheetId="23" hidden="1">[1]Data!#REF!</definedName>
    <definedName name="__123Graph_BCFSINDIV" localSheetId="17" hidden="1">[1]Data!#REF!</definedName>
    <definedName name="__123Graph_BCFSINDIV" localSheetId="27" hidden="1">[1]Data!#REF!</definedName>
    <definedName name="__123Graph_BCFSINDIV" localSheetId="45" hidden="1">[1]Data!#REF!</definedName>
    <definedName name="__123Graph_BCFSINDIV" localSheetId="41" hidden="1">[1]Data!#REF!</definedName>
    <definedName name="__123Graph_BCFSINDIV" hidden="1">[1]Data!#REF!</definedName>
    <definedName name="__123Graph_BCFSUK" localSheetId="25" hidden="1">[1]Data!#REF!</definedName>
    <definedName name="__123Graph_BCFSUK" localSheetId="26" hidden="1">[1]Data!#REF!</definedName>
    <definedName name="__123Graph_BCFSUK" localSheetId="51" hidden="1">[1]Data!#REF!</definedName>
    <definedName name="__123Graph_BCFSUK" localSheetId="60" hidden="1">[1]Data!#REF!</definedName>
    <definedName name="__123Graph_BCFSUK" localSheetId="50" hidden="1">[1]Data!#REF!</definedName>
    <definedName name="__123Graph_BCFSUK" localSheetId="58" hidden="1">[1]Data!#REF!</definedName>
    <definedName name="__123Graph_BCFSUK" localSheetId="22" hidden="1">[1]Data!#REF!</definedName>
    <definedName name="__123Graph_BCFSUK" localSheetId="24" hidden="1">[1]Data!#REF!</definedName>
    <definedName name="__123Graph_BCFSUK" localSheetId="23" hidden="1">[1]Data!#REF!</definedName>
    <definedName name="__123Graph_BCFSUK" localSheetId="17" hidden="1">[1]Data!#REF!</definedName>
    <definedName name="__123Graph_BCFSUK" localSheetId="27" hidden="1">[1]Data!#REF!</definedName>
    <definedName name="__123Graph_BCFSUK" localSheetId="45" hidden="1">[1]Data!#REF!</definedName>
    <definedName name="__123Graph_BCFSUK" localSheetId="41" hidden="1">[1]Data!#REF!</definedName>
    <definedName name="__123Graph_BCFSUK" hidden="1">[1]Data!#REF!</definedName>
    <definedName name="__123Graph_BCHGSPD1" hidden="1">[2]CHGSPD19.FIN!$H$10:$H$25</definedName>
    <definedName name="__123Graph_BCHGSPD2" hidden="1">[2]CHGSPD19.FIN!$I$11:$I$25</definedName>
    <definedName name="__123Graph_BEFF" localSheetId="25" hidden="1">'[3]T3 Page 1'!#REF!</definedName>
    <definedName name="__123Graph_BEFF" localSheetId="26" hidden="1">'[3]T3 Page 1'!#REF!</definedName>
    <definedName name="__123Graph_BEFF" localSheetId="51" hidden="1">'[3]T3 Page 1'!#REF!</definedName>
    <definedName name="__123Graph_BEFF" localSheetId="60" hidden="1">'[3]T3 Page 1'!#REF!</definedName>
    <definedName name="__123Graph_BEFF" localSheetId="50" hidden="1">'[3]T3 Page 1'!#REF!</definedName>
    <definedName name="__123Graph_BEFF" localSheetId="58" hidden="1">'[3]T3 Page 1'!#REF!</definedName>
    <definedName name="__123Graph_BEFF" localSheetId="22" hidden="1">'[3]T3 Page 1'!#REF!</definedName>
    <definedName name="__123Graph_BEFF" localSheetId="24" hidden="1">'[3]T3 Page 1'!#REF!</definedName>
    <definedName name="__123Graph_BEFF" localSheetId="23" hidden="1">'[3]T3 Page 1'!#REF!</definedName>
    <definedName name="__123Graph_BEFF" localSheetId="17" hidden="1">'[3]T3 Page 1'!#REF!</definedName>
    <definedName name="__123Graph_BEFF" localSheetId="27" hidden="1">'[3]T3 Page 1'!#REF!</definedName>
    <definedName name="__123Graph_BEFF" localSheetId="45" hidden="1">'[3]T3 Page 1'!#REF!</definedName>
    <definedName name="__123Graph_BEFF" localSheetId="41" hidden="1">'[3]T3 Page 1'!#REF!</definedName>
    <definedName name="__123Graph_BEFF" hidden="1">'[3]T3 Page 1'!#REF!</definedName>
    <definedName name="__123Graph_BLBF" localSheetId="25" hidden="1">'[3]T3 Page 1'!#REF!</definedName>
    <definedName name="__123Graph_BLBF" localSheetId="26" hidden="1">'[3]T3 Page 1'!#REF!</definedName>
    <definedName name="__123Graph_BLBF" localSheetId="51" hidden="1">'[3]T3 Page 1'!#REF!</definedName>
    <definedName name="__123Graph_BLBF" localSheetId="60" hidden="1">'[3]T3 Page 1'!#REF!</definedName>
    <definedName name="__123Graph_BLBF" localSheetId="50" hidden="1">'[3]T3 Page 1'!#REF!</definedName>
    <definedName name="__123Graph_BLBF" localSheetId="58" hidden="1">'[3]T3 Page 1'!#REF!</definedName>
    <definedName name="__123Graph_BLBF" localSheetId="22" hidden="1">'[3]T3 Page 1'!#REF!</definedName>
    <definedName name="__123Graph_BLBF" localSheetId="24" hidden="1">'[3]T3 Page 1'!#REF!</definedName>
    <definedName name="__123Graph_BLBF" localSheetId="23" hidden="1">'[3]T3 Page 1'!#REF!</definedName>
    <definedName name="__123Graph_BLBF" localSheetId="17" hidden="1">'[3]T3 Page 1'!#REF!</definedName>
    <definedName name="__123Graph_BLBF" localSheetId="27" hidden="1">'[3]T3 Page 1'!#REF!</definedName>
    <definedName name="__123Graph_BLBF" localSheetId="45" hidden="1">'[3]T3 Page 1'!#REF!</definedName>
    <definedName name="__123Graph_BLBF" localSheetId="41" hidden="1">'[3]T3 Page 1'!#REF!</definedName>
    <definedName name="__123Graph_BLBF" hidden="1">'[3]T3 Page 1'!#REF!</definedName>
    <definedName name="__123Graph_BLBFFIN" localSheetId="25" hidden="1">'[3]FC Page 1'!#REF!</definedName>
    <definedName name="__123Graph_BLBFFIN" localSheetId="26" hidden="1">'[3]FC Page 1'!#REF!</definedName>
    <definedName name="__123Graph_BLBFFIN" localSheetId="51" hidden="1">'[3]FC Page 1'!#REF!</definedName>
    <definedName name="__123Graph_BLBFFIN" localSheetId="60" hidden="1">'[3]FC Page 1'!#REF!</definedName>
    <definedName name="__123Graph_BLBFFIN" localSheetId="50" hidden="1">'[3]FC Page 1'!#REF!</definedName>
    <definedName name="__123Graph_BLBFFIN" localSheetId="58" hidden="1">'[3]FC Page 1'!#REF!</definedName>
    <definedName name="__123Graph_BLBFFIN" localSheetId="22" hidden="1">'[3]FC Page 1'!#REF!</definedName>
    <definedName name="__123Graph_BLBFFIN" localSheetId="24" hidden="1">'[3]FC Page 1'!#REF!</definedName>
    <definedName name="__123Graph_BLBFFIN" localSheetId="23" hidden="1">'[3]FC Page 1'!#REF!</definedName>
    <definedName name="__123Graph_BLBFFIN" localSheetId="17" hidden="1">'[3]FC Page 1'!#REF!</definedName>
    <definedName name="__123Graph_BLBFFIN" localSheetId="27" hidden="1">'[3]FC Page 1'!#REF!</definedName>
    <definedName name="__123Graph_BLBFFIN" localSheetId="45" hidden="1">'[3]FC Page 1'!#REF!</definedName>
    <definedName name="__123Graph_BLBFFIN" localSheetId="41" hidden="1">'[3]FC Page 1'!#REF!</definedName>
    <definedName name="__123Graph_BLBFFIN" hidden="1">'[3]FC Page 1'!#REF!</definedName>
    <definedName name="__123Graph_BLCB" hidden="1">'[4]HIS19FIN(A)'!$D$79:$I$79</definedName>
    <definedName name="__123Graph_BPDTRENDS" hidden="1">'[5]SUMMARY TABLE'!$T$23:$T$46</definedName>
    <definedName name="__123Graph_BPIC" localSheetId="25" hidden="1">'[3]T3 Page 1'!#REF!</definedName>
    <definedName name="__123Graph_BPIC" localSheetId="26" hidden="1">'[3]T3 Page 1'!#REF!</definedName>
    <definedName name="__123Graph_BPIC" localSheetId="51" hidden="1">'[3]T3 Page 1'!#REF!</definedName>
    <definedName name="__123Graph_BPIC" localSheetId="60" hidden="1">'[3]T3 Page 1'!#REF!</definedName>
    <definedName name="__123Graph_BPIC" localSheetId="50" hidden="1">'[3]T3 Page 1'!#REF!</definedName>
    <definedName name="__123Graph_BPIC" localSheetId="58" hidden="1">'[3]T3 Page 1'!#REF!</definedName>
    <definedName name="__123Graph_BPIC" localSheetId="22" hidden="1">'[3]T3 Page 1'!#REF!</definedName>
    <definedName name="__123Graph_BPIC" localSheetId="24" hidden="1">'[3]T3 Page 1'!#REF!</definedName>
    <definedName name="__123Graph_BPIC" localSheetId="23" hidden="1">'[3]T3 Page 1'!#REF!</definedName>
    <definedName name="__123Graph_BPIC" localSheetId="17" hidden="1">'[3]T3 Page 1'!#REF!</definedName>
    <definedName name="__123Graph_BPIC" localSheetId="27" hidden="1">'[3]T3 Page 1'!#REF!</definedName>
    <definedName name="__123Graph_BPIC" localSheetId="45" hidden="1">'[3]T3 Page 1'!#REF!</definedName>
    <definedName name="__123Graph_BPIC" localSheetId="41" hidden="1">'[3]T3 Page 1'!#REF!</definedName>
    <definedName name="__123Graph_BPIC" hidden="1">'[3]T3 Page 1'!#REF!</definedName>
    <definedName name="__123Graph_C" localSheetId="25" hidden="1">'[6]Table 1'!#REF!</definedName>
    <definedName name="__123Graph_C" localSheetId="26" hidden="1">'[6]Table 1'!#REF!</definedName>
    <definedName name="__123Graph_C" localSheetId="51" hidden="1">'[6]Table 1'!#REF!</definedName>
    <definedName name="__123Graph_C" localSheetId="60" hidden="1">'[6]Table 1'!#REF!</definedName>
    <definedName name="__123Graph_C" localSheetId="50" hidden="1">'[6]Table 1'!#REF!</definedName>
    <definedName name="__123Graph_C" localSheetId="58" hidden="1">'[6]Table 1'!#REF!</definedName>
    <definedName name="__123Graph_C" localSheetId="61" hidden="1">'[6]Table 1'!#REF!</definedName>
    <definedName name="__123Graph_C" localSheetId="19" hidden="1">'[6]Table 1'!#REF!</definedName>
    <definedName name="__123Graph_C" localSheetId="20" hidden="1">'[6]Table 1'!#REF!</definedName>
    <definedName name="__123Graph_C" localSheetId="22" hidden="1">'[6]Table 1'!#REF!</definedName>
    <definedName name="__123Graph_C" localSheetId="24" hidden="1">'[6]Table 1'!#REF!</definedName>
    <definedName name="__123Graph_C" localSheetId="23" hidden="1">'[6]Table 1'!#REF!</definedName>
    <definedName name="__123Graph_C" localSheetId="17" hidden="1">'[6]Table 1'!#REF!</definedName>
    <definedName name="__123Graph_C" localSheetId="27" hidden="1">'[6]Table 1'!#REF!</definedName>
    <definedName name="__123Graph_C" localSheetId="21" hidden="1">'[6]Table 1'!#REF!</definedName>
    <definedName name="__123Graph_C" localSheetId="45" hidden="1">'[6]Table 1'!#REF!</definedName>
    <definedName name="__123Graph_C" localSheetId="41" hidden="1">'[6]Table 1'!#REF!</definedName>
    <definedName name="__123Graph_C" localSheetId="39" hidden="1">'[6]Table 1'!#REF!</definedName>
    <definedName name="__123Graph_C" localSheetId="40" hidden="1">'[6]Table 1'!#REF!</definedName>
    <definedName name="__123Graph_C" hidden="1">'[6]Table 1'!#REF!</definedName>
    <definedName name="__123Graph_CACT13BUD" localSheetId="25" hidden="1">'[3]FC Page 1'!#REF!</definedName>
    <definedName name="__123Graph_CACT13BUD" localSheetId="26" hidden="1">'[3]FC Page 1'!#REF!</definedName>
    <definedName name="__123Graph_CACT13BUD" localSheetId="51" hidden="1">'[3]FC Page 1'!#REF!</definedName>
    <definedName name="__123Graph_CACT13BUD" localSheetId="60" hidden="1">'[3]FC Page 1'!#REF!</definedName>
    <definedName name="__123Graph_CACT13BUD" localSheetId="50" hidden="1">'[3]FC Page 1'!#REF!</definedName>
    <definedName name="__123Graph_CACT13BUD" localSheetId="58" hidden="1">'[3]FC Page 1'!#REF!</definedName>
    <definedName name="__123Graph_CACT13BUD" localSheetId="22" hidden="1">'[3]FC Page 1'!#REF!</definedName>
    <definedName name="__123Graph_CACT13BUD" localSheetId="24" hidden="1">'[3]FC Page 1'!#REF!</definedName>
    <definedName name="__123Graph_CACT13BUD" localSheetId="23" hidden="1">'[3]FC Page 1'!#REF!</definedName>
    <definedName name="__123Graph_CACT13BUD" localSheetId="17" hidden="1">'[3]FC Page 1'!#REF!</definedName>
    <definedName name="__123Graph_CACT13BUD" localSheetId="27" hidden="1">'[3]FC Page 1'!#REF!</definedName>
    <definedName name="__123Graph_CACT13BUD" localSheetId="45" hidden="1">'[3]FC Page 1'!#REF!</definedName>
    <definedName name="__123Graph_CACT13BUD" localSheetId="41" hidden="1">'[3]FC Page 1'!#REF!</definedName>
    <definedName name="__123Graph_CACT13BUD" hidden="1">'[3]FC Page 1'!#REF!</definedName>
    <definedName name="__123Graph_CCFSINDIV" localSheetId="25" hidden="1">[1]Data!#REF!</definedName>
    <definedName name="__123Graph_CCFSINDIV" localSheetId="26" hidden="1">[1]Data!#REF!</definedName>
    <definedName name="__123Graph_CCFSINDIV" localSheetId="51" hidden="1">[1]Data!#REF!</definedName>
    <definedName name="__123Graph_CCFSINDIV" localSheetId="60" hidden="1">[1]Data!#REF!</definedName>
    <definedName name="__123Graph_CCFSINDIV" localSheetId="50" hidden="1">[1]Data!#REF!</definedName>
    <definedName name="__123Graph_CCFSINDIV" localSheetId="58" hidden="1">[1]Data!#REF!</definedName>
    <definedName name="__123Graph_CCFSINDIV" localSheetId="22" hidden="1">[1]Data!#REF!</definedName>
    <definedName name="__123Graph_CCFSINDIV" localSheetId="24" hidden="1">[1]Data!#REF!</definedName>
    <definedName name="__123Graph_CCFSINDIV" localSheetId="23" hidden="1">[1]Data!#REF!</definedName>
    <definedName name="__123Graph_CCFSINDIV" localSheetId="17" hidden="1">[1]Data!#REF!</definedName>
    <definedName name="__123Graph_CCFSINDIV" localSheetId="27" hidden="1">[1]Data!#REF!</definedName>
    <definedName name="__123Graph_CCFSINDIV" localSheetId="45" hidden="1">[1]Data!#REF!</definedName>
    <definedName name="__123Graph_CCFSINDIV" localSheetId="41" hidden="1">[1]Data!#REF!</definedName>
    <definedName name="__123Graph_CCFSINDIV" hidden="1">[1]Data!#REF!</definedName>
    <definedName name="__123Graph_CCFSUK" localSheetId="25" hidden="1">[1]Data!#REF!</definedName>
    <definedName name="__123Graph_CCFSUK" localSheetId="26" hidden="1">[1]Data!#REF!</definedName>
    <definedName name="__123Graph_CCFSUK" localSheetId="51" hidden="1">[1]Data!#REF!</definedName>
    <definedName name="__123Graph_CCFSUK" localSheetId="60" hidden="1">[1]Data!#REF!</definedName>
    <definedName name="__123Graph_CCFSUK" localSheetId="50" hidden="1">[1]Data!#REF!</definedName>
    <definedName name="__123Graph_CCFSUK" localSheetId="58" hidden="1">[1]Data!#REF!</definedName>
    <definedName name="__123Graph_CCFSUK" localSheetId="22" hidden="1">[1]Data!#REF!</definedName>
    <definedName name="__123Graph_CCFSUK" localSheetId="24" hidden="1">[1]Data!#REF!</definedName>
    <definedName name="__123Graph_CCFSUK" localSheetId="23" hidden="1">[1]Data!#REF!</definedName>
    <definedName name="__123Graph_CCFSUK" localSheetId="17" hidden="1">[1]Data!#REF!</definedName>
    <definedName name="__123Graph_CCFSUK" localSheetId="27" hidden="1">[1]Data!#REF!</definedName>
    <definedName name="__123Graph_CCFSUK" localSheetId="45" hidden="1">[1]Data!#REF!</definedName>
    <definedName name="__123Graph_CCFSUK" localSheetId="41" hidden="1">[1]Data!#REF!</definedName>
    <definedName name="__123Graph_CCFSUK" hidden="1">[1]Data!#REF!</definedName>
    <definedName name="__123Graph_CEFF" localSheetId="25" hidden="1">'[3]T3 Page 1'!#REF!</definedName>
    <definedName name="__123Graph_CEFF" localSheetId="26" hidden="1">'[3]T3 Page 1'!#REF!</definedName>
    <definedName name="__123Graph_CEFF" localSheetId="51" hidden="1">'[3]T3 Page 1'!#REF!</definedName>
    <definedName name="__123Graph_CEFF" localSheetId="60" hidden="1">'[3]T3 Page 1'!#REF!</definedName>
    <definedName name="__123Graph_CEFF" localSheetId="50" hidden="1">'[3]T3 Page 1'!#REF!</definedName>
    <definedName name="__123Graph_CEFF" localSheetId="58" hidden="1">'[3]T3 Page 1'!#REF!</definedName>
    <definedName name="__123Graph_CEFF" localSheetId="22" hidden="1">'[3]T3 Page 1'!#REF!</definedName>
    <definedName name="__123Graph_CEFF" localSheetId="24" hidden="1">'[3]T3 Page 1'!#REF!</definedName>
    <definedName name="__123Graph_CEFF" localSheetId="23" hidden="1">'[3]T3 Page 1'!#REF!</definedName>
    <definedName name="__123Graph_CEFF" localSheetId="17" hidden="1">'[3]T3 Page 1'!#REF!</definedName>
    <definedName name="__123Graph_CEFF" localSheetId="27" hidden="1">'[3]T3 Page 1'!#REF!</definedName>
    <definedName name="__123Graph_CEFF" localSheetId="45" hidden="1">'[3]T3 Page 1'!#REF!</definedName>
    <definedName name="__123Graph_CEFF" localSheetId="41" hidden="1">'[3]T3 Page 1'!#REF!</definedName>
    <definedName name="__123Graph_CEFF" hidden="1">'[3]T3 Page 1'!#REF!</definedName>
    <definedName name="__123Graph_CGR14PBF1" hidden="1">'[4]HIS19FIN(A)'!$AK$70:$AK$81</definedName>
    <definedName name="__123Graph_CLBF" localSheetId="25" hidden="1">'[3]T3 Page 1'!#REF!</definedName>
    <definedName name="__123Graph_CLBF" localSheetId="26" hidden="1">'[3]T3 Page 1'!#REF!</definedName>
    <definedName name="__123Graph_CLBF" localSheetId="51" hidden="1">'[3]T3 Page 1'!#REF!</definedName>
    <definedName name="__123Graph_CLBF" localSheetId="60" hidden="1">'[3]T3 Page 1'!#REF!</definedName>
    <definedName name="__123Graph_CLBF" localSheetId="50" hidden="1">'[3]T3 Page 1'!#REF!</definedName>
    <definedName name="__123Graph_CLBF" localSheetId="58" hidden="1">'[3]T3 Page 1'!#REF!</definedName>
    <definedName name="__123Graph_CLBF" localSheetId="22" hidden="1">'[3]T3 Page 1'!#REF!</definedName>
    <definedName name="__123Graph_CLBF" localSheetId="24" hidden="1">'[3]T3 Page 1'!#REF!</definedName>
    <definedName name="__123Graph_CLBF" localSheetId="23" hidden="1">'[3]T3 Page 1'!#REF!</definedName>
    <definedName name="__123Graph_CLBF" localSheetId="17" hidden="1">'[3]T3 Page 1'!#REF!</definedName>
    <definedName name="__123Graph_CLBF" localSheetId="27" hidden="1">'[3]T3 Page 1'!#REF!</definedName>
    <definedName name="__123Graph_CLBF" localSheetId="45" hidden="1">'[3]T3 Page 1'!#REF!</definedName>
    <definedName name="__123Graph_CLBF" localSheetId="41" hidden="1">'[3]T3 Page 1'!#REF!</definedName>
    <definedName name="__123Graph_CLBF" hidden="1">'[3]T3 Page 1'!#REF!</definedName>
    <definedName name="__123Graph_CPIC" localSheetId="25" hidden="1">'[3]T3 Page 1'!#REF!</definedName>
    <definedName name="__123Graph_CPIC" localSheetId="26" hidden="1">'[3]T3 Page 1'!#REF!</definedName>
    <definedName name="__123Graph_CPIC" localSheetId="51" hidden="1">'[3]T3 Page 1'!#REF!</definedName>
    <definedName name="__123Graph_CPIC" localSheetId="60" hidden="1">'[3]T3 Page 1'!#REF!</definedName>
    <definedName name="__123Graph_CPIC" localSheetId="50" hidden="1">'[3]T3 Page 1'!#REF!</definedName>
    <definedName name="__123Graph_CPIC" localSheetId="58" hidden="1">'[3]T3 Page 1'!#REF!</definedName>
    <definedName name="__123Graph_CPIC" localSheetId="22" hidden="1">'[3]T3 Page 1'!#REF!</definedName>
    <definedName name="__123Graph_CPIC" localSheetId="24" hidden="1">'[3]T3 Page 1'!#REF!</definedName>
    <definedName name="__123Graph_CPIC" localSheetId="23" hidden="1">'[3]T3 Page 1'!#REF!</definedName>
    <definedName name="__123Graph_CPIC" localSheetId="17" hidden="1">'[3]T3 Page 1'!#REF!</definedName>
    <definedName name="__123Graph_CPIC" localSheetId="27" hidden="1">'[3]T3 Page 1'!#REF!</definedName>
    <definedName name="__123Graph_CPIC" localSheetId="45" hidden="1">'[3]T3 Page 1'!#REF!</definedName>
    <definedName name="__123Graph_CPIC" localSheetId="41" hidden="1">'[3]T3 Page 1'!#REF!</definedName>
    <definedName name="__123Graph_CPIC" hidden="1">'[3]T3 Page 1'!#REF!</definedName>
    <definedName name="__123Graph_DACT13BUD" localSheetId="25" hidden="1">'[3]FC Page 1'!#REF!</definedName>
    <definedName name="__123Graph_DACT13BUD" localSheetId="26" hidden="1">'[3]FC Page 1'!#REF!</definedName>
    <definedName name="__123Graph_DACT13BUD" localSheetId="51" hidden="1">'[3]FC Page 1'!#REF!</definedName>
    <definedName name="__123Graph_DACT13BUD" localSheetId="60" hidden="1">'[3]FC Page 1'!#REF!</definedName>
    <definedName name="__123Graph_DACT13BUD" localSheetId="50" hidden="1">'[3]FC Page 1'!#REF!</definedName>
    <definedName name="__123Graph_DACT13BUD" localSheetId="58" hidden="1">'[3]FC Page 1'!#REF!</definedName>
    <definedName name="__123Graph_DACT13BUD" localSheetId="22" hidden="1">'[3]FC Page 1'!#REF!</definedName>
    <definedName name="__123Graph_DACT13BUD" localSheetId="24" hidden="1">'[3]FC Page 1'!#REF!</definedName>
    <definedName name="__123Graph_DACT13BUD" localSheetId="23" hidden="1">'[3]FC Page 1'!#REF!</definedName>
    <definedName name="__123Graph_DACT13BUD" localSheetId="17" hidden="1">'[3]FC Page 1'!#REF!</definedName>
    <definedName name="__123Graph_DACT13BUD" localSheetId="27" hidden="1">'[3]FC Page 1'!#REF!</definedName>
    <definedName name="__123Graph_DACT13BUD" localSheetId="45" hidden="1">'[3]FC Page 1'!#REF!</definedName>
    <definedName name="__123Graph_DACT13BUD" localSheetId="41" hidden="1">'[3]FC Page 1'!#REF!</definedName>
    <definedName name="__123Graph_DACT13BUD" hidden="1">'[3]FC Page 1'!#REF!</definedName>
    <definedName name="__123Graph_DCFSINDIV" localSheetId="25" hidden="1">[1]Data!#REF!</definedName>
    <definedName name="__123Graph_DCFSINDIV" localSheetId="26" hidden="1">[1]Data!#REF!</definedName>
    <definedName name="__123Graph_DCFSINDIV" localSheetId="51" hidden="1">[1]Data!#REF!</definedName>
    <definedName name="__123Graph_DCFSINDIV" localSheetId="60" hidden="1">[1]Data!#REF!</definedName>
    <definedName name="__123Graph_DCFSINDIV" localSheetId="50" hidden="1">[1]Data!#REF!</definedName>
    <definedName name="__123Graph_DCFSINDIV" localSheetId="58" hidden="1">[1]Data!#REF!</definedName>
    <definedName name="__123Graph_DCFSINDIV" localSheetId="22" hidden="1">[1]Data!#REF!</definedName>
    <definedName name="__123Graph_DCFSINDIV" localSheetId="24" hidden="1">[1]Data!#REF!</definedName>
    <definedName name="__123Graph_DCFSINDIV" localSheetId="23" hidden="1">[1]Data!#REF!</definedName>
    <definedName name="__123Graph_DCFSINDIV" localSheetId="17" hidden="1">[1]Data!#REF!</definedName>
    <definedName name="__123Graph_DCFSINDIV" localSheetId="27" hidden="1">[1]Data!#REF!</definedName>
    <definedName name="__123Graph_DCFSINDIV" localSheetId="45" hidden="1">[1]Data!#REF!</definedName>
    <definedName name="__123Graph_DCFSINDIV" localSheetId="41" hidden="1">[1]Data!#REF!</definedName>
    <definedName name="__123Graph_DCFSINDIV" hidden="1">[1]Data!#REF!</definedName>
    <definedName name="__123Graph_DCFSUK" localSheetId="25" hidden="1">[1]Data!#REF!</definedName>
    <definedName name="__123Graph_DCFSUK" localSheetId="26" hidden="1">[1]Data!#REF!</definedName>
    <definedName name="__123Graph_DCFSUK" localSheetId="51" hidden="1">[1]Data!#REF!</definedName>
    <definedName name="__123Graph_DCFSUK" localSheetId="60" hidden="1">[1]Data!#REF!</definedName>
    <definedName name="__123Graph_DCFSUK" localSheetId="50" hidden="1">[1]Data!#REF!</definedName>
    <definedName name="__123Graph_DCFSUK" localSheetId="58" hidden="1">[1]Data!#REF!</definedName>
    <definedName name="__123Graph_DCFSUK" localSheetId="22" hidden="1">[1]Data!#REF!</definedName>
    <definedName name="__123Graph_DCFSUK" localSheetId="24" hidden="1">[1]Data!#REF!</definedName>
    <definedName name="__123Graph_DCFSUK" localSheetId="23" hidden="1">[1]Data!#REF!</definedName>
    <definedName name="__123Graph_DCFSUK" localSheetId="17" hidden="1">[1]Data!#REF!</definedName>
    <definedName name="__123Graph_DCFSUK" localSheetId="27" hidden="1">[1]Data!#REF!</definedName>
    <definedName name="__123Graph_DCFSUK" localSheetId="45" hidden="1">[1]Data!#REF!</definedName>
    <definedName name="__123Graph_DCFSUK" localSheetId="41" hidden="1">[1]Data!#REF!</definedName>
    <definedName name="__123Graph_DCFSUK" hidden="1">[1]Data!#REF!</definedName>
    <definedName name="__123Graph_DEFF" localSheetId="25" hidden="1">'[3]T3 Page 1'!#REF!</definedName>
    <definedName name="__123Graph_DEFF" localSheetId="26" hidden="1">'[3]T3 Page 1'!#REF!</definedName>
    <definedName name="__123Graph_DEFF" localSheetId="51" hidden="1">'[3]T3 Page 1'!#REF!</definedName>
    <definedName name="__123Graph_DEFF" localSheetId="60" hidden="1">'[3]T3 Page 1'!#REF!</definedName>
    <definedName name="__123Graph_DEFF" localSheetId="50" hidden="1">'[3]T3 Page 1'!#REF!</definedName>
    <definedName name="__123Graph_DEFF" localSheetId="58" hidden="1">'[3]T3 Page 1'!#REF!</definedName>
    <definedName name="__123Graph_DEFF" localSheetId="22" hidden="1">'[3]T3 Page 1'!#REF!</definedName>
    <definedName name="__123Graph_DEFF" localSheetId="24" hidden="1">'[3]T3 Page 1'!#REF!</definedName>
    <definedName name="__123Graph_DEFF" localSheetId="23" hidden="1">'[3]T3 Page 1'!#REF!</definedName>
    <definedName name="__123Graph_DEFF" localSheetId="17" hidden="1">'[3]T3 Page 1'!#REF!</definedName>
    <definedName name="__123Graph_DEFF" localSheetId="27" hidden="1">'[3]T3 Page 1'!#REF!</definedName>
    <definedName name="__123Graph_DEFF" localSheetId="45" hidden="1">'[3]T3 Page 1'!#REF!</definedName>
    <definedName name="__123Graph_DEFF" localSheetId="41" hidden="1">'[3]T3 Page 1'!#REF!</definedName>
    <definedName name="__123Graph_DEFF" hidden="1">'[3]T3 Page 1'!#REF!</definedName>
    <definedName name="__123Graph_DGR14PBF1" hidden="1">'[4]HIS19FIN(A)'!$AH$70:$AH$81</definedName>
    <definedName name="__123Graph_DLBF" localSheetId="25" hidden="1">'[3]T3 Page 1'!#REF!</definedName>
    <definedName name="__123Graph_DLBF" localSheetId="26" hidden="1">'[3]T3 Page 1'!#REF!</definedName>
    <definedName name="__123Graph_DLBF" localSheetId="51" hidden="1">'[3]T3 Page 1'!#REF!</definedName>
    <definedName name="__123Graph_DLBF" localSheetId="60" hidden="1">'[3]T3 Page 1'!#REF!</definedName>
    <definedName name="__123Graph_DLBF" localSheetId="50" hidden="1">'[3]T3 Page 1'!#REF!</definedName>
    <definedName name="__123Graph_DLBF" localSheetId="58" hidden="1">'[3]T3 Page 1'!#REF!</definedName>
    <definedName name="__123Graph_DLBF" localSheetId="22" hidden="1">'[3]T3 Page 1'!#REF!</definedName>
    <definedName name="__123Graph_DLBF" localSheetId="24" hidden="1">'[3]T3 Page 1'!#REF!</definedName>
    <definedName name="__123Graph_DLBF" localSheetId="23" hidden="1">'[3]T3 Page 1'!#REF!</definedName>
    <definedName name="__123Graph_DLBF" localSheetId="17" hidden="1">'[3]T3 Page 1'!#REF!</definedName>
    <definedName name="__123Graph_DLBF" localSheetId="27" hidden="1">'[3]T3 Page 1'!#REF!</definedName>
    <definedName name="__123Graph_DLBF" localSheetId="45" hidden="1">'[3]T3 Page 1'!#REF!</definedName>
    <definedName name="__123Graph_DLBF" localSheetId="41" hidden="1">'[3]T3 Page 1'!#REF!</definedName>
    <definedName name="__123Graph_DLBF" hidden="1">'[3]T3 Page 1'!#REF!</definedName>
    <definedName name="__123Graph_DPIC" localSheetId="25" hidden="1">'[3]T3 Page 1'!#REF!</definedName>
    <definedName name="__123Graph_DPIC" localSheetId="26" hidden="1">'[3]T3 Page 1'!#REF!</definedName>
    <definedName name="__123Graph_DPIC" localSheetId="51" hidden="1">'[3]T3 Page 1'!#REF!</definedName>
    <definedName name="__123Graph_DPIC" localSheetId="60" hidden="1">'[3]T3 Page 1'!#REF!</definedName>
    <definedName name="__123Graph_DPIC" localSheetId="50" hidden="1">'[3]T3 Page 1'!#REF!</definedName>
    <definedName name="__123Graph_DPIC" localSheetId="58" hidden="1">'[3]T3 Page 1'!#REF!</definedName>
    <definedName name="__123Graph_DPIC" localSheetId="22" hidden="1">'[3]T3 Page 1'!#REF!</definedName>
    <definedName name="__123Graph_DPIC" localSheetId="24" hidden="1">'[3]T3 Page 1'!#REF!</definedName>
    <definedName name="__123Graph_DPIC" localSheetId="23" hidden="1">'[3]T3 Page 1'!#REF!</definedName>
    <definedName name="__123Graph_DPIC" localSheetId="17" hidden="1">'[3]T3 Page 1'!#REF!</definedName>
    <definedName name="__123Graph_DPIC" localSheetId="27" hidden="1">'[3]T3 Page 1'!#REF!</definedName>
    <definedName name="__123Graph_DPIC" localSheetId="45" hidden="1">'[3]T3 Page 1'!#REF!</definedName>
    <definedName name="__123Graph_DPIC" localSheetId="41" hidden="1">'[3]T3 Page 1'!#REF!</definedName>
    <definedName name="__123Graph_DPIC" hidden="1">'[3]T3 Page 1'!#REF!</definedName>
    <definedName name="__123Graph_EACT13BUD" localSheetId="25" hidden="1">'[3]FC Page 1'!#REF!</definedName>
    <definedName name="__123Graph_EACT13BUD" localSheetId="26" hidden="1">'[3]FC Page 1'!#REF!</definedName>
    <definedName name="__123Graph_EACT13BUD" localSheetId="51" hidden="1">'[3]FC Page 1'!#REF!</definedName>
    <definedName name="__123Graph_EACT13BUD" localSheetId="60" hidden="1">'[3]FC Page 1'!#REF!</definedName>
    <definedName name="__123Graph_EACT13BUD" localSheetId="50" hidden="1">'[3]FC Page 1'!#REF!</definedName>
    <definedName name="__123Graph_EACT13BUD" localSheetId="58" hidden="1">'[3]FC Page 1'!#REF!</definedName>
    <definedName name="__123Graph_EACT13BUD" localSheetId="22" hidden="1">'[3]FC Page 1'!#REF!</definedName>
    <definedName name="__123Graph_EACT13BUD" localSheetId="24" hidden="1">'[3]FC Page 1'!#REF!</definedName>
    <definedName name="__123Graph_EACT13BUD" localSheetId="23" hidden="1">'[3]FC Page 1'!#REF!</definedName>
    <definedName name="__123Graph_EACT13BUD" localSheetId="17" hidden="1">'[3]FC Page 1'!#REF!</definedName>
    <definedName name="__123Graph_EACT13BUD" localSheetId="27" hidden="1">'[3]FC Page 1'!#REF!</definedName>
    <definedName name="__123Graph_EACT13BUD" localSheetId="45" hidden="1">'[3]FC Page 1'!#REF!</definedName>
    <definedName name="__123Graph_EACT13BUD" localSheetId="41" hidden="1">'[3]FC Page 1'!#REF!</definedName>
    <definedName name="__123Graph_EACT13BUD" hidden="1">'[3]FC Page 1'!#REF!</definedName>
    <definedName name="__123Graph_ECFSINDIV" localSheetId="25" hidden="1">[1]Data!#REF!</definedName>
    <definedName name="__123Graph_ECFSINDIV" localSheetId="26" hidden="1">[1]Data!#REF!</definedName>
    <definedName name="__123Graph_ECFSINDIV" localSheetId="51" hidden="1">[1]Data!#REF!</definedName>
    <definedName name="__123Graph_ECFSINDIV" localSheetId="60" hidden="1">[1]Data!#REF!</definedName>
    <definedName name="__123Graph_ECFSINDIV" localSheetId="50" hidden="1">[1]Data!#REF!</definedName>
    <definedName name="__123Graph_ECFSINDIV" localSheetId="58" hidden="1">[1]Data!#REF!</definedName>
    <definedName name="__123Graph_ECFSINDIV" localSheetId="22" hidden="1">[1]Data!#REF!</definedName>
    <definedName name="__123Graph_ECFSINDIV" localSheetId="24" hidden="1">[1]Data!#REF!</definedName>
    <definedName name="__123Graph_ECFSINDIV" localSheetId="23" hidden="1">[1]Data!#REF!</definedName>
    <definedName name="__123Graph_ECFSINDIV" localSheetId="17" hidden="1">[1]Data!#REF!</definedName>
    <definedName name="__123Graph_ECFSINDIV" localSheetId="27" hidden="1">[1]Data!#REF!</definedName>
    <definedName name="__123Graph_ECFSINDIV" localSheetId="45" hidden="1">[1]Data!#REF!</definedName>
    <definedName name="__123Graph_ECFSINDIV" localSheetId="41" hidden="1">[1]Data!#REF!</definedName>
    <definedName name="__123Graph_ECFSINDIV" hidden="1">[1]Data!#REF!</definedName>
    <definedName name="__123Graph_ECFSUK" localSheetId="25" hidden="1">[1]Data!#REF!</definedName>
    <definedName name="__123Graph_ECFSUK" localSheetId="26" hidden="1">[1]Data!#REF!</definedName>
    <definedName name="__123Graph_ECFSUK" localSheetId="51" hidden="1">[1]Data!#REF!</definedName>
    <definedName name="__123Graph_ECFSUK" localSheetId="60" hidden="1">[1]Data!#REF!</definedName>
    <definedName name="__123Graph_ECFSUK" localSheetId="50" hidden="1">[1]Data!#REF!</definedName>
    <definedName name="__123Graph_ECFSUK" localSheetId="58" hidden="1">[1]Data!#REF!</definedName>
    <definedName name="__123Graph_ECFSUK" localSheetId="22" hidden="1">[1]Data!#REF!</definedName>
    <definedName name="__123Graph_ECFSUK" localSheetId="24" hidden="1">[1]Data!#REF!</definedName>
    <definedName name="__123Graph_ECFSUK" localSheetId="23" hidden="1">[1]Data!#REF!</definedName>
    <definedName name="__123Graph_ECFSUK" localSheetId="17" hidden="1">[1]Data!#REF!</definedName>
    <definedName name="__123Graph_ECFSUK" localSheetId="27" hidden="1">[1]Data!#REF!</definedName>
    <definedName name="__123Graph_ECFSUK" localSheetId="45" hidden="1">[1]Data!#REF!</definedName>
    <definedName name="__123Graph_ECFSUK" localSheetId="41" hidden="1">[1]Data!#REF!</definedName>
    <definedName name="__123Graph_ECFSUK" hidden="1">[1]Data!#REF!</definedName>
    <definedName name="__123Graph_EEFF" localSheetId="25" hidden="1">'[3]T3 Page 1'!#REF!</definedName>
    <definedName name="__123Graph_EEFF" localSheetId="26" hidden="1">'[3]T3 Page 1'!#REF!</definedName>
    <definedName name="__123Graph_EEFF" localSheetId="51" hidden="1">'[3]T3 Page 1'!#REF!</definedName>
    <definedName name="__123Graph_EEFF" localSheetId="60" hidden="1">'[3]T3 Page 1'!#REF!</definedName>
    <definedName name="__123Graph_EEFF" localSheetId="50" hidden="1">'[3]T3 Page 1'!#REF!</definedName>
    <definedName name="__123Graph_EEFF" localSheetId="58" hidden="1">'[3]T3 Page 1'!#REF!</definedName>
    <definedName name="__123Graph_EEFF" localSheetId="22" hidden="1">'[3]T3 Page 1'!#REF!</definedName>
    <definedName name="__123Graph_EEFF" localSheetId="24" hidden="1">'[3]T3 Page 1'!#REF!</definedName>
    <definedName name="__123Graph_EEFF" localSheetId="23" hidden="1">'[3]T3 Page 1'!#REF!</definedName>
    <definedName name="__123Graph_EEFF" localSheetId="17" hidden="1">'[3]T3 Page 1'!#REF!</definedName>
    <definedName name="__123Graph_EEFF" localSheetId="27" hidden="1">'[3]T3 Page 1'!#REF!</definedName>
    <definedName name="__123Graph_EEFF" localSheetId="45" hidden="1">'[3]T3 Page 1'!#REF!</definedName>
    <definedName name="__123Graph_EEFF" localSheetId="41" hidden="1">'[3]T3 Page 1'!#REF!</definedName>
    <definedName name="__123Graph_EEFF" hidden="1">'[3]T3 Page 1'!#REF!</definedName>
    <definedName name="__123Graph_EEFFHIC" localSheetId="25" hidden="1">'[3]FC Page 1'!#REF!</definedName>
    <definedName name="__123Graph_EEFFHIC" localSheetId="26" hidden="1">'[3]FC Page 1'!#REF!</definedName>
    <definedName name="__123Graph_EEFFHIC" localSheetId="51" hidden="1">'[3]FC Page 1'!#REF!</definedName>
    <definedName name="__123Graph_EEFFHIC" localSheetId="60" hidden="1">'[3]FC Page 1'!#REF!</definedName>
    <definedName name="__123Graph_EEFFHIC" localSheetId="50" hidden="1">'[3]FC Page 1'!#REF!</definedName>
    <definedName name="__123Graph_EEFFHIC" localSheetId="58" hidden="1">'[3]FC Page 1'!#REF!</definedName>
    <definedName name="__123Graph_EEFFHIC" localSheetId="22" hidden="1">'[3]FC Page 1'!#REF!</definedName>
    <definedName name="__123Graph_EEFFHIC" localSheetId="24" hidden="1">'[3]FC Page 1'!#REF!</definedName>
    <definedName name="__123Graph_EEFFHIC" localSheetId="23" hidden="1">'[3]FC Page 1'!#REF!</definedName>
    <definedName name="__123Graph_EEFFHIC" localSheetId="17" hidden="1">'[3]FC Page 1'!#REF!</definedName>
    <definedName name="__123Graph_EEFFHIC" localSheetId="27" hidden="1">'[3]FC Page 1'!#REF!</definedName>
    <definedName name="__123Graph_EEFFHIC" localSheetId="45" hidden="1">'[3]FC Page 1'!#REF!</definedName>
    <definedName name="__123Graph_EEFFHIC" localSheetId="41" hidden="1">'[3]FC Page 1'!#REF!</definedName>
    <definedName name="__123Graph_EEFFHIC" hidden="1">'[3]FC Page 1'!#REF!</definedName>
    <definedName name="__123Graph_EGR14PBF1" hidden="1">'[4]HIS19FIN(A)'!$AG$67:$AG$67</definedName>
    <definedName name="__123Graph_ELBF" localSheetId="25" hidden="1">'[3]T3 Page 1'!#REF!</definedName>
    <definedName name="__123Graph_ELBF" localSheetId="26" hidden="1">'[3]T3 Page 1'!#REF!</definedName>
    <definedName name="__123Graph_ELBF" localSheetId="51" hidden="1">'[3]T3 Page 1'!#REF!</definedName>
    <definedName name="__123Graph_ELBF" localSheetId="60" hidden="1">'[3]T3 Page 1'!#REF!</definedName>
    <definedName name="__123Graph_ELBF" localSheetId="50" hidden="1">'[3]T3 Page 1'!#REF!</definedName>
    <definedName name="__123Graph_ELBF" localSheetId="58" hidden="1">'[3]T3 Page 1'!#REF!</definedName>
    <definedName name="__123Graph_ELBF" localSheetId="22" hidden="1">'[3]T3 Page 1'!#REF!</definedName>
    <definedName name="__123Graph_ELBF" localSheetId="24" hidden="1">'[3]T3 Page 1'!#REF!</definedName>
    <definedName name="__123Graph_ELBF" localSheetId="23" hidden="1">'[3]T3 Page 1'!#REF!</definedName>
    <definedName name="__123Graph_ELBF" localSheetId="17" hidden="1">'[3]T3 Page 1'!#REF!</definedName>
    <definedName name="__123Graph_ELBF" localSheetId="27" hidden="1">'[3]T3 Page 1'!#REF!</definedName>
    <definedName name="__123Graph_ELBF" localSheetId="45" hidden="1">'[3]T3 Page 1'!#REF!</definedName>
    <definedName name="__123Graph_ELBF" localSheetId="41" hidden="1">'[3]T3 Page 1'!#REF!</definedName>
    <definedName name="__123Graph_ELBF" hidden="1">'[3]T3 Page 1'!#REF!</definedName>
    <definedName name="__123Graph_EPIC" localSheetId="25" hidden="1">'[3]T3 Page 1'!#REF!</definedName>
    <definedName name="__123Graph_EPIC" localSheetId="26" hidden="1">'[3]T3 Page 1'!#REF!</definedName>
    <definedName name="__123Graph_EPIC" localSheetId="51" hidden="1">'[3]T3 Page 1'!#REF!</definedName>
    <definedName name="__123Graph_EPIC" localSheetId="60" hidden="1">'[3]T3 Page 1'!#REF!</definedName>
    <definedName name="__123Graph_EPIC" localSheetId="50" hidden="1">'[3]T3 Page 1'!#REF!</definedName>
    <definedName name="__123Graph_EPIC" localSheetId="58" hidden="1">'[3]T3 Page 1'!#REF!</definedName>
    <definedName name="__123Graph_EPIC" localSheetId="22" hidden="1">'[3]T3 Page 1'!#REF!</definedName>
    <definedName name="__123Graph_EPIC" localSheetId="24" hidden="1">'[3]T3 Page 1'!#REF!</definedName>
    <definedName name="__123Graph_EPIC" localSheetId="23" hidden="1">'[3]T3 Page 1'!#REF!</definedName>
    <definedName name="__123Graph_EPIC" localSheetId="17" hidden="1">'[3]T3 Page 1'!#REF!</definedName>
    <definedName name="__123Graph_EPIC" localSheetId="27" hidden="1">'[3]T3 Page 1'!#REF!</definedName>
    <definedName name="__123Graph_EPIC" localSheetId="45" hidden="1">'[3]T3 Page 1'!#REF!</definedName>
    <definedName name="__123Graph_EPIC" localSheetId="41" hidden="1">'[3]T3 Page 1'!#REF!</definedName>
    <definedName name="__123Graph_EPIC" hidden="1">'[3]T3 Page 1'!#REF!</definedName>
    <definedName name="__123Graph_FACT13BUD" localSheetId="25" hidden="1">'[3]FC Page 1'!#REF!</definedName>
    <definedName name="__123Graph_FACT13BUD" localSheetId="26" hidden="1">'[3]FC Page 1'!#REF!</definedName>
    <definedName name="__123Graph_FACT13BUD" localSheetId="51" hidden="1">'[3]FC Page 1'!#REF!</definedName>
    <definedName name="__123Graph_FACT13BUD" localSheetId="60" hidden="1">'[3]FC Page 1'!#REF!</definedName>
    <definedName name="__123Graph_FACT13BUD" localSheetId="50" hidden="1">'[3]FC Page 1'!#REF!</definedName>
    <definedName name="__123Graph_FACT13BUD" localSheetId="58" hidden="1">'[3]FC Page 1'!#REF!</definedName>
    <definedName name="__123Graph_FACT13BUD" localSheetId="22" hidden="1">'[3]FC Page 1'!#REF!</definedName>
    <definedName name="__123Graph_FACT13BUD" localSheetId="24" hidden="1">'[3]FC Page 1'!#REF!</definedName>
    <definedName name="__123Graph_FACT13BUD" localSheetId="23" hidden="1">'[3]FC Page 1'!#REF!</definedName>
    <definedName name="__123Graph_FACT13BUD" localSheetId="17" hidden="1">'[3]FC Page 1'!#REF!</definedName>
    <definedName name="__123Graph_FACT13BUD" localSheetId="27" hidden="1">'[3]FC Page 1'!#REF!</definedName>
    <definedName name="__123Graph_FACT13BUD" localSheetId="45" hidden="1">'[3]FC Page 1'!#REF!</definedName>
    <definedName name="__123Graph_FACT13BUD" localSheetId="41" hidden="1">'[3]FC Page 1'!#REF!</definedName>
    <definedName name="__123Graph_FACT13BUD" hidden="1">'[3]FC Page 1'!#REF!</definedName>
    <definedName name="__123Graph_FCFSUK" localSheetId="25" hidden="1">[1]Data!#REF!</definedName>
    <definedName name="__123Graph_FCFSUK" localSheetId="26" hidden="1">[1]Data!#REF!</definedName>
    <definedName name="__123Graph_FCFSUK" localSheetId="51" hidden="1">[1]Data!#REF!</definedName>
    <definedName name="__123Graph_FCFSUK" localSheetId="60" hidden="1">[1]Data!#REF!</definedName>
    <definedName name="__123Graph_FCFSUK" localSheetId="50" hidden="1">[1]Data!#REF!</definedName>
    <definedName name="__123Graph_FCFSUK" localSheetId="58" hidden="1">[1]Data!#REF!</definedName>
    <definedName name="__123Graph_FCFSUK" localSheetId="22" hidden="1">[1]Data!#REF!</definedName>
    <definedName name="__123Graph_FCFSUK" localSheetId="24" hidden="1">[1]Data!#REF!</definedName>
    <definedName name="__123Graph_FCFSUK" localSheetId="23" hidden="1">[1]Data!#REF!</definedName>
    <definedName name="__123Graph_FCFSUK" localSheetId="17" hidden="1">[1]Data!#REF!</definedName>
    <definedName name="__123Graph_FCFSUK" localSheetId="27" hidden="1">[1]Data!#REF!</definedName>
    <definedName name="__123Graph_FCFSUK" localSheetId="45" hidden="1">[1]Data!#REF!</definedName>
    <definedName name="__123Graph_FCFSUK" localSheetId="41" hidden="1">[1]Data!#REF!</definedName>
    <definedName name="__123Graph_FCFSUK" hidden="1">[1]Data!#REF!</definedName>
    <definedName name="__123Graph_FEFF" localSheetId="25" hidden="1">'[3]T3 Page 1'!#REF!</definedName>
    <definedName name="__123Graph_FEFF" localSheetId="26" hidden="1">'[3]T3 Page 1'!#REF!</definedName>
    <definedName name="__123Graph_FEFF" localSheetId="51" hidden="1">'[3]T3 Page 1'!#REF!</definedName>
    <definedName name="__123Graph_FEFF" localSheetId="60" hidden="1">'[3]T3 Page 1'!#REF!</definedName>
    <definedName name="__123Graph_FEFF" localSheetId="50" hidden="1">'[3]T3 Page 1'!#REF!</definedName>
    <definedName name="__123Graph_FEFF" localSheetId="58" hidden="1">'[3]T3 Page 1'!#REF!</definedName>
    <definedName name="__123Graph_FEFF" localSheetId="22" hidden="1">'[3]T3 Page 1'!#REF!</definedName>
    <definedName name="__123Graph_FEFF" localSheetId="24" hidden="1">'[3]T3 Page 1'!#REF!</definedName>
    <definedName name="__123Graph_FEFF" localSheetId="23" hidden="1">'[3]T3 Page 1'!#REF!</definedName>
    <definedName name="__123Graph_FEFF" localSheetId="17" hidden="1">'[3]T3 Page 1'!#REF!</definedName>
    <definedName name="__123Graph_FEFF" localSheetId="27" hidden="1">'[3]T3 Page 1'!#REF!</definedName>
    <definedName name="__123Graph_FEFF" localSheetId="45" hidden="1">'[3]T3 Page 1'!#REF!</definedName>
    <definedName name="__123Graph_FEFF" localSheetId="41" hidden="1">'[3]T3 Page 1'!#REF!</definedName>
    <definedName name="__123Graph_FEFF" hidden="1">'[3]T3 Page 1'!#REF!</definedName>
    <definedName name="__123Graph_FEFFHIC" localSheetId="25" hidden="1">'[3]FC Page 1'!#REF!</definedName>
    <definedName name="__123Graph_FEFFHIC" localSheetId="26" hidden="1">'[3]FC Page 1'!#REF!</definedName>
    <definedName name="__123Graph_FEFFHIC" localSheetId="51" hidden="1">'[3]FC Page 1'!#REF!</definedName>
    <definedName name="__123Graph_FEFFHIC" localSheetId="60" hidden="1">'[3]FC Page 1'!#REF!</definedName>
    <definedName name="__123Graph_FEFFHIC" localSheetId="50" hidden="1">'[3]FC Page 1'!#REF!</definedName>
    <definedName name="__123Graph_FEFFHIC" localSheetId="58" hidden="1">'[3]FC Page 1'!#REF!</definedName>
    <definedName name="__123Graph_FEFFHIC" localSheetId="22" hidden="1">'[3]FC Page 1'!#REF!</definedName>
    <definedName name="__123Graph_FEFFHIC" localSheetId="24" hidden="1">'[3]FC Page 1'!#REF!</definedName>
    <definedName name="__123Graph_FEFFHIC" localSheetId="23" hidden="1">'[3]FC Page 1'!#REF!</definedName>
    <definedName name="__123Graph_FEFFHIC" localSheetId="17" hidden="1">'[3]FC Page 1'!#REF!</definedName>
    <definedName name="__123Graph_FEFFHIC" localSheetId="27" hidden="1">'[3]FC Page 1'!#REF!</definedName>
    <definedName name="__123Graph_FEFFHIC" localSheetId="45" hidden="1">'[3]FC Page 1'!#REF!</definedName>
    <definedName name="__123Graph_FEFFHIC" localSheetId="41" hidden="1">'[3]FC Page 1'!#REF!</definedName>
    <definedName name="__123Graph_FEFFHIC" hidden="1">'[3]FC Page 1'!#REF!</definedName>
    <definedName name="__123Graph_FGR14PBF1" hidden="1">'[4]HIS19FIN(A)'!$AH$67:$AH$67</definedName>
    <definedName name="__123Graph_FLBF" localSheetId="25" hidden="1">'[3]T3 Page 1'!#REF!</definedName>
    <definedName name="__123Graph_FLBF" localSheetId="26" hidden="1">'[3]T3 Page 1'!#REF!</definedName>
    <definedName name="__123Graph_FLBF" localSheetId="51" hidden="1">'[3]T3 Page 1'!#REF!</definedName>
    <definedName name="__123Graph_FLBF" localSheetId="60" hidden="1">'[3]T3 Page 1'!#REF!</definedName>
    <definedName name="__123Graph_FLBF" localSheetId="50" hidden="1">'[3]T3 Page 1'!#REF!</definedName>
    <definedName name="__123Graph_FLBF" localSheetId="58" hidden="1">'[3]T3 Page 1'!#REF!</definedName>
    <definedName name="__123Graph_FLBF" localSheetId="22" hidden="1">'[3]T3 Page 1'!#REF!</definedName>
    <definedName name="__123Graph_FLBF" localSheetId="24" hidden="1">'[3]T3 Page 1'!#REF!</definedName>
    <definedName name="__123Graph_FLBF" localSheetId="23" hidden="1">'[3]T3 Page 1'!#REF!</definedName>
    <definedName name="__123Graph_FLBF" localSheetId="17" hidden="1">'[3]T3 Page 1'!#REF!</definedName>
    <definedName name="__123Graph_FLBF" localSheetId="27" hidden="1">'[3]T3 Page 1'!#REF!</definedName>
    <definedName name="__123Graph_FLBF" localSheetId="45" hidden="1">'[3]T3 Page 1'!#REF!</definedName>
    <definedName name="__123Graph_FLBF" localSheetId="41" hidden="1">'[3]T3 Page 1'!#REF!</definedName>
    <definedName name="__123Graph_FLBF" hidden="1">'[3]T3 Page 1'!#REF!</definedName>
    <definedName name="__123Graph_FPIC" localSheetId="25" hidden="1">'[3]T3 Page 1'!#REF!</definedName>
    <definedName name="__123Graph_FPIC" localSheetId="26" hidden="1">'[3]T3 Page 1'!#REF!</definedName>
    <definedName name="__123Graph_FPIC" localSheetId="51" hidden="1">'[3]T3 Page 1'!#REF!</definedName>
    <definedName name="__123Graph_FPIC" localSheetId="60" hidden="1">'[3]T3 Page 1'!#REF!</definedName>
    <definedName name="__123Graph_FPIC" localSheetId="50" hidden="1">'[3]T3 Page 1'!#REF!</definedName>
    <definedName name="__123Graph_FPIC" localSheetId="58" hidden="1">'[3]T3 Page 1'!#REF!</definedName>
    <definedName name="__123Graph_FPIC" localSheetId="22" hidden="1">'[3]T3 Page 1'!#REF!</definedName>
    <definedName name="__123Graph_FPIC" localSheetId="24" hidden="1">'[3]T3 Page 1'!#REF!</definedName>
    <definedName name="__123Graph_FPIC" localSheetId="23" hidden="1">'[3]T3 Page 1'!#REF!</definedName>
    <definedName name="__123Graph_FPIC" localSheetId="17" hidden="1">'[3]T3 Page 1'!#REF!</definedName>
    <definedName name="__123Graph_FPIC" localSheetId="27" hidden="1">'[3]T3 Page 1'!#REF!</definedName>
    <definedName name="__123Graph_FPIC" localSheetId="45" hidden="1">'[3]T3 Page 1'!#REF!</definedName>
    <definedName name="__123Graph_FPIC" localSheetId="41" hidden="1">'[3]T3 Page 1'!#REF!</definedName>
    <definedName name="__123Graph_FPIC" hidden="1">'[3]T3 Page 1'!#REF!</definedName>
    <definedName name="__123Graph_LBL_ARESID" hidden="1">'[4]HIS19FIN(A)'!$R$3:$W$3</definedName>
    <definedName name="__123Graph_LBL_BRESID" hidden="1">'[4]HIS19FIN(A)'!$R$3:$W$3</definedName>
    <definedName name="__123Graph_X" localSheetId="25" hidden="1">'[6]Table 1'!#REF!</definedName>
    <definedName name="__123Graph_X" localSheetId="26" hidden="1">'[6]Table 1'!#REF!</definedName>
    <definedName name="__123Graph_X" localSheetId="51" hidden="1">'[6]Table 1'!#REF!</definedName>
    <definedName name="__123Graph_X" localSheetId="60" hidden="1">'[6]Table 1'!#REF!</definedName>
    <definedName name="__123Graph_X" localSheetId="50" hidden="1">'[6]Table 1'!#REF!</definedName>
    <definedName name="__123Graph_X" localSheetId="58" hidden="1">'[6]Table 1'!#REF!</definedName>
    <definedName name="__123Graph_X" localSheetId="61" hidden="1">'[6]Table 1'!#REF!</definedName>
    <definedName name="__123Graph_X" localSheetId="20" hidden="1">'[6]Table 1'!#REF!</definedName>
    <definedName name="__123Graph_X" localSheetId="22" hidden="1">'[6]Table 1'!#REF!</definedName>
    <definedName name="__123Graph_X" localSheetId="24" hidden="1">'[6]Table 1'!#REF!</definedName>
    <definedName name="__123Graph_X" localSheetId="23" hidden="1">'[6]Table 1'!#REF!</definedName>
    <definedName name="__123Graph_X" localSheetId="17" hidden="1">'[6]Table 1'!#REF!</definedName>
    <definedName name="__123Graph_X" localSheetId="27" hidden="1">'[6]Table 1'!#REF!</definedName>
    <definedName name="__123Graph_X" localSheetId="45" hidden="1">'[6]Table 1'!#REF!</definedName>
    <definedName name="__123Graph_X" localSheetId="41" hidden="1">'[6]Table 1'!#REF!</definedName>
    <definedName name="__123Graph_X" hidden="1">'[6]Table 1'!#REF!</definedName>
    <definedName name="__123Graph_XACTHIC" localSheetId="25" hidden="1">'[3]FC Page 1'!#REF!</definedName>
    <definedName name="__123Graph_XACTHIC" localSheetId="26" hidden="1">'[3]FC Page 1'!#REF!</definedName>
    <definedName name="__123Graph_XACTHIC" localSheetId="51" hidden="1">'[3]FC Page 1'!#REF!</definedName>
    <definedName name="__123Graph_XACTHIC" localSheetId="60" hidden="1">'[3]FC Page 1'!#REF!</definedName>
    <definedName name="__123Graph_XACTHIC" localSheetId="50" hidden="1">'[3]FC Page 1'!#REF!</definedName>
    <definedName name="__123Graph_XACTHIC" localSheetId="58" hidden="1">'[3]FC Page 1'!#REF!</definedName>
    <definedName name="__123Graph_XACTHIC" localSheetId="22" hidden="1">'[3]FC Page 1'!#REF!</definedName>
    <definedName name="__123Graph_XACTHIC" localSheetId="24" hidden="1">'[3]FC Page 1'!#REF!</definedName>
    <definedName name="__123Graph_XACTHIC" localSheetId="23" hidden="1">'[3]FC Page 1'!#REF!</definedName>
    <definedName name="__123Graph_XACTHIC" localSheetId="17" hidden="1">'[3]FC Page 1'!#REF!</definedName>
    <definedName name="__123Graph_XACTHIC" localSheetId="27" hidden="1">'[3]FC Page 1'!#REF!</definedName>
    <definedName name="__123Graph_XACTHIC" localSheetId="45" hidden="1">'[3]FC Page 1'!#REF!</definedName>
    <definedName name="__123Graph_XACTHIC" localSheetId="41" hidden="1">'[3]FC Page 1'!#REF!</definedName>
    <definedName name="__123Graph_XACTHIC" hidden="1">'[3]FC Page 1'!#REF!</definedName>
    <definedName name="__123Graph_XCHGSPD1" hidden="1">[2]CHGSPD19.FIN!$A$10:$A$25</definedName>
    <definedName name="__123Graph_XCHGSPD2" hidden="1">[2]CHGSPD19.FIN!$A$11:$A$25</definedName>
    <definedName name="__123Graph_XEFF" localSheetId="25" hidden="1">'[3]T3 Page 1'!#REF!</definedName>
    <definedName name="__123Graph_XEFF" localSheetId="26" hidden="1">'[3]T3 Page 1'!#REF!</definedName>
    <definedName name="__123Graph_XEFF" localSheetId="51" hidden="1">'[3]T3 Page 1'!#REF!</definedName>
    <definedName name="__123Graph_XEFF" localSheetId="60" hidden="1">'[3]T3 Page 1'!#REF!</definedName>
    <definedName name="__123Graph_XEFF" localSheetId="50" hidden="1">'[3]T3 Page 1'!#REF!</definedName>
    <definedName name="__123Graph_XEFF" localSheetId="58" hidden="1">'[3]T3 Page 1'!#REF!</definedName>
    <definedName name="__123Graph_XEFF" localSheetId="22" hidden="1">'[3]T3 Page 1'!#REF!</definedName>
    <definedName name="__123Graph_XEFF" localSheetId="24" hidden="1">'[3]T3 Page 1'!#REF!</definedName>
    <definedName name="__123Graph_XEFF" localSheetId="23" hidden="1">'[3]T3 Page 1'!#REF!</definedName>
    <definedName name="__123Graph_XEFF" localSheetId="17" hidden="1">'[3]T3 Page 1'!#REF!</definedName>
    <definedName name="__123Graph_XEFF" localSheetId="27" hidden="1">'[3]T3 Page 1'!#REF!</definedName>
    <definedName name="__123Graph_XEFF" localSheetId="45" hidden="1">'[3]T3 Page 1'!#REF!</definedName>
    <definedName name="__123Graph_XEFF" localSheetId="41" hidden="1">'[3]T3 Page 1'!#REF!</definedName>
    <definedName name="__123Graph_XEFF" hidden="1">'[3]T3 Page 1'!#REF!</definedName>
    <definedName name="__123Graph_XGR14PBF1" hidden="1">'[4]HIS19FIN(A)'!$AL$70:$AL$81</definedName>
    <definedName name="__123Graph_XLBF" localSheetId="25" hidden="1">'[3]T3 Page 1'!#REF!</definedName>
    <definedName name="__123Graph_XLBF" localSheetId="26" hidden="1">'[3]T3 Page 1'!#REF!</definedName>
    <definedName name="__123Graph_XLBF" localSheetId="51" hidden="1">'[3]T3 Page 1'!#REF!</definedName>
    <definedName name="__123Graph_XLBF" localSheetId="60" hidden="1">'[3]T3 Page 1'!#REF!</definedName>
    <definedName name="__123Graph_XLBF" localSheetId="50" hidden="1">'[3]T3 Page 1'!#REF!</definedName>
    <definedName name="__123Graph_XLBF" localSheetId="58" hidden="1">'[3]T3 Page 1'!#REF!</definedName>
    <definedName name="__123Graph_XLBF" localSheetId="22" hidden="1">'[3]T3 Page 1'!#REF!</definedName>
    <definedName name="__123Graph_XLBF" localSheetId="24" hidden="1">'[3]T3 Page 1'!#REF!</definedName>
    <definedName name="__123Graph_XLBF" localSheetId="23" hidden="1">'[3]T3 Page 1'!#REF!</definedName>
    <definedName name="__123Graph_XLBF" localSheetId="17" hidden="1">'[3]T3 Page 1'!#REF!</definedName>
    <definedName name="__123Graph_XLBF" localSheetId="27" hidden="1">'[3]T3 Page 1'!#REF!</definedName>
    <definedName name="__123Graph_XLBF" localSheetId="45" hidden="1">'[3]T3 Page 1'!#REF!</definedName>
    <definedName name="__123Graph_XLBF" localSheetId="41" hidden="1">'[3]T3 Page 1'!#REF!</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DNUMBERS" hidden="1">'[5]SUMMARY TABLE'!$Q$6:$Q$49</definedName>
    <definedName name="__123Graph_XPDTRENDS" hidden="1">'[5]SUMMARY TABLE'!$P$23:$P$46</definedName>
    <definedName name="__123Graph_XPIC" localSheetId="25" hidden="1">'[3]T3 Page 1'!#REF!</definedName>
    <definedName name="__123Graph_XPIC" localSheetId="26" hidden="1">'[3]T3 Page 1'!#REF!</definedName>
    <definedName name="__123Graph_XPIC" localSheetId="51" hidden="1">'[3]T3 Page 1'!#REF!</definedName>
    <definedName name="__123Graph_XPIC" localSheetId="60" hidden="1">'[3]T3 Page 1'!#REF!</definedName>
    <definedName name="__123Graph_XPIC" localSheetId="50" hidden="1">'[3]T3 Page 1'!#REF!</definedName>
    <definedName name="__123Graph_XPIC" localSheetId="58" hidden="1">'[3]T3 Page 1'!#REF!</definedName>
    <definedName name="__123Graph_XPIC" localSheetId="22" hidden="1">'[3]T3 Page 1'!#REF!</definedName>
    <definedName name="__123Graph_XPIC" localSheetId="24" hidden="1">'[3]T3 Page 1'!#REF!</definedName>
    <definedName name="__123Graph_XPIC" localSheetId="23" hidden="1">'[3]T3 Page 1'!#REF!</definedName>
    <definedName name="__123Graph_XPIC" localSheetId="17" hidden="1">'[3]T3 Page 1'!#REF!</definedName>
    <definedName name="__123Graph_XPIC" localSheetId="27" hidden="1">'[3]T3 Page 1'!#REF!</definedName>
    <definedName name="__123Graph_XPIC" localSheetId="45" hidden="1">'[3]T3 Page 1'!#REF!</definedName>
    <definedName name="__123Graph_XPIC" localSheetId="41" hidden="1">'[3]T3 Page 1'!#REF!</definedName>
    <definedName name="__123Graph_XPIC" hidden="1">'[3]T3 Page 1'!#REF!</definedName>
    <definedName name="_1_0__123Grap" localSheetId="14" hidden="1">#REF!</definedName>
    <definedName name="_1_0__123Grap" localSheetId="15" hidden="1">#REF!</definedName>
    <definedName name="_1_0__123Grap" localSheetId="25" hidden="1">#REF!</definedName>
    <definedName name="_1_0__123Grap" localSheetId="26" hidden="1">#REF!</definedName>
    <definedName name="_1_0__123Grap" localSheetId="51" hidden="1">#REF!</definedName>
    <definedName name="_1_0__123Grap" localSheetId="60" hidden="1">#REF!</definedName>
    <definedName name="_1_0__123Grap" localSheetId="50" hidden="1">#REF!</definedName>
    <definedName name="_1_0__123Grap" localSheetId="58" hidden="1">#REF!</definedName>
    <definedName name="_1_0__123Grap" localSheetId="61" hidden="1">#REF!</definedName>
    <definedName name="_1_0__123Grap" localSheetId="19" hidden="1">#REF!</definedName>
    <definedName name="_1_0__123Grap" localSheetId="16" hidden="1">#REF!</definedName>
    <definedName name="_1_0__123Grap" localSheetId="18" hidden="1">#REF!</definedName>
    <definedName name="_1_0__123Grap" localSheetId="20" hidden="1">#REF!</definedName>
    <definedName name="_1_0__123Grap" localSheetId="22" hidden="1">#REF!</definedName>
    <definedName name="_1_0__123Grap" localSheetId="24" hidden="1">#REF!</definedName>
    <definedName name="_1_0__123Grap" localSheetId="23" hidden="1">#REF!</definedName>
    <definedName name="_1_0__123Grap" localSheetId="17" hidden="1">#REF!</definedName>
    <definedName name="_1_0__123Grap" localSheetId="27" hidden="1">#REF!</definedName>
    <definedName name="_1_0__123Grap" localSheetId="21" hidden="1">#REF!</definedName>
    <definedName name="_1_0__123Grap" localSheetId="45" hidden="1">#REF!</definedName>
    <definedName name="_1_0__123Grap" localSheetId="46" hidden="1">#REF!</definedName>
    <definedName name="_1_0__123Grap" localSheetId="38" hidden="1">#REF!</definedName>
    <definedName name="_1_0__123Grap" localSheetId="41" hidden="1">#REF!</definedName>
    <definedName name="_1_0__123Grap" localSheetId="39" hidden="1">#REF!</definedName>
    <definedName name="_1_0__123Grap" localSheetId="35" hidden="1">#REF!</definedName>
    <definedName name="_1_0__123Grap" localSheetId="40" hidden="1">#REF!</definedName>
    <definedName name="_1_0__123Grap" hidden="1">#REF!</definedName>
    <definedName name="_10_0__123Grap" localSheetId="14" hidden="1">#REF!</definedName>
    <definedName name="_10_0__123Grap" localSheetId="15" hidden="1">#REF!</definedName>
    <definedName name="_10_0__123Grap" localSheetId="25" hidden="1">#REF!</definedName>
    <definedName name="_10_0__123Grap" localSheetId="26" hidden="1">#REF!</definedName>
    <definedName name="_10_0__123Grap" localSheetId="51" hidden="1">#REF!</definedName>
    <definedName name="_10_0__123Grap" localSheetId="60" hidden="1">#REF!</definedName>
    <definedName name="_10_0__123Grap" localSheetId="50" hidden="1">#REF!</definedName>
    <definedName name="_10_0__123Grap" localSheetId="58" hidden="1">#REF!</definedName>
    <definedName name="_10_0__123Grap" localSheetId="61" hidden="1">#REF!</definedName>
    <definedName name="_10_0__123Grap" localSheetId="19" hidden="1">#REF!</definedName>
    <definedName name="_10_0__123Grap" localSheetId="16" hidden="1">#REF!</definedName>
    <definedName name="_10_0__123Grap" localSheetId="20" hidden="1">#REF!</definedName>
    <definedName name="_10_0__123Grap" localSheetId="22" hidden="1">#REF!</definedName>
    <definedName name="_10_0__123Grap" localSheetId="24" hidden="1">#REF!</definedName>
    <definedName name="_10_0__123Grap" localSheetId="23" hidden="1">#REF!</definedName>
    <definedName name="_10_0__123Grap" localSheetId="17" hidden="1">#REF!</definedName>
    <definedName name="_10_0__123Grap" localSheetId="27" hidden="1">#REF!</definedName>
    <definedName name="_10_0__123Grap" localSheetId="45" hidden="1">#REF!</definedName>
    <definedName name="_10_0__123Grap" localSheetId="46" hidden="1">#REF!</definedName>
    <definedName name="_10_0__123Grap" localSheetId="41" hidden="1">#REF!</definedName>
    <definedName name="_10_0__123Grap" localSheetId="39" hidden="1">#REF!</definedName>
    <definedName name="_10_0__123Grap" localSheetId="35" hidden="1">#REF!</definedName>
    <definedName name="_10_0__123Grap" hidden="1">#REF!</definedName>
    <definedName name="_11_123_Grap" localSheetId="46" hidden="1">'[7]Table 5.6'!#REF!</definedName>
    <definedName name="_11_123_Grap" hidden="1">'[7]Table 5.6'!#REF!</definedName>
    <definedName name="_11_123Grap" localSheetId="14" hidden="1">'[7]Table 5.6'!#REF!</definedName>
    <definedName name="_11_123Grap" localSheetId="15" hidden="1">'[7]Table 5.6'!#REF!</definedName>
    <definedName name="_11_123Grap" localSheetId="25" hidden="1">'[7]Table 5.6'!#REF!</definedName>
    <definedName name="_11_123Grap" localSheetId="26" hidden="1">'[7]Table 5.6'!#REF!</definedName>
    <definedName name="_11_123Grap" localSheetId="51" hidden="1">'[7]Table 5.6'!#REF!</definedName>
    <definedName name="_11_123Grap" localSheetId="60" hidden="1">'[7]Table 5.6'!#REF!</definedName>
    <definedName name="_11_123Grap" localSheetId="50" hidden="1">'[7]Table 5.6'!#REF!</definedName>
    <definedName name="_11_123Grap" localSheetId="58" hidden="1">'[7]Table 5.6'!#REF!</definedName>
    <definedName name="_11_123Grap" localSheetId="61" hidden="1">'[7]Table 5.6'!#REF!</definedName>
    <definedName name="_11_123Grap" localSheetId="19" hidden="1">'[7]Table 5.6'!#REF!</definedName>
    <definedName name="_11_123Grap" localSheetId="16" hidden="1">'[7]Table 5.6'!#REF!</definedName>
    <definedName name="_11_123Grap" localSheetId="20" hidden="1">'[7]Table 5.6'!#REF!</definedName>
    <definedName name="_11_123Grap" localSheetId="22" hidden="1">'[7]Table 5.6'!#REF!</definedName>
    <definedName name="_11_123Grap" localSheetId="24" hidden="1">'[7]Table 5.6'!#REF!</definedName>
    <definedName name="_11_123Grap" localSheetId="23" hidden="1">'[7]Table 5.6'!#REF!</definedName>
    <definedName name="_11_123Grap" localSheetId="17" hidden="1">'[7]Table 5.6'!#REF!</definedName>
    <definedName name="_11_123Grap" localSheetId="27" hidden="1">'[7]Table 5.6'!#REF!</definedName>
    <definedName name="_11_123Grap" localSheetId="45" hidden="1">'[7]Table 5.6'!#REF!</definedName>
    <definedName name="_11_123Grap" localSheetId="41" hidden="1">'[7]Table 5.6'!#REF!</definedName>
    <definedName name="_11_123Grap" localSheetId="35" hidden="1">'[7]Table 5.6'!#REF!</definedName>
    <definedName name="_11_123Grap" hidden="1">'[7]Table 5.6'!#REF!</definedName>
    <definedName name="_123_Graph_B" hidden="1">'[6]Table 1'!#REF!</definedName>
    <definedName name="_123_Grpah_C" hidden="1">'[6]Table 1'!#REF!</definedName>
    <definedName name="_13S" localSheetId="25" hidden="1">'[7]Table 5.6'!#REF!</definedName>
    <definedName name="_13S" localSheetId="26" hidden="1">'[7]Table 5.6'!#REF!</definedName>
    <definedName name="_13S" localSheetId="51" hidden="1">'[7]Table 5.6'!#REF!</definedName>
    <definedName name="_13S" localSheetId="60" hidden="1">'[7]Table 5.6'!#REF!</definedName>
    <definedName name="_13S" localSheetId="50" hidden="1">'[7]Table 5.6'!#REF!</definedName>
    <definedName name="_13S" localSheetId="58" hidden="1">'[7]Table 5.6'!#REF!</definedName>
    <definedName name="_13S" localSheetId="61" hidden="1">'[7]Table 5.6'!#REF!</definedName>
    <definedName name="_13S" localSheetId="19" hidden="1">'[7]Table 5.6'!#REF!</definedName>
    <definedName name="_13S" localSheetId="20" hidden="1">'[7]Table 5.6'!#REF!</definedName>
    <definedName name="_13S" localSheetId="22" hidden="1">'[7]Table 5.6'!#REF!</definedName>
    <definedName name="_13S" localSheetId="24" hidden="1">'[7]Table 5.6'!#REF!</definedName>
    <definedName name="_13S" localSheetId="23" hidden="1">'[7]Table 5.6'!#REF!</definedName>
    <definedName name="_13S" localSheetId="17" hidden="1">'[7]Table 5.6'!#REF!</definedName>
    <definedName name="_13S" localSheetId="27" hidden="1">'[7]Table 5.6'!#REF!</definedName>
    <definedName name="_13S" localSheetId="45" hidden="1">'[7]Table 5.6'!#REF!</definedName>
    <definedName name="_13S" localSheetId="41" hidden="1">'[7]Table 5.6'!#REF!</definedName>
    <definedName name="_13S" hidden="1">'[7]Table 5.6'!#REF!</definedName>
    <definedName name="_15_0_S" localSheetId="14" hidden="1">#REF!</definedName>
    <definedName name="_15_0_S" localSheetId="15" hidden="1">#REF!</definedName>
    <definedName name="_15_0_S" localSheetId="25" hidden="1">#REF!</definedName>
    <definedName name="_15_0_S" localSheetId="26" hidden="1">#REF!</definedName>
    <definedName name="_15_0_S" localSheetId="51" hidden="1">#REF!</definedName>
    <definedName name="_15_0_S" localSheetId="60" hidden="1">#REF!</definedName>
    <definedName name="_15_0_S" localSheetId="50" hidden="1">#REF!</definedName>
    <definedName name="_15_0_S" localSheetId="58" hidden="1">#REF!</definedName>
    <definedName name="_15_0_S" localSheetId="61" hidden="1">#REF!</definedName>
    <definedName name="_15_0_S" localSheetId="19" hidden="1">#REF!</definedName>
    <definedName name="_15_0_S" localSheetId="16" hidden="1">#REF!</definedName>
    <definedName name="_15_0_S" localSheetId="18" hidden="1">#REF!</definedName>
    <definedName name="_15_0_S" localSheetId="20" hidden="1">#REF!</definedName>
    <definedName name="_15_0_S" localSheetId="22" hidden="1">#REF!</definedName>
    <definedName name="_15_0_S" localSheetId="24" hidden="1">#REF!</definedName>
    <definedName name="_15_0_S" localSheetId="23" hidden="1">#REF!</definedName>
    <definedName name="_15_0_S" localSheetId="17" hidden="1">#REF!</definedName>
    <definedName name="_15_0_S" localSheetId="27" hidden="1">#REF!</definedName>
    <definedName name="_15_0_S" localSheetId="21" hidden="1">#REF!</definedName>
    <definedName name="_15_0_S" localSheetId="45" hidden="1">#REF!</definedName>
    <definedName name="_15_0_S" localSheetId="46" hidden="1">#REF!</definedName>
    <definedName name="_15_0_S" localSheetId="38" hidden="1">#REF!</definedName>
    <definedName name="_15_0_S" localSheetId="41" hidden="1">#REF!</definedName>
    <definedName name="_15_0_S" localSheetId="39" hidden="1">#REF!</definedName>
    <definedName name="_15_0_S" localSheetId="35" hidden="1">#REF!</definedName>
    <definedName name="_15_0_S" localSheetId="40" hidden="1">#REF!</definedName>
    <definedName name="_15_0_S" hidden="1">#REF!</definedName>
    <definedName name="_15_O_S_" localSheetId="46" hidden="1">#REF!</definedName>
    <definedName name="_15_O_S_" hidden="1">#REF!</definedName>
    <definedName name="_19_0__123Grap" localSheetId="15" hidden="1">#REF!</definedName>
    <definedName name="_19_0__123Grap" localSheetId="25" hidden="1">#REF!</definedName>
    <definedName name="_19_0__123Grap" localSheetId="26" hidden="1">#REF!</definedName>
    <definedName name="_19_0__123Grap" localSheetId="51" hidden="1">#REF!</definedName>
    <definedName name="_19_0__123Grap" localSheetId="60" hidden="1">#REF!</definedName>
    <definedName name="_19_0__123Grap" localSheetId="50" hidden="1">#REF!</definedName>
    <definedName name="_19_0__123Grap" localSheetId="58" hidden="1">#REF!</definedName>
    <definedName name="_19_0__123Grap" localSheetId="61" hidden="1">#REF!</definedName>
    <definedName name="_19_0__123Grap" localSheetId="19" hidden="1">#REF!</definedName>
    <definedName name="_19_0__123Grap" localSheetId="16" hidden="1">#REF!</definedName>
    <definedName name="_19_0__123Grap" localSheetId="20" hidden="1">#REF!</definedName>
    <definedName name="_19_0__123Grap" localSheetId="22" hidden="1">#REF!</definedName>
    <definedName name="_19_0__123Grap" localSheetId="24" hidden="1">#REF!</definedName>
    <definedName name="_19_0__123Grap" localSheetId="23" hidden="1">#REF!</definedName>
    <definedName name="_19_0__123Grap" localSheetId="17" hidden="1">#REF!</definedName>
    <definedName name="_19_0__123Grap" localSheetId="27" hidden="1">#REF!</definedName>
    <definedName name="_19_0__123Grap" localSheetId="45" hidden="1">#REF!</definedName>
    <definedName name="_19_0__123Grap" localSheetId="46" hidden="1">#REF!</definedName>
    <definedName name="_19_0__123Grap" localSheetId="41" hidden="1">#REF!</definedName>
    <definedName name="_19_0__123Grap" localSheetId="39" hidden="1">#REF!</definedName>
    <definedName name="_19_0__123Grap" hidden="1">#REF!</definedName>
    <definedName name="_19_0_123Grap" localSheetId="46" hidden="1">#REF!</definedName>
    <definedName name="_19_0_123Grap" hidden="1">#REF!</definedName>
    <definedName name="_2_0__123Grap" localSheetId="15" hidden="1">#REF!</definedName>
    <definedName name="_2_0__123Grap" localSheetId="25" hidden="1">#REF!</definedName>
    <definedName name="_2_0__123Grap" localSheetId="26" hidden="1">#REF!</definedName>
    <definedName name="_2_0__123Grap" localSheetId="51" hidden="1">#REF!</definedName>
    <definedName name="_2_0__123Grap" localSheetId="60" hidden="1">#REF!</definedName>
    <definedName name="_2_0__123Grap" localSheetId="50" hidden="1">#REF!</definedName>
    <definedName name="_2_0__123Grap" localSheetId="58" hidden="1">#REF!</definedName>
    <definedName name="_2_0__123Grap" localSheetId="61" hidden="1">#REF!</definedName>
    <definedName name="_2_0__123Grap" localSheetId="19" hidden="1">#REF!</definedName>
    <definedName name="_2_0__123Grap" localSheetId="16" hidden="1">#REF!</definedName>
    <definedName name="_2_0__123Grap" localSheetId="20" hidden="1">#REF!</definedName>
    <definedName name="_2_0__123Grap" localSheetId="22" hidden="1">#REF!</definedName>
    <definedName name="_2_0__123Grap" localSheetId="24" hidden="1">#REF!</definedName>
    <definedName name="_2_0__123Grap" localSheetId="23" hidden="1">#REF!</definedName>
    <definedName name="_2_0__123Grap" localSheetId="17" hidden="1">#REF!</definedName>
    <definedName name="_2_0__123Grap" localSheetId="27" hidden="1">#REF!</definedName>
    <definedName name="_2_0__123Grap" localSheetId="45" hidden="1">#REF!</definedName>
    <definedName name="_2_0__123Grap" localSheetId="46" hidden="1">#REF!</definedName>
    <definedName name="_2_0__123Grap" localSheetId="41" hidden="1">#REF!</definedName>
    <definedName name="_2_0__123Grap" localSheetId="39" hidden="1">#REF!</definedName>
    <definedName name="_2_0__123Grap" hidden="1">#REF!</definedName>
    <definedName name="_2_123_Grap" localSheetId="46" hidden="1">'[7]Table 5.6'!#REF!</definedName>
    <definedName name="_2_123_Grap" hidden="1">'[7]Table 5.6'!#REF!</definedName>
    <definedName name="_2_123Grap" localSheetId="15" hidden="1">'[7]Table 5.6'!#REF!</definedName>
    <definedName name="_2_123Grap" localSheetId="25" hidden="1">'[7]Table 5.6'!#REF!</definedName>
    <definedName name="_2_123Grap" localSheetId="26" hidden="1">'[7]Table 5.6'!#REF!</definedName>
    <definedName name="_2_123Grap" localSheetId="51" hidden="1">'[7]Table 5.6'!#REF!</definedName>
    <definedName name="_2_123Grap" localSheetId="60" hidden="1">'[7]Table 5.6'!#REF!</definedName>
    <definedName name="_2_123Grap" localSheetId="50" hidden="1">'[7]Table 5.6'!#REF!</definedName>
    <definedName name="_2_123Grap" localSheetId="58" hidden="1">'[7]Table 5.6'!#REF!</definedName>
    <definedName name="_2_123Grap" localSheetId="61" hidden="1">'[7]Table 5.6'!#REF!</definedName>
    <definedName name="_2_123Grap" localSheetId="19" hidden="1">'[7]Table 5.6'!#REF!</definedName>
    <definedName name="_2_123Grap" localSheetId="16" hidden="1">'[7]Table 5.6'!#REF!</definedName>
    <definedName name="_2_123Grap" localSheetId="20" hidden="1">'[7]Table 5.6'!#REF!</definedName>
    <definedName name="_2_123Grap" localSheetId="22" hidden="1">'[7]Table 5.6'!#REF!</definedName>
    <definedName name="_2_123Grap" localSheetId="24" hidden="1">'[7]Table 5.6'!#REF!</definedName>
    <definedName name="_2_123Grap" localSheetId="23" hidden="1">'[7]Table 5.6'!#REF!</definedName>
    <definedName name="_2_123Grap" localSheetId="17" hidden="1">'[7]Table 5.6'!#REF!</definedName>
    <definedName name="_2_123Grap" localSheetId="27" hidden="1">'[7]Table 5.6'!#REF!</definedName>
    <definedName name="_2_123Grap" localSheetId="45" hidden="1">'[7]Table 5.6'!#REF!</definedName>
    <definedName name="_2_123Grap" localSheetId="41" hidden="1">'[7]Table 5.6'!#REF!</definedName>
    <definedName name="_2_123Grap" localSheetId="39" hidden="1">'[7]Table 5.6'!#REF!</definedName>
    <definedName name="_2_123Grap" hidden="1">'[7]Table 5.6'!#REF!</definedName>
    <definedName name="_20_0__123Grap" localSheetId="14" hidden="1">#REF!</definedName>
    <definedName name="_20_0__123Grap" localSheetId="15" hidden="1">#REF!</definedName>
    <definedName name="_20_0__123Grap" localSheetId="25" hidden="1">#REF!</definedName>
    <definedName name="_20_0__123Grap" localSheetId="26" hidden="1">#REF!</definedName>
    <definedName name="_20_0__123Grap" localSheetId="51" hidden="1">#REF!</definedName>
    <definedName name="_20_0__123Grap" localSheetId="60" hidden="1">#REF!</definedName>
    <definedName name="_20_0__123Grap" localSheetId="50" hidden="1">#REF!</definedName>
    <definedName name="_20_0__123Grap" localSheetId="58" hidden="1">#REF!</definedName>
    <definedName name="_20_0__123Grap" localSheetId="61" hidden="1">#REF!</definedName>
    <definedName name="_20_0__123Grap" localSheetId="19" hidden="1">#REF!</definedName>
    <definedName name="_20_0__123Grap" localSheetId="16" hidden="1">#REF!</definedName>
    <definedName name="_20_0__123Grap" localSheetId="18" hidden="1">#REF!</definedName>
    <definedName name="_20_0__123Grap" localSheetId="20" hidden="1">#REF!</definedName>
    <definedName name="_20_0__123Grap" localSheetId="22" hidden="1">#REF!</definedName>
    <definedName name="_20_0__123Grap" localSheetId="24" hidden="1">#REF!</definedName>
    <definedName name="_20_0__123Grap" localSheetId="23" hidden="1">#REF!</definedName>
    <definedName name="_20_0__123Grap" localSheetId="17" hidden="1">#REF!</definedName>
    <definedName name="_20_0__123Grap" localSheetId="27" hidden="1">#REF!</definedName>
    <definedName name="_20_0__123Grap" localSheetId="21" hidden="1">#REF!</definedName>
    <definedName name="_20_0__123Grap" localSheetId="45" hidden="1">#REF!</definedName>
    <definedName name="_20_0__123Grap" localSheetId="46" hidden="1">#REF!</definedName>
    <definedName name="_20_0__123Grap" localSheetId="38" hidden="1">#REF!</definedName>
    <definedName name="_20_0__123Grap" localSheetId="41" hidden="1">#REF!</definedName>
    <definedName name="_20_0__123Grap" localSheetId="39" hidden="1">#REF!</definedName>
    <definedName name="_20_0__123Grap" localSheetId="35" hidden="1">#REF!</definedName>
    <definedName name="_20_0__123Grap" localSheetId="40" hidden="1">#REF!</definedName>
    <definedName name="_20_0__123Grap" hidden="1">#REF!</definedName>
    <definedName name="_26_0_S" localSheetId="15" hidden="1">#REF!</definedName>
    <definedName name="_26_0_S" localSheetId="25" hidden="1">#REF!</definedName>
    <definedName name="_26_0_S" localSheetId="26" hidden="1">#REF!</definedName>
    <definedName name="_26_0_S" localSheetId="51" hidden="1">#REF!</definedName>
    <definedName name="_26_0_S" localSheetId="60" hidden="1">#REF!</definedName>
    <definedName name="_26_0_S" localSheetId="50" hidden="1">#REF!</definedName>
    <definedName name="_26_0_S" localSheetId="58" hidden="1">#REF!</definedName>
    <definedName name="_26_0_S" localSheetId="61" hidden="1">#REF!</definedName>
    <definedName name="_26_0_S" localSheetId="19" hidden="1">#REF!</definedName>
    <definedName name="_26_0_S" localSheetId="16" hidden="1">#REF!</definedName>
    <definedName name="_26_0_S" localSheetId="20" hidden="1">#REF!</definedName>
    <definedName name="_26_0_S" localSheetId="22" hidden="1">#REF!</definedName>
    <definedName name="_26_0_S" localSheetId="24" hidden="1">#REF!</definedName>
    <definedName name="_26_0_S" localSheetId="23" hidden="1">#REF!</definedName>
    <definedName name="_26_0_S" localSheetId="17" hidden="1">#REF!</definedName>
    <definedName name="_26_0_S" localSheetId="27" hidden="1">#REF!</definedName>
    <definedName name="_26_0_S" localSheetId="45" hidden="1">#REF!</definedName>
    <definedName name="_26_0_S" localSheetId="46" hidden="1">#REF!</definedName>
    <definedName name="_26_0_S" localSheetId="41" hidden="1">#REF!</definedName>
    <definedName name="_26_0_S" localSheetId="39" hidden="1">#REF!</definedName>
    <definedName name="_26_0_S" hidden="1">#REF!</definedName>
    <definedName name="_27_0_S" localSheetId="15" hidden="1">#REF!</definedName>
    <definedName name="_27_0_S" localSheetId="25" hidden="1">#REF!</definedName>
    <definedName name="_27_0_S" localSheetId="26" hidden="1">#REF!</definedName>
    <definedName name="_27_0_S" localSheetId="51" hidden="1">#REF!</definedName>
    <definedName name="_27_0_S" localSheetId="60" hidden="1">#REF!</definedName>
    <definedName name="_27_0_S" localSheetId="50" hidden="1">#REF!</definedName>
    <definedName name="_27_0_S" localSheetId="58" hidden="1">#REF!</definedName>
    <definedName name="_27_0_S" localSheetId="61" hidden="1">#REF!</definedName>
    <definedName name="_27_0_S" localSheetId="19" hidden="1">#REF!</definedName>
    <definedName name="_27_0_S" localSheetId="16" hidden="1">#REF!</definedName>
    <definedName name="_27_0_S" localSheetId="20" hidden="1">#REF!</definedName>
    <definedName name="_27_0_S" localSheetId="22" hidden="1">#REF!</definedName>
    <definedName name="_27_0_S" localSheetId="24" hidden="1">#REF!</definedName>
    <definedName name="_27_0_S" localSheetId="23" hidden="1">#REF!</definedName>
    <definedName name="_27_0_S" localSheetId="17" hidden="1">#REF!</definedName>
    <definedName name="_27_0_S" localSheetId="27" hidden="1">#REF!</definedName>
    <definedName name="_27_0_S" localSheetId="45" hidden="1">#REF!</definedName>
    <definedName name="_27_0_S" localSheetId="46" hidden="1">#REF!</definedName>
    <definedName name="_27_0_S" localSheetId="41" hidden="1">#REF!</definedName>
    <definedName name="_27_0_S" localSheetId="39" hidden="1">#REF!</definedName>
    <definedName name="_27_0_S" hidden="1">#REF!</definedName>
    <definedName name="_3_0_S" localSheetId="15" hidden="1">#REF!</definedName>
    <definedName name="_3_0_S" localSheetId="25" hidden="1">#REF!</definedName>
    <definedName name="_3_0_S" localSheetId="26" hidden="1">#REF!</definedName>
    <definedName name="_3_0_S" localSheetId="51" hidden="1">#REF!</definedName>
    <definedName name="_3_0_S" localSheetId="60" hidden="1">#REF!</definedName>
    <definedName name="_3_0_S" localSheetId="50" hidden="1">#REF!</definedName>
    <definedName name="_3_0_S" localSheetId="58" hidden="1">#REF!</definedName>
    <definedName name="_3_0_S" localSheetId="61" hidden="1">#REF!</definedName>
    <definedName name="_3_0_S" localSheetId="19" hidden="1">#REF!</definedName>
    <definedName name="_3_0_S" localSheetId="16" hidden="1">#REF!</definedName>
    <definedName name="_3_0_S" localSheetId="20" hidden="1">#REF!</definedName>
    <definedName name="_3_0_S" localSheetId="22" hidden="1">#REF!</definedName>
    <definedName name="_3_0_S" localSheetId="24" hidden="1">#REF!</definedName>
    <definedName name="_3_0_S" localSheetId="23" hidden="1">#REF!</definedName>
    <definedName name="_3_0_S" localSheetId="17" hidden="1">#REF!</definedName>
    <definedName name="_3_0_S" localSheetId="27" hidden="1">#REF!</definedName>
    <definedName name="_3_0_S" localSheetId="45" hidden="1">#REF!</definedName>
    <definedName name="_3_0_S" localSheetId="46" hidden="1">#REF!</definedName>
    <definedName name="_3_0_S" localSheetId="41" hidden="1">#REF!</definedName>
    <definedName name="_3_0_S" localSheetId="39" hidden="1">#REF!</definedName>
    <definedName name="_3_0_S" hidden="1">#REF!</definedName>
    <definedName name="_5_0__123Grap" localSheetId="15" hidden="1">#REF!</definedName>
    <definedName name="_5_0__123Grap" localSheetId="25" hidden="1">#REF!</definedName>
    <definedName name="_5_0__123Grap" localSheetId="26" hidden="1">#REF!</definedName>
    <definedName name="_5_0__123Grap" localSheetId="51" hidden="1">#REF!</definedName>
    <definedName name="_5_0__123Grap" localSheetId="60" hidden="1">#REF!</definedName>
    <definedName name="_5_0__123Grap" localSheetId="50" hidden="1">#REF!</definedName>
    <definedName name="_5_0__123Grap" localSheetId="58" hidden="1">#REF!</definedName>
    <definedName name="_5_0__123Grap" localSheetId="61" hidden="1">#REF!</definedName>
    <definedName name="_5_0__123Grap" localSheetId="19" hidden="1">#REF!</definedName>
    <definedName name="_5_0__123Grap" localSheetId="16" hidden="1">#REF!</definedName>
    <definedName name="_5_0__123Grap" localSheetId="20" hidden="1">#REF!</definedName>
    <definedName name="_5_0__123Grap" localSheetId="22" hidden="1">#REF!</definedName>
    <definedName name="_5_0__123Grap" localSheetId="24" hidden="1">#REF!</definedName>
    <definedName name="_5_0__123Grap" localSheetId="23" hidden="1">#REF!</definedName>
    <definedName name="_5_0__123Grap" localSheetId="17" hidden="1">#REF!</definedName>
    <definedName name="_5_0__123Grap" localSheetId="27" hidden="1">#REF!</definedName>
    <definedName name="_5_0__123Grap" localSheetId="45" hidden="1">#REF!</definedName>
    <definedName name="_5_0__123Grap" localSheetId="46" hidden="1">#REF!</definedName>
    <definedName name="_5_0__123Grap" localSheetId="41" hidden="1">#REF!</definedName>
    <definedName name="_5_0__123Grap" localSheetId="39" hidden="1">#REF!</definedName>
    <definedName name="_5_0__123Grap" hidden="1">#REF!</definedName>
    <definedName name="_8_0__123Grap" localSheetId="15" hidden="1">#REF!</definedName>
    <definedName name="_8_0__123Grap" localSheetId="25" hidden="1">#REF!</definedName>
    <definedName name="_8_0__123Grap" localSheetId="26" hidden="1">#REF!</definedName>
    <definedName name="_8_0__123Grap" localSheetId="51" hidden="1">#REF!</definedName>
    <definedName name="_8_0__123Grap" localSheetId="60" hidden="1">#REF!</definedName>
    <definedName name="_8_0__123Grap" localSheetId="50" hidden="1">#REF!</definedName>
    <definedName name="_8_0__123Grap" localSheetId="58" hidden="1">#REF!</definedName>
    <definedName name="_8_0__123Grap" localSheetId="61" hidden="1">#REF!</definedName>
    <definedName name="_8_0__123Grap" localSheetId="19" hidden="1">#REF!</definedName>
    <definedName name="_8_0__123Grap" localSheetId="16" hidden="1">#REF!</definedName>
    <definedName name="_8_0__123Grap" localSheetId="20" hidden="1">#REF!</definedName>
    <definedName name="_8_0__123Grap" localSheetId="22" hidden="1">#REF!</definedName>
    <definedName name="_8_0__123Grap" localSheetId="24" hidden="1">#REF!</definedName>
    <definedName name="_8_0__123Grap" localSheetId="23" hidden="1">#REF!</definedName>
    <definedName name="_8_0__123Grap" localSheetId="17" hidden="1">#REF!</definedName>
    <definedName name="_8_0__123Grap" localSheetId="27" hidden="1">#REF!</definedName>
    <definedName name="_8_0__123Grap" localSheetId="45" hidden="1">#REF!</definedName>
    <definedName name="_8_0__123Grap" localSheetId="46" hidden="1">#REF!</definedName>
    <definedName name="_8_0__123Grap" localSheetId="41" hidden="1">#REF!</definedName>
    <definedName name="_8_0__123Grap" localSheetId="39" hidden="1">#REF!</definedName>
    <definedName name="_8_0__123Grap" hidden="1">#REF!</definedName>
    <definedName name="_9_0__123Grap" localSheetId="15" hidden="1">#REF!</definedName>
    <definedName name="_9_0__123Grap" localSheetId="25" hidden="1">#REF!</definedName>
    <definedName name="_9_0__123Grap" localSheetId="26" hidden="1">#REF!</definedName>
    <definedName name="_9_0__123Grap" localSheetId="51" hidden="1">#REF!</definedName>
    <definedName name="_9_0__123Grap" localSheetId="60" hidden="1">#REF!</definedName>
    <definedName name="_9_0__123Grap" localSheetId="50" hidden="1">#REF!</definedName>
    <definedName name="_9_0__123Grap" localSheetId="58" hidden="1">#REF!</definedName>
    <definedName name="_9_0__123Grap" localSheetId="61" hidden="1">#REF!</definedName>
    <definedName name="_9_0__123Grap" localSheetId="19" hidden="1">#REF!</definedName>
    <definedName name="_9_0__123Grap" localSheetId="16" hidden="1">#REF!</definedName>
    <definedName name="_9_0__123Grap" localSheetId="20" hidden="1">#REF!</definedName>
    <definedName name="_9_0__123Grap" localSheetId="22" hidden="1">#REF!</definedName>
    <definedName name="_9_0__123Grap" localSheetId="24" hidden="1">#REF!</definedName>
    <definedName name="_9_0__123Grap" localSheetId="23" hidden="1">#REF!</definedName>
    <definedName name="_9_0__123Grap" localSheetId="17" hidden="1">#REF!</definedName>
    <definedName name="_9_0__123Grap" localSheetId="27" hidden="1">#REF!</definedName>
    <definedName name="_9_0__123Grap" localSheetId="45" hidden="1">#REF!</definedName>
    <definedName name="_9_0__123Grap" localSheetId="46" hidden="1">#REF!</definedName>
    <definedName name="_9_0__123Grap" localSheetId="41" hidden="1">#REF!</definedName>
    <definedName name="_9_0__123Grap" localSheetId="39" hidden="1">#REF!</definedName>
    <definedName name="_9_0__123Grap" hidden="1">#REF!</definedName>
    <definedName name="_Key1" localSheetId="15" hidden="1">'[6]Table 1'!#REF!</definedName>
    <definedName name="_Key1" localSheetId="25" hidden="1">'[6]Table 1'!#REF!</definedName>
    <definedName name="_Key1" localSheetId="26" hidden="1">'[6]Table 1'!#REF!</definedName>
    <definedName name="_Key1" localSheetId="51" hidden="1">'[6]Table 1'!#REF!</definedName>
    <definedName name="_Key1" localSheetId="60" hidden="1">'[6]Table 1'!#REF!</definedName>
    <definedName name="_Key1" localSheetId="50" hidden="1">'[6]Table 1'!#REF!</definedName>
    <definedName name="_Key1" localSheetId="58" hidden="1">'[6]Table 1'!#REF!</definedName>
    <definedName name="_Key1" localSheetId="61" hidden="1">'[6]Table 1'!#REF!</definedName>
    <definedName name="_Key1" localSheetId="19" hidden="1">'[6]Table 1'!#REF!</definedName>
    <definedName name="_Key1" localSheetId="16" hidden="1">'[6]Table 1'!#REF!</definedName>
    <definedName name="_Key1" localSheetId="20" hidden="1">'[6]Table 1'!#REF!</definedName>
    <definedName name="_Key1" localSheetId="22" hidden="1">'[6]Table 1'!#REF!</definedName>
    <definedName name="_Key1" localSheetId="24" hidden="1">'[6]Table 1'!#REF!</definedName>
    <definedName name="_Key1" localSheetId="23" hidden="1">'[6]Table 1'!#REF!</definedName>
    <definedName name="_Key1" localSheetId="17" hidden="1">'[6]Table 1'!#REF!</definedName>
    <definedName name="_Key1" localSheetId="27" hidden="1">'[6]Table 1'!#REF!</definedName>
    <definedName name="_Key1" localSheetId="45" hidden="1">'[6]Table 1'!#REF!</definedName>
    <definedName name="_Key1" localSheetId="41" hidden="1">'[6]Table 1'!#REF!</definedName>
    <definedName name="_Key1" localSheetId="39" hidden="1">'[6]Table 1'!#REF!</definedName>
    <definedName name="_Key1" hidden="1">'[6]Table 1'!#REF!</definedName>
    <definedName name="_keyann" localSheetId="25" hidden="1">#REF!</definedName>
    <definedName name="_keyann" localSheetId="26" hidden="1">#REF!</definedName>
    <definedName name="_keyann" localSheetId="51" hidden="1">#REF!</definedName>
    <definedName name="_keyann" localSheetId="60" hidden="1">#REF!</definedName>
    <definedName name="_keyann" localSheetId="50" hidden="1">#REF!</definedName>
    <definedName name="_keyann" localSheetId="58" hidden="1">#REF!</definedName>
    <definedName name="_keyann" localSheetId="22" hidden="1">#REF!</definedName>
    <definedName name="_keyann" localSheetId="24" hidden="1">#REF!</definedName>
    <definedName name="_keyann" localSheetId="23" hidden="1">#REF!</definedName>
    <definedName name="_keyann" localSheetId="17" hidden="1">#REF!</definedName>
    <definedName name="_keyann" localSheetId="27" hidden="1">#REF!</definedName>
    <definedName name="_keyann" localSheetId="45" hidden="1">#REF!</definedName>
    <definedName name="_keyann" localSheetId="46" hidden="1">#REF!</definedName>
    <definedName name="_keyann" localSheetId="41" hidden="1">#REF!</definedName>
    <definedName name="_keyann" hidden="1">#REF!</definedName>
    <definedName name="_Order1" hidden="1">0</definedName>
    <definedName name="_Regression_Out" localSheetId="25" hidden="1">#REF!</definedName>
    <definedName name="_Regression_Out" localSheetId="26" hidden="1">#REF!</definedName>
    <definedName name="_Regression_Out" localSheetId="51" hidden="1">#REF!</definedName>
    <definedName name="_Regression_Out" localSheetId="60" hidden="1">#REF!</definedName>
    <definedName name="_Regression_Out" localSheetId="50" hidden="1">#REF!</definedName>
    <definedName name="_Regression_Out" localSheetId="58" hidden="1">#REF!</definedName>
    <definedName name="_Regression_Out" localSheetId="22" hidden="1">#REF!</definedName>
    <definedName name="_Regression_Out" localSheetId="24" hidden="1">#REF!</definedName>
    <definedName name="_Regression_Out" localSheetId="23" hidden="1">#REF!</definedName>
    <definedName name="_Regression_Out" localSheetId="17" hidden="1">#REF!</definedName>
    <definedName name="_Regression_Out" localSheetId="27" hidden="1">#REF!</definedName>
    <definedName name="_Regression_Out" localSheetId="45" hidden="1">#REF!</definedName>
    <definedName name="_Regression_Out" localSheetId="46" hidden="1">#REF!</definedName>
    <definedName name="_Regression_Out" localSheetId="41" hidden="1">#REF!</definedName>
    <definedName name="_Regression_Out" hidden="1">#REF!</definedName>
    <definedName name="_Regression_X" localSheetId="25" hidden="1">#REF!</definedName>
    <definedName name="_Regression_X" localSheetId="26" hidden="1">#REF!</definedName>
    <definedName name="_Regression_X" localSheetId="51" hidden="1">#REF!</definedName>
    <definedName name="_Regression_X" localSheetId="60" hidden="1">#REF!</definedName>
    <definedName name="_Regression_X" localSheetId="50" hidden="1">#REF!</definedName>
    <definedName name="_Regression_X" localSheetId="58" hidden="1">#REF!</definedName>
    <definedName name="_Regression_X" localSheetId="22" hidden="1">#REF!</definedName>
    <definedName name="_Regression_X" localSheetId="24" hidden="1">#REF!</definedName>
    <definedName name="_Regression_X" localSheetId="23" hidden="1">#REF!</definedName>
    <definedName name="_Regression_X" localSheetId="17" hidden="1">#REF!</definedName>
    <definedName name="_Regression_X" localSheetId="27" hidden="1">#REF!</definedName>
    <definedName name="_Regression_X" localSheetId="45" hidden="1">#REF!</definedName>
    <definedName name="_Regression_X" localSheetId="46" hidden="1">#REF!</definedName>
    <definedName name="_Regression_X" localSheetId="41" hidden="1">#REF!</definedName>
    <definedName name="_Regression_X" hidden="1">#REF!</definedName>
    <definedName name="_Regression_Y" localSheetId="25" hidden="1">#REF!</definedName>
    <definedName name="_Regression_Y" localSheetId="26" hidden="1">#REF!</definedName>
    <definedName name="_Regression_Y" localSheetId="51" hidden="1">#REF!</definedName>
    <definedName name="_Regression_Y" localSheetId="60" hidden="1">#REF!</definedName>
    <definedName name="_Regression_Y" localSheetId="50" hidden="1">#REF!</definedName>
    <definedName name="_Regression_Y" localSheetId="58" hidden="1">#REF!</definedName>
    <definedName name="_Regression_Y" localSheetId="22" hidden="1">#REF!</definedName>
    <definedName name="_Regression_Y" localSheetId="24" hidden="1">#REF!</definedName>
    <definedName name="_Regression_Y" localSheetId="23" hidden="1">#REF!</definedName>
    <definedName name="_Regression_Y" localSheetId="17" hidden="1">#REF!</definedName>
    <definedName name="_Regression_Y" localSheetId="27" hidden="1">#REF!</definedName>
    <definedName name="_Regression_Y" localSheetId="45" hidden="1">#REF!</definedName>
    <definedName name="_Regression_Y" localSheetId="46" hidden="1">#REF!</definedName>
    <definedName name="_Regression_Y" localSheetId="41" hidden="1">#REF!</definedName>
    <definedName name="_Regression_Y" hidden="1">#REF!</definedName>
    <definedName name="_Sort" localSheetId="15" hidden="1">'[6]Table 1'!#REF!</definedName>
    <definedName name="_Sort" localSheetId="25" hidden="1">'[6]Table 1'!#REF!</definedName>
    <definedName name="_Sort" localSheetId="26" hidden="1">'[6]Table 1'!#REF!</definedName>
    <definedName name="_Sort" localSheetId="51" hidden="1">'[6]Table 1'!#REF!</definedName>
    <definedName name="_Sort" localSheetId="60" hidden="1">'[6]Table 1'!#REF!</definedName>
    <definedName name="_Sort" localSheetId="50" hidden="1">'[6]Table 1'!#REF!</definedName>
    <definedName name="_Sort" localSheetId="58" hidden="1">'[6]Table 1'!#REF!</definedName>
    <definedName name="_Sort" localSheetId="61" hidden="1">'[6]Table 1'!#REF!</definedName>
    <definedName name="_Sort" localSheetId="19" hidden="1">'[6]Table 1'!#REF!</definedName>
    <definedName name="_Sort" localSheetId="16" hidden="1">'[6]Table 1'!#REF!</definedName>
    <definedName name="_Sort" localSheetId="20" hidden="1">'[6]Table 1'!#REF!</definedName>
    <definedName name="_Sort" localSheetId="22" hidden="1">'[6]Table 1'!#REF!</definedName>
    <definedName name="_Sort" localSheetId="24" hidden="1">'[6]Table 1'!#REF!</definedName>
    <definedName name="_Sort" localSheetId="23" hidden="1">'[6]Table 1'!#REF!</definedName>
    <definedName name="_Sort" localSheetId="17" hidden="1">'[6]Table 1'!#REF!</definedName>
    <definedName name="_Sort" localSheetId="27" hidden="1">'[6]Table 1'!#REF!</definedName>
    <definedName name="_Sort" localSheetId="45" hidden="1">'[6]Table 1'!#REF!</definedName>
    <definedName name="_Sort" localSheetId="41" hidden="1">'[6]Table 1'!#REF!</definedName>
    <definedName name="_Sort" hidden="1">'[6]Table 1'!#REF!</definedName>
    <definedName name="a" hidden="1">'[3]T3 Page 1'!#REF!</definedName>
    <definedName name="AFC">staff_costs!$A$4:$A$21</definedName>
    <definedName name="AFC_list">staff_costs!$A$4:$A$21</definedName>
    <definedName name="ann" localSheetId="25" hidden="1">#REF!</definedName>
    <definedName name="ann" localSheetId="26" hidden="1">#REF!</definedName>
    <definedName name="ann" localSheetId="51" hidden="1">#REF!</definedName>
    <definedName name="ann" localSheetId="60" hidden="1">#REF!</definedName>
    <definedName name="ann" localSheetId="50" hidden="1">#REF!</definedName>
    <definedName name="ann" localSheetId="58" hidden="1">#REF!</definedName>
    <definedName name="ann" localSheetId="22" hidden="1">#REF!</definedName>
    <definedName name="ann" localSheetId="24" hidden="1">#REF!</definedName>
    <definedName name="ann" localSheetId="23" hidden="1">#REF!</definedName>
    <definedName name="ann" localSheetId="17" hidden="1">#REF!</definedName>
    <definedName name="ann" localSheetId="27" hidden="1">#REF!</definedName>
    <definedName name="ann" localSheetId="45" hidden="1">#REF!</definedName>
    <definedName name="ann" localSheetId="46" hidden="1">#REF!</definedName>
    <definedName name="ann" localSheetId="41" hidden="1">#REF!</definedName>
    <definedName name="ann" hidden="1">#REF!</definedName>
    <definedName name="asdas" localSheetId="25" hidden="1">{#N/A,#N/A,FALSE,"TMCOMP96";#N/A,#N/A,FALSE,"MAT96";#N/A,#N/A,FALSE,"FANDA96";#N/A,#N/A,FALSE,"INTRAN96";#N/A,#N/A,FALSE,"NAA9697";#N/A,#N/A,FALSE,"ECWEBB";#N/A,#N/A,FALSE,"MFT96";#N/A,#N/A,FALSE,"CTrecon"}</definedName>
    <definedName name="asdas" localSheetId="26" hidden="1">{#N/A,#N/A,FALSE,"TMCOMP96";#N/A,#N/A,FALSE,"MAT96";#N/A,#N/A,FALSE,"FANDA96";#N/A,#N/A,FALSE,"INTRAN96";#N/A,#N/A,FALSE,"NAA9697";#N/A,#N/A,FALSE,"ECWEBB";#N/A,#N/A,FALSE,"MFT96";#N/A,#N/A,FALSE,"CTrecon"}</definedName>
    <definedName name="asdas" localSheetId="60" hidden="1">{#N/A,#N/A,FALSE,"TMCOMP96";#N/A,#N/A,FALSE,"MAT96";#N/A,#N/A,FALSE,"FANDA96";#N/A,#N/A,FALSE,"INTRAN96";#N/A,#N/A,FALSE,"NAA9697";#N/A,#N/A,FALSE,"ECWEBB";#N/A,#N/A,FALSE,"MFT96";#N/A,#N/A,FALSE,"CTrecon"}</definedName>
    <definedName name="asdas" localSheetId="58"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24" hidden="1">{#N/A,#N/A,FALSE,"TMCOMP96";#N/A,#N/A,FALSE,"MAT96";#N/A,#N/A,FALSE,"FANDA96";#N/A,#N/A,FALSE,"INTRAN96";#N/A,#N/A,FALSE,"NAA9697";#N/A,#N/A,FALSE,"ECWEBB";#N/A,#N/A,FALSE,"MFT96";#N/A,#N/A,FALSE,"CTrecon"}</definedName>
    <definedName name="asdas" localSheetId="23" hidden="1">{#N/A,#N/A,FALSE,"TMCOMP96";#N/A,#N/A,FALSE,"MAT96";#N/A,#N/A,FALSE,"FANDA96";#N/A,#N/A,FALSE,"INTRAN96";#N/A,#N/A,FALSE,"NAA9697";#N/A,#N/A,FALSE,"ECWEBB";#N/A,#N/A,FALSE,"MFT96";#N/A,#N/A,FALSE,"CTrecon"}</definedName>
    <definedName name="asdas" localSheetId="27" hidden="1">{#N/A,#N/A,FALSE,"TMCOMP96";#N/A,#N/A,FALSE,"MAT96";#N/A,#N/A,FALSE,"FANDA96";#N/A,#N/A,FALSE,"INTRAN96";#N/A,#N/A,FALSE,"NAA9697";#N/A,#N/A,FALSE,"ECWEBB";#N/A,#N/A,FALSE,"MFT96";#N/A,#N/A,FALSE,"CTrecon"}</definedName>
    <definedName name="asdas" localSheetId="45" hidden="1">{#N/A,#N/A,FALSE,"TMCOMP96";#N/A,#N/A,FALSE,"MAT96";#N/A,#N/A,FALSE,"FANDA96";#N/A,#N/A,FALSE,"INTRAN96";#N/A,#N/A,FALSE,"NAA9697";#N/A,#N/A,FALSE,"ECWEBB";#N/A,#N/A,FALSE,"MFT96";#N/A,#N/A,FALSE,"CTrecon"}</definedName>
    <definedName name="asdas" localSheetId="46" hidden="1">{#N/A,#N/A,FALSE,"TMCOMP96";#N/A,#N/A,FALSE,"MAT96";#N/A,#N/A,FALSE,"FANDA96";#N/A,#N/A,FALSE,"INTRAN96";#N/A,#N/A,FALSE,"NAA9697";#N/A,#N/A,FALSE,"ECWEBB";#N/A,#N/A,FALSE,"MFT96";#N/A,#N/A,FALSE,"CTrecon"}</definedName>
    <definedName name="asdas" localSheetId="41" hidden="1">{#N/A,#N/A,FALSE,"TMCOMP96";#N/A,#N/A,FALSE,"MAT96";#N/A,#N/A,FALSE,"FANDA96";#N/A,#N/A,FALSE,"INTRAN96";#N/A,#N/A,FALSE,"NAA9697";#N/A,#N/A,FALSE,"ECWEBB";#N/A,#N/A,FALSE,"MFT96";#N/A,#N/A,FALSE,"CTrecon"}</definedName>
    <definedName name="asdas" localSheetId="39"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25" hidden="1">{#N/A,#N/A,FALSE,"TMCOMP96";#N/A,#N/A,FALSE,"MAT96";#N/A,#N/A,FALSE,"FANDA96";#N/A,#N/A,FALSE,"INTRAN96";#N/A,#N/A,FALSE,"NAA9697";#N/A,#N/A,FALSE,"ECWEBB";#N/A,#N/A,FALSE,"MFT96";#N/A,#N/A,FALSE,"CTrecon"}</definedName>
    <definedName name="ASDASFD" localSheetId="26" hidden="1">{#N/A,#N/A,FALSE,"TMCOMP96";#N/A,#N/A,FALSE,"MAT96";#N/A,#N/A,FALSE,"FANDA96";#N/A,#N/A,FALSE,"INTRAN96";#N/A,#N/A,FALSE,"NAA9697";#N/A,#N/A,FALSE,"ECWEBB";#N/A,#N/A,FALSE,"MFT96";#N/A,#N/A,FALSE,"CTrecon"}</definedName>
    <definedName name="ASDASFD" localSheetId="60" hidden="1">{#N/A,#N/A,FALSE,"TMCOMP96";#N/A,#N/A,FALSE,"MAT96";#N/A,#N/A,FALSE,"FANDA96";#N/A,#N/A,FALSE,"INTRAN96";#N/A,#N/A,FALSE,"NAA9697";#N/A,#N/A,FALSE,"ECWEBB";#N/A,#N/A,FALSE,"MFT96";#N/A,#N/A,FALSE,"CTrecon"}</definedName>
    <definedName name="ASDASFD" localSheetId="58" hidden="1">{#N/A,#N/A,FALSE,"TMCOMP96";#N/A,#N/A,FALSE,"MAT96";#N/A,#N/A,FALSE,"FANDA96";#N/A,#N/A,FALSE,"INTRAN96";#N/A,#N/A,FALSE,"NAA9697";#N/A,#N/A,FALSE,"ECWEBB";#N/A,#N/A,FALSE,"MFT96";#N/A,#N/A,FALSE,"CTrecon"}</definedName>
    <definedName name="ASDASFD" localSheetId="19" hidden="1">{#N/A,#N/A,FALSE,"TMCOMP96";#N/A,#N/A,FALSE,"MAT96";#N/A,#N/A,FALSE,"FANDA96";#N/A,#N/A,FALSE,"INTRAN96";#N/A,#N/A,FALSE,"NAA9697";#N/A,#N/A,FALSE,"ECWEBB";#N/A,#N/A,FALSE,"MFT96";#N/A,#N/A,FALSE,"CTrecon"}</definedName>
    <definedName name="ASDASFD" localSheetId="22" hidden="1">{#N/A,#N/A,FALSE,"TMCOMP96";#N/A,#N/A,FALSE,"MAT96";#N/A,#N/A,FALSE,"FANDA96";#N/A,#N/A,FALSE,"INTRAN96";#N/A,#N/A,FALSE,"NAA9697";#N/A,#N/A,FALSE,"ECWEBB";#N/A,#N/A,FALSE,"MFT96";#N/A,#N/A,FALSE,"CTrecon"}</definedName>
    <definedName name="ASDASFD" localSheetId="24" hidden="1">{#N/A,#N/A,FALSE,"TMCOMP96";#N/A,#N/A,FALSE,"MAT96";#N/A,#N/A,FALSE,"FANDA96";#N/A,#N/A,FALSE,"INTRAN96";#N/A,#N/A,FALSE,"NAA9697";#N/A,#N/A,FALSE,"ECWEBB";#N/A,#N/A,FALSE,"MFT96";#N/A,#N/A,FALSE,"CTrecon"}</definedName>
    <definedName name="ASDASFD" localSheetId="23" hidden="1">{#N/A,#N/A,FALSE,"TMCOMP96";#N/A,#N/A,FALSE,"MAT96";#N/A,#N/A,FALSE,"FANDA96";#N/A,#N/A,FALSE,"INTRAN96";#N/A,#N/A,FALSE,"NAA9697";#N/A,#N/A,FALSE,"ECWEBB";#N/A,#N/A,FALSE,"MFT96";#N/A,#N/A,FALSE,"CTrecon"}</definedName>
    <definedName name="ASDASFD" localSheetId="27" hidden="1">{#N/A,#N/A,FALSE,"TMCOMP96";#N/A,#N/A,FALSE,"MAT96";#N/A,#N/A,FALSE,"FANDA96";#N/A,#N/A,FALSE,"INTRAN96";#N/A,#N/A,FALSE,"NAA9697";#N/A,#N/A,FALSE,"ECWEBB";#N/A,#N/A,FALSE,"MFT96";#N/A,#N/A,FALSE,"CTrecon"}</definedName>
    <definedName name="ASDASFD" localSheetId="45" hidden="1">{#N/A,#N/A,FALSE,"TMCOMP96";#N/A,#N/A,FALSE,"MAT96";#N/A,#N/A,FALSE,"FANDA96";#N/A,#N/A,FALSE,"INTRAN96";#N/A,#N/A,FALSE,"NAA9697";#N/A,#N/A,FALSE,"ECWEBB";#N/A,#N/A,FALSE,"MFT96";#N/A,#N/A,FALSE,"CTrecon"}</definedName>
    <definedName name="ASDASFD" localSheetId="46" hidden="1">{#N/A,#N/A,FALSE,"TMCOMP96";#N/A,#N/A,FALSE,"MAT96";#N/A,#N/A,FALSE,"FANDA96";#N/A,#N/A,FALSE,"INTRAN96";#N/A,#N/A,FALSE,"NAA9697";#N/A,#N/A,FALSE,"ECWEBB";#N/A,#N/A,FALSE,"MFT96";#N/A,#N/A,FALSE,"CTrecon"}</definedName>
    <definedName name="ASDASFD" localSheetId="41" hidden="1">{#N/A,#N/A,FALSE,"TMCOMP96";#N/A,#N/A,FALSE,"MAT96";#N/A,#N/A,FALSE,"FANDA96";#N/A,#N/A,FALSE,"INTRAN96";#N/A,#N/A,FALSE,"NAA9697";#N/A,#N/A,FALSE,"ECWEBB";#N/A,#N/A,FALSE,"MFT96";#N/A,#N/A,FALSE,"CTrecon"}</definedName>
    <definedName name="ASDASFD" localSheetId="39"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F" localSheetId="25" hidden="1">{#N/A,#N/A,FALSE,"TMCOMP96";#N/A,#N/A,FALSE,"MAT96";#N/A,#N/A,FALSE,"FANDA96";#N/A,#N/A,FALSE,"INTRAN96";#N/A,#N/A,FALSE,"NAA9697";#N/A,#N/A,FALSE,"ECWEBB";#N/A,#N/A,FALSE,"MFT96";#N/A,#N/A,FALSE,"CTrecon"}</definedName>
    <definedName name="ASDF" localSheetId="26" hidden="1">{#N/A,#N/A,FALSE,"TMCOMP96";#N/A,#N/A,FALSE,"MAT96";#N/A,#N/A,FALSE,"FANDA96";#N/A,#N/A,FALSE,"INTRAN96";#N/A,#N/A,FALSE,"NAA9697";#N/A,#N/A,FALSE,"ECWEBB";#N/A,#N/A,FALSE,"MFT96";#N/A,#N/A,FALSE,"CTrecon"}</definedName>
    <definedName name="ASDF" localSheetId="60" hidden="1">{#N/A,#N/A,FALSE,"TMCOMP96";#N/A,#N/A,FALSE,"MAT96";#N/A,#N/A,FALSE,"FANDA96";#N/A,#N/A,FALSE,"INTRAN96";#N/A,#N/A,FALSE,"NAA9697";#N/A,#N/A,FALSE,"ECWEBB";#N/A,#N/A,FALSE,"MFT96";#N/A,#N/A,FALSE,"CTrecon"}</definedName>
    <definedName name="ASDF" localSheetId="58" hidden="1">{#N/A,#N/A,FALSE,"TMCOMP96";#N/A,#N/A,FALSE,"MAT96";#N/A,#N/A,FALSE,"FANDA96";#N/A,#N/A,FALSE,"INTRAN96";#N/A,#N/A,FALSE,"NAA9697";#N/A,#N/A,FALSE,"ECWEBB";#N/A,#N/A,FALSE,"MFT96";#N/A,#N/A,FALSE,"CTrecon"}</definedName>
    <definedName name="ASDF" localSheetId="19" hidden="1">{#N/A,#N/A,FALSE,"TMCOMP96";#N/A,#N/A,FALSE,"MAT96";#N/A,#N/A,FALSE,"FANDA96";#N/A,#N/A,FALSE,"INTRAN96";#N/A,#N/A,FALSE,"NAA9697";#N/A,#N/A,FALSE,"ECWEBB";#N/A,#N/A,FALSE,"MFT96";#N/A,#N/A,FALSE,"CTrecon"}</definedName>
    <definedName name="ASDF" localSheetId="22" hidden="1">{#N/A,#N/A,FALSE,"TMCOMP96";#N/A,#N/A,FALSE,"MAT96";#N/A,#N/A,FALSE,"FANDA96";#N/A,#N/A,FALSE,"INTRAN96";#N/A,#N/A,FALSE,"NAA9697";#N/A,#N/A,FALSE,"ECWEBB";#N/A,#N/A,FALSE,"MFT96";#N/A,#N/A,FALSE,"CTrecon"}</definedName>
    <definedName name="ASDF" localSheetId="24" hidden="1">{#N/A,#N/A,FALSE,"TMCOMP96";#N/A,#N/A,FALSE,"MAT96";#N/A,#N/A,FALSE,"FANDA96";#N/A,#N/A,FALSE,"INTRAN96";#N/A,#N/A,FALSE,"NAA9697";#N/A,#N/A,FALSE,"ECWEBB";#N/A,#N/A,FALSE,"MFT96";#N/A,#N/A,FALSE,"CTrecon"}</definedName>
    <definedName name="ASDF" localSheetId="23" hidden="1">{#N/A,#N/A,FALSE,"TMCOMP96";#N/A,#N/A,FALSE,"MAT96";#N/A,#N/A,FALSE,"FANDA96";#N/A,#N/A,FALSE,"INTRAN96";#N/A,#N/A,FALSE,"NAA9697";#N/A,#N/A,FALSE,"ECWEBB";#N/A,#N/A,FALSE,"MFT96";#N/A,#N/A,FALSE,"CTrecon"}</definedName>
    <definedName name="ASDF" localSheetId="27" hidden="1">{#N/A,#N/A,FALSE,"TMCOMP96";#N/A,#N/A,FALSE,"MAT96";#N/A,#N/A,FALSE,"FANDA96";#N/A,#N/A,FALSE,"INTRAN96";#N/A,#N/A,FALSE,"NAA9697";#N/A,#N/A,FALSE,"ECWEBB";#N/A,#N/A,FALSE,"MFT96";#N/A,#N/A,FALSE,"CTrecon"}</definedName>
    <definedName name="ASDF" localSheetId="45" hidden="1">{#N/A,#N/A,FALSE,"TMCOMP96";#N/A,#N/A,FALSE,"MAT96";#N/A,#N/A,FALSE,"FANDA96";#N/A,#N/A,FALSE,"INTRAN96";#N/A,#N/A,FALSE,"NAA9697";#N/A,#N/A,FALSE,"ECWEBB";#N/A,#N/A,FALSE,"MFT96";#N/A,#N/A,FALSE,"CTrecon"}</definedName>
    <definedName name="ASDF" localSheetId="46" hidden="1">{#N/A,#N/A,FALSE,"TMCOMP96";#N/A,#N/A,FALSE,"MAT96";#N/A,#N/A,FALSE,"FANDA96";#N/A,#N/A,FALSE,"INTRAN96";#N/A,#N/A,FALSE,"NAA9697";#N/A,#N/A,FALSE,"ECWEBB";#N/A,#N/A,FALSE,"MFT96";#N/A,#N/A,FALSE,"CTrecon"}</definedName>
    <definedName name="ASDF" localSheetId="41" hidden="1">{#N/A,#N/A,FALSE,"TMCOMP96";#N/A,#N/A,FALSE,"MAT96";#N/A,#N/A,FALSE,"FANDA96";#N/A,#N/A,FALSE,"INTRAN96";#N/A,#N/A,FALSE,"NAA9697";#N/A,#N/A,FALSE,"ECWEBB";#N/A,#N/A,FALSE,"MFT96";#N/A,#N/A,FALSE,"CTrecon"}</definedName>
    <definedName name="ASDF" localSheetId="39"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25" hidden="1">{#N/A,#N/A,FALSE,"TMCOMP96";#N/A,#N/A,FALSE,"MAT96";#N/A,#N/A,FALSE,"FANDA96";#N/A,#N/A,FALSE,"INTRAN96";#N/A,#N/A,FALSE,"NAA9697";#N/A,#N/A,FALSE,"ECWEBB";#N/A,#N/A,FALSE,"MFT96";#N/A,#N/A,FALSE,"CTrecon"}</definedName>
    <definedName name="ASDFA" localSheetId="26" hidden="1">{#N/A,#N/A,FALSE,"TMCOMP96";#N/A,#N/A,FALSE,"MAT96";#N/A,#N/A,FALSE,"FANDA96";#N/A,#N/A,FALSE,"INTRAN96";#N/A,#N/A,FALSE,"NAA9697";#N/A,#N/A,FALSE,"ECWEBB";#N/A,#N/A,FALSE,"MFT96";#N/A,#N/A,FALSE,"CTrecon"}</definedName>
    <definedName name="ASDFA" localSheetId="60" hidden="1">{#N/A,#N/A,FALSE,"TMCOMP96";#N/A,#N/A,FALSE,"MAT96";#N/A,#N/A,FALSE,"FANDA96";#N/A,#N/A,FALSE,"INTRAN96";#N/A,#N/A,FALSE,"NAA9697";#N/A,#N/A,FALSE,"ECWEBB";#N/A,#N/A,FALSE,"MFT96";#N/A,#N/A,FALSE,"CTrecon"}</definedName>
    <definedName name="ASDFA" localSheetId="58" hidden="1">{#N/A,#N/A,FALSE,"TMCOMP96";#N/A,#N/A,FALSE,"MAT96";#N/A,#N/A,FALSE,"FANDA96";#N/A,#N/A,FALSE,"INTRAN96";#N/A,#N/A,FALSE,"NAA9697";#N/A,#N/A,FALSE,"ECWEBB";#N/A,#N/A,FALSE,"MFT96";#N/A,#N/A,FALSE,"CTrecon"}</definedName>
    <definedName name="ASDFA" localSheetId="19" hidden="1">{#N/A,#N/A,FALSE,"TMCOMP96";#N/A,#N/A,FALSE,"MAT96";#N/A,#N/A,FALSE,"FANDA96";#N/A,#N/A,FALSE,"INTRAN96";#N/A,#N/A,FALSE,"NAA9697";#N/A,#N/A,FALSE,"ECWEBB";#N/A,#N/A,FALSE,"MFT96";#N/A,#N/A,FALSE,"CTrecon"}</definedName>
    <definedName name="ASDFA" localSheetId="22" hidden="1">{#N/A,#N/A,FALSE,"TMCOMP96";#N/A,#N/A,FALSE,"MAT96";#N/A,#N/A,FALSE,"FANDA96";#N/A,#N/A,FALSE,"INTRAN96";#N/A,#N/A,FALSE,"NAA9697";#N/A,#N/A,FALSE,"ECWEBB";#N/A,#N/A,FALSE,"MFT96";#N/A,#N/A,FALSE,"CTrecon"}</definedName>
    <definedName name="ASDFA" localSheetId="24" hidden="1">{#N/A,#N/A,FALSE,"TMCOMP96";#N/A,#N/A,FALSE,"MAT96";#N/A,#N/A,FALSE,"FANDA96";#N/A,#N/A,FALSE,"INTRAN96";#N/A,#N/A,FALSE,"NAA9697";#N/A,#N/A,FALSE,"ECWEBB";#N/A,#N/A,FALSE,"MFT96";#N/A,#N/A,FALSE,"CTrecon"}</definedName>
    <definedName name="ASDFA" localSheetId="23" hidden="1">{#N/A,#N/A,FALSE,"TMCOMP96";#N/A,#N/A,FALSE,"MAT96";#N/A,#N/A,FALSE,"FANDA96";#N/A,#N/A,FALSE,"INTRAN96";#N/A,#N/A,FALSE,"NAA9697";#N/A,#N/A,FALSE,"ECWEBB";#N/A,#N/A,FALSE,"MFT96";#N/A,#N/A,FALSE,"CTrecon"}</definedName>
    <definedName name="ASDFA" localSheetId="27" hidden="1">{#N/A,#N/A,FALSE,"TMCOMP96";#N/A,#N/A,FALSE,"MAT96";#N/A,#N/A,FALSE,"FANDA96";#N/A,#N/A,FALSE,"INTRAN96";#N/A,#N/A,FALSE,"NAA9697";#N/A,#N/A,FALSE,"ECWEBB";#N/A,#N/A,FALSE,"MFT96";#N/A,#N/A,FALSE,"CTrecon"}</definedName>
    <definedName name="ASDFA" localSheetId="45" hidden="1">{#N/A,#N/A,FALSE,"TMCOMP96";#N/A,#N/A,FALSE,"MAT96";#N/A,#N/A,FALSE,"FANDA96";#N/A,#N/A,FALSE,"INTRAN96";#N/A,#N/A,FALSE,"NAA9697";#N/A,#N/A,FALSE,"ECWEBB";#N/A,#N/A,FALSE,"MFT96";#N/A,#N/A,FALSE,"CTrecon"}</definedName>
    <definedName name="ASDFA" localSheetId="46" hidden="1">{#N/A,#N/A,FALSE,"TMCOMP96";#N/A,#N/A,FALSE,"MAT96";#N/A,#N/A,FALSE,"FANDA96";#N/A,#N/A,FALSE,"INTRAN96";#N/A,#N/A,FALSE,"NAA9697";#N/A,#N/A,FALSE,"ECWEBB";#N/A,#N/A,FALSE,"MFT96";#N/A,#N/A,FALSE,"CTrecon"}</definedName>
    <definedName name="ASDFA" localSheetId="41" hidden="1">{#N/A,#N/A,FALSE,"TMCOMP96";#N/A,#N/A,FALSE,"MAT96";#N/A,#N/A,FALSE,"FANDA96";#N/A,#N/A,FALSE,"INTRAN96";#N/A,#N/A,FALSE,"NAA9697";#N/A,#N/A,FALSE,"ECWEBB";#N/A,#N/A,FALSE,"MFT96";#N/A,#N/A,FALSE,"CTrecon"}</definedName>
    <definedName name="ASDFA" localSheetId="39"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25" hidden="1">{#N/A,#N/A,FALSE,"TMCOMP96";#N/A,#N/A,FALSE,"MAT96";#N/A,#N/A,FALSE,"FANDA96";#N/A,#N/A,FALSE,"INTRAN96";#N/A,#N/A,FALSE,"NAA9697";#N/A,#N/A,FALSE,"ECWEBB";#N/A,#N/A,FALSE,"MFT96";#N/A,#N/A,FALSE,"CTrecon"}</definedName>
    <definedName name="ASFD" localSheetId="26" hidden="1">{#N/A,#N/A,FALSE,"TMCOMP96";#N/A,#N/A,FALSE,"MAT96";#N/A,#N/A,FALSE,"FANDA96";#N/A,#N/A,FALSE,"INTRAN96";#N/A,#N/A,FALSE,"NAA9697";#N/A,#N/A,FALSE,"ECWEBB";#N/A,#N/A,FALSE,"MFT96";#N/A,#N/A,FALSE,"CTrecon"}</definedName>
    <definedName name="ASFD" localSheetId="60" hidden="1">{#N/A,#N/A,FALSE,"TMCOMP96";#N/A,#N/A,FALSE,"MAT96";#N/A,#N/A,FALSE,"FANDA96";#N/A,#N/A,FALSE,"INTRAN96";#N/A,#N/A,FALSE,"NAA9697";#N/A,#N/A,FALSE,"ECWEBB";#N/A,#N/A,FALSE,"MFT96";#N/A,#N/A,FALSE,"CTrecon"}</definedName>
    <definedName name="ASFD" localSheetId="58" hidden="1">{#N/A,#N/A,FALSE,"TMCOMP96";#N/A,#N/A,FALSE,"MAT96";#N/A,#N/A,FALSE,"FANDA96";#N/A,#N/A,FALSE,"INTRAN96";#N/A,#N/A,FALSE,"NAA9697";#N/A,#N/A,FALSE,"ECWEBB";#N/A,#N/A,FALSE,"MFT96";#N/A,#N/A,FALSE,"CTrecon"}</definedName>
    <definedName name="ASFD" localSheetId="19" hidden="1">{#N/A,#N/A,FALSE,"TMCOMP96";#N/A,#N/A,FALSE,"MAT96";#N/A,#N/A,FALSE,"FANDA96";#N/A,#N/A,FALSE,"INTRAN96";#N/A,#N/A,FALSE,"NAA9697";#N/A,#N/A,FALSE,"ECWEBB";#N/A,#N/A,FALSE,"MFT96";#N/A,#N/A,FALSE,"CTrecon"}</definedName>
    <definedName name="ASFD" localSheetId="22" hidden="1">{#N/A,#N/A,FALSE,"TMCOMP96";#N/A,#N/A,FALSE,"MAT96";#N/A,#N/A,FALSE,"FANDA96";#N/A,#N/A,FALSE,"INTRAN96";#N/A,#N/A,FALSE,"NAA9697";#N/A,#N/A,FALSE,"ECWEBB";#N/A,#N/A,FALSE,"MFT96";#N/A,#N/A,FALSE,"CTrecon"}</definedName>
    <definedName name="ASFD" localSheetId="24" hidden="1">{#N/A,#N/A,FALSE,"TMCOMP96";#N/A,#N/A,FALSE,"MAT96";#N/A,#N/A,FALSE,"FANDA96";#N/A,#N/A,FALSE,"INTRAN96";#N/A,#N/A,FALSE,"NAA9697";#N/A,#N/A,FALSE,"ECWEBB";#N/A,#N/A,FALSE,"MFT96";#N/A,#N/A,FALSE,"CTrecon"}</definedName>
    <definedName name="ASFD" localSheetId="23" hidden="1">{#N/A,#N/A,FALSE,"TMCOMP96";#N/A,#N/A,FALSE,"MAT96";#N/A,#N/A,FALSE,"FANDA96";#N/A,#N/A,FALSE,"INTRAN96";#N/A,#N/A,FALSE,"NAA9697";#N/A,#N/A,FALSE,"ECWEBB";#N/A,#N/A,FALSE,"MFT96";#N/A,#N/A,FALSE,"CTrecon"}</definedName>
    <definedName name="ASFD" localSheetId="27" hidden="1">{#N/A,#N/A,FALSE,"TMCOMP96";#N/A,#N/A,FALSE,"MAT96";#N/A,#N/A,FALSE,"FANDA96";#N/A,#N/A,FALSE,"INTRAN96";#N/A,#N/A,FALSE,"NAA9697";#N/A,#N/A,FALSE,"ECWEBB";#N/A,#N/A,FALSE,"MFT96";#N/A,#N/A,FALSE,"CTrecon"}</definedName>
    <definedName name="ASFD" localSheetId="45" hidden="1">{#N/A,#N/A,FALSE,"TMCOMP96";#N/A,#N/A,FALSE,"MAT96";#N/A,#N/A,FALSE,"FANDA96";#N/A,#N/A,FALSE,"INTRAN96";#N/A,#N/A,FALSE,"NAA9697";#N/A,#N/A,FALSE,"ECWEBB";#N/A,#N/A,FALSE,"MFT96";#N/A,#N/A,FALSE,"CTrecon"}</definedName>
    <definedName name="ASFD" localSheetId="46" hidden="1">{#N/A,#N/A,FALSE,"TMCOMP96";#N/A,#N/A,FALSE,"MAT96";#N/A,#N/A,FALSE,"FANDA96";#N/A,#N/A,FALSE,"INTRAN96";#N/A,#N/A,FALSE,"NAA9697";#N/A,#N/A,FALSE,"ECWEBB";#N/A,#N/A,FALSE,"MFT96";#N/A,#N/A,FALSE,"CTrecon"}</definedName>
    <definedName name="ASFD" localSheetId="41" hidden="1">{#N/A,#N/A,FALSE,"TMCOMP96";#N/A,#N/A,FALSE,"MAT96";#N/A,#N/A,FALSE,"FANDA96";#N/A,#N/A,FALSE,"INTRAN96";#N/A,#N/A,FALSE,"NAA9697";#N/A,#N/A,FALSE,"ECWEBB";#N/A,#N/A,FALSE,"MFT96";#N/A,#N/A,FALSE,"CTrecon"}</definedName>
    <definedName name="ASFD" localSheetId="39"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 hidden="1">'[3]FC Page 1'!#REF!</definedName>
    <definedName name="BLPH1" hidden="1">'[8]4.6 ten year bonds'!$A$4</definedName>
    <definedName name="BLPH2" hidden="1">'[8]4.6 ten year bonds'!$D$4</definedName>
    <definedName name="BLPH3" hidden="1">'[8]4.6 ten year bonds'!$G$4</definedName>
    <definedName name="BLPH4" hidden="1">'[8]4.6 ten year bonds'!$J$4</definedName>
    <definedName name="BLPH5" hidden="1">'[8]4.6 ten year bonds'!$M$4</definedName>
    <definedName name="bn" hidden="1">'[7]Table 5.6'!#REF!</definedName>
    <definedName name="cd" hidden="1">[1]Data!#REF!</definedName>
    <definedName name="channels">'Data Sheet'!$A$1:$A$17</definedName>
    <definedName name="dgsgf" localSheetId="25" hidden="1">{#N/A,#N/A,FALSE,"TMCOMP96";#N/A,#N/A,FALSE,"MAT96";#N/A,#N/A,FALSE,"FANDA96";#N/A,#N/A,FALSE,"INTRAN96";#N/A,#N/A,FALSE,"NAA9697";#N/A,#N/A,FALSE,"ECWEBB";#N/A,#N/A,FALSE,"MFT96";#N/A,#N/A,FALSE,"CTrecon"}</definedName>
    <definedName name="dgsgf" localSheetId="26" hidden="1">{#N/A,#N/A,FALSE,"TMCOMP96";#N/A,#N/A,FALSE,"MAT96";#N/A,#N/A,FALSE,"FANDA96";#N/A,#N/A,FALSE,"INTRAN96";#N/A,#N/A,FALSE,"NAA9697";#N/A,#N/A,FALSE,"ECWEBB";#N/A,#N/A,FALSE,"MFT96";#N/A,#N/A,FALSE,"CTrecon"}</definedName>
    <definedName name="dgsgf" localSheetId="60" hidden="1">{#N/A,#N/A,FALSE,"TMCOMP96";#N/A,#N/A,FALSE,"MAT96";#N/A,#N/A,FALSE,"FANDA96";#N/A,#N/A,FALSE,"INTRAN96";#N/A,#N/A,FALSE,"NAA9697";#N/A,#N/A,FALSE,"ECWEBB";#N/A,#N/A,FALSE,"MFT96";#N/A,#N/A,FALSE,"CTrecon"}</definedName>
    <definedName name="dgsgf" localSheetId="58"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24" hidden="1">{#N/A,#N/A,FALSE,"TMCOMP96";#N/A,#N/A,FALSE,"MAT96";#N/A,#N/A,FALSE,"FANDA96";#N/A,#N/A,FALSE,"INTRAN96";#N/A,#N/A,FALSE,"NAA9697";#N/A,#N/A,FALSE,"ECWEBB";#N/A,#N/A,FALSE,"MFT96";#N/A,#N/A,FALSE,"CTrecon"}</definedName>
    <definedName name="dgsgf" localSheetId="23" hidden="1">{#N/A,#N/A,FALSE,"TMCOMP96";#N/A,#N/A,FALSE,"MAT96";#N/A,#N/A,FALSE,"FANDA96";#N/A,#N/A,FALSE,"INTRAN96";#N/A,#N/A,FALSE,"NAA9697";#N/A,#N/A,FALSE,"ECWEBB";#N/A,#N/A,FALSE,"MFT96";#N/A,#N/A,FALSE,"CTrecon"}</definedName>
    <definedName name="dgsgf" localSheetId="27" hidden="1">{#N/A,#N/A,FALSE,"TMCOMP96";#N/A,#N/A,FALSE,"MAT96";#N/A,#N/A,FALSE,"FANDA96";#N/A,#N/A,FALSE,"INTRAN96";#N/A,#N/A,FALSE,"NAA9697";#N/A,#N/A,FALSE,"ECWEBB";#N/A,#N/A,FALSE,"MFT96";#N/A,#N/A,FALSE,"CTrecon"}</definedName>
    <definedName name="dgsgf" localSheetId="45" hidden="1">{#N/A,#N/A,FALSE,"TMCOMP96";#N/A,#N/A,FALSE,"MAT96";#N/A,#N/A,FALSE,"FANDA96";#N/A,#N/A,FALSE,"INTRAN96";#N/A,#N/A,FALSE,"NAA9697";#N/A,#N/A,FALSE,"ECWEBB";#N/A,#N/A,FALSE,"MFT96";#N/A,#N/A,FALSE,"CTrecon"}</definedName>
    <definedName name="dgsgf" localSheetId="46" hidden="1">{#N/A,#N/A,FALSE,"TMCOMP96";#N/A,#N/A,FALSE,"MAT96";#N/A,#N/A,FALSE,"FANDA96";#N/A,#N/A,FALSE,"INTRAN96";#N/A,#N/A,FALSE,"NAA9697";#N/A,#N/A,FALSE,"ECWEBB";#N/A,#N/A,FALSE,"MFT96";#N/A,#N/A,FALSE,"CTrecon"}</definedName>
    <definedName name="dgsgf" localSheetId="41" hidden="1">{#N/A,#N/A,FALSE,"TMCOMP96";#N/A,#N/A,FALSE,"MAT96";#N/A,#N/A,FALSE,"FANDA96";#N/A,#N/A,FALSE,"INTRAN96";#N/A,#N/A,FALSE,"NAA9697";#N/A,#N/A,FALSE,"ECWEBB";#N/A,#N/A,FALSE,"MFT96";#N/A,#N/A,FALSE,"CTrecon"}</definedName>
    <definedName name="dgsgf" localSheetId="39"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5" hidden="1">#REF!</definedName>
    <definedName name="Distribution" localSheetId="26" hidden="1">#REF!</definedName>
    <definedName name="Distribution" localSheetId="51" hidden="1">#REF!</definedName>
    <definedName name="Distribution" localSheetId="60" hidden="1">#REF!</definedName>
    <definedName name="Distribution" localSheetId="50" hidden="1">#REF!</definedName>
    <definedName name="Distribution" localSheetId="58" hidden="1">#REF!</definedName>
    <definedName name="Distribution" localSheetId="22" hidden="1">#REF!</definedName>
    <definedName name="Distribution" localSheetId="24" hidden="1">#REF!</definedName>
    <definedName name="Distribution" localSheetId="23" hidden="1">#REF!</definedName>
    <definedName name="Distribution" localSheetId="17" hidden="1">#REF!</definedName>
    <definedName name="Distribution" localSheetId="27" hidden="1">#REF!</definedName>
    <definedName name="Distribution" localSheetId="45" hidden="1">#REF!</definedName>
    <definedName name="Distribution" localSheetId="46" hidden="1">#REF!</definedName>
    <definedName name="Distribution" localSheetId="41" hidden="1">#REF!</definedName>
    <definedName name="Distribution" hidden="1">#REF!</definedName>
    <definedName name="ef" hidden="1">'[3]T3 Page 1'!#REF!</definedName>
    <definedName name="ExtraProfiles" localSheetId="25" hidden="1">#REF!</definedName>
    <definedName name="ExtraProfiles" localSheetId="26" hidden="1">#REF!</definedName>
    <definedName name="ExtraProfiles" localSheetId="51" hidden="1">#REF!</definedName>
    <definedName name="ExtraProfiles" localSheetId="60" hidden="1">#REF!</definedName>
    <definedName name="ExtraProfiles" localSheetId="50" hidden="1">#REF!</definedName>
    <definedName name="ExtraProfiles" localSheetId="58" hidden="1">#REF!</definedName>
    <definedName name="ExtraProfiles" localSheetId="22" hidden="1">#REF!</definedName>
    <definedName name="ExtraProfiles" localSheetId="24" hidden="1">#REF!</definedName>
    <definedName name="ExtraProfiles" localSheetId="23" hidden="1">#REF!</definedName>
    <definedName name="ExtraProfiles" localSheetId="17" hidden="1">#REF!</definedName>
    <definedName name="ExtraProfiles" localSheetId="27" hidden="1">#REF!</definedName>
    <definedName name="ExtraProfiles" localSheetId="45" hidden="1">#REF!</definedName>
    <definedName name="ExtraProfiles" localSheetId="46" hidden="1">#REF!</definedName>
    <definedName name="ExtraProfiles" localSheetId="41" hidden="1">#REF!</definedName>
    <definedName name="ExtraProfiles" hidden="1">#REF!</definedName>
    <definedName name="FDDD" localSheetId="25" hidden="1">{#N/A,#N/A,FALSE,"TMCOMP96";#N/A,#N/A,FALSE,"MAT96";#N/A,#N/A,FALSE,"FANDA96";#N/A,#N/A,FALSE,"INTRAN96";#N/A,#N/A,FALSE,"NAA9697";#N/A,#N/A,FALSE,"ECWEBB";#N/A,#N/A,FALSE,"MFT96";#N/A,#N/A,FALSE,"CTrecon"}</definedName>
    <definedName name="FDDD" localSheetId="26" hidden="1">{#N/A,#N/A,FALSE,"TMCOMP96";#N/A,#N/A,FALSE,"MAT96";#N/A,#N/A,FALSE,"FANDA96";#N/A,#N/A,FALSE,"INTRAN96";#N/A,#N/A,FALSE,"NAA9697";#N/A,#N/A,FALSE,"ECWEBB";#N/A,#N/A,FALSE,"MFT96";#N/A,#N/A,FALSE,"CTrecon"}</definedName>
    <definedName name="FDDD" localSheetId="60" hidden="1">{#N/A,#N/A,FALSE,"TMCOMP96";#N/A,#N/A,FALSE,"MAT96";#N/A,#N/A,FALSE,"FANDA96";#N/A,#N/A,FALSE,"INTRAN96";#N/A,#N/A,FALSE,"NAA9697";#N/A,#N/A,FALSE,"ECWEBB";#N/A,#N/A,FALSE,"MFT96";#N/A,#N/A,FALSE,"CTrecon"}</definedName>
    <definedName name="FDDD" localSheetId="58" hidden="1">{#N/A,#N/A,FALSE,"TMCOMP96";#N/A,#N/A,FALSE,"MAT96";#N/A,#N/A,FALSE,"FANDA96";#N/A,#N/A,FALSE,"INTRAN96";#N/A,#N/A,FALSE,"NAA9697";#N/A,#N/A,FALSE,"ECWEBB";#N/A,#N/A,FALSE,"MFT96";#N/A,#N/A,FALSE,"CTrecon"}</definedName>
    <definedName name="FDDD" localSheetId="19" hidden="1">{#N/A,#N/A,FALSE,"TMCOMP96";#N/A,#N/A,FALSE,"MAT96";#N/A,#N/A,FALSE,"FANDA96";#N/A,#N/A,FALSE,"INTRAN96";#N/A,#N/A,FALSE,"NAA9697";#N/A,#N/A,FALSE,"ECWEBB";#N/A,#N/A,FALSE,"MFT96";#N/A,#N/A,FALSE,"CTrecon"}</definedName>
    <definedName name="FDDD" localSheetId="22" hidden="1">{#N/A,#N/A,FALSE,"TMCOMP96";#N/A,#N/A,FALSE,"MAT96";#N/A,#N/A,FALSE,"FANDA96";#N/A,#N/A,FALSE,"INTRAN96";#N/A,#N/A,FALSE,"NAA9697";#N/A,#N/A,FALSE,"ECWEBB";#N/A,#N/A,FALSE,"MFT96";#N/A,#N/A,FALSE,"CTrecon"}</definedName>
    <definedName name="FDDD" localSheetId="24" hidden="1">{#N/A,#N/A,FALSE,"TMCOMP96";#N/A,#N/A,FALSE,"MAT96";#N/A,#N/A,FALSE,"FANDA96";#N/A,#N/A,FALSE,"INTRAN96";#N/A,#N/A,FALSE,"NAA9697";#N/A,#N/A,FALSE,"ECWEBB";#N/A,#N/A,FALSE,"MFT96";#N/A,#N/A,FALSE,"CTrecon"}</definedName>
    <definedName name="FDDD" localSheetId="23" hidden="1">{#N/A,#N/A,FALSE,"TMCOMP96";#N/A,#N/A,FALSE,"MAT96";#N/A,#N/A,FALSE,"FANDA96";#N/A,#N/A,FALSE,"INTRAN96";#N/A,#N/A,FALSE,"NAA9697";#N/A,#N/A,FALSE,"ECWEBB";#N/A,#N/A,FALSE,"MFT96";#N/A,#N/A,FALSE,"CTrecon"}</definedName>
    <definedName name="FDDD" localSheetId="27" hidden="1">{#N/A,#N/A,FALSE,"TMCOMP96";#N/A,#N/A,FALSE,"MAT96";#N/A,#N/A,FALSE,"FANDA96";#N/A,#N/A,FALSE,"INTRAN96";#N/A,#N/A,FALSE,"NAA9697";#N/A,#N/A,FALSE,"ECWEBB";#N/A,#N/A,FALSE,"MFT96";#N/A,#N/A,FALSE,"CTrecon"}</definedName>
    <definedName name="FDDD" localSheetId="45" hidden="1">{#N/A,#N/A,FALSE,"TMCOMP96";#N/A,#N/A,FALSE,"MAT96";#N/A,#N/A,FALSE,"FANDA96";#N/A,#N/A,FALSE,"INTRAN96";#N/A,#N/A,FALSE,"NAA9697";#N/A,#N/A,FALSE,"ECWEBB";#N/A,#N/A,FALSE,"MFT96";#N/A,#N/A,FALSE,"CTrecon"}</definedName>
    <definedName name="FDDD" localSheetId="46" hidden="1">{#N/A,#N/A,FALSE,"TMCOMP96";#N/A,#N/A,FALSE,"MAT96";#N/A,#N/A,FALSE,"FANDA96";#N/A,#N/A,FALSE,"INTRAN96";#N/A,#N/A,FALSE,"NAA9697";#N/A,#N/A,FALSE,"ECWEBB";#N/A,#N/A,FALSE,"MFT96";#N/A,#N/A,FALSE,"CTrecon"}</definedName>
    <definedName name="FDDD" localSheetId="41" hidden="1">{#N/A,#N/A,FALSE,"TMCOMP96";#N/A,#N/A,FALSE,"MAT96";#N/A,#N/A,FALSE,"FANDA96";#N/A,#N/A,FALSE,"INTRAN96";#N/A,#N/A,FALSE,"NAA9697";#N/A,#N/A,FALSE,"ECWEBB";#N/A,#N/A,FALSE,"MFT96";#N/A,#N/A,FALSE,"CTrecon"}</definedName>
    <definedName name="FDDD" localSheetId="39"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25" hidden="1">{#N/A,#N/A,FALSE,"TMCOMP96";#N/A,#N/A,FALSE,"MAT96";#N/A,#N/A,FALSE,"FANDA96";#N/A,#N/A,FALSE,"INTRAN96";#N/A,#N/A,FALSE,"NAA9697";#N/A,#N/A,FALSE,"ECWEBB";#N/A,#N/A,FALSE,"MFT96";#N/A,#N/A,FALSE,"CTrecon"}</definedName>
    <definedName name="fg" localSheetId="26" hidden="1">{#N/A,#N/A,FALSE,"TMCOMP96";#N/A,#N/A,FALSE,"MAT96";#N/A,#N/A,FALSE,"FANDA96";#N/A,#N/A,FALSE,"INTRAN96";#N/A,#N/A,FALSE,"NAA9697";#N/A,#N/A,FALSE,"ECWEBB";#N/A,#N/A,FALSE,"MFT96";#N/A,#N/A,FALSE,"CTrecon"}</definedName>
    <definedName name="fg" localSheetId="60" hidden="1">{#N/A,#N/A,FALSE,"TMCOMP96";#N/A,#N/A,FALSE,"MAT96";#N/A,#N/A,FALSE,"FANDA96";#N/A,#N/A,FALSE,"INTRAN96";#N/A,#N/A,FALSE,"NAA9697";#N/A,#N/A,FALSE,"ECWEBB";#N/A,#N/A,FALSE,"MFT96";#N/A,#N/A,FALSE,"CTrecon"}</definedName>
    <definedName name="fg" localSheetId="58"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24" hidden="1">{#N/A,#N/A,FALSE,"TMCOMP96";#N/A,#N/A,FALSE,"MAT96";#N/A,#N/A,FALSE,"FANDA96";#N/A,#N/A,FALSE,"INTRAN96";#N/A,#N/A,FALSE,"NAA9697";#N/A,#N/A,FALSE,"ECWEBB";#N/A,#N/A,FALSE,"MFT96";#N/A,#N/A,FALSE,"CTrecon"}</definedName>
    <definedName name="fg" localSheetId="23" hidden="1">{#N/A,#N/A,FALSE,"TMCOMP96";#N/A,#N/A,FALSE,"MAT96";#N/A,#N/A,FALSE,"FANDA96";#N/A,#N/A,FALSE,"INTRAN96";#N/A,#N/A,FALSE,"NAA9697";#N/A,#N/A,FALSE,"ECWEBB";#N/A,#N/A,FALSE,"MFT96";#N/A,#N/A,FALSE,"CTrecon"}</definedName>
    <definedName name="fg" localSheetId="27" hidden="1">{#N/A,#N/A,FALSE,"TMCOMP96";#N/A,#N/A,FALSE,"MAT96";#N/A,#N/A,FALSE,"FANDA96";#N/A,#N/A,FALSE,"INTRAN96";#N/A,#N/A,FALSE,"NAA9697";#N/A,#N/A,FALSE,"ECWEBB";#N/A,#N/A,FALSE,"MFT96";#N/A,#N/A,FALSE,"CTrecon"}</definedName>
    <definedName name="fg" localSheetId="45" hidden="1">{#N/A,#N/A,FALSE,"TMCOMP96";#N/A,#N/A,FALSE,"MAT96";#N/A,#N/A,FALSE,"FANDA96";#N/A,#N/A,FALSE,"INTRAN96";#N/A,#N/A,FALSE,"NAA9697";#N/A,#N/A,FALSE,"ECWEBB";#N/A,#N/A,FALSE,"MFT96";#N/A,#N/A,FALSE,"CTrecon"}</definedName>
    <definedName name="fg" localSheetId="46" hidden="1">{#N/A,#N/A,FALSE,"TMCOMP96";#N/A,#N/A,FALSE,"MAT96";#N/A,#N/A,FALSE,"FANDA96";#N/A,#N/A,FALSE,"INTRAN96";#N/A,#N/A,FALSE,"NAA9697";#N/A,#N/A,FALSE,"ECWEBB";#N/A,#N/A,FALSE,"MFT96";#N/A,#N/A,FALSE,"CTrecon"}</definedName>
    <definedName name="fg" localSheetId="41" hidden="1">{#N/A,#N/A,FALSE,"TMCOMP96";#N/A,#N/A,FALSE,"MAT96";#N/A,#N/A,FALSE,"FANDA96";#N/A,#N/A,FALSE,"INTRAN96";#N/A,#N/A,FALSE,"NAA9697";#N/A,#N/A,FALSE,"ECWEBB";#N/A,#N/A,FALSE,"MFT96";#N/A,#N/A,FALSE,"CTrecon"}</definedName>
    <definedName name="fg" localSheetId="39"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5"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60" hidden="1">{#N/A,#N/A,FALSE,"TMCOMP96";#N/A,#N/A,FALSE,"MAT96";#N/A,#N/A,FALSE,"FANDA96";#N/A,#N/A,FALSE,"INTRAN96";#N/A,#N/A,FALSE,"NAA9697";#N/A,#N/A,FALSE,"ECWEBB";#N/A,#N/A,FALSE,"MFT96";#N/A,#N/A,FALSE,"CTrecon"}</definedName>
    <definedName name="fgfd" localSheetId="58"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24" hidden="1">{#N/A,#N/A,FALSE,"TMCOMP96";#N/A,#N/A,FALSE,"MAT96";#N/A,#N/A,FALSE,"FANDA96";#N/A,#N/A,FALSE,"INTRAN96";#N/A,#N/A,FALSE,"NAA9697";#N/A,#N/A,FALSE,"ECWEBB";#N/A,#N/A,FALSE,"MFT96";#N/A,#N/A,FALSE,"CTrecon"}</definedName>
    <definedName name="fgfd" localSheetId="23" hidden="1">{#N/A,#N/A,FALSE,"TMCOMP96";#N/A,#N/A,FALSE,"MAT96";#N/A,#N/A,FALSE,"FANDA96";#N/A,#N/A,FALSE,"INTRAN96";#N/A,#N/A,FALSE,"NAA9697";#N/A,#N/A,FALSE,"ECWEBB";#N/A,#N/A,FALSE,"MFT96";#N/A,#N/A,FALSE,"CTrecon"}</definedName>
    <definedName name="fgfd" localSheetId="27" hidden="1">{#N/A,#N/A,FALSE,"TMCOMP96";#N/A,#N/A,FALSE,"MAT96";#N/A,#N/A,FALSE,"FANDA96";#N/A,#N/A,FALSE,"INTRAN96";#N/A,#N/A,FALSE,"NAA9697";#N/A,#N/A,FALSE,"ECWEBB";#N/A,#N/A,FALSE,"MFT96";#N/A,#N/A,FALSE,"CTrecon"}</definedName>
    <definedName name="fgfd" localSheetId="45" hidden="1">{#N/A,#N/A,FALSE,"TMCOMP96";#N/A,#N/A,FALSE,"MAT96";#N/A,#N/A,FALSE,"FANDA96";#N/A,#N/A,FALSE,"INTRAN96";#N/A,#N/A,FALSE,"NAA9697";#N/A,#N/A,FALSE,"ECWEBB";#N/A,#N/A,FALSE,"MFT96";#N/A,#N/A,FALSE,"CTrecon"}</definedName>
    <definedName name="fgfd" localSheetId="46" hidden="1">{#N/A,#N/A,FALSE,"TMCOMP96";#N/A,#N/A,FALSE,"MAT96";#N/A,#N/A,FALSE,"FANDA96";#N/A,#N/A,FALSE,"INTRAN96";#N/A,#N/A,FALSE,"NAA9697";#N/A,#N/A,FALSE,"ECWEBB";#N/A,#N/A,FALSE,"MFT96";#N/A,#N/A,FALSE,"CTrecon"}</definedName>
    <definedName name="fgfd" localSheetId="41" hidden="1">{#N/A,#N/A,FALSE,"TMCOMP96";#N/A,#N/A,FALSE,"MAT96";#N/A,#N/A,FALSE,"FANDA96";#N/A,#N/A,FALSE,"INTRAN96";#N/A,#N/A,FALSE,"NAA9697";#N/A,#N/A,FALSE,"ECWEBB";#N/A,#N/A,FALSE,"MFT96";#N/A,#N/A,FALSE,"CTrecon"}</definedName>
    <definedName name="fgfd" localSheetId="39"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 hidden="1">'[3]T3 Page 1'!#REF!</definedName>
    <definedName name="ghj" localSheetId="25" hidden="1">{#N/A,#N/A,FALSE,"TMCOMP96";#N/A,#N/A,FALSE,"MAT96";#N/A,#N/A,FALSE,"FANDA96";#N/A,#N/A,FALSE,"INTRAN96";#N/A,#N/A,FALSE,"NAA9697";#N/A,#N/A,FALSE,"ECWEBB";#N/A,#N/A,FALSE,"MFT96";#N/A,#N/A,FALSE,"CTrecon"}</definedName>
    <definedName name="ghj" localSheetId="26" hidden="1">{#N/A,#N/A,FALSE,"TMCOMP96";#N/A,#N/A,FALSE,"MAT96";#N/A,#N/A,FALSE,"FANDA96";#N/A,#N/A,FALSE,"INTRAN96";#N/A,#N/A,FALSE,"NAA9697";#N/A,#N/A,FALSE,"ECWEBB";#N/A,#N/A,FALSE,"MFT96";#N/A,#N/A,FALSE,"CTrecon"}</definedName>
    <definedName name="ghj" localSheetId="60" hidden="1">{#N/A,#N/A,FALSE,"TMCOMP96";#N/A,#N/A,FALSE,"MAT96";#N/A,#N/A,FALSE,"FANDA96";#N/A,#N/A,FALSE,"INTRAN96";#N/A,#N/A,FALSE,"NAA9697";#N/A,#N/A,FALSE,"ECWEBB";#N/A,#N/A,FALSE,"MFT96";#N/A,#N/A,FALSE,"CTrecon"}</definedName>
    <definedName name="ghj" localSheetId="58"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24" hidden="1">{#N/A,#N/A,FALSE,"TMCOMP96";#N/A,#N/A,FALSE,"MAT96";#N/A,#N/A,FALSE,"FANDA96";#N/A,#N/A,FALSE,"INTRAN96";#N/A,#N/A,FALSE,"NAA9697";#N/A,#N/A,FALSE,"ECWEBB";#N/A,#N/A,FALSE,"MFT96";#N/A,#N/A,FALSE,"CTrecon"}</definedName>
    <definedName name="ghj" localSheetId="23" hidden="1">{#N/A,#N/A,FALSE,"TMCOMP96";#N/A,#N/A,FALSE,"MAT96";#N/A,#N/A,FALSE,"FANDA96";#N/A,#N/A,FALSE,"INTRAN96";#N/A,#N/A,FALSE,"NAA9697";#N/A,#N/A,FALSE,"ECWEBB";#N/A,#N/A,FALSE,"MFT96";#N/A,#N/A,FALSE,"CTrecon"}</definedName>
    <definedName name="ghj" localSheetId="27" hidden="1">{#N/A,#N/A,FALSE,"TMCOMP96";#N/A,#N/A,FALSE,"MAT96";#N/A,#N/A,FALSE,"FANDA96";#N/A,#N/A,FALSE,"INTRAN96";#N/A,#N/A,FALSE,"NAA9697";#N/A,#N/A,FALSE,"ECWEBB";#N/A,#N/A,FALSE,"MFT96";#N/A,#N/A,FALSE,"CTrecon"}</definedName>
    <definedName name="ghj" localSheetId="45" hidden="1">{#N/A,#N/A,FALSE,"TMCOMP96";#N/A,#N/A,FALSE,"MAT96";#N/A,#N/A,FALSE,"FANDA96";#N/A,#N/A,FALSE,"INTRAN96";#N/A,#N/A,FALSE,"NAA9697";#N/A,#N/A,FALSE,"ECWEBB";#N/A,#N/A,FALSE,"MFT96";#N/A,#N/A,FALSE,"CTrecon"}</definedName>
    <definedName name="ghj" localSheetId="46" hidden="1">{#N/A,#N/A,FALSE,"TMCOMP96";#N/A,#N/A,FALSE,"MAT96";#N/A,#N/A,FALSE,"FANDA96";#N/A,#N/A,FALSE,"INTRAN96";#N/A,#N/A,FALSE,"NAA9697";#N/A,#N/A,FALSE,"ECWEBB";#N/A,#N/A,FALSE,"MFT96";#N/A,#N/A,FALSE,"CTrecon"}</definedName>
    <definedName name="ghj" localSheetId="41" hidden="1">{#N/A,#N/A,FALSE,"TMCOMP96";#N/A,#N/A,FALSE,"MAT96";#N/A,#N/A,FALSE,"FANDA96";#N/A,#N/A,FALSE,"INTRAN96";#N/A,#N/A,FALSE,"NAA9697";#N/A,#N/A,FALSE,"ECWEBB";#N/A,#N/A,FALSE,"MFT96";#N/A,#N/A,FALSE,"CTrecon"}</definedName>
    <definedName name="ghj" localSheetId="39"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h" hidden="1">'[6]Table 1'!#REF!</definedName>
    <definedName name="i" hidden="1">'[3]FC Page 1'!#REF!</definedName>
    <definedName name="j" hidden="1">#REF!</definedName>
    <definedName name="jhjibn" localSheetId="14" hidden="1">#REF!</definedName>
    <definedName name="jhjibn" localSheetId="15" hidden="1">#REF!</definedName>
    <definedName name="jhjibn" localSheetId="25" hidden="1">#REF!</definedName>
    <definedName name="jhjibn" localSheetId="26" hidden="1">#REF!</definedName>
    <definedName name="jhjibn" localSheetId="51" hidden="1">#REF!</definedName>
    <definedName name="jhjibn" localSheetId="60" hidden="1">#REF!</definedName>
    <definedName name="jhjibn" localSheetId="50" hidden="1">#REF!</definedName>
    <definedName name="jhjibn" localSheetId="58" hidden="1">#REF!</definedName>
    <definedName name="jhjibn" localSheetId="61" hidden="1">#REF!</definedName>
    <definedName name="jhjibn" localSheetId="19" hidden="1">#REF!</definedName>
    <definedName name="jhjibn" localSheetId="16" hidden="1">#REF!</definedName>
    <definedName name="jhjibn" localSheetId="18" hidden="1">#REF!</definedName>
    <definedName name="jhjibn" localSheetId="20" hidden="1">#REF!</definedName>
    <definedName name="jhjibn" localSheetId="22" hidden="1">#REF!</definedName>
    <definedName name="jhjibn" localSheetId="24" hidden="1">#REF!</definedName>
    <definedName name="jhjibn" localSheetId="23" hidden="1">#REF!</definedName>
    <definedName name="jhjibn" localSheetId="17" hidden="1">#REF!</definedName>
    <definedName name="jhjibn" localSheetId="27" hidden="1">#REF!</definedName>
    <definedName name="jhjibn" localSheetId="21" hidden="1">#REF!</definedName>
    <definedName name="jhjibn" localSheetId="45" hidden="1">#REF!</definedName>
    <definedName name="jhjibn" localSheetId="46" hidden="1">#REF!</definedName>
    <definedName name="jhjibn" localSheetId="38" hidden="1">#REF!</definedName>
    <definedName name="jhjibn" localSheetId="41" hidden="1">#REF!</definedName>
    <definedName name="jhjibn" localSheetId="39" hidden="1">#REF!</definedName>
    <definedName name="jhjibn" localSheetId="35" hidden="1">#REF!</definedName>
    <definedName name="jhjibn" localSheetId="40" hidden="1">#REF!</definedName>
    <definedName name="jhjibn" hidden="1">#REF!</definedName>
    <definedName name="jhkgh" localSheetId="25" hidden="1">{#N/A,#N/A,FALSE,"TMCOMP96";#N/A,#N/A,FALSE,"MAT96";#N/A,#N/A,FALSE,"FANDA96";#N/A,#N/A,FALSE,"INTRAN96";#N/A,#N/A,FALSE,"NAA9697";#N/A,#N/A,FALSE,"ECWEBB";#N/A,#N/A,FALSE,"MFT96";#N/A,#N/A,FALSE,"CTrecon"}</definedName>
    <definedName name="jhkgh" localSheetId="26" hidden="1">{#N/A,#N/A,FALSE,"TMCOMP96";#N/A,#N/A,FALSE,"MAT96";#N/A,#N/A,FALSE,"FANDA96";#N/A,#N/A,FALSE,"INTRAN96";#N/A,#N/A,FALSE,"NAA9697";#N/A,#N/A,FALSE,"ECWEBB";#N/A,#N/A,FALSE,"MFT96";#N/A,#N/A,FALSE,"CTrecon"}</definedName>
    <definedName name="jhkgh" localSheetId="60" hidden="1">{#N/A,#N/A,FALSE,"TMCOMP96";#N/A,#N/A,FALSE,"MAT96";#N/A,#N/A,FALSE,"FANDA96";#N/A,#N/A,FALSE,"INTRAN96";#N/A,#N/A,FALSE,"NAA9697";#N/A,#N/A,FALSE,"ECWEBB";#N/A,#N/A,FALSE,"MFT96";#N/A,#N/A,FALSE,"CTrecon"}</definedName>
    <definedName name="jhkgh" localSheetId="58"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24" hidden="1">{#N/A,#N/A,FALSE,"TMCOMP96";#N/A,#N/A,FALSE,"MAT96";#N/A,#N/A,FALSE,"FANDA96";#N/A,#N/A,FALSE,"INTRAN96";#N/A,#N/A,FALSE,"NAA9697";#N/A,#N/A,FALSE,"ECWEBB";#N/A,#N/A,FALSE,"MFT96";#N/A,#N/A,FALSE,"CTrecon"}</definedName>
    <definedName name="jhkgh" localSheetId="23" hidden="1">{#N/A,#N/A,FALSE,"TMCOMP96";#N/A,#N/A,FALSE,"MAT96";#N/A,#N/A,FALSE,"FANDA96";#N/A,#N/A,FALSE,"INTRAN96";#N/A,#N/A,FALSE,"NAA9697";#N/A,#N/A,FALSE,"ECWEBB";#N/A,#N/A,FALSE,"MFT96";#N/A,#N/A,FALSE,"CTrecon"}</definedName>
    <definedName name="jhkgh" localSheetId="27" hidden="1">{#N/A,#N/A,FALSE,"TMCOMP96";#N/A,#N/A,FALSE,"MAT96";#N/A,#N/A,FALSE,"FANDA96";#N/A,#N/A,FALSE,"INTRAN96";#N/A,#N/A,FALSE,"NAA9697";#N/A,#N/A,FALSE,"ECWEBB";#N/A,#N/A,FALSE,"MFT96";#N/A,#N/A,FALSE,"CTrecon"}</definedName>
    <definedName name="jhkgh" localSheetId="45" hidden="1">{#N/A,#N/A,FALSE,"TMCOMP96";#N/A,#N/A,FALSE,"MAT96";#N/A,#N/A,FALSE,"FANDA96";#N/A,#N/A,FALSE,"INTRAN96";#N/A,#N/A,FALSE,"NAA9697";#N/A,#N/A,FALSE,"ECWEBB";#N/A,#N/A,FALSE,"MFT96";#N/A,#N/A,FALSE,"CTrecon"}</definedName>
    <definedName name="jhkgh" localSheetId="46" hidden="1">{#N/A,#N/A,FALSE,"TMCOMP96";#N/A,#N/A,FALSE,"MAT96";#N/A,#N/A,FALSE,"FANDA96";#N/A,#N/A,FALSE,"INTRAN96";#N/A,#N/A,FALSE,"NAA9697";#N/A,#N/A,FALSE,"ECWEBB";#N/A,#N/A,FALSE,"MFT96";#N/A,#N/A,FALSE,"CTrecon"}</definedName>
    <definedName name="jhkgh" localSheetId="41" hidden="1">{#N/A,#N/A,FALSE,"TMCOMP96";#N/A,#N/A,FALSE,"MAT96";#N/A,#N/A,FALSE,"FANDA96";#N/A,#N/A,FALSE,"INTRAN96";#N/A,#N/A,FALSE,"NAA9697";#N/A,#N/A,FALSE,"ECWEBB";#N/A,#N/A,FALSE,"MFT96";#N/A,#N/A,FALSE,"CTrecon"}</definedName>
    <definedName name="jhkgh" localSheetId="39"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5"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60" hidden="1">{#N/A,#N/A,FALSE,"TMCOMP96";#N/A,#N/A,FALSE,"MAT96";#N/A,#N/A,FALSE,"FANDA96";#N/A,#N/A,FALSE,"INTRAN96";#N/A,#N/A,FALSE,"NAA9697";#N/A,#N/A,FALSE,"ECWEBB";#N/A,#N/A,FALSE,"MFT96";#N/A,#N/A,FALSE,"CTrecon"}</definedName>
    <definedName name="jhkgh2" localSheetId="58"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24" hidden="1">{#N/A,#N/A,FALSE,"TMCOMP96";#N/A,#N/A,FALSE,"MAT96";#N/A,#N/A,FALSE,"FANDA96";#N/A,#N/A,FALSE,"INTRAN96";#N/A,#N/A,FALSE,"NAA9697";#N/A,#N/A,FALSE,"ECWEBB";#N/A,#N/A,FALSE,"MFT96";#N/A,#N/A,FALSE,"CTrecon"}</definedName>
    <definedName name="jhkgh2" localSheetId="23" hidden="1">{#N/A,#N/A,FALSE,"TMCOMP96";#N/A,#N/A,FALSE,"MAT96";#N/A,#N/A,FALSE,"FANDA96";#N/A,#N/A,FALSE,"INTRAN96";#N/A,#N/A,FALSE,"NAA9697";#N/A,#N/A,FALSE,"ECWEBB";#N/A,#N/A,FALSE,"MFT96";#N/A,#N/A,FALSE,"CTrecon"}</definedName>
    <definedName name="jhkgh2" localSheetId="27" hidden="1">{#N/A,#N/A,FALSE,"TMCOMP96";#N/A,#N/A,FALSE,"MAT96";#N/A,#N/A,FALSE,"FANDA96";#N/A,#N/A,FALSE,"INTRAN96";#N/A,#N/A,FALSE,"NAA9697";#N/A,#N/A,FALSE,"ECWEBB";#N/A,#N/A,FALSE,"MFT96";#N/A,#N/A,FALSE,"CTrecon"}</definedName>
    <definedName name="jhkgh2" localSheetId="45" hidden="1">{#N/A,#N/A,FALSE,"TMCOMP96";#N/A,#N/A,FALSE,"MAT96";#N/A,#N/A,FALSE,"FANDA96";#N/A,#N/A,FALSE,"INTRAN96";#N/A,#N/A,FALSE,"NAA9697";#N/A,#N/A,FALSE,"ECWEBB";#N/A,#N/A,FALSE,"MFT96";#N/A,#N/A,FALSE,"CTrecon"}</definedName>
    <definedName name="jhkgh2" localSheetId="46" hidden="1">{#N/A,#N/A,FALSE,"TMCOMP96";#N/A,#N/A,FALSE,"MAT96";#N/A,#N/A,FALSE,"FANDA96";#N/A,#N/A,FALSE,"INTRAN96";#N/A,#N/A,FALSE,"NAA9697";#N/A,#N/A,FALSE,"ECWEBB";#N/A,#N/A,FALSE,"MFT96";#N/A,#N/A,FALSE,"CTrecon"}</definedName>
    <definedName name="jhkgh2" localSheetId="41" hidden="1">{#N/A,#N/A,FALSE,"TMCOMP96";#N/A,#N/A,FALSE,"MAT96";#N/A,#N/A,FALSE,"FANDA96";#N/A,#N/A,FALSE,"INTRAN96";#N/A,#N/A,FALSE,"NAA9697";#N/A,#N/A,FALSE,"ECWEBB";#N/A,#N/A,FALSE,"MFT96";#N/A,#N/A,FALSE,"CTrecon"}</definedName>
    <definedName name="jhkgh2" localSheetId="39"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 hidden="1">'[3]T3 Page 1'!#REF!</definedName>
    <definedName name="kjhjh" localSheetId="15" hidden="1">#REF!</definedName>
    <definedName name="kjhjh" localSheetId="25" hidden="1">#REF!</definedName>
    <definedName name="kjhjh" localSheetId="26" hidden="1">#REF!</definedName>
    <definedName name="kjhjh" localSheetId="51" hidden="1">#REF!</definedName>
    <definedName name="kjhjh" localSheetId="60" hidden="1">#REF!</definedName>
    <definedName name="kjhjh" localSheetId="50" hidden="1">#REF!</definedName>
    <definedName name="kjhjh" localSheetId="58" hidden="1">#REF!</definedName>
    <definedName name="kjhjh" localSheetId="61" hidden="1">#REF!</definedName>
    <definedName name="kjhjh" localSheetId="19" hidden="1">#REF!</definedName>
    <definedName name="kjhjh" localSheetId="16" hidden="1">#REF!</definedName>
    <definedName name="kjhjh" localSheetId="20" hidden="1">#REF!</definedName>
    <definedName name="kjhjh" localSheetId="22" hidden="1">#REF!</definedName>
    <definedName name="kjhjh" localSheetId="24" hidden="1">#REF!</definedName>
    <definedName name="kjhjh" localSheetId="23" hidden="1">#REF!</definedName>
    <definedName name="kjhjh" localSheetId="17" hidden="1">#REF!</definedName>
    <definedName name="kjhjh" localSheetId="27" hidden="1">#REF!</definedName>
    <definedName name="kjhjh" localSheetId="45" hidden="1">#REF!</definedName>
    <definedName name="kjhjh" localSheetId="46" hidden="1">#REF!</definedName>
    <definedName name="kjhjh" localSheetId="41" hidden="1">#REF!</definedName>
    <definedName name="kjhjh" localSheetId="39" hidden="1">#REF!</definedName>
    <definedName name="kjhjh" hidden="1">#REF!</definedName>
    <definedName name="kmlk" localSheetId="15" hidden="1">#REF!</definedName>
    <definedName name="kmlk" localSheetId="25" hidden="1">#REF!</definedName>
    <definedName name="kmlk" localSheetId="26" hidden="1">#REF!</definedName>
    <definedName name="kmlk" localSheetId="51" hidden="1">#REF!</definedName>
    <definedName name="kmlk" localSheetId="60" hidden="1">#REF!</definedName>
    <definedName name="kmlk" localSheetId="50" hidden="1">#REF!</definedName>
    <definedName name="kmlk" localSheetId="58" hidden="1">#REF!</definedName>
    <definedName name="kmlk" localSheetId="61" hidden="1">#REF!</definedName>
    <definedName name="kmlk" localSheetId="19" hidden="1">#REF!</definedName>
    <definedName name="kmlk" localSheetId="16" hidden="1">#REF!</definedName>
    <definedName name="kmlk" localSheetId="20" hidden="1">#REF!</definedName>
    <definedName name="kmlk" localSheetId="22" hidden="1">#REF!</definedName>
    <definedName name="kmlk" localSheetId="24" hidden="1">#REF!</definedName>
    <definedName name="kmlk" localSheetId="23" hidden="1">#REF!</definedName>
    <definedName name="kmlk" localSheetId="17" hidden="1">#REF!</definedName>
    <definedName name="kmlk" localSheetId="27" hidden="1">#REF!</definedName>
    <definedName name="kmlk" localSheetId="45" hidden="1">#REF!</definedName>
    <definedName name="kmlk" localSheetId="46" hidden="1">#REF!</definedName>
    <definedName name="kmlk" localSheetId="41" hidden="1">#REF!</definedName>
    <definedName name="kmlk" localSheetId="39" hidden="1">#REF!</definedName>
    <definedName name="kmlk" hidden="1">#REF!</definedName>
    <definedName name="l" hidden="1">#REF!</definedName>
    <definedName name="n" hidden="1">#REF!</definedName>
    <definedName name="nb" hidden="1">#REF!</definedName>
    <definedName name="nnnnnnnnnnnnnnnnnnn" localSheetId="25" hidden="1">'[6]Table 1'!#REF!</definedName>
    <definedName name="nnnnnnnnnnnnnnnnnnn" localSheetId="51" hidden="1">'[6]Table 1'!#REF!</definedName>
    <definedName name="nnnnnnnnnnnnnnnnnnn" localSheetId="50" hidden="1">'[6]Table 1'!#REF!</definedName>
    <definedName name="nnnnnnnnnnnnnnnnnnn" localSheetId="61" hidden="1">'[6]Table 1'!#REF!</definedName>
    <definedName name="nnnnnnnnnnnnnnnnnnn" localSheetId="27" hidden="1">'[6]Table 1'!#REF!</definedName>
    <definedName name="nnnnnnnnnnnnnnnnnnn" localSheetId="46" hidden="1">'[6]Table 1'!#REF!</definedName>
    <definedName name="nnnnnnnnnnnnnnnnnnn" hidden="1">'[6]Table 1'!#REF!</definedName>
    <definedName name="NOCONFLICT" localSheetId="25" hidden="1">{#N/A,#N/A,FALSE,"TMCOMP96";#N/A,#N/A,FALSE,"MAT96";#N/A,#N/A,FALSE,"FANDA96";#N/A,#N/A,FALSE,"INTRAN96";#N/A,#N/A,FALSE,"NAA9697";#N/A,#N/A,FALSE,"ECWEBB";#N/A,#N/A,FALSE,"MFT96";#N/A,#N/A,FALSE,"CTrecon"}</definedName>
    <definedName name="NOCONFLICT" localSheetId="26" hidden="1">{#N/A,#N/A,FALSE,"TMCOMP96";#N/A,#N/A,FALSE,"MAT96";#N/A,#N/A,FALSE,"FANDA96";#N/A,#N/A,FALSE,"INTRAN96";#N/A,#N/A,FALSE,"NAA9697";#N/A,#N/A,FALSE,"ECWEBB";#N/A,#N/A,FALSE,"MFT96";#N/A,#N/A,FALSE,"CTrecon"}</definedName>
    <definedName name="NOCONFLICT" localSheetId="60" hidden="1">{#N/A,#N/A,FALSE,"TMCOMP96";#N/A,#N/A,FALSE,"MAT96";#N/A,#N/A,FALSE,"FANDA96";#N/A,#N/A,FALSE,"INTRAN96";#N/A,#N/A,FALSE,"NAA9697";#N/A,#N/A,FALSE,"ECWEBB";#N/A,#N/A,FALSE,"MFT96";#N/A,#N/A,FALSE,"CTrecon"}</definedName>
    <definedName name="NOCONFLICT" localSheetId="58" hidden="1">{#N/A,#N/A,FALSE,"TMCOMP96";#N/A,#N/A,FALSE,"MAT96";#N/A,#N/A,FALSE,"FANDA96";#N/A,#N/A,FALSE,"INTRAN96";#N/A,#N/A,FALSE,"NAA9697";#N/A,#N/A,FALSE,"ECWEBB";#N/A,#N/A,FALSE,"MFT96";#N/A,#N/A,FALSE,"CTrecon"}</definedName>
    <definedName name="NOCONFLICT" localSheetId="19" hidden="1">{#N/A,#N/A,FALSE,"TMCOMP96";#N/A,#N/A,FALSE,"MAT96";#N/A,#N/A,FALSE,"FANDA96";#N/A,#N/A,FALSE,"INTRAN96";#N/A,#N/A,FALSE,"NAA9697";#N/A,#N/A,FALSE,"ECWEBB";#N/A,#N/A,FALSE,"MFT96";#N/A,#N/A,FALSE,"CTrecon"}</definedName>
    <definedName name="NOCONFLICT" localSheetId="22" hidden="1">{#N/A,#N/A,FALSE,"TMCOMP96";#N/A,#N/A,FALSE,"MAT96";#N/A,#N/A,FALSE,"FANDA96";#N/A,#N/A,FALSE,"INTRAN96";#N/A,#N/A,FALSE,"NAA9697";#N/A,#N/A,FALSE,"ECWEBB";#N/A,#N/A,FALSE,"MFT96";#N/A,#N/A,FALSE,"CTrecon"}</definedName>
    <definedName name="NOCONFLICT" localSheetId="24" hidden="1">{#N/A,#N/A,FALSE,"TMCOMP96";#N/A,#N/A,FALSE,"MAT96";#N/A,#N/A,FALSE,"FANDA96";#N/A,#N/A,FALSE,"INTRAN96";#N/A,#N/A,FALSE,"NAA9697";#N/A,#N/A,FALSE,"ECWEBB";#N/A,#N/A,FALSE,"MFT96";#N/A,#N/A,FALSE,"CTrecon"}</definedName>
    <definedName name="NOCONFLICT" localSheetId="23" hidden="1">{#N/A,#N/A,FALSE,"TMCOMP96";#N/A,#N/A,FALSE,"MAT96";#N/A,#N/A,FALSE,"FANDA96";#N/A,#N/A,FALSE,"INTRAN96";#N/A,#N/A,FALSE,"NAA9697";#N/A,#N/A,FALSE,"ECWEBB";#N/A,#N/A,FALSE,"MFT96";#N/A,#N/A,FALSE,"CTrecon"}</definedName>
    <definedName name="NOCONFLICT" localSheetId="27" hidden="1">{#N/A,#N/A,FALSE,"TMCOMP96";#N/A,#N/A,FALSE,"MAT96";#N/A,#N/A,FALSE,"FANDA96";#N/A,#N/A,FALSE,"INTRAN96";#N/A,#N/A,FALSE,"NAA9697";#N/A,#N/A,FALSE,"ECWEBB";#N/A,#N/A,FALSE,"MFT96";#N/A,#N/A,FALSE,"CTrecon"}</definedName>
    <definedName name="NOCONFLICT" localSheetId="45" hidden="1">{#N/A,#N/A,FALSE,"TMCOMP96";#N/A,#N/A,FALSE,"MAT96";#N/A,#N/A,FALSE,"FANDA96";#N/A,#N/A,FALSE,"INTRAN96";#N/A,#N/A,FALSE,"NAA9697";#N/A,#N/A,FALSE,"ECWEBB";#N/A,#N/A,FALSE,"MFT96";#N/A,#N/A,FALSE,"CTrecon"}</definedName>
    <definedName name="NOCONFLICT" localSheetId="46" hidden="1">{#N/A,#N/A,FALSE,"TMCOMP96";#N/A,#N/A,FALSE,"MAT96";#N/A,#N/A,FALSE,"FANDA96";#N/A,#N/A,FALSE,"INTRAN96";#N/A,#N/A,FALSE,"NAA9697";#N/A,#N/A,FALSE,"ECWEBB";#N/A,#N/A,FALSE,"MFT96";#N/A,#N/A,FALSE,"CTrecon"}</definedName>
    <definedName name="NOCONFLICT" localSheetId="41" hidden="1">{#N/A,#N/A,FALSE,"TMCOMP96";#N/A,#N/A,FALSE,"MAT96";#N/A,#N/A,FALSE,"FANDA96";#N/A,#N/A,FALSE,"INTRAN96";#N/A,#N/A,FALSE,"NAA9697";#N/A,#N/A,FALSE,"ECWEBB";#N/A,#N/A,FALSE,"MFT96";#N/A,#N/A,FALSE,"CTrecon"}</definedName>
    <definedName name="NOCONFLICT" localSheetId="39"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25" hidden="1">{#N/A,#N/A,FALSE,"TMCOMP96";#N/A,#N/A,FALSE,"MAT96";#N/A,#N/A,FALSE,"FANDA96";#N/A,#N/A,FALSE,"INTRAN96";#N/A,#N/A,FALSE,"NAA9697";#N/A,#N/A,FALSE,"ECWEBB";#N/A,#N/A,FALSE,"MFT96";#N/A,#N/A,FALSE,"CTrecon"}</definedName>
    <definedName name="Option2" localSheetId="26" hidden="1">{#N/A,#N/A,FALSE,"TMCOMP96";#N/A,#N/A,FALSE,"MAT96";#N/A,#N/A,FALSE,"FANDA96";#N/A,#N/A,FALSE,"INTRAN96";#N/A,#N/A,FALSE,"NAA9697";#N/A,#N/A,FALSE,"ECWEBB";#N/A,#N/A,FALSE,"MFT96";#N/A,#N/A,FALSE,"CTrecon"}</definedName>
    <definedName name="Option2" localSheetId="60" hidden="1">{#N/A,#N/A,FALSE,"TMCOMP96";#N/A,#N/A,FALSE,"MAT96";#N/A,#N/A,FALSE,"FANDA96";#N/A,#N/A,FALSE,"INTRAN96";#N/A,#N/A,FALSE,"NAA9697";#N/A,#N/A,FALSE,"ECWEBB";#N/A,#N/A,FALSE,"MFT96";#N/A,#N/A,FALSE,"CTrecon"}</definedName>
    <definedName name="Option2" localSheetId="58"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24" hidden="1">{#N/A,#N/A,FALSE,"TMCOMP96";#N/A,#N/A,FALSE,"MAT96";#N/A,#N/A,FALSE,"FANDA96";#N/A,#N/A,FALSE,"INTRAN96";#N/A,#N/A,FALSE,"NAA9697";#N/A,#N/A,FALSE,"ECWEBB";#N/A,#N/A,FALSE,"MFT96";#N/A,#N/A,FALSE,"CTrecon"}</definedName>
    <definedName name="Option2" localSheetId="23" hidden="1">{#N/A,#N/A,FALSE,"TMCOMP96";#N/A,#N/A,FALSE,"MAT96";#N/A,#N/A,FALSE,"FANDA96";#N/A,#N/A,FALSE,"INTRAN96";#N/A,#N/A,FALSE,"NAA9697";#N/A,#N/A,FALSE,"ECWEBB";#N/A,#N/A,FALSE,"MFT96";#N/A,#N/A,FALSE,"CTrecon"}</definedName>
    <definedName name="Option2" localSheetId="27" hidden="1">{#N/A,#N/A,FALSE,"TMCOMP96";#N/A,#N/A,FALSE,"MAT96";#N/A,#N/A,FALSE,"FANDA96";#N/A,#N/A,FALSE,"INTRAN96";#N/A,#N/A,FALSE,"NAA9697";#N/A,#N/A,FALSE,"ECWEBB";#N/A,#N/A,FALSE,"MFT96";#N/A,#N/A,FALSE,"CTrecon"}</definedName>
    <definedName name="Option2" localSheetId="45" hidden="1">{#N/A,#N/A,FALSE,"TMCOMP96";#N/A,#N/A,FALSE,"MAT96";#N/A,#N/A,FALSE,"FANDA96";#N/A,#N/A,FALSE,"INTRAN96";#N/A,#N/A,FALSE,"NAA9697";#N/A,#N/A,FALSE,"ECWEBB";#N/A,#N/A,FALSE,"MFT96";#N/A,#N/A,FALSE,"CTrecon"}</definedName>
    <definedName name="Option2" localSheetId="46" hidden="1">{#N/A,#N/A,FALSE,"TMCOMP96";#N/A,#N/A,FALSE,"MAT96";#N/A,#N/A,FALSE,"FANDA96";#N/A,#N/A,FALSE,"INTRAN96";#N/A,#N/A,FALSE,"NAA9697";#N/A,#N/A,FALSE,"ECWEBB";#N/A,#N/A,FALSE,"MFT96";#N/A,#N/A,FALSE,"CTrecon"}</definedName>
    <definedName name="Option2" localSheetId="41" hidden="1">{#N/A,#N/A,FALSE,"TMCOMP96";#N/A,#N/A,FALSE,"MAT96";#N/A,#N/A,FALSE,"FANDA96";#N/A,#N/A,FALSE,"INTRAN96";#N/A,#N/A,FALSE,"NAA9697";#N/A,#N/A,FALSE,"ECWEBB";#N/A,#N/A,FALSE,"MFT96";#N/A,#N/A,FALSE,"CTrecon"}</definedName>
    <definedName name="Option2" localSheetId="39"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5" hidden="1">[9]Population!#REF!</definedName>
    <definedName name="Pop" localSheetId="26" hidden="1">[9]Population!#REF!</definedName>
    <definedName name="Pop" localSheetId="51" hidden="1">[9]Population!#REF!</definedName>
    <definedName name="Pop" localSheetId="60" hidden="1">[9]Population!#REF!</definedName>
    <definedName name="Pop" localSheetId="50" hidden="1">[9]Population!#REF!</definedName>
    <definedName name="Pop" localSheetId="58" hidden="1">[9]Population!#REF!</definedName>
    <definedName name="Pop" localSheetId="22" hidden="1">[9]Population!#REF!</definedName>
    <definedName name="Pop" localSheetId="24" hidden="1">[9]Population!#REF!</definedName>
    <definedName name="Pop" localSheetId="23" hidden="1">[9]Population!#REF!</definedName>
    <definedName name="Pop" localSheetId="17" hidden="1">[9]Population!#REF!</definedName>
    <definedName name="Pop" localSheetId="27" hidden="1">[9]Population!#REF!</definedName>
    <definedName name="Pop" localSheetId="45" hidden="1">[9]Population!#REF!</definedName>
    <definedName name="Pop" localSheetId="41" hidden="1">[9]Population!#REF!</definedName>
    <definedName name="Pop" hidden="1">[9]Population!#REF!</definedName>
    <definedName name="_xlnm.Print_Area" localSheetId="13">AEC!$A$1:$M$92</definedName>
    <definedName name="_xlnm.Print_Area" localSheetId="14">Care_planning!$A$1:$N$90</definedName>
    <definedName name="_xlnm.Print_Area" localSheetId="29">CHE!$A$1:$L$102</definedName>
    <definedName name="_xlnm.Print_Area" localSheetId="11">Clinical_advisor_consultations!$A$1:$M$90</definedName>
    <definedName name="_xlnm.Print_Area" localSheetId="15">Colocate_UTC!$B$1:$M$88</definedName>
    <definedName name="_xlnm.Print_Area" localSheetId="4">control_sheet_and_graphs!$A$1:$J$205</definedName>
    <definedName name="_xlnm.Print_Area" localSheetId="25">D2A!$A$1:$M$53</definedName>
    <definedName name="_xlnm.Print_Area" localSheetId="26">Dis_Pl!$A$1:$K$90</definedName>
    <definedName name="_xlnm.Print_Area" localSheetId="51">E_AEC!$A$2:$C$27</definedName>
    <definedName name="_xlnm.Print_Area" localSheetId="49">E_Ambulance!$A$2:$D$8</definedName>
    <definedName name="_xlnm.Print_Area" localSheetId="63">E_CHE!$A$1:$C$6</definedName>
    <definedName name="_xlnm.Print_Area" localSheetId="59">E_D2A!$A$2:$C$9</definedName>
    <definedName name="_xlnm.Print_Area" localSheetId="60">E_Dis_Pl!$A$4:$B$8</definedName>
    <definedName name="_xlnm.Print_Area" localSheetId="64">E_EWS_in_CH!$A$1:$C$5</definedName>
    <definedName name="_xlnm.Print_Area" localSheetId="62">E_Falls!$A$2:$C$6</definedName>
    <definedName name="_xlnm.Print_Area" localSheetId="55">E_GP_hrs!$A$2:$C$13</definedName>
    <definedName name="_xlnm.Print_Area" localSheetId="56">E_MAS!$A$3:$B$7</definedName>
    <definedName name="_xlnm.Print_Area" localSheetId="61">E_RR!$A$2:$C$8</definedName>
    <definedName name="_xlnm.Print_Area" localSheetId="54">E_UCC_standards!$A$2:$E$56</definedName>
    <definedName name="_xlnm.Print_Area" localSheetId="19">Emergency_medication_supply!$B$1:$K$65</definedName>
    <definedName name="_xlnm.Print_Area" localSheetId="16">Enhanced_UCS!$A$1:$M$95</definedName>
    <definedName name="_xlnm.Print_Area" localSheetId="30">EWS_in_CH!$A$1:$M$110</definedName>
    <definedName name="_xlnm.Print_Area" localSheetId="28">Falls!$A$1:$L$117</definedName>
    <definedName name="_xlnm.Print_Area" localSheetId="18">GP_Hours!$A$1:$K$102</definedName>
    <definedName name="_xlnm.Print_Area" localSheetId="9">hear_and_treat!$B$1:$M$90</definedName>
    <definedName name="_xlnm.Print_Area" localSheetId="12">Integration_of_hubs!$A$1:$M$46</definedName>
    <definedName name="_xlnm.Print_Area" localSheetId="20">IP_drug_reconciliation!$A$1:$L$71</definedName>
    <definedName name="_xlnm.Print_Area" localSheetId="22">IR_in_AS!$A$1:$L$103</definedName>
    <definedName name="_xlnm.Print_Area" localSheetId="24">IR_in_CH!$A$1:$L$107</definedName>
    <definedName name="_xlnm.Print_Area" localSheetId="23">IR_in_ED!$B$1:$L$109</definedName>
    <definedName name="_xlnm.Print_Area" localSheetId="2">local_data_input!$A$1:$Y$142</definedName>
    <definedName name="_xlnm.Print_Area" localSheetId="31">other_intervention!$B$1:$L$102</definedName>
    <definedName name="_xlnm.Print_Area" localSheetId="5">outputs_by_channel!$A$2:$DQ$86</definedName>
    <definedName name="_xlnm.Print_Area" localSheetId="17">PGD_Minor_ailments!$A$1:$K$63</definedName>
    <definedName name="_xlnm.Print_Area" localSheetId="7">projections!$A$2:$AB$98</definedName>
    <definedName name="_xlnm.Print_Area" localSheetId="27">Rapid_Response!$A$1:$M$97</definedName>
    <definedName name="_xlnm.Print_Area" localSheetId="21">SCR_in_ED!$A$1:$L$57</definedName>
    <definedName name="_xlnm.Print_Area" localSheetId="10">see_and_treat!$B$1:$M$79</definedName>
    <definedName name="_xlnm.Print_Area" localSheetId="41">Set_up_IR!$A$1:$D$39</definedName>
    <definedName name="_xlnm.Print_Area" localSheetId="35">Set_up_PCP!$A$1:$K$65</definedName>
    <definedName name="_xlnm.Print_Area" localSheetId="42">Set_Up_RR!$A$1:$D$16</definedName>
    <definedName name="_xlnm.Print_Area" localSheetId="40">Set_up_SCR!$A$1:$F$29</definedName>
    <definedName name="_xlnm.Print_Area" localSheetId="8">staff_costs!$A$1:$M$25</definedName>
    <definedName name="_xlnm.Print_Area" localSheetId="0">Welcome!$A$1:$L$39</definedName>
    <definedName name="Profiles" localSheetId="25" hidden="1">#REF!</definedName>
    <definedName name="Profiles" localSheetId="26" hidden="1">#REF!</definedName>
    <definedName name="Profiles" localSheetId="51" hidden="1">#REF!</definedName>
    <definedName name="Profiles" localSheetId="60" hidden="1">#REF!</definedName>
    <definedName name="Profiles" localSheetId="50" hidden="1">#REF!</definedName>
    <definedName name="Profiles" localSheetId="58" hidden="1">#REF!</definedName>
    <definedName name="Profiles" localSheetId="22" hidden="1">#REF!</definedName>
    <definedName name="Profiles" localSheetId="24" hidden="1">#REF!</definedName>
    <definedName name="Profiles" localSheetId="23" hidden="1">#REF!</definedName>
    <definedName name="Profiles" localSheetId="17" hidden="1">#REF!</definedName>
    <definedName name="Profiles" localSheetId="27" hidden="1">#REF!</definedName>
    <definedName name="Profiles" localSheetId="45" hidden="1">#REF!</definedName>
    <definedName name="Profiles" localSheetId="46" hidden="1">#REF!</definedName>
    <definedName name="Profiles" localSheetId="41" hidden="1">#REF!</definedName>
    <definedName name="Profiles" hidden="1">#REF!</definedName>
    <definedName name="Projections" localSheetId="25" hidden="1">#REF!</definedName>
    <definedName name="Projections" localSheetId="26" hidden="1">#REF!</definedName>
    <definedName name="Projections" localSheetId="51" hidden="1">#REF!</definedName>
    <definedName name="Projections" localSheetId="60" hidden="1">#REF!</definedName>
    <definedName name="Projections" localSheetId="50" hidden="1">#REF!</definedName>
    <definedName name="Projections" localSheetId="58" hidden="1">#REF!</definedName>
    <definedName name="Projections" localSheetId="22" hidden="1">#REF!</definedName>
    <definedName name="Projections" localSheetId="24" hidden="1">#REF!</definedName>
    <definedName name="Projections" localSheetId="23" hidden="1">#REF!</definedName>
    <definedName name="Projections" localSheetId="17" hidden="1">#REF!</definedName>
    <definedName name="Projections" localSheetId="27" hidden="1">#REF!</definedName>
    <definedName name="Projections" localSheetId="45" hidden="1">#REF!</definedName>
    <definedName name="Projections" localSheetId="46" hidden="1">#REF!</definedName>
    <definedName name="Projections" localSheetId="41" hidden="1">#REF!</definedName>
    <definedName name="Projections" hidden="1">#REF!</definedName>
    <definedName name="Results" hidden="1">[10]UK99!$A$1:$A$1</definedName>
    <definedName name="sdf" localSheetId="25" hidden="1">{#N/A,#N/A,FALSE,"TMCOMP96";#N/A,#N/A,FALSE,"MAT96";#N/A,#N/A,FALSE,"FANDA96";#N/A,#N/A,FALSE,"INTRAN96";#N/A,#N/A,FALSE,"NAA9697";#N/A,#N/A,FALSE,"ECWEBB";#N/A,#N/A,FALSE,"MFT96";#N/A,#N/A,FALSE,"CTrecon"}</definedName>
    <definedName name="sdf" localSheetId="26" hidden="1">{#N/A,#N/A,FALSE,"TMCOMP96";#N/A,#N/A,FALSE,"MAT96";#N/A,#N/A,FALSE,"FANDA96";#N/A,#N/A,FALSE,"INTRAN96";#N/A,#N/A,FALSE,"NAA9697";#N/A,#N/A,FALSE,"ECWEBB";#N/A,#N/A,FALSE,"MFT96";#N/A,#N/A,FALSE,"CTrecon"}</definedName>
    <definedName name="sdf" localSheetId="60" hidden="1">{#N/A,#N/A,FALSE,"TMCOMP96";#N/A,#N/A,FALSE,"MAT96";#N/A,#N/A,FALSE,"FANDA96";#N/A,#N/A,FALSE,"INTRAN96";#N/A,#N/A,FALSE,"NAA9697";#N/A,#N/A,FALSE,"ECWEBB";#N/A,#N/A,FALSE,"MFT96";#N/A,#N/A,FALSE,"CTrecon"}</definedName>
    <definedName name="sdf" localSheetId="58"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24" hidden="1">{#N/A,#N/A,FALSE,"TMCOMP96";#N/A,#N/A,FALSE,"MAT96";#N/A,#N/A,FALSE,"FANDA96";#N/A,#N/A,FALSE,"INTRAN96";#N/A,#N/A,FALSE,"NAA9697";#N/A,#N/A,FALSE,"ECWEBB";#N/A,#N/A,FALSE,"MFT96";#N/A,#N/A,FALSE,"CTrecon"}</definedName>
    <definedName name="sdf" localSheetId="23" hidden="1">{#N/A,#N/A,FALSE,"TMCOMP96";#N/A,#N/A,FALSE,"MAT96";#N/A,#N/A,FALSE,"FANDA96";#N/A,#N/A,FALSE,"INTRAN96";#N/A,#N/A,FALSE,"NAA9697";#N/A,#N/A,FALSE,"ECWEBB";#N/A,#N/A,FALSE,"MFT96";#N/A,#N/A,FALSE,"CTrecon"}</definedName>
    <definedName name="sdf" localSheetId="27" hidden="1">{#N/A,#N/A,FALSE,"TMCOMP96";#N/A,#N/A,FALSE,"MAT96";#N/A,#N/A,FALSE,"FANDA96";#N/A,#N/A,FALSE,"INTRAN96";#N/A,#N/A,FALSE,"NAA9697";#N/A,#N/A,FALSE,"ECWEBB";#N/A,#N/A,FALSE,"MFT96";#N/A,#N/A,FALSE,"CTrecon"}</definedName>
    <definedName name="sdf" localSheetId="45" hidden="1">{#N/A,#N/A,FALSE,"TMCOMP96";#N/A,#N/A,FALSE,"MAT96";#N/A,#N/A,FALSE,"FANDA96";#N/A,#N/A,FALSE,"INTRAN96";#N/A,#N/A,FALSE,"NAA9697";#N/A,#N/A,FALSE,"ECWEBB";#N/A,#N/A,FALSE,"MFT96";#N/A,#N/A,FALSE,"CTrecon"}</definedName>
    <definedName name="sdf" localSheetId="46" hidden="1">{#N/A,#N/A,FALSE,"TMCOMP96";#N/A,#N/A,FALSE,"MAT96";#N/A,#N/A,FALSE,"FANDA96";#N/A,#N/A,FALSE,"INTRAN96";#N/A,#N/A,FALSE,"NAA9697";#N/A,#N/A,FALSE,"ECWEBB";#N/A,#N/A,FALSE,"MFT96";#N/A,#N/A,FALSE,"CTrecon"}</definedName>
    <definedName name="sdf" localSheetId="41" hidden="1">{#N/A,#N/A,FALSE,"TMCOMP96";#N/A,#N/A,FALSE,"MAT96";#N/A,#N/A,FALSE,"FANDA96";#N/A,#N/A,FALSE,"INTRAN96";#N/A,#N/A,FALSE,"NAA9697";#N/A,#N/A,FALSE,"ECWEBB";#N/A,#N/A,FALSE,"MFT96";#N/A,#N/A,FALSE,"CTrecon"}</definedName>
    <definedName name="sdf" localSheetId="39"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5"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60" hidden="1">{#N/A,#N/A,FALSE,"TMCOMP96";#N/A,#N/A,FALSE,"MAT96";#N/A,#N/A,FALSE,"FANDA96";#N/A,#N/A,FALSE,"INTRAN96";#N/A,#N/A,FALSE,"NAA9697";#N/A,#N/A,FALSE,"ECWEBB";#N/A,#N/A,FALSE,"MFT96";#N/A,#N/A,FALSE,"CTrecon"}</definedName>
    <definedName name="sdff" localSheetId="58"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24" hidden="1">{#N/A,#N/A,FALSE,"TMCOMP96";#N/A,#N/A,FALSE,"MAT96";#N/A,#N/A,FALSE,"FANDA96";#N/A,#N/A,FALSE,"INTRAN96";#N/A,#N/A,FALSE,"NAA9697";#N/A,#N/A,FALSE,"ECWEBB";#N/A,#N/A,FALSE,"MFT96";#N/A,#N/A,FALSE,"CTrecon"}</definedName>
    <definedName name="sdff" localSheetId="23" hidden="1">{#N/A,#N/A,FALSE,"TMCOMP96";#N/A,#N/A,FALSE,"MAT96";#N/A,#N/A,FALSE,"FANDA96";#N/A,#N/A,FALSE,"INTRAN96";#N/A,#N/A,FALSE,"NAA9697";#N/A,#N/A,FALSE,"ECWEBB";#N/A,#N/A,FALSE,"MFT96";#N/A,#N/A,FALSE,"CTrecon"}</definedName>
    <definedName name="sdff" localSheetId="27" hidden="1">{#N/A,#N/A,FALSE,"TMCOMP96";#N/A,#N/A,FALSE,"MAT96";#N/A,#N/A,FALSE,"FANDA96";#N/A,#N/A,FALSE,"INTRAN96";#N/A,#N/A,FALSE,"NAA9697";#N/A,#N/A,FALSE,"ECWEBB";#N/A,#N/A,FALSE,"MFT96";#N/A,#N/A,FALSE,"CTrecon"}</definedName>
    <definedName name="sdff" localSheetId="45" hidden="1">{#N/A,#N/A,FALSE,"TMCOMP96";#N/A,#N/A,FALSE,"MAT96";#N/A,#N/A,FALSE,"FANDA96";#N/A,#N/A,FALSE,"INTRAN96";#N/A,#N/A,FALSE,"NAA9697";#N/A,#N/A,FALSE,"ECWEBB";#N/A,#N/A,FALSE,"MFT96";#N/A,#N/A,FALSE,"CTrecon"}</definedName>
    <definedName name="sdff" localSheetId="46" hidden="1">{#N/A,#N/A,FALSE,"TMCOMP96";#N/A,#N/A,FALSE,"MAT96";#N/A,#N/A,FALSE,"FANDA96";#N/A,#N/A,FALSE,"INTRAN96";#N/A,#N/A,FALSE,"NAA9697";#N/A,#N/A,FALSE,"ECWEBB";#N/A,#N/A,FALSE,"MFT96";#N/A,#N/A,FALSE,"CTrecon"}</definedName>
    <definedName name="sdff" localSheetId="41" hidden="1">{#N/A,#N/A,FALSE,"TMCOMP96";#N/A,#N/A,FALSE,"MAT96";#N/A,#N/A,FALSE,"FANDA96";#N/A,#N/A,FALSE,"INTRAN96";#N/A,#N/A,FALSE,"NAA9697";#N/A,#N/A,FALSE,"ECWEBB";#N/A,#N/A,FALSE,"MFT96";#N/A,#N/A,FALSE,"CTrecon"}</definedName>
    <definedName name="sdff" localSheetId="39"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5"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60" hidden="1">{#N/A,#N/A,FALSE,"TMCOMP96";#N/A,#N/A,FALSE,"MAT96";#N/A,#N/A,FALSE,"FANDA96";#N/A,#N/A,FALSE,"INTRAN96";#N/A,#N/A,FALSE,"NAA9697";#N/A,#N/A,FALSE,"ECWEBB";#N/A,#N/A,FALSE,"MFT96";#N/A,#N/A,FALSE,"CTrecon"}</definedName>
    <definedName name="sfad" localSheetId="58"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24" hidden="1">{#N/A,#N/A,FALSE,"TMCOMP96";#N/A,#N/A,FALSE,"MAT96";#N/A,#N/A,FALSE,"FANDA96";#N/A,#N/A,FALSE,"INTRAN96";#N/A,#N/A,FALSE,"NAA9697";#N/A,#N/A,FALSE,"ECWEBB";#N/A,#N/A,FALSE,"MFT96";#N/A,#N/A,FALSE,"CTrecon"}</definedName>
    <definedName name="sfad" localSheetId="23" hidden="1">{#N/A,#N/A,FALSE,"TMCOMP96";#N/A,#N/A,FALSE,"MAT96";#N/A,#N/A,FALSE,"FANDA96";#N/A,#N/A,FALSE,"INTRAN96";#N/A,#N/A,FALSE,"NAA9697";#N/A,#N/A,FALSE,"ECWEBB";#N/A,#N/A,FALSE,"MFT96";#N/A,#N/A,FALSE,"CTrecon"}</definedName>
    <definedName name="sfad" localSheetId="27" hidden="1">{#N/A,#N/A,FALSE,"TMCOMP96";#N/A,#N/A,FALSE,"MAT96";#N/A,#N/A,FALSE,"FANDA96";#N/A,#N/A,FALSE,"INTRAN96";#N/A,#N/A,FALSE,"NAA9697";#N/A,#N/A,FALSE,"ECWEBB";#N/A,#N/A,FALSE,"MFT96";#N/A,#N/A,FALSE,"CTrecon"}</definedName>
    <definedName name="sfad" localSheetId="45" hidden="1">{#N/A,#N/A,FALSE,"TMCOMP96";#N/A,#N/A,FALSE,"MAT96";#N/A,#N/A,FALSE,"FANDA96";#N/A,#N/A,FALSE,"INTRAN96";#N/A,#N/A,FALSE,"NAA9697";#N/A,#N/A,FALSE,"ECWEBB";#N/A,#N/A,FALSE,"MFT96";#N/A,#N/A,FALSE,"CTrecon"}</definedName>
    <definedName name="sfad" localSheetId="46" hidden="1">{#N/A,#N/A,FALSE,"TMCOMP96";#N/A,#N/A,FALSE,"MAT96";#N/A,#N/A,FALSE,"FANDA96";#N/A,#N/A,FALSE,"INTRAN96";#N/A,#N/A,FALSE,"NAA9697";#N/A,#N/A,FALSE,"ECWEBB";#N/A,#N/A,FALSE,"MFT96";#N/A,#N/A,FALSE,"CTrecon"}</definedName>
    <definedName name="sfad" localSheetId="41" hidden="1">{#N/A,#N/A,FALSE,"TMCOMP96";#N/A,#N/A,FALSE,"MAT96";#N/A,#N/A,FALSE,"FANDA96";#N/A,#N/A,FALSE,"INTRAN96";#N/A,#N/A,FALSE,"NAA9697";#N/A,#N/A,FALSE,"ECWEBB";#N/A,#N/A,FALSE,"MFT96";#N/A,#N/A,FALSE,"CTrecon"}</definedName>
    <definedName name="sfad" localSheetId="39"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taff_List">staff_costs!$B$29:$B$49</definedName>
    <definedName name="temp" localSheetId="25" hidden="1">#REF!</definedName>
    <definedName name="temp" localSheetId="51" hidden="1">#REF!</definedName>
    <definedName name="temp" localSheetId="50" hidden="1">#REF!</definedName>
    <definedName name="temp" localSheetId="22" hidden="1">#REF!</definedName>
    <definedName name="temp" localSheetId="24" hidden="1">#REF!</definedName>
    <definedName name="temp" localSheetId="23" hidden="1">#REF!</definedName>
    <definedName name="temp" localSheetId="27" hidden="1">#REF!</definedName>
    <definedName name="temp" localSheetId="46" hidden="1">#REF!</definedName>
    <definedName name="temp" hidden="1">#REF!</definedName>
    <definedName name="trggh" localSheetId="25"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60" hidden="1">{#N/A,#N/A,FALSE,"TMCOMP96";#N/A,#N/A,FALSE,"MAT96";#N/A,#N/A,FALSE,"FANDA96";#N/A,#N/A,FALSE,"INTRAN96";#N/A,#N/A,FALSE,"NAA9697";#N/A,#N/A,FALSE,"ECWEBB";#N/A,#N/A,FALSE,"MFT96";#N/A,#N/A,FALSE,"CTrecon"}</definedName>
    <definedName name="trggh" localSheetId="58"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24" hidden="1">{#N/A,#N/A,FALSE,"TMCOMP96";#N/A,#N/A,FALSE,"MAT96";#N/A,#N/A,FALSE,"FANDA96";#N/A,#N/A,FALSE,"INTRAN96";#N/A,#N/A,FALSE,"NAA9697";#N/A,#N/A,FALSE,"ECWEBB";#N/A,#N/A,FALSE,"MFT96";#N/A,#N/A,FALSE,"CTrecon"}</definedName>
    <definedName name="trggh" localSheetId="23" hidden="1">{#N/A,#N/A,FALSE,"TMCOMP96";#N/A,#N/A,FALSE,"MAT96";#N/A,#N/A,FALSE,"FANDA96";#N/A,#N/A,FALSE,"INTRAN96";#N/A,#N/A,FALSE,"NAA9697";#N/A,#N/A,FALSE,"ECWEBB";#N/A,#N/A,FALSE,"MFT96";#N/A,#N/A,FALSE,"CTrecon"}</definedName>
    <definedName name="trggh" localSheetId="27" hidden="1">{#N/A,#N/A,FALSE,"TMCOMP96";#N/A,#N/A,FALSE,"MAT96";#N/A,#N/A,FALSE,"FANDA96";#N/A,#N/A,FALSE,"INTRAN96";#N/A,#N/A,FALSE,"NAA9697";#N/A,#N/A,FALSE,"ECWEBB";#N/A,#N/A,FALSE,"MFT96";#N/A,#N/A,FALSE,"CTrecon"}</definedName>
    <definedName name="trggh" localSheetId="45" hidden="1">{#N/A,#N/A,FALSE,"TMCOMP96";#N/A,#N/A,FALSE,"MAT96";#N/A,#N/A,FALSE,"FANDA96";#N/A,#N/A,FALSE,"INTRAN96";#N/A,#N/A,FALSE,"NAA9697";#N/A,#N/A,FALSE,"ECWEBB";#N/A,#N/A,FALSE,"MFT96";#N/A,#N/A,FALSE,"CTrecon"}</definedName>
    <definedName name="trggh" localSheetId="46" hidden="1">{#N/A,#N/A,FALSE,"TMCOMP96";#N/A,#N/A,FALSE,"MAT96";#N/A,#N/A,FALSE,"FANDA96";#N/A,#N/A,FALSE,"INTRAN96";#N/A,#N/A,FALSE,"NAA9697";#N/A,#N/A,FALSE,"ECWEBB";#N/A,#N/A,FALSE,"MFT96";#N/A,#N/A,FALSE,"CTrecon"}</definedName>
    <definedName name="trggh" localSheetId="41" hidden="1">{#N/A,#N/A,FALSE,"TMCOMP96";#N/A,#N/A,FALSE,"MAT96";#N/A,#N/A,FALSE,"FANDA96";#N/A,#N/A,FALSE,"INTRAN96";#N/A,#N/A,FALSE,"NAA9697";#N/A,#N/A,FALSE,"ECWEBB";#N/A,#N/A,FALSE,"MFT96";#N/A,#N/A,FALSE,"CTrecon"}</definedName>
    <definedName name="trggh" localSheetId="39"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uplift">staff_costs!$K$4:$K$7</definedName>
    <definedName name="wrn.MFF._.weightings." localSheetId="14" hidden="1">{#N/A,#N/A,FALSE,"Tab 1";#N/A,#N/A,FALSE,"Tab 2";#N/A,#N/A,FALSE,"Tab 3";#N/A,#N/A,FALSE,"Tab 4";#N/A,#N/A,FALSE,"Tab 5";#N/A,#N/A,FALSE,"tab2%"}</definedName>
    <definedName name="wrn.MFF._.weightings." localSheetId="15" hidden="1">{#N/A,#N/A,FALSE,"Tab 1";#N/A,#N/A,FALSE,"Tab 2";#N/A,#N/A,FALSE,"Tab 3";#N/A,#N/A,FALSE,"Tab 4";#N/A,#N/A,FALSE,"Tab 5";#N/A,#N/A,FALSE,"tab2%"}</definedName>
    <definedName name="wrn.MFF._.weightings." localSheetId="25" hidden="1">{#N/A,#N/A,FALSE,"Tab 1";#N/A,#N/A,FALSE,"Tab 2";#N/A,#N/A,FALSE,"Tab 3";#N/A,#N/A,FALSE,"Tab 4";#N/A,#N/A,FALSE,"Tab 5";#N/A,#N/A,FALSE,"tab2%"}</definedName>
    <definedName name="wrn.MFF._.weightings." localSheetId="26" hidden="1">{#N/A,#N/A,FALSE,"Tab 1";#N/A,#N/A,FALSE,"Tab 2";#N/A,#N/A,FALSE,"Tab 3";#N/A,#N/A,FALSE,"Tab 4";#N/A,#N/A,FALSE,"Tab 5";#N/A,#N/A,FALSE,"tab2%"}</definedName>
    <definedName name="wrn.MFF._.weightings." localSheetId="52" hidden="1">{#N/A,#N/A,FALSE,"Tab 1";#N/A,#N/A,FALSE,"Tab 2";#N/A,#N/A,FALSE,"Tab 3";#N/A,#N/A,FALSE,"Tab 4";#N/A,#N/A,FALSE,"Tab 5";#N/A,#N/A,FALSE,"tab2%"}</definedName>
    <definedName name="wrn.MFF._.weightings." localSheetId="60" hidden="1">{#N/A,#N/A,FALSE,"Tab 1";#N/A,#N/A,FALSE,"Tab 2";#N/A,#N/A,FALSE,"Tab 3";#N/A,#N/A,FALSE,"Tab 4";#N/A,#N/A,FALSE,"Tab 5";#N/A,#N/A,FALSE,"tab2%"}</definedName>
    <definedName name="wrn.MFF._.weightings." localSheetId="58" hidden="1">{#N/A,#N/A,FALSE,"Tab 1";#N/A,#N/A,FALSE,"Tab 2";#N/A,#N/A,FALSE,"Tab 3";#N/A,#N/A,FALSE,"Tab 4";#N/A,#N/A,FALSE,"Tab 5";#N/A,#N/A,FALSE,"tab2%"}</definedName>
    <definedName name="wrn.MFF._.weightings." localSheetId="61" hidden="1">{#N/A,#N/A,FALSE,"Tab 1";#N/A,#N/A,FALSE,"Tab 2";#N/A,#N/A,FALSE,"Tab 3";#N/A,#N/A,FALSE,"Tab 4";#N/A,#N/A,FALSE,"Tab 5";#N/A,#N/A,FALSE,"tab2%"}</definedName>
    <definedName name="wrn.MFF._.weightings." localSheetId="19" hidden="1">{#N/A,#N/A,FALSE,"Tab 1";#N/A,#N/A,FALSE,"Tab 2";#N/A,#N/A,FALSE,"Tab 3";#N/A,#N/A,FALSE,"Tab 4";#N/A,#N/A,FALSE,"Tab 5";#N/A,#N/A,FALSE,"tab2%"}</definedName>
    <definedName name="wrn.MFF._.weightings." localSheetId="16" hidden="1">{#N/A,#N/A,FALSE,"Tab 1";#N/A,#N/A,FALSE,"Tab 2";#N/A,#N/A,FALSE,"Tab 3";#N/A,#N/A,FALSE,"Tab 4";#N/A,#N/A,FALSE,"Tab 5";#N/A,#N/A,FALSE,"tab2%"}</definedName>
    <definedName name="wrn.MFF._.weightings." localSheetId="18" hidden="1">{#N/A,#N/A,FALSE,"Tab 1";#N/A,#N/A,FALSE,"Tab 2";#N/A,#N/A,FALSE,"Tab 3";#N/A,#N/A,FALSE,"Tab 4";#N/A,#N/A,FALSE,"Tab 5";#N/A,#N/A,FALSE,"tab2%"}</definedName>
    <definedName name="wrn.MFF._.weightings." localSheetId="20" hidden="1">{#N/A,#N/A,FALSE,"Tab 1";#N/A,#N/A,FALSE,"Tab 2";#N/A,#N/A,FALSE,"Tab 3";#N/A,#N/A,FALSE,"Tab 4";#N/A,#N/A,FALSE,"Tab 5";#N/A,#N/A,FALSE,"tab2%"}</definedName>
    <definedName name="wrn.MFF._.weightings." localSheetId="22" hidden="1">{#N/A,#N/A,FALSE,"Tab 1";#N/A,#N/A,FALSE,"Tab 2";#N/A,#N/A,FALSE,"Tab 3";#N/A,#N/A,FALSE,"Tab 4";#N/A,#N/A,FALSE,"Tab 5";#N/A,#N/A,FALSE,"tab2%"}</definedName>
    <definedName name="wrn.MFF._.weightings." localSheetId="24" hidden="1">{#N/A,#N/A,FALSE,"Tab 1";#N/A,#N/A,FALSE,"Tab 2";#N/A,#N/A,FALSE,"Tab 3";#N/A,#N/A,FALSE,"Tab 4";#N/A,#N/A,FALSE,"Tab 5";#N/A,#N/A,FALSE,"tab2%"}</definedName>
    <definedName name="wrn.MFF._.weightings." localSheetId="23" hidden="1">{#N/A,#N/A,FALSE,"Tab 1";#N/A,#N/A,FALSE,"Tab 2";#N/A,#N/A,FALSE,"Tab 3";#N/A,#N/A,FALSE,"Tab 4";#N/A,#N/A,FALSE,"Tab 5";#N/A,#N/A,FALSE,"tab2%"}</definedName>
    <definedName name="wrn.MFF._.weightings." localSheetId="17" hidden="1">{#N/A,#N/A,FALSE,"Tab 1";#N/A,#N/A,FALSE,"Tab 2";#N/A,#N/A,FALSE,"Tab 3";#N/A,#N/A,FALSE,"Tab 4";#N/A,#N/A,FALSE,"Tab 5";#N/A,#N/A,FALSE,"tab2%"}</definedName>
    <definedName name="wrn.MFF._.weightings." localSheetId="27" hidden="1">{#N/A,#N/A,FALSE,"Tab 1";#N/A,#N/A,FALSE,"Tab 2";#N/A,#N/A,FALSE,"Tab 3";#N/A,#N/A,FALSE,"Tab 4";#N/A,#N/A,FALSE,"Tab 5";#N/A,#N/A,FALSE,"tab2%"}</definedName>
    <definedName name="wrn.MFF._.weightings." localSheetId="21" hidden="1">{#N/A,#N/A,FALSE,"Tab 1";#N/A,#N/A,FALSE,"Tab 2";#N/A,#N/A,FALSE,"Tab 3";#N/A,#N/A,FALSE,"Tab 4";#N/A,#N/A,FALSE,"Tab 5";#N/A,#N/A,FALSE,"tab2%"}</definedName>
    <definedName name="wrn.MFF._.weightings." localSheetId="37" hidden="1">{#N/A,#N/A,FALSE,"Tab 1";#N/A,#N/A,FALSE,"Tab 2";#N/A,#N/A,FALSE,"Tab 3";#N/A,#N/A,FALSE,"Tab 4";#N/A,#N/A,FALSE,"Tab 5";#N/A,#N/A,FALSE,"tab2%"}</definedName>
    <definedName name="wrn.MFF._.weightings." localSheetId="34" hidden="1">{#N/A,#N/A,FALSE,"Tab 1";#N/A,#N/A,FALSE,"Tab 2";#N/A,#N/A,FALSE,"Tab 3";#N/A,#N/A,FALSE,"Tab 4";#N/A,#N/A,FALSE,"Tab 5";#N/A,#N/A,FALSE,"tab2%"}</definedName>
    <definedName name="wrn.MFF._.weightings." localSheetId="36" hidden="1">{#N/A,#N/A,FALSE,"Tab 1";#N/A,#N/A,FALSE,"Tab 2";#N/A,#N/A,FALSE,"Tab 3";#N/A,#N/A,FALSE,"Tab 4";#N/A,#N/A,FALSE,"Tab 5";#N/A,#N/A,FALSE,"tab2%"}</definedName>
    <definedName name="wrn.MFF._.weightings." localSheetId="45" hidden="1">{#N/A,#N/A,FALSE,"Tab 1";#N/A,#N/A,FALSE,"Tab 2";#N/A,#N/A,FALSE,"Tab 3";#N/A,#N/A,FALSE,"Tab 4";#N/A,#N/A,FALSE,"Tab 5";#N/A,#N/A,FALSE,"tab2%"}</definedName>
    <definedName name="wrn.MFF._.weightings." localSheetId="46" hidden="1">{#N/A,#N/A,FALSE,"Tab 1";#N/A,#N/A,FALSE,"Tab 2";#N/A,#N/A,FALSE,"Tab 3";#N/A,#N/A,FALSE,"Tab 4";#N/A,#N/A,FALSE,"Tab 5";#N/A,#N/A,FALSE,"tab2%"}</definedName>
    <definedName name="wrn.MFF._.weightings." localSheetId="38" hidden="1">{#N/A,#N/A,FALSE,"Tab 1";#N/A,#N/A,FALSE,"Tab 2";#N/A,#N/A,FALSE,"Tab 3";#N/A,#N/A,FALSE,"Tab 4";#N/A,#N/A,FALSE,"Tab 5";#N/A,#N/A,FALSE,"tab2%"}</definedName>
    <definedName name="wrn.MFF._.weightings." localSheetId="41" hidden="1">{#N/A,#N/A,FALSE,"Tab 1";#N/A,#N/A,FALSE,"Tab 2";#N/A,#N/A,FALSE,"Tab 3";#N/A,#N/A,FALSE,"Tab 4";#N/A,#N/A,FALSE,"Tab 5";#N/A,#N/A,FALSE,"tab2%"}</definedName>
    <definedName name="wrn.MFF._.weightings." localSheetId="39" hidden="1">{#N/A,#N/A,FALSE,"Tab 1";#N/A,#N/A,FALSE,"Tab 2";#N/A,#N/A,FALSE,"Tab 3";#N/A,#N/A,FALSE,"Tab 4";#N/A,#N/A,FALSE,"Tab 5";#N/A,#N/A,FALSE,"tab2%"}</definedName>
    <definedName name="wrn.MFF._.weightings." localSheetId="35" hidden="1">{#N/A,#N/A,FALSE,"Tab 1";#N/A,#N/A,FALSE,"Tab 2";#N/A,#N/A,FALSE,"Tab 3";#N/A,#N/A,FALSE,"Tab 4";#N/A,#N/A,FALSE,"Tab 5";#N/A,#N/A,FALSE,"tab2%"}</definedName>
    <definedName name="wrn.MFF._.weightings." localSheetId="40" hidden="1">{#N/A,#N/A,FALSE,"Tab 1";#N/A,#N/A,FALSE,"Tab 2";#N/A,#N/A,FALSE,"Tab 3";#N/A,#N/A,FALSE,"Tab 4";#N/A,#N/A,FALSE,"Tab 5";#N/A,#N/A,FALSE,"tab2%"}</definedName>
    <definedName name="wrn.MFF._.weightings." hidden="1">{#N/A,#N/A,FALSE,"Tab 1";#N/A,#N/A,FALSE,"Tab 2";#N/A,#N/A,FALSE,"Tab 3";#N/A,#N/A,FALSE,"Tab 4";#N/A,#N/A,FALSE,"Tab 5";#N/A,#N/A,FALSE,"tab2%"}</definedName>
    <definedName name="wrn.TMCOMP." localSheetId="25" hidden="1">{#N/A,#N/A,FALSE,"TMCOMP96";#N/A,#N/A,FALSE,"MAT96";#N/A,#N/A,FALSE,"FANDA96";#N/A,#N/A,FALSE,"INTRAN96";#N/A,#N/A,FALSE,"NAA9697";#N/A,#N/A,FALSE,"ECWEBB";#N/A,#N/A,FALSE,"MFT96";#N/A,#N/A,FALSE,"CTrecon"}</definedName>
    <definedName name="wrn.TMCOMP." localSheetId="26" hidden="1">{#N/A,#N/A,FALSE,"TMCOMP96";#N/A,#N/A,FALSE,"MAT96";#N/A,#N/A,FALSE,"FANDA96";#N/A,#N/A,FALSE,"INTRAN96";#N/A,#N/A,FALSE,"NAA9697";#N/A,#N/A,FALSE,"ECWEBB";#N/A,#N/A,FALSE,"MFT96";#N/A,#N/A,FALSE,"CTrecon"}</definedName>
    <definedName name="wrn.TMCOMP." localSheetId="60" hidden="1">{#N/A,#N/A,FALSE,"TMCOMP96";#N/A,#N/A,FALSE,"MAT96";#N/A,#N/A,FALSE,"FANDA96";#N/A,#N/A,FALSE,"INTRAN96";#N/A,#N/A,FALSE,"NAA9697";#N/A,#N/A,FALSE,"ECWEBB";#N/A,#N/A,FALSE,"MFT96";#N/A,#N/A,FALSE,"CTrecon"}</definedName>
    <definedName name="wrn.TMCOMP." localSheetId="58"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24" hidden="1">{#N/A,#N/A,FALSE,"TMCOMP96";#N/A,#N/A,FALSE,"MAT96";#N/A,#N/A,FALSE,"FANDA96";#N/A,#N/A,FALSE,"INTRAN96";#N/A,#N/A,FALSE,"NAA9697";#N/A,#N/A,FALSE,"ECWEBB";#N/A,#N/A,FALSE,"MFT96";#N/A,#N/A,FALSE,"CTrecon"}</definedName>
    <definedName name="wrn.TMCOMP." localSheetId="23" hidden="1">{#N/A,#N/A,FALSE,"TMCOMP96";#N/A,#N/A,FALSE,"MAT96";#N/A,#N/A,FALSE,"FANDA96";#N/A,#N/A,FALSE,"INTRAN96";#N/A,#N/A,FALSE,"NAA9697";#N/A,#N/A,FALSE,"ECWEBB";#N/A,#N/A,FALSE,"MFT96";#N/A,#N/A,FALSE,"CTrecon"}</definedName>
    <definedName name="wrn.TMCOMP." localSheetId="27" hidden="1">{#N/A,#N/A,FALSE,"TMCOMP96";#N/A,#N/A,FALSE,"MAT96";#N/A,#N/A,FALSE,"FANDA96";#N/A,#N/A,FALSE,"INTRAN96";#N/A,#N/A,FALSE,"NAA9697";#N/A,#N/A,FALSE,"ECWEBB";#N/A,#N/A,FALSE,"MFT96";#N/A,#N/A,FALSE,"CTrecon"}</definedName>
    <definedName name="wrn.TMCOMP." localSheetId="45" hidden="1">{#N/A,#N/A,FALSE,"TMCOMP96";#N/A,#N/A,FALSE,"MAT96";#N/A,#N/A,FALSE,"FANDA96";#N/A,#N/A,FALSE,"INTRAN96";#N/A,#N/A,FALSE,"NAA9697";#N/A,#N/A,FALSE,"ECWEBB";#N/A,#N/A,FALSE,"MFT96";#N/A,#N/A,FALSE,"CTrecon"}</definedName>
    <definedName name="wrn.TMCOMP." localSheetId="46" hidden="1">{#N/A,#N/A,FALSE,"TMCOMP96";#N/A,#N/A,FALSE,"MAT96";#N/A,#N/A,FALSE,"FANDA96";#N/A,#N/A,FALSE,"INTRAN96";#N/A,#N/A,FALSE,"NAA9697";#N/A,#N/A,FALSE,"ECWEBB";#N/A,#N/A,FALSE,"MFT96";#N/A,#N/A,FALSE,"CTrecon"}</definedName>
    <definedName name="wrn.TMCOMP." localSheetId="41" hidden="1">{#N/A,#N/A,FALSE,"TMCOMP96";#N/A,#N/A,FALSE,"MAT96";#N/A,#N/A,FALSE,"FANDA96";#N/A,#N/A,FALSE,"INTRAN96";#N/A,#N/A,FALSE,"NAA9697";#N/A,#N/A,FALSE,"ECWEBB";#N/A,#N/A,FALSE,"MFT96";#N/A,#N/A,FALSE,"CTrecon"}</definedName>
    <definedName name="wrn.TMCOMP." localSheetId="39"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x" hidden="1">'[7]Table 5.6'!#REF!</definedName>
    <definedName name="y" hidden="1">#REF!</definedName>
    <definedName name="z" hidden="1">'[7]Table 5.6'!#REF!</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A3" i="48" l="1"/>
  <c r="E23" i="47"/>
  <c r="AO4" i="12" s="1"/>
  <c r="B1" i="71" l="1"/>
  <c r="C21" i="47"/>
  <c r="C9" i="47"/>
  <c r="E21" i="96" l="1"/>
  <c r="F34" i="93"/>
  <c r="H34" i="93" s="1"/>
  <c r="D33" i="93"/>
  <c r="CW5" i="12"/>
  <c r="E53" i="94"/>
  <c r="A3" i="110"/>
  <c r="I50" i="53"/>
  <c r="I51" i="53"/>
  <c r="I52" i="53"/>
  <c r="I53" i="53"/>
  <c r="K50" i="53"/>
  <c r="K51" i="53"/>
  <c r="K52" i="53"/>
  <c r="K53" i="53"/>
  <c r="K49" i="53"/>
  <c r="I49" i="53"/>
  <c r="E53" i="53"/>
  <c r="E52" i="53"/>
  <c r="E51" i="53"/>
  <c r="B1" i="104"/>
  <c r="A3" i="111"/>
  <c r="J43" i="53"/>
  <c r="J44" i="53"/>
  <c r="J45" i="53"/>
  <c r="K54" i="53" l="1"/>
  <c r="I51" i="93"/>
  <c r="B117" i="78" l="1"/>
  <c r="B118" i="78"/>
  <c r="B119" i="78"/>
  <c r="B120" i="78"/>
  <c r="B121" i="78"/>
  <c r="B122" i="78"/>
  <c r="B123" i="78"/>
  <c r="B124" i="78"/>
  <c r="B125" i="78"/>
  <c r="B126" i="78"/>
  <c r="B127" i="78"/>
  <c r="B128" i="78"/>
  <c r="B129" i="78"/>
  <c r="B130" i="78"/>
  <c r="B131" i="78"/>
  <c r="B132" i="78"/>
  <c r="B116" i="78"/>
  <c r="E11" i="79"/>
  <c r="B139" i="78"/>
  <c r="F16" i="21" l="1"/>
  <c r="F33" i="112" l="1"/>
  <c r="E33" i="112"/>
  <c r="G33" i="112"/>
  <c r="D33" i="112"/>
  <c r="C33" i="112"/>
  <c r="L56" i="82" l="1"/>
  <c r="L53" i="82"/>
  <c r="K56" i="82" l="1"/>
  <c r="L54" i="82"/>
  <c r="L55" i="82"/>
  <c r="K53" i="82" l="1"/>
  <c r="K54" i="82"/>
  <c r="K55" i="82"/>
  <c r="D34" i="93"/>
  <c r="D35" i="93"/>
  <c r="D71" i="93" s="1"/>
  <c r="D42" i="90"/>
  <c r="D70" i="93" l="1"/>
  <c r="F38" i="63"/>
  <c r="D37" i="60"/>
  <c r="F16" i="41"/>
  <c r="L60" i="82" l="1"/>
  <c r="L49" i="82"/>
  <c r="J40" i="56" l="1"/>
  <c r="C86" i="78" l="1"/>
  <c r="C90" i="78" s="1"/>
  <c r="C111" i="78" s="1"/>
  <c r="D86" i="78"/>
  <c r="D90" i="78" s="1"/>
  <c r="D111" i="78" s="1"/>
  <c r="E86" i="78"/>
  <c r="F86" i="78"/>
  <c r="F90" i="78" s="1"/>
  <c r="F111" i="78" s="1"/>
  <c r="G86" i="78"/>
  <c r="B108" i="78"/>
  <c r="B112" i="78" s="1"/>
  <c r="E5" i="4"/>
  <c r="E6" i="4"/>
  <c r="E7" i="4"/>
  <c r="E8" i="4"/>
  <c r="E9" i="4"/>
  <c r="E10" i="4"/>
  <c r="E11" i="4"/>
  <c r="E12" i="4"/>
  <c r="E13" i="4"/>
  <c r="E14" i="4"/>
  <c r="E15" i="4"/>
  <c r="E16" i="4"/>
  <c r="E17" i="4"/>
  <c r="E18" i="4"/>
  <c r="E19" i="4"/>
  <c r="E20" i="4"/>
  <c r="H4" i="4"/>
  <c r="E4" i="4"/>
  <c r="K11" i="12"/>
  <c r="L28" i="21"/>
  <c r="L29" i="21"/>
  <c r="L30" i="21"/>
  <c r="L31" i="21"/>
  <c r="L32" i="21"/>
  <c r="K7" i="12"/>
  <c r="K10" i="12"/>
  <c r="K24" i="12"/>
  <c r="K25" i="12"/>
  <c r="K31" i="12"/>
  <c r="K32" i="12"/>
  <c r="K36" i="12"/>
  <c r="E24" i="21"/>
  <c r="K4" i="12" s="1"/>
  <c r="P11" i="12"/>
  <c r="P7" i="12"/>
  <c r="P10" i="12"/>
  <c r="U11" i="12"/>
  <c r="U7" i="12"/>
  <c r="U10" i="12"/>
  <c r="Z11" i="12"/>
  <c r="Z7" i="12"/>
  <c r="Z10" i="12"/>
  <c r="AE11" i="12"/>
  <c r="AE7" i="12"/>
  <c r="AE10" i="12"/>
  <c r="AJ11" i="12"/>
  <c r="AJ7" i="12"/>
  <c r="AJ10" i="12"/>
  <c r="AJ21" i="12"/>
  <c r="AO11" i="12"/>
  <c r="AO7" i="12"/>
  <c r="AO10" i="12"/>
  <c r="AT11" i="12"/>
  <c r="AT7" i="12"/>
  <c r="AT10" i="12"/>
  <c r="AY11" i="12"/>
  <c r="AY7" i="12"/>
  <c r="AY10" i="12"/>
  <c r="BD11" i="12"/>
  <c r="BD5" i="12"/>
  <c r="BD7" i="12"/>
  <c r="BD10" i="12"/>
  <c r="BI11" i="12"/>
  <c r="BI7" i="12"/>
  <c r="BI10" i="12"/>
  <c r="BN11" i="12"/>
  <c r="BN7" i="12"/>
  <c r="BN10" i="12"/>
  <c r="BS11" i="12"/>
  <c r="BS7" i="12"/>
  <c r="BS10" i="12"/>
  <c r="CW11" i="12"/>
  <c r="CW7" i="12"/>
  <c r="CW10" i="12"/>
  <c r="CW21" i="12"/>
  <c r="BX11" i="12"/>
  <c r="BX7" i="12"/>
  <c r="BX10" i="12"/>
  <c r="BX21" i="12"/>
  <c r="CC11" i="12"/>
  <c r="CC7" i="12"/>
  <c r="CC10" i="12"/>
  <c r="CC21" i="12"/>
  <c r="CH11" i="12"/>
  <c r="CH5" i="12"/>
  <c r="CH7" i="12"/>
  <c r="CH10" i="12"/>
  <c r="CH21" i="12"/>
  <c r="DB11" i="12"/>
  <c r="DB5" i="12"/>
  <c r="DB7" i="12"/>
  <c r="DB10" i="12"/>
  <c r="CM11" i="12"/>
  <c r="CM7" i="12"/>
  <c r="CM10" i="12"/>
  <c r="CM21" i="12"/>
  <c r="CM39" i="12" s="1"/>
  <c r="DG11" i="12"/>
  <c r="DG7" i="12"/>
  <c r="DG10" i="12"/>
  <c r="DG21" i="12"/>
  <c r="DL11" i="12"/>
  <c r="DL7" i="12"/>
  <c r="DL10" i="12"/>
  <c r="DL21" i="12"/>
  <c r="CR11" i="12"/>
  <c r="CR7" i="12"/>
  <c r="CR10" i="12"/>
  <c r="CR21" i="12"/>
  <c r="CR39" i="12" s="1"/>
  <c r="P22" i="12"/>
  <c r="CW22" i="12"/>
  <c r="BX22" i="12"/>
  <c r="CC22" i="12"/>
  <c r="CH22" i="12"/>
  <c r="DB22" i="12"/>
  <c r="DG22" i="12"/>
  <c r="DL22" i="12"/>
  <c r="AO23" i="12"/>
  <c r="AT23" i="12"/>
  <c r="AY23" i="12"/>
  <c r="BD23" i="12"/>
  <c r="BI23" i="12"/>
  <c r="CC23" i="12"/>
  <c r="CH23" i="12"/>
  <c r="U24" i="12"/>
  <c r="AO24" i="12"/>
  <c r="AY24" i="12"/>
  <c r="BD24" i="12"/>
  <c r="BI24" i="12"/>
  <c r="BX24" i="12"/>
  <c r="CC24" i="12"/>
  <c r="CH24" i="12"/>
  <c r="U25" i="12"/>
  <c r="AO25" i="12"/>
  <c r="AT25" i="12"/>
  <c r="AY25" i="12"/>
  <c r="BD25" i="12"/>
  <c r="BI25" i="12"/>
  <c r="BX25" i="12"/>
  <c r="CC25" i="12"/>
  <c r="CH25" i="12"/>
  <c r="BX26" i="12"/>
  <c r="CC26" i="12"/>
  <c r="CH26" i="12"/>
  <c r="DG26" i="12"/>
  <c r="DL26" i="12"/>
  <c r="AT27" i="12"/>
  <c r="BX27" i="12"/>
  <c r="CC27" i="12"/>
  <c r="CH27" i="12"/>
  <c r="DB27" i="12"/>
  <c r="BX28" i="12"/>
  <c r="CC28" i="12"/>
  <c r="CH28" i="12"/>
  <c r="DG28" i="12"/>
  <c r="DL28" i="12"/>
  <c r="AT29" i="12"/>
  <c r="BX29" i="12"/>
  <c r="CC29" i="12"/>
  <c r="CH29" i="12"/>
  <c r="U31" i="12"/>
  <c r="CC31" i="12"/>
  <c r="CH31" i="12"/>
  <c r="DB31" i="12"/>
  <c r="DG31" i="12"/>
  <c r="U32" i="12"/>
  <c r="AJ32" i="12"/>
  <c r="CW32" i="12"/>
  <c r="BX32" i="12"/>
  <c r="CC32" i="12"/>
  <c r="CH32" i="12"/>
  <c r="DB32" i="12"/>
  <c r="DG32" i="12"/>
  <c r="DL32" i="12"/>
  <c r="U33" i="12"/>
  <c r="AJ33" i="12"/>
  <c r="BX33" i="12"/>
  <c r="CC33" i="12"/>
  <c r="CH33" i="12"/>
  <c r="DG33" i="12"/>
  <c r="DL33" i="12"/>
  <c r="CW34" i="12"/>
  <c r="BX34" i="12"/>
  <c r="CC34" i="12"/>
  <c r="CH34" i="12"/>
  <c r="AJ35" i="12"/>
  <c r="BX35" i="12"/>
  <c r="CC35" i="12"/>
  <c r="CH35" i="12"/>
  <c r="U36" i="12"/>
  <c r="AJ36" i="12"/>
  <c r="AO36" i="12"/>
  <c r="AT36" i="12"/>
  <c r="AY36" i="12"/>
  <c r="BD36" i="12"/>
  <c r="BI36" i="12"/>
  <c r="BX36" i="12"/>
  <c r="CC36" i="12"/>
  <c r="CH36" i="12"/>
  <c r="BX37" i="12"/>
  <c r="CC37" i="12"/>
  <c r="CH37" i="12"/>
  <c r="DG37" i="12"/>
  <c r="DL37" i="12"/>
  <c r="J4" i="4"/>
  <c r="L95" i="4" s="1"/>
  <c r="I4" i="4"/>
  <c r="L117" i="4" s="1"/>
  <c r="J5" i="4"/>
  <c r="L96" i="4" s="1"/>
  <c r="N96" i="4" s="1"/>
  <c r="O96" i="4" s="1"/>
  <c r="P96" i="4" s="1"/>
  <c r="Q96" i="4" s="1"/>
  <c r="I5" i="4"/>
  <c r="F72" i="90" s="1"/>
  <c r="J6" i="4"/>
  <c r="L97" i="4" s="1"/>
  <c r="N97" i="4" s="1"/>
  <c r="O97" i="4" s="1"/>
  <c r="P97" i="4" s="1"/>
  <c r="Q97" i="4" s="1"/>
  <c r="I6" i="4"/>
  <c r="L119" i="4" s="1"/>
  <c r="N119" i="4" s="1"/>
  <c r="O119" i="4" s="1"/>
  <c r="P119" i="4" s="1"/>
  <c r="Q119" i="4" s="1"/>
  <c r="J7" i="4"/>
  <c r="I7" i="4"/>
  <c r="L120" i="4" s="1"/>
  <c r="N120" i="4" s="1"/>
  <c r="O120" i="4" s="1"/>
  <c r="P120" i="4" s="1"/>
  <c r="Q120" i="4" s="1"/>
  <c r="J8" i="4"/>
  <c r="G54" i="56" s="1"/>
  <c r="I8" i="4"/>
  <c r="L121" i="4" s="1"/>
  <c r="J9" i="4"/>
  <c r="G82" i="92" s="1"/>
  <c r="I9" i="4"/>
  <c r="L122" i="4" s="1"/>
  <c r="N122" i="4" s="1"/>
  <c r="O122" i="4" s="1"/>
  <c r="P122" i="4" s="1"/>
  <c r="Q122" i="4" s="1"/>
  <c r="J10" i="4"/>
  <c r="G84" i="91" s="1"/>
  <c r="I10" i="4"/>
  <c r="L123" i="4" s="1"/>
  <c r="N123" i="4" s="1"/>
  <c r="O123" i="4" s="1"/>
  <c r="P123" i="4" s="1"/>
  <c r="Q123" i="4" s="1"/>
  <c r="J11" i="4"/>
  <c r="L102" i="4" s="1"/>
  <c r="N102" i="4" s="1"/>
  <c r="O102" i="4" s="1"/>
  <c r="P102" i="4" s="1"/>
  <c r="Q102" i="4" s="1"/>
  <c r="I11" i="4"/>
  <c r="F78" i="90" s="1"/>
  <c r="J12" i="4"/>
  <c r="L103" i="4" s="1"/>
  <c r="N103" i="4" s="1"/>
  <c r="O103" i="4" s="1"/>
  <c r="I12" i="4"/>
  <c r="L125" i="4" s="1"/>
  <c r="N125" i="4" s="1"/>
  <c r="O125" i="4" s="1"/>
  <c r="P125" i="4" s="1"/>
  <c r="Q125" i="4" s="1"/>
  <c r="J13" i="4"/>
  <c r="L111" i="4" s="1"/>
  <c r="N111" i="4" s="1"/>
  <c r="O111" i="4" s="1"/>
  <c r="P111" i="4" s="1"/>
  <c r="Q111" i="4" s="1"/>
  <c r="I13" i="4"/>
  <c r="L133" i="4" s="1"/>
  <c r="N133" i="4" s="1"/>
  <c r="O133" i="4" s="1"/>
  <c r="P133" i="4" s="1"/>
  <c r="Q133" i="4" s="1"/>
  <c r="J14" i="4"/>
  <c r="L104" i="4" s="1"/>
  <c r="I14" i="4"/>
  <c r="J15" i="4"/>
  <c r="L105" i="4" s="1"/>
  <c r="N105" i="4" s="1"/>
  <c r="O105" i="4" s="1"/>
  <c r="P105" i="4" s="1"/>
  <c r="Q105" i="4" s="1"/>
  <c r="I15" i="4"/>
  <c r="L127" i="4" s="1"/>
  <c r="J16" i="4"/>
  <c r="G89" i="91" s="1"/>
  <c r="I16" i="4"/>
  <c r="L128" i="4" s="1"/>
  <c r="N128" i="4" s="1"/>
  <c r="O128" i="4" s="1"/>
  <c r="P128" i="4" s="1"/>
  <c r="Q128" i="4" s="1"/>
  <c r="J17" i="4"/>
  <c r="L107" i="4" s="1"/>
  <c r="N107" i="4" s="1"/>
  <c r="O107" i="4" s="1"/>
  <c r="I17" i="4"/>
  <c r="F89" i="92" s="1"/>
  <c r="J18" i="4"/>
  <c r="G91" i="91" s="1"/>
  <c r="I18" i="4"/>
  <c r="F90" i="92" s="1"/>
  <c r="J19" i="4"/>
  <c r="L109" i="4" s="1"/>
  <c r="N109" i="4" s="1"/>
  <c r="O109" i="4" s="1"/>
  <c r="P109" i="4" s="1"/>
  <c r="I19" i="4"/>
  <c r="J20" i="4"/>
  <c r="G93" i="91" s="1"/>
  <c r="I20" i="4"/>
  <c r="F92" i="92" s="1"/>
  <c r="P107" i="4"/>
  <c r="Q107" i="4" s="1"/>
  <c r="M102" i="4"/>
  <c r="M107" i="4"/>
  <c r="D23" i="77"/>
  <c r="E23" i="77" s="1"/>
  <c r="D24" i="77"/>
  <c r="E24" i="77" s="1"/>
  <c r="K24" i="77" s="1"/>
  <c r="D9" i="77" s="1"/>
  <c r="D25" i="77"/>
  <c r="E25" i="77" s="1"/>
  <c r="D26" i="77"/>
  <c r="E26" i="77" s="1"/>
  <c r="D27" i="77"/>
  <c r="E27" i="77" s="1"/>
  <c r="D28" i="77"/>
  <c r="E28" i="77" s="1"/>
  <c r="K28" i="77" s="1"/>
  <c r="C13" i="78" s="1"/>
  <c r="D29" i="77"/>
  <c r="E29" i="77" s="1"/>
  <c r="D30" i="77"/>
  <c r="E30" i="77" s="1"/>
  <c r="D32" i="77"/>
  <c r="E32" i="77" s="1"/>
  <c r="D33" i="77"/>
  <c r="E33" i="77" s="1"/>
  <c r="K33" i="77" s="1"/>
  <c r="C18" i="78" s="1"/>
  <c r="D34" i="77"/>
  <c r="E34" i="77" s="1"/>
  <c r="J52" i="93"/>
  <c r="J53" i="93"/>
  <c r="J54" i="93"/>
  <c r="J32" i="95"/>
  <c r="J33" i="95"/>
  <c r="L29" i="22"/>
  <c r="L30" i="22"/>
  <c r="L31" i="22"/>
  <c r="L33" i="35"/>
  <c r="Z6" i="12"/>
  <c r="L34" i="41"/>
  <c r="L35" i="41"/>
  <c r="L36" i="41"/>
  <c r="L37" i="41"/>
  <c r="L38" i="41"/>
  <c r="L29" i="44"/>
  <c r="L30" i="44"/>
  <c r="L31" i="44"/>
  <c r="L32" i="44"/>
  <c r="L33" i="44"/>
  <c r="F30" i="47"/>
  <c r="L30" i="47" s="1"/>
  <c r="F31" i="47"/>
  <c r="L31" i="47" s="1"/>
  <c r="L30" i="50"/>
  <c r="L31" i="50"/>
  <c r="K43" i="53"/>
  <c r="K44" i="53"/>
  <c r="K45" i="53"/>
  <c r="CT30" i="12"/>
  <c r="CT31" i="12"/>
  <c r="C6" i="110"/>
  <c r="C7" i="110" s="1"/>
  <c r="B6" i="111"/>
  <c r="D14" i="111" s="1"/>
  <c r="E14" i="111" s="1"/>
  <c r="F14" i="111" s="1"/>
  <c r="G14" i="111" s="1"/>
  <c r="H14" i="111" s="1"/>
  <c r="L30" i="82"/>
  <c r="L31" i="82"/>
  <c r="L32" i="82"/>
  <c r="L73" i="4"/>
  <c r="N73" i="4" s="1"/>
  <c r="O73" i="4" s="1"/>
  <c r="P73" i="4" s="1"/>
  <c r="Q73" i="4" s="1"/>
  <c r="L74" i="4"/>
  <c r="N74" i="4" s="1"/>
  <c r="O74" i="4" s="1"/>
  <c r="P74" i="4" s="1"/>
  <c r="Q74" i="4" s="1"/>
  <c r="L75" i="4"/>
  <c r="M75" i="4" s="1"/>
  <c r="L76" i="4"/>
  <c r="N76" i="4" s="1"/>
  <c r="O76" i="4" s="1"/>
  <c r="P76" i="4" s="1"/>
  <c r="Q76" i="4" s="1"/>
  <c r="L77" i="4"/>
  <c r="N77" i="4" s="1"/>
  <c r="O77" i="4" s="1"/>
  <c r="P77" i="4" s="1"/>
  <c r="Q77" i="4" s="1"/>
  <c r="L78" i="4"/>
  <c r="L79" i="4"/>
  <c r="M79" i="4" s="1"/>
  <c r="L80" i="4"/>
  <c r="M80" i="4" s="1"/>
  <c r="Q31" i="77" s="1"/>
  <c r="C99" i="78" s="1"/>
  <c r="L81" i="4"/>
  <c r="L82" i="4"/>
  <c r="M82" i="4" s="1"/>
  <c r="L83" i="4"/>
  <c r="M83" i="4" s="1"/>
  <c r="L84" i="4"/>
  <c r="N84" i="4" s="1"/>
  <c r="L85" i="4"/>
  <c r="N85" i="4" s="1"/>
  <c r="L86" i="4"/>
  <c r="M86" i="4" s="1"/>
  <c r="L87" i="4"/>
  <c r="M87" i="4" s="1"/>
  <c r="L88" i="4"/>
  <c r="N88" i="4" s="1"/>
  <c r="O88" i="4" s="1"/>
  <c r="P88" i="4" s="1"/>
  <c r="Q88" i="4" s="1"/>
  <c r="L72" i="4"/>
  <c r="M72" i="4" s="1"/>
  <c r="E33" i="21"/>
  <c r="L44" i="21" s="1"/>
  <c r="L48" i="21" s="1"/>
  <c r="L65" i="21" s="1"/>
  <c r="F59" i="21"/>
  <c r="K22" i="12" s="1"/>
  <c r="K59" i="21"/>
  <c r="K70" i="21" s="1"/>
  <c r="C82" i="21" s="1"/>
  <c r="K68" i="41"/>
  <c r="AE22" i="12" s="1"/>
  <c r="M29" i="41"/>
  <c r="M30" i="41"/>
  <c r="M31" i="41"/>
  <c r="M32" i="41"/>
  <c r="M33" i="41"/>
  <c r="M34" i="41"/>
  <c r="M35" i="41"/>
  <c r="M36" i="41"/>
  <c r="M37" i="41"/>
  <c r="M38" i="41"/>
  <c r="C82" i="41"/>
  <c r="D82" i="41" s="1"/>
  <c r="F71" i="41"/>
  <c r="K72" i="41" s="1"/>
  <c r="AE33" i="12" s="1"/>
  <c r="C83" i="41"/>
  <c r="D83" i="41" s="1"/>
  <c r="C84" i="41"/>
  <c r="D84" i="41" s="1"/>
  <c r="L52" i="41"/>
  <c r="L53" i="41"/>
  <c r="L54" i="41"/>
  <c r="L55" i="41"/>
  <c r="D21" i="2"/>
  <c r="F21" i="2" s="1"/>
  <c r="F29" i="41" s="1"/>
  <c r="L29" i="41" s="1"/>
  <c r="D20" i="2"/>
  <c r="F20" i="2" s="1"/>
  <c r="F30" i="41" s="1"/>
  <c r="L30" i="41" s="1"/>
  <c r="D10" i="2"/>
  <c r="D9" i="2"/>
  <c r="D7" i="2"/>
  <c r="F7" i="2" s="1"/>
  <c r="F27" i="81" s="1"/>
  <c r="K27" i="81" s="1"/>
  <c r="E26" i="41"/>
  <c r="AE4" i="12" s="1"/>
  <c r="L36" i="21"/>
  <c r="L37" i="21"/>
  <c r="L38" i="21"/>
  <c r="K57" i="21"/>
  <c r="K68" i="21" s="1"/>
  <c r="C80" i="21" s="1"/>
  <c r="I37" i="59"/>
  <c r="I45" i="59" s="1"/>
  <c r="C54" i="59" s="1"/>
  <c r="I36" i="59"/>
  <c r="I44" i="59" s="1"/>
  <c r="C53" i="59" s="1"/>
  <c r="I35" i="59"/>
  <c r="I43" i="59" s="1"/>
  <c r="C52" i="59" s="1"/>
  <c r="I34" i="59"/>
  <c r="I42" i="59" s="1"/>
  <c r="C51" i="59" s="1"/>
  <c r="E51" i="59" s="1"/>
  <c r="C84" i="53"/>
  <c r="C83" i="53"/>
  <c r="C82" i="53"/>
  <c r="C81" i="53"/>
  <c r="K69" i="50"/>
  <c r="C77" i="50"/>
  <c r="C76" i="50"/>
  <c r="C75" i="50"/>
  <c r="C74" i="50"/>
  <c r="C4" i="79"/>
  <c r="B1" i="67"/>
  <c r="B1" i="66"/>
  <c r="C1" i="66"/>
  <c r="A3" i="42"/>
  <c r="B10" i="112"/>
  <c r="B9" i="112"/>
  <c r="CR4" i="12"/>
  <c r="E17" i="83"/>
  <c r="B77" i="78"/>
  <c r="B76" i="78"/>
  <c r="B75" i="78"/>
  <c r="B74" i="78"/>
  <c r="B73" i="78"/>
  <c r="B72" i="78"/>
  <c r="B71" i="78"/>
  <c r="B70" i="78"/>
  <c r="B69" i="78"/>
  <c r="I24" i="78"/>
  <c r="I23" i="78"/>
  <c r="I22" i="78"/>
  <c r="I21" i="78"/>
  <c r="I20" i="78"/>
  <c r="I19" i="78"/>
  <c r="I18" i="78"/>
  <c r="I17" i="78"/>
  <c r="I16" i="78"/>
  <c r="I15" i="78"/>
  <c r="I14" i="78"/>
  <c r="I13" i="78"/>
  <c r="I12" i="78"/>
  <c r="I11" i="78"/>
  <c r="I10" i="78"/>
  <c r="I9" i="78"/>
  <c r="I8" i="78"/>
  <c r="F1" i="78"/>
  <c r="C1" i="78"/>
  <c r="A1" i="78"/>
  <c r="I1" i="77"/>
  <c r="E1" i="77"/>
  <c r="C1" i="77"/>
  <c r="E1" i="79"/>
  <c r="C1" i="79"/>
  <c r="A1" i="79"/>
  <c r="I1" i="12"/>
  <c r="E1" i="12"/>
  <c r="A1" i="12"/>
  <c r="E11" i="12"/>
  <c r="G9" i="79"/>
  <c r="G8" i="79"/>
  <c r="G7" i="79"/>
  <c r="G6" i="79"/>
  <c r="G5" i="79"/>
  <c r="G4" i="79"/>
  <c r="E10" i="79"/>
  <c r="E9" i="79"/>
  <c r="E8" i="79"/>
  <c r="E7" i="79"/>
  <c r="E6" i="79"/>
  <c r="E5" i="79"/>
  <c r="E4" i="79"/>
  <c r="C11" i="79"/>
  <c r="C10" i="79"/>
  <c r="C9" i="79"/>
  <c r="C8" i="79"/>
  <c r="C7" i="79"/>
  <c r="C6" i="79"/>
  <c r="C5" i="79"/>
  <c r="F1" i="2"/>
  <c r="C1" i="2"/>
  <c r="A1" i="2"/>
  <c r="G1" i="4"/>
  <c r="C1" i="4"/>
  <c r="A46" i="4"/>
  <c r="A41" i="4"/>
  <c r="A1" i="4"/>
  <c r="A21" i="4"/>
  <c r="C3" i="96"/>
  <c r="DL2" i="12" s="1"/>
  <c r="C3" i="95"/>
  <c r="DG2" i="12" s="1"/>
  <c r="C3" i="93"/>
  <c r="DB2" i="12" s="1"/>
  <c r="C3" i="82"/>
  <c r="CW2" i="12" s="1"/>
  <c r="C4" i="94"/>
  <c r="CM2" i="12" s="1"/>
  <c r="C3" i="83"/>
  <c r="CR2" i="12" s="1"/>
  <c r="C4" i="92"/>
  <c r="CH2" i="12" s="1"/>
  <c r="C4" i="91"/>
  <c r="CC2" i="12" s="1"/>
  <c r="C4" i="90"/>
  <c r="BX2" i="12" s="1"/>
  <c r="C4" i="63"/>
  <c r="BS2" i="12" s="1"/>
  <c r="B68" i="78" s="1"/>
  <c r="C4" i="60"/>
  <c r="BN2" i="12" s="1"/>
  <c r="B67" i="78" s="1"/>
  <c r="C4" i="59"/>
  <c r="BI2" i="12" s="1"/>
  <c r="B66" i="78" s="1"/>
  <c r="C4" i="56"/>
  <c r="BD2" i="12" s="1"/>
  <c r="B65" i="78" s="1"/>
  <c r="C4" i="53"/>
  <c r="AY2" i="12" s="1"/>
  <c r="B64" i="78" s="1"/>
  <c r="C4" i="50"/>
  <c r="AT2" i="12" s="1"/>
  <c r="B63" i="78" s="1"/>
  <c r="AO2" i="12"/>
  <c r="B62" i="78" s="1"/>
  <c r="C4" i="44"/>
  <c r="AJ2" i="12" s="1"/>
  <c r="B61" i="78" s="1"/>
  <c r="C4" i="41"/>
  <c r="AE2" i="12" s="1"/>
  <c r="B60" i="78" s="1"/>
  <c r="C4" i="36"/>
  <c r="Z2" i="12" s="1"/>
  <c r="B59" i="78" s="1"/>
  <c r="C4" i="35"/>
  <c r="U2" i="12" s="1"/>
  <c r="B58" i="78" s="1"/>
  <c r="C3" i="22"/>
  <c r="P2" i="12" s="1"/>
  <c r="B57" i="78" s="1"/>
  <c r="C3" i="21"/>
  <c r="K2" i="12" s="1"/>
  <c r="B56" i="78" s="1"/>
  <c r="D9" i="112"/>
  <c r="D8" i="112"/>
  <c r="D7" i="112"/>
  <c r="E38" i="112"/>
  <c r="E37" i="112"/>
  <c r="E36" i="112"/>
  <c r="E35" i="112"/>
  <c r="E34" i="112"/>
  <c r="D38" i="112"/>
  <c r="D37" i="112"/>
  <c r="D36" i="112"/>
  <c r="D35" i="112"/>
  <c r="D34" i="112"/>
  <c r="D32" i="112"/>
  <c r="D31" i="112"/>
  <c r="D30" i="112"/>
  <c r="D29" i="112"/>
  <c r="D28" i="112"/>
  <c r="D27" i="112"/>
  <c r="D26" i="112"/>
  <c r="D25" i="112"/>
  <c r="D24" i="112"/>
  <c r="D23" i="112"/>
  <c r="D22" i="112"/>
  <c r="D21" i="112"/>
  <c r="D20" i="112"/>
  <c r="D19" i="112"/>
  <c r="D18" i="112"/>
  <c r="D17" i="112"/>
  <c r="E32" i="112"/>
  <c r="E31" i="112"/>
  <c r="E30" i="112"/>
  <c r="E29" i="112"/>
  <c r="E28" i="112"/>
  <c r="E27" i="112"/>
  <c r="E26" i="112"/>
  <c r="E25" i="112"/>
  <c r="E24" i="112"/>
  <c r="E23" i="112"/>
  <c r="E22" i="112"/>
  <c r="E21" i="112"/>
  <c r="E20" i="112"/>
  <c r="E19" i="112"/>
  <c r="E18" i="112"/>
  <c r="E17" i="112"/>
  <c r="C23" i="92"/>
  <c r="C23" i="91"/>
  <c r="C23" i="90"/>
  <c r="C39" i="112"/>
  <c r="C38" i="112"/>
  <c r="C37" i="112"/>
  <c r="C36" i="112"/>
  <c r="C35" i="112"/>
  <c r="C34" i="112"/>
  <c r="C32" i="112"/>
  <c r="C31" i="112"/>
  <c r="C30" i="112"/>
  <c r="C29" i="112"/>
  <c r="C28" i="112"/>
  <c r="C27" i="112"/>
  <c r="C26" i="112"/>
  <c r="C25" i="112"/>
  <c r="C24" i="112"/>
  <c r="C23" i="112"/>
  <c r="C22" i="112"/>
  <c r="C21" i="112"/>
  <c r="C20" i="112"/>
  <c r="C19" i="112"/>
  <c r="C18" i="112"/>
  <c r="C17" i="112"/>
  <c r="B11" i="112"/>
  <c r="B8" i="112"/>
  <c r="B7" i="112"/>
  <c r="A1" i="104"/>
  <c r="B1" i="103"/>
  <c r="A1" i="103"/>
  <c r="B1" i="102"/>
  <c r="A1" i="102"/>
  <c r="B1" i="100"/>
  <c r="A1" i="100"/>
  <c r="B1" i="98"/>
  <c r="A1" i="98"/>
  <c r="B4" i="101"/>
  <c r="A4" i="101"/>
  <c r="B2" i="99"/>
  <c r="A2" i="99"/>
  <c r="B1" i="99"/>
  <c r="A1" i="99"/>
  <c r="C1" i="75"/>
  <c r="B1" i="75"/>
  <c r="A1" i="75"/>
  <c r="C1" i="74"/>
  <c r="B1" i="74"/>
  <c r="A1" i="74"/>
  <c r="B1" i="73"/>
  <c r="A1" i="73"/>
  <c r="B1" i="72"/>
  <c r="A1" i="72"/>
  <c r="A1" i="71"/>
  <c r="C1" i="70"/>
  <c r="A1" i="70"/>
  <c r="A1" i="65"/>
  <c r="A1" i="66"/>
  <c r="A1" i="67"/>
  <c r="C1" i="65"/>
  <c r="B1" i="65"/>
  <c r="A3" i="88"/>
  <c r="A3" i="87"/>
  <c r="A3" i="108"/>
  <c r="A3" i="86"/>
  <c r="A3" i="85"/>
  <c r="A5" i="107"/>
  <c r="A4" i="107"/>
  <c r="A3" i="107"/>
  <c r="A4" i="61"/>
  <c r="A3" i="61"/>
  <c r="A4" i="57"/>
  <c r="A3" i="57"/>
  <c r="A3" i="54"/>
  <c r="A3" i="51"/>
  <c r="A3" i="45"/>
  <c r="A3" i="38"/>
  <c r="A23" i="38"/>
  <c r="A9" i="25"/>
  <c r="A3" i="25"/>
  <c r="C11" i="96"/>
  <c r="C11" i="95"/>
  <c r="C11" i="93"/>
  <c r="C11" i="82"/>
  <c r="C12" i="94"/>
  <c r="C10" i="83"/>
  <c r="C9" i="92"/>
  <c r="C9" i="91"/>
  <c r="C9" i="90"/>
  <c r="C9" i="63"/>
  <c r="C9" i="60"/>
  <c r="C9" i="59"/>
  <c r="C9" i="56"/>
  <c r="C9" i="53"/>
  <c r="C9" i="50"/>
  <c r="C9" i="44"/>
  <c r="C9" i="36"/>
  <c r="C9" i="41"/>
  <c r="C9" i="35"/>
  <c r="C8" i="22"/>
  <c r="C8" i="21"/>
  <c r="A1" i="111"/>
  <c r="A1" i="88"/>
  <c r="A1" i="87"/>
  <c r="A1" i="108"/>
  <c r="A1" i="86"/>
  <c r="A1" i="110"/>
  <c r="A1" i="85"/>
  <c r="A1" i="107"/>
  <c r="A1" i="61"/>
  <c r="A1" i="57"/>
  <c r="A1" i="54"/>
  <c r="A1" i="51"/>
  <c r="A1" i="48"/>
  <c r="A1" i="45"/>
  <c r="A1" i="42"/>
  <c r="A1" i="38"/>
  <c r="A1" i="25"/>
  <c r="C29" i="96"/>
  <c r="C24" i="95"/>
  <c r="C41" i="93"/>
  <c r="C21" i="82"/>
  <c r="C23" i="94"/>
  <c r="C20" i="63"/>
  <c r="C23" i="60"/>
  <c r="C21" i="59"/>
  <c r="C22" i="36"/>
  <c r="C25" i="56"/>
  <c r="C21" i="53"/>
  <c r="C21" i="50"/>
  <c r="C21" i="44"/>
  <c r="C24" i="41"/>
  <c r="C23" i="35"/>
  <c r="C22" i="22"/>
  <c r="C22" i="21"/>
  <c r="E1" i="81"/>
  <c r="E1" i="96"/>
  <c r="E1" i="95"/>
  <c r="E1" i="93"/>
  <c r="E1" i="82"/>
  <c r="D1" i="94"/>
  <c r="E1" i="83"/>
  <c r="E1" i="92"/>
  <c r="E1" i="91"/>
  <c r="E1" i="90"/>
  <c r="E1" i="63"/>
  <c r="E1" i="60"/>
  <c r="E1" i="59"/>
  <c r="E1" i="56"/>
  <c r="E1" i="53"/>
  <c r="E1" i="50"/>
  <c r="E1" i="47"/>
  <c r="E1" i="44"/>
  <c r="E1" i="41"/>
  <c r="E1" i="36"/>
  <c r="E1" i="35"/>
  <c r="E1" i="22"/>
  <c r="E1" i="21"/>
  <c r="C1" i="21"/>
  <c r="H1" i="81"/>
  <c r="H1" i="96"/>
  <c r="H1" i="95"/>
  <c r="H1" i="93"/>
  <c r="H1" i="82"/>
  <c r="G1" i="94"/>
  <c r="H1" i="83"/>
  <c r="H1" i="92"/>
  <c r="H1" i="91"/>
  <c r="H1" i="90"/>
  <c r="H1" i="63"/>
  <c r="H1" i="60"/>
  <c r="I1" i="59"/>
  <c r="I1" i="56"/>
  <c r="I1" i="53"/>
  <c r="I1" i="50"/>
  <c r="I1" i="47"/>
  <c r="I1" i="44"/>
  <c r="I1" i="41"/>
  <c r="I1" i="36"/>
  <c r="I1" i="35"/>
  <c r="I1" i="22"/>
  <c r="I1" i="21"/>
  <c r="C1" i="22"/>
  <c r="C1" i="35"/>
  <c r="C1" i="36"/>
  <c r="C1" i="41"/>
  <c r="C1" i="44"/>
  <c r="C1" i="47"/>
  <c r="C1" i="50"/>
  <c r="C1" i="94"/>
  <c r="C1" i="81"/>
  <c r="C1" i="96"/>
  <c r="C1" i="95"/>
  <c r="C1" i="93"/>
  <c r="C1" i="82"/>
  <c r="C1" i="83"/>
  <c r="C1" i="92"/>
  <c r="C1" i="91"/>
  <c r="C1" i="90"/>
  <c r="C1" i="63"/>
  <c r="C1" i="60"/>
  <c r="C1" i="59"/>
  <c r="C1" i="56"/>
  <c r="C1" i="53"/>
  <c r="E16" i="59"/>
  <c r="E15" i="53"/>
  <c r="E15" i="50"/>
  <c r="E15" i="47"/>
  <c r="F16" i="44"/>
  <c r="F18" i="41"/>
  <c r="F17" i="35"/>
  <c r="F16" i="22"/>
  <c r="E23" i="82"/>
  <c r="CW4" i="12" s="1"/>
  <c r="C101" i="93"/>
  <c r="C100" i="93"/>
  <c r="D100" i="93" s="1"/>
  <c r="J81" i="93"/>
  <c r="I81" i="93"/>
  <c r="I90" i="93" s="1"/>
  <c r="I80" i="93"/>
  <c r="I89" i="93" s="1"/>
  <c r="J80" i="93"/>
  <c r="F77" i="93"/>
  <c r="J77" i="93" s="1"/>
  <c r="E30" i="81"/>
  <c r="D33" i="81" s="1"/>
  <c r="K33" i="81" s="1"/>
  <c r="F29" i="81"/>
  <c r="F28" i="81"/>
  <c r="E20" i="95"/>
  <c r="E17" i="82"/>
  <c r="C77" i="44"/>
  <c r="C76" i="44"/>
  <c r="E76" i="44" s="1"/>
  <c r="C76" i="35"/>
  <c r="C75" i="35"/>
  <c r="E45" i="53"/>
  <c r="E44" i="53"/>
  <c r="E43" i="53"/>
  <c r="J38" i="53"/>
  <c r="J37" i="53"/>
  <c r="K37" i="53"/>
  <c r="J34" i="53"/>
  <c r="K34" i="53" s="1"/>
  <c r="J35" i="53"/>
  <c r="K38" i="53"/>
  <c r="J36" i="53"/>
  <c r="I38" i="53"/>
  <c r="I37" i="53"/>
  <c r="I36" i="53"/>
  <c r="I35" i="53"/>
  <c r="I34" i="53"/>
  <c r="K36" i="53"/>
  <c r="E24" i="96"/>
  <c r="C8" i="110"/>
  <c r="G29" i="83"/>
  <c r="H29" i="83" s="1"/>
  <c r="I45" i="111"/>
  <c r="I44" i="111"/>
  <c r="I43" i="111"/>
  <c r="I40" i="111"/>
  <c r="I39" i="111"/>
  <c r="I38" i="111"/>
  <c r="I37" i="111"/>
  <c r="I36" i="111"/>
  <c r="I35" i="111"/>
  <c r="I25" i="111"/>
  <c r="I24" i="111"/>
  <c r="I23" i="111"/>
  <c r="I22" i="111"/>
  <c r="I19" i="111"/>
  <c r="J19" i="111" s="1"/>
  <c r="I18" i="111"/>
  <c r="I17" i="111"/>
  <c r="I16" i="111"/>
  <c r="I15" i="111"/>
  <c r="I14" i="111"/>
  <c r="I13" i="111"/>
  <c r="E19" i="110"/>
  <c r="E18" i="110"/>
  <c r="E15" i="110"/>
  <c r="E14" i="110"/>
  <c r="E34" i="95"/>
  <c r="D39" i="95" s="1"/>
  <c r="J39" i="95" s="1"/>
  <c r="D50" i="63"/>
  <c r="K26" i="63"/>
  <c r="J26" i="63"/>
  <c r="I43" i="53"/>
  <c r="I44" i="53"/>
  <c r="I45" i="53"/>
  <c r="CS72" i="12"/>
  <c r="CT72" i="12" s="1"/>
  <c r="E60" i="12"/>
  <c r="E55" i="12"/>
  <c r="E50" i="12"/>
  <c r="E49" i="12"/>
  <c r="E48" i="12"/>
  <c r="E46" i="12"/>
  <c r="E45" i="12"/>
  <c r="DM13" i="12"/>
  <c r="DH13" i="12"/>
  <c r="DC13" i="12"/>
  <c r="CX13" i="12"/>
  <c r="CS13" i="12"/>
  <c r="CN13" i="12"/>
  <c r="CI13" i="12"/>
  <c r="CD13" i="12"/>
  <c r="BY13" i="12"/>
  <c r="BT13" i="12"/>
  <c r="DM12" i="12"/>
  <c r="DH12" i="12"/>
  <c r="DC12" i="12"/>
  <c r="CX12" i="12"/>
  <c r="CS12" i="12"/>
  <c r="CN12" i="12"/>
  <c r="CI12" i="12"/>
  <c r="CD12" i="12"/>
  <c r="BY12" i="12"/>
  <c r="BT12" i="12"/>
  <c r="F33" i="95"/>
  <c r="F32" i="95"/>
  <c r="F54" i="93"/>
  <c r="F53" i="93"/>
  <c r="F52" i="93"/>
  <c r="F47" i="93"/>
  <c r="F46" i="93"/>
  <c r="F45" i="93"/>
  <c r="F33" i="82"/>
  <c r="F32" i="82"/>
  <c r="F31" i="82"/>
  <c r="F30" i="82"/>
  <c r="D83" i="94"/>
  <c r="E92" i="92"/>
  <c r="D92" i="92"/>
  <c r="E91" i="92"/>
  <c r="D91" i="92"/>
  <c r="D90" i="92"/>
  <c r="D89" i="92"/>
  <c r="D88" i="92"/>
  <c r="D87" i="92"/>
  <c r="D86" i="92"/>
  <c r="E85" i="92"/>
  <c r="D85" i="92"/>
  <c r="D84" i="92"/>
  <c r="D83" i="92"/>
  <c r="D82" i="92"/>
  <c r="D81" i="92"/>
  <c r="D80" i="92"/>
  <c r="D79" i="92"/>
  <c r="D78" i="92"/>
  <c r="D77" i="92"/>
  <c r="E93" i="91"/>
  <c r="D93" i="91"/>
  <c r="E92" i="91"/>
  <c r="D92" i="91"/>
  <c r="D91" i="91"/>
  <c r="D90" i="91"/>
  <c r="D89" i="91"/>
  <c r="D88" i="91"/>
  <c r="D87" i="91"/>
  <c r="E86" i="91"/>
  <c r="D86" i="91"/>
  <c r="D85" i="91"/>
  <c r="D84" i="91"/>
  <c r="D83" i="91"/>
  <c r="D82" i="91"/>
  <c r="D81" i="91"/>
  <c r="D80" i="91"/>
  <c r="D79" i="91"/>
  <c r="D78" i="91"/>
  <c r="E86" i="90"/>
  <c r="D86" i="90"/>
  <c r="E85" i="90"/>
  <c r="D85" i="90"/>
  <c r="D84" i="90"/>
  <c r="D83" i="90"/>
  <c r="D82" i="90"/>
  <c r="D81" i="90"/>
  <c r="D80" i="90"/>
  <c r="E79" i="90"/>
  <c r="D79" i="90"/>
  <c r="D78" i="90"/>
  <c r="D77" i="90"/>
  <c r="D76" i="90"/>
  <c r="D75" i="90"/>
  <c r="D74" i="90"/>
  <c r="D73" i="90"/>
  <c r="D72" i="90"/>
  <c r="D71" i="90"/>
  <c r="D51" i="60"/>
  <c r="D56" i="56"/>
  <c r="D55" i="56"/>
  <c r="D54" i="56"/>
  <c r="J46" i="56" s="1"/>
  <c r="E53" i="56"/>
  <c r="D53" i="56"/>
  <c r="E93" i="53"/>
  <c r="D93" i="53"/>
  <c r="D92" i="53"/>
  <c r="D91" i="53"/>
  <c r="D90" i="53"/>
  <c r="E85" i="50"/>
  <c r="D85" i="50"/>
  <c r="D84" i="50"/>
  <c r="E83" i="50"/>
  <c r="D83" i="50"/>
  <c r="D82" i="50"/>
  <c r="D81" i="50"/>
  <c r="K68" i="50"/>
  <c r="K76" i="50" s="1"/>
  <c r="K67" i="50"/>
  <c r="K75" i="50" s="1"/>
  <c r="K66" i="50"/>
  <c r="K74" i="50" s="1"/>
  <c r="K52" i="50"/>
  <c r="K51" i="50"/>
  <c r="K50" i="50"/>
  <c r="F31" i="50"/>
  <c r="F30" i="50"/>
  <c r="F13" i="88"/>
  <c r="F12" i="88"/>
  <c r="F11" i="88"/>
  <c r="E32" i="47"/>
  <c r="D78" i="44"/>
  <c r="F33" i="44"/>
  <c r="F32" i="44"/>
  <c r="F31" i="44"/>
  <c r="F30" i="44"/>
  <c r="F29" i="44"/>
  <c r="F38" i="41"/>
  <c r="F37" i="41"/>
  <c r="F36" i="41"/>
  <c r="F35" i="41"/>
  <c r="F34" i="41"/>
  <c r="D41" i="36"/>
  <c r="K34" i="36"/>
  <c r="K33" i="36"/>
  <c r="K32" i="36"/>
  <c r="N79" i="4"/>
  <c r="O79" i="4" s="1"/>
  <c r="P79" i="4" s="1"/>
  <c r="Q79" i="4" s="1"/>
  <c r="N72" i="4"/>
  <c r="O72" i="4" s="1"/>
  <c r="P72" i="4" s="1"/>
  <c r="Q72" i="4" s="1"/>
  <c r="L63" i="4"/>
  <c r="M63" i="4" s="1"/>
  <c r="N63" i="4" s="1"/>
  <c r="O63" i="4" s="1"/>
  <c r="P63" i="4" s="1"/>
  <c r="Q63" i="4" s="1"/>
  <c r="L62" i="4"/>
  <c r="M62" i="4" s="1"/>
  <c r="N62" i="4" s="1"/>
  <c r="O62" i="4" s="1"/>
  <c r="P62" i="4" s="1"/>
  <c r="Q62" i="4" s="1"/>
  <c r="L61" i="4"/>
  <c r="M61" i="4" s="1"/>
  <c r="N61" i="4" s="1"/>
  <c r="O61" i="4" s="1"/>
  <c r="P61" i="4" s="1"/>
  <c r="Q61" i="4" s="1"/>
  <c r="L60" i="4"/>
  <c r="M60" i="4" s="1"/>
  <c r="N60" i="4" s="1"/>
  <c r="O60" i="4" s="1"/>
  <c r="P60" i="4" s="1"/>
  <c r="Q60" i="4" s="1"/>
  <c r="L59" i="4"/>
  <c r="M59" i="4" s="1"/>
  <c r="N59" i="4" s="1"/>
  <c r="O59" i="4" s="1"/>
  <c r="P59" i="4" s="1"/>
  <c r="Q59" i="4" s="1"/>
  <c r="L58" i="4"/>
  <c r="M58" i="4" s="1"/>
  <c r="N58" i="4" s="1"/>
  <c r="O58" i="4" s="1"/>
  <c r="P58" i="4" s="1"/>
  <c r="Q58" i="4" s="1"/>
  <c r="L57" i="4"/>
  <c r="M57" i="4" s="1"/>
  <c r="N57" i="4" s="1"/>
  <c r="O57" i="4" s="1"/>
  <c r="P57" i="4" s="1"/>
  <c r="Q57" i="4" s="1"/>
  <c r="L56" i="4"/>
  <c r="M56" i="4" s="1"/>
  <c r="N56" i="4" s="1"/>
  <c r="O56" i="4" s="1"/>
  <c r="P56" i="4" s="1"/>
  <c r="Q56" i="4" s="1"/>
  <c r="L55" i="4"/>
  <c r="M55" i="4" s="1"/>
  <c r="N55" i="4" s="1"/>
  <c r="O55" i="4" s="1"/>
  <c r="P55" i="4" s="1"/>
  <c r="Q55" i="4" s="1"/>
  <c r="L54" i="4"/>
  <c r="M54" i="4" s="1"/>
  <c r="N54" i="4" s="1"/>
  <c r="O54" i="4" s="1"/>
  <c r="P54" i="4" s="1"/>
  <c r="Q54" i="4" s="1"/>
  <c r="L53" i="4"/>
  <c r="M53" i="4" s="1"/>
  <c r="N53" i="4" s="1"/>
  <c r="O53" i="4" s="1"/>
  <c r="P53" i="4" s="1"/>
  <c r="Q53" i="4" s="1"/>
  <c r="H18" i="4"/>
  <c r="H17" i="4"/>
  <c r="H16" i="4"/>
  <c r="E82" i="90" s="1"/>
  <c r="H15" i="4"/>
  <c r="E88" i="91" s="1"/>
  <c r="H14" i="4"/>
  <c r="E80" i="90" s="1"/>
  <c r="H13" i="4"/>
  <c r="H11" i="4"/>
  <c r="H10" i="4"/>
  <c r="E77" i="90" s="1"/>
  <c r="H9" i="4"/>
  <c r="E76" i="90" s="1"/>
  <c r="H8" i="4"/>
  <c r="E90" i="53" s="1"/>
  <c r="H7" i="4"/>
  <c r="H6" i="4"/>
  <c r="E84" i="50" s="1"/>
  <c r="H5" i="4"/>
  <c r="E72" i="90" s="1"/>
  <c r="F33" i="35"/>
  <c r="F32" i="22"/>
  <c r="F31" i="22"/>
  <c r="F30" i="22"/>
  <c r="F29" i="22"/>
  <c r="F32" i="21"/>
  <c r="F31" i="21"/>
  <c r="F30" i="21"/>
  <c r="F29" i="21"/>
  <c r="F28" i="21"/>
  <c r="D22" i="2"/>
  <c r="F22" i="2" s="1"/>
  <c r="D19" i="2"/>
  <c r="F19" i="2" s="1"/>
  <c r="G19" i="2" s="1"/>
  <c r="H19" i="2" s="1"/>
  <c r="D18" i="2"/>
  <c r="F18" i="2" s="1"/>
  <c r="G18" i="2" s="1"/>
  <c r="H18" i="2" s="1"/>
  <c r="D17" i="2"/>
  <c r="F17" i="2" s="1"/>
  <c r="G17" i="2" s="1"/>
  <c r="H17" i="2" s="1"/>
  <c r="E16" i="2"/>
  <c r="D16" i="2"/>
  <c r="F16" i="2" s="1"/>
  <c r="G16" i="2" s="1"/>
  <c r="H16" i="2" s="1"/>
  <c r="E15" i="2"/>
  <c r="D15" i="2"/>
  <c r="E14" i="2"/>
  <c r="D14" i="2"/>
  <c r="F14" i="2" s="1"/>
  <c r="G14" i="2" s="1"/>
  <c r="H14" i="2" s="1"/>
  <c r="E13" i="2"/>
  <c r="D13" i="2"/>
  <c r="E12" i="2"/>
  <c r="D12" i="2"/>
  <c r="F12" i="2" s="1"/>
  <c r="E11" i="2"/>
  <c r="D11" i="2"/>
  <c r="E10" i="2"/>
  <c r="E9" i="2"/>
  <c r="E8" i="2"/>
  <c r="D8" i="2"/>
  <c r="E7" i="2"/>
  <c r="E6" i="2"/>
  <c r="D6" i="2"/>
  <c r="E5" i="2"/>
  <c r="D5" i="2"/>
  <c r="E50" i="63"/>
  <c r="G85" i="91"/>
  <c r="G79" i="91"/>
  <c r="E80" i="91"/>
  <c r="F79" i="91"/>
  <c r="F81" i="91"/>
  <c r="E83" i="94"/>
  <c r="E77" i="92"/>
  <c r="E78" i="91"/>
  <c r="E71" i="90"/>
  <c r="E51" i="60"/>
  <c r="G83" i="50"/>
  <c r="CS73" i="12"/>
  <c r="CT73" i="12" s="1"/>
  <c r="E58" i="12"/>
  <c r="E57" i="12"/>
  <c r="F76" i="90"/>
  <c r="F84" i="91"/>
  <c r="F79" i="92"/>
  <c r="F51" i="60"/>
  <c r="F50" i="63"/>
  <c r="F82" i="50"/>
  <c r="F82" i="91"/>
  <c r="F83" i="92"/>
  <c r="F41" i="36"/>
  <c r="F77" i="90"/>
  <c r="F78" i="92"/>
  <c r="F86" i="91"/>
  <c r="G87" i="91"/>
  <c r="G81" i="90"/>
  <c r="G92" i="91"/>
  <c r="G89" i="92"/>
  <c r="G90" i="91"/>
  <c r="G83" i="90"/>
  <c r="G78" i="44"/>
  <c r="I45" i="93"/>
  <c r="I63" i="94"/>
  <c r="L33" i="82"/>
  <c r="K33" i="82"/>
  <c r="E39" i="50"/>
  <c r="E39" i="47"/>
  <c r="D52" i="47" s="1"/>
  <c r="L52" i="47" s="1"/>
  <c r="K55" i="41"/>
  <c r="K54" i="41"/>
  <c r="K53" i="41"/>
  <c r="K52" i="41"/>
  <c r="K50" i="41"/>
  <c r="K51" i="41"/>
  <c r="K60" i="35"/>
  <c r="K69" i="35" s="1"/>
  <c r="K59" i="35"/>
  <c r="K68" i="35" s="1"/>
  <c r="K58" i="35"/>
  <c r="K67" i="35" s="1"/>
  <c r="K57" i="35"/>
  <c r="K66" i="35" s="1"/>
  <c r="K56" i="35"/>
  <c r="K65" i="35" s="1"/>
  <c r="K55" i="35"/>
  <c r="K64" i="35" s="1"/>
  <c r="K54" i="35"/>
  <c r="K63" i="35"/>
  <c r="E34" i="35"/>
  <c r="B8" i="78"/>
  <c r="L43" i="82"/>
  <c r="K31" i="60"/>
  <c r="C5" i="108"/>
  <c r="B3" i="78"/>
  <c r="C23" i="108"/>
  <c r="C22" i="108"/>
  <c r="C13" i="108"/>
  <c r="C14" i="108" s="1"/>
  <c r="C15" i="108" s="1"/>
  <c r="C17" i="108" s="1"/>
  <c r="C19" i="108" s="1"/>
  <c r="C10" i="107"/>
  <c r="D10" i="107"/>
  <c r="D16" i="107" s="1"/>
  <c r="C11" i="107"/>
  <c r="C17" i="107" s="1"/>
  <c r="D11" i="107"/>
  <c r="D17" i="107" s="1"/>
  <c r="D19" i="107" s="1"/>
  <c r="D28" i="92" s="1"/>
  <c r="C12" i="107"/>
  <c r="D12" i="107"/>
  <c r="B13" i="107"/>
  <c r="D26" i="90" s="1"/>
  <c r="B16" i="107"/>
  <c r="B17" i="107"/>
  <c r="B30" i="107"/>
  <c r="B38" i="107"/>
  <c r="D13" i="107"/>
  <c r="D26" i="92" s="1"/>
  <c r="CH4" i="12" s="1"/>
  <c r="D25" i="94"/>
  <c r="CM4" i="12" s="1"/>
  <c r="C10" i="102"/>
  <c r="C10" i="100"/>
  <c r="C13" i="98"/>
  <c r="E17" i="96"/>
  <c r="E19" i="96" s="1"/>
  <c r="J37" i="96"/>
  <c r="DL5" i="12" s="1"/>
  <c r="E40" i="96"/>
  <c r="I40" i="96"/>
  <c r="E41" i="96"/>
  <c r="I41" i="96"/>
  <c r="D46" i="96"/>
  <c r="E46" i="96"/>
  <c r="I46" i="96"/>
  <c r="D47" i="96"/>
  <c r="J47" i="96" s="1"/>
  <c r="I47" i="96"/>
  <c r="I48" i="96"/>
  <c r="J48" i="96"/>
  <c r="I60" i="96"/>
  <c r="I61" i="96"/>
  <c r="I62" i="96"/>
  <c r="I63" i="96"/>
  <c r="I64" i="96"/>
  <c r="I65" i="96"/>
  <c r="I66" i="96"/>
  <c r="I70" i="96"/>
  <c r="I71" i="96"/>
  <c r="I72" i="96"/>
  <c r="I73" i="96"/>
  <c r="I74" i="96"/>
  <c r="I75" i="96"/>
  <c r="I76" i="96"/>
  <c r="C83" i="96"/>
  <c r="C84" i="96"/>
  <c r="D84" i="96" s="1"/>
  <c r="C85" i="96"/>
  <c r="C86" i="96"/>
  <c r="G86" i="96" s="1"/>
  <c r="C87" i="96"/>
  <c r="C88" i="96"/>
  <c r="C89" i="96"/>
  <c r="E17" i="95"/>
  <c r="E19" i="95"/>
  <c r="I30" i="95"/>
  <c r="I31" i="95"/>
  <c r="I32" i="95"/>
  <c r="I33" i="95"/>
  <c r="I38" i="95"/>
  <c r="I39" i="95"/>
  <c r="I40" i="95"/>
  <c r="J40" i="95"/>
  <c r="I56" i="95"/>
  <c r="I57" i="95"/>
  <c r="I58" i="95"/>
  <c r="I59" i="95"/>
  <c r="I60" i="95"/>
  <c r="I61" i="95"/>
  <c r="I62" i="95"/>
  <c r="I63" i="95"/>
  <c r="I67" i="95"/>
  <c r="I68" i="95"/>
  <c r="I69" i="95"/>
  <c r="I70" i="95"/>
  <c r="I71" i="95"/>
  <c r="I72" i="95"/>
  <c r="I73" i="95"/>
  <c r="I74" i="95"/>
  <c r="C80" i="95"/>
  <c r="C81" i="95"/>
  <c r="D81" i="95" s="1"/>
  <c r="C82" i="95"/>
  <c r="C83" i="95"/>
  <c r="C84" i="95"/>
  <c r="C85" i="95"/>
  <c r="D85" i="95" s="1"/>
  <c r="C86" i="95"/>
  <c r="C87" i="95"/>
  <c r="D19" i="94"/>
  <c r="I29" i="94"/>
  <c r="I30" i="94"/>
  <c r="I31" i="94"/>
  <c r="I32" i="94"/>
  <c r="I33" i="94"/>
  <c r="I34" i="94"/>
  <c r="I35" i="94"/>
  <c r="E36" i="94"/>
  <c r="I39" i="94"/>
  <c r="I40" i="94"/>
  <c r="I41" i="94"/>
  <c r="I42" i="94"/>
  <c r="E43" i="94"/>
  <c r="I47" i="94"/>
  <c r="I48" i="94"/>
  <c r="I49" i="94"/>
  <c r="I50" i="94"/>
  <c r="E51" i="94"/>
  <c r="I61" i="94"/>
  <c r="I62" i="94"/>
  <c r="I72" i="94"/>
  <c r="I78" i="94"/>
  <c r="X116" i="94"/>
  <c r="D21" i="93"/>
  <c r="D24" i="93"/>
  <c r="D30" i="93"/>
  <c r="D31" i="93"/>
  <c r="F31" i="93" s="1"/>
  <c r="D32" i="93"/>
  <c r="F32" i="93" s="1"/>
  <c r="H32" i="93" s="1"/>
  <c r="E33" i="93"/>
  <c r="I44" i="93"/>
  <c r="J45" i="93"/>
  <c r="I46" i="93"/>
  <c r="J46" i="93"/>
  <c r="I47" i="93"/>
  <c r="J47" i="93"/>
  <c r="I52" i="93"/>
  <c r="I53" i="93"/>
  <c r="I54" i="93"/>
  <c r="I59" i="93"/>
  <c r="J59" i="93"/>
  <c r="I60" i="93"/>
  <c r="J60" i="93"/>
  <c r="I61" i="93"/>
  <c r="J61" i="93"/>
  <c r="I77" i="93"/>
  <c r="I86" i="93" s="1"/>
  <c r="I78" i="93"/>
  <c r="I87" i="93" s="1"/>
  <c r="J78" i="93"/>
  <c r="I79" i="93"/>
  <c r="I88" i="93" s="1"/>
  <c r="J79" i="93"/>
  <c r="C97" i="93"/>
  <c r="C98" i="93"/>
  <c r="D98" i="93" s="1"/>
  <c r="C99" i="93"/>
  <c r="E18" i="92"/>
  <c r="J39" i="92"/>
  <c r="K39" i="92"/>
  <c r="J40" i="92"/>
  <c r="K40" i="92"/>
  <c r="J41" i="92"/>
  <c r="K41" i="92"/>
  <c r="J42" i="92"/>
  <c r="K42" i="92"/>
  <c r="J43" i="92"/>
  <c r="K43" i="92"/>
  <c r="J44" i="92"/>
  <c r="K44" i="92"/>
  <c r="J45" i="92"/>
  <c r="K45" i="92"/>
  <c r="J46" i="92"/>
  <c r="K46" i="92"/>
  <c r="J47" i="92"/>
  <c r="K47" i="92"/>
  <c r="J48" i="92"/>
  <c r="K48" i="92"/>
  <c r="J49" i="92"/>
  <c r="K49" i="92"/>
  <c r="J50" i="92"/>
  <c r="K50" i="92"/>
  <c r="J51" i="92"/>
  <c r="K51" i="92"/>
  <c r="J52" i="92"/>
  <c r="K52" i="92"/>
  <c r="J53" i="92"/>
  <c r="K53" i="92"/>
  <c r="J54" i="92"/>
  <c r="K54" i="92"/>
  <c r="J57" i="92"/>
  <c r="J58" i="92"/>
  <c r="J59" i="92"/>
  <c r="J60" i="92"/>
  <c r="J61" i="92"/>
  <c r="J62" i="92"/>
  <c r="J63" i="92"/>
  <c r="J64" i="92"/>
  <c r="J65" i="92"/>
  <c r="J66" i="92"/>
  <c r="J67" i="92"/>
  <c r="J68" i="92"/>
  <c r="J69" i="92"/>
  <c r="J70" i="92"/>
  <c r="J71" i="92"/>
  <c r="J72" i="92"/>
  <c r="E18" i="91"/>
  <c r="C35" i="91"/>
  <c r="D37" i="91"/>
  <c r="K48" i="91" s="1"/>
  <c r="J40" i="91"/>
  <c r="J41" i="91"/>
  <c r="J42" i="91"/>
  <c r="J43" i="91"/>
  <c r="J44" i="91"/>
  <c r="J45" i="91"/>
  <c r="J46" i="91"/>
  <c r="J47" i="91"/>
  <c r="J48" i="91"/>
  <c r="J49" i="91"/>
  <c r="J50" i="91"/>
  <c r="J51" i="91"/>
  <c r="J52" i="91"/>
  <c r="J53" i="91"/>
  <c r="J54" i="91"/>
  <c r="J55" i="91"/>
  <c r="J58" i="91"/>
  <c r="J59" i="91"/>
  <c r="J60" i="91"/>
  <c r="J61" i="91"/>
  <c r="J62" i="91"/>
  <c r="J63" i="91"/>
  <c r="J64" i="91"/>
  <c r="J65" i="91"/>
  <c r="J66" i="91"/>
  <c r="J67" i="91"/>
  <c r="J68" i="91"/>
  <c r="J69" i="91"/>
  <c r="J70" i="91"/>
  <c r="J71" i="91"/>
  <c r="J72" i="91"/>
  <c r="J73" i="91"/>
  <c r="D18" i="90"/>
  <c r="C35" i="90"/>
  <c r="D37" i="90"/>
  <c r="BX5" i="12" s="1"/>
  <c r="J40" i="90"/>
  <c r="J41" i="90"/>
  <c r="BX23" i="12"/>
  <c r="J42" i="90"/>
  <c r="J43" i="90"/>
  <c r="J44" i="90"/>
  <c r="J45" i="90"/>
  <c r="J46" i="90"/>
  <c r="J47" i="90"/>
  <c r="J48" i="90"/>
  <c r="D49" i="90"/>
  <c r="BX31" i="12" s="1"/>
  <c r="J49" i="90"/>
  <c r="J50" i="90"/>
  <c r="J51" i="90"/>
  <c r="J52" i="90"/>
  <c r="J53" i="90"/>
  <c r="J54" i="90"/>
  <c r="J55" i="90"/>
  <c r="J59" i="90"/>
  <c r="J60" i="90"/>
  <c r="J61" i="90"/>
  <c r="J62" i="90"/>
  <c r="J63" i="90"/>
  <c r="J64" i="90"/>
  <c r="J65" i="90"/>
  <c r="J66" i="90"/>
  <c r="J67" i="90"/>
  <c r="J68" i="90"/>
  <c r="J69" i="90"/>
  <c r="J70" i="90"/>
  <c r="J71" i="90"/>
  <c r="J72" i="90"/>
  <c r="J73" i="90"/>
  <c r="J74" i="90"/>
  <c r="G89" i="96"/>
  <c r="K55" i="90"/>
  <c r="K51" i="90"/>
  <c r="K43" i="90"/>
  <c r="K53" i="90"/>
  <c r="E48" i="93"/>
  <c r="E55" i="93"/>
  <c r="F9" i="88"/>
  <c r="F10" i="88"/>
  <c r="F14" i="88" s="1"/>
  <c r="E31" i="96" s="1"/>
  <c r="DL4" i="12" s="1"/>
  <c r="F13" i="87"/>
  <c r="F14" i="87"/>
  <c r="D17" i="87"/>
  <c r="J47" i="83"/>
  <c r="C46" i="83"/>
  <c r="D46" i="83" s="1"/>
  <c r="K26" i="82"/>
  <c r="K27" i="82"/>
  <c r="K28" i="82"/>
  <c r="K29" i="82"/>
  <c r="K30" i="82"/>
  <c r="K31" i="82"/>
  <c r="K32" i="82"/>
  <c r="E34" i="82"/>
  <c r="D39" i="82" s="1"/>
  <c r="L39" i="82" s="1"/>
  <c r="K37" i="82"/>
  <c r="K38" i="82"/>
  <c r="K39" i="82"/>
  <c r="K40" i="82"/>
  <c r="K41" i="82"/>
  <c r="L41" i="82"/>
  <c r="K42" i="82"/>
  <c r="K43" i="82"/>
  <c r="K49" i="82"/>
  <c r="K50" i="82"/>
  <c r="L50" i="82"/>
  <c r="K51" i="82"/>
  <c r="L51" i="82"/>
  <c r="K52" i="82"/>
  <c r="L59" i="82"/>
  <c r="K75" i="82"/>
  <c r="K81" i="82" s="1"/>
  <c r="K76" i="82"/>
  <c r="K82" i="82" s="1"/>
  <c r="K77" i="82"/>
  <c r="K83" i="82" s="1"/>
  <c r="K78" i="82"/>
  <c r="K84" i="82" s="1"/>
  <c r="C90" i="82"/>
  <c r="C91" i="82"/>
  <c r="C92" i="82"/>
  <c r="C93" i="82"/>
  <c r="D93" i="82" s="1"/>
  <c r="D38" i="82"/>
  <c r="L38" i="82" s="1"/>
  <c r="K38" i="21"/>
  <c r="K37" i="21"/>
  <c r="K36" i="21"/>
  <c r="C89" i="81"/>
  <c r="C88" i="81"/>
  <c r="D88" i="81" s="1"/>
  <c r="C87" i="81"/>
  <c r="C86" i="81"/>
  <c r="C85" i="81"/>
  <c r="C84" i="81"/>
  <c r="C83" i="81"/>
  <c r="C82" i="81"/>
  <c r="G82" i="81" s="1"/>
  <c r="C81" i="81"/>
  <c r="C80" i="81"/>
  <c r="C79" i="81"/>
  <c r="G79" i="81" s="1"/>
  <c r="C78" i="81"/>
  <c r="C77" i="81"/>
  <c r="C76" i="81"/>
  <c r="F76" i="81" s="1"/>
  <c r="C75" i="81"/>
  <c r="C74" i="81"/>
  <c r="J89" i="81"/>
  <c r="J88" i="81"/>
  <c r="J87" i="81"/>
  <c r="J86" i="81"/>
  <c r="J85" i="81"/>
  <c r="J84" i="81"/>
  <c r="J83" i="81"/>
  <c r="J82" i="81"/>
  <c r="J81" i="81"/>
  <c r="J80" i="81"/>
  <c r="J79" i="81"/>
  <c r="J78" i="81"/>
  <c r="J77" i="81"/>
  <c r="J76" i="81"/>
  <c r="J75" i="81"/>
  <c r="J74" i="81"/>
  <c r="J69" i="81"/>
  <c r="J68" i="81"/>
  <c r="J67" i="81"/>
  <c r="J66" i="81"/>
  <c r="J65" i="81"/>
  <c r="J64" i="81"/>
  <c r="J63" i="81"/>
  <c r="J62" i="81"/>
  <c r="J61" i="81"/>
  <c r="J60" i="81"/>
  <c r="J59" i="81"/>
  <c r="J58" i="81"/>
  <c r="J57" i="81"/>
  <c r="J56" i="81"/>
  <c r="J55" i="81"/>
  <c r="J54" i="81"/>
  <c r="D14" i="81"/>
  <c r="K36" i="81"/>
  <c r="J36" i="81"/>
  <c r="K35" i="81"/>
  <c r="J35" i="81"/>
  <c r="J34" i="81"/>
  <c r="J33" i="81"/>
  <c r="K29" i="81"/>
  <c r="J29" i="81"/>
  <c r="K28" i="81"/>
  <c r="J28" i="81"/>
  <c r="J27" i="81"/>
  <c r="J26" i="81"/>
  <c r="J25" i="81"/>
  <c r="J24" i="81"/>
  <c r="D43" i="81"/>
  <c r="K43" i="81" s="1"/>
  <c r="B144" i="78"/>
  <c r="B143" i="78"/>
  <c r="B138" i="78"/>
  <c r="G20" i="80"/>
  <c r="G19" i="80" s="1"/>
  <c r="G18" i="80" s="1"/>
  <c r="G17" i="80" s="1"/>
  <c r="G16" i="80" s="1"/>
  <c r="G15" i="80" s="1"/>
  <c r="G14" i="80" s="1"/>
  <c r="G13" i="80" s="1"/>
  <c r="G12" i="80" s="1"/>
  <c r="G11" i="80" s="1"/>
  <c r="G10" i="80" s="1"/>
  <c r="G9" i="80" s="1"/>
  <c r="G8" i="80" s="1"/>
  <c r="G7" i="80" s="1"/>
  <c r="G6" i="80" s="1"/>
  <c r="G5" i="80" s="1"/>
  <c r="G4" i="80" s="1"/>
  <c r="G3" i="80" s="1"/>
  <c r="G2" i="80" s="1"/>
  <c r="G1" i="80" s="1"/>
  <c r="P38" i="79"/>
  <c r="B133" i="78"/>
  <c r="C115" i="78"/>
  <c r="D115" i="78"/>
  <c r="E115" i="78"/>
  <c r="F115" i="78"/>
  <c r="G115" i="78"/>
  <c r="B92" i="78"/>
  <c r="B93" i="78"/>
  <c r="B94" i="78"/>
  <c r="B95" i="78"/>
  <c r="B96" i="78"/>
  <c r="B97" i="78"/>
  <c r="B98" i="78"/>
  <c r="B99" i="78"/>
  <c r="B100" i="78"/>
  <c r="B101" i="78"/>
  <c r="B102" i="78"/>
  <c r="B103" i="78"/>
  <c r="B104" i="78"/>
  <c r="B105" i="78"/>
  <c r="B106" i="78"/>
  <c r="B107" i="78"/>
  <c r="B91" i="78"/>
  <c r="D16" i="78"/>
  <c r="E16" i="78"/>
  <c r="F16" i="78"/>
  <c r="G16" i="78"/>
  <c r="C20" i="78"/>
  <c r="D20" i="78"/>
  <c r="E20" i="78"/>
  <c r="F20" i="78"/>
  <c r="G20" i="78"/>
  <c r="C21" i="78"/>
  <c r="D21" i="78"/>
  <c r="E21" i="78"/>
  <c r="F21" i="78"/>
  <c r="G21" i="78"/>
  <c r="C22" i="78"/>
  <c r="D22" i="78"/>
  <c r="E22" i="78"/>
  <c r="F22" i="78"/>
  <c r="G22" i="78"/>
  <c r="C23" i="78"/>
  <c r="D23" i="78"/>
  <c r="E23" i="78"/>
  <c r="F23" i="78"/>
  <c r="G23" i="78"/>
  <c r="C24" i="78"/>
  <c r="D24" i="78"/>
  <c r="E24" i="78"/>
  <c r="F24" i="78"/>
  <c r="G24" i="78"/>
  <c r="B9" i="78"/>
  <c r="B10" i="78"/>
  <c r="B11" i="78"/>
  <c r="B12" i="78"/>
  <c r="B13" i="78"/>
  <c r="B14" i="78"/>
  <c r="B15" i="78"/>
  <c r="B16" i="78"/>
  <c r="B17" i="78"/>
  <c r="B18" i="78"/>
  <c r="B19" i="78"/>
  <c r="B20" i="78"/>
  <c r="B21" i="78"/>
  <c r="B22" i="78"/>
  <c r="B23" i="78"/>
  <c r="B24" i="78"/>
  <c r="E90" i="78"/>
  <c r="E111" i="78" s="1"/>
  <c r="G90" i="78"/>
  <c r="G111" i="78" s="1"/>
  <c r="D50" i="78"/>
  <c r="E50" i="78"/>
  <c r="F50" i="78"/>
  <c r="G50" i="78"/>
  <c r="C50" i="78"/>
  <c r="F46" i="56"/>
  <c r="H62" i="56" s="1"/>
  <c r="E18" i="60"/>
  <c r="J63" i="59"/>
  <c r="K63" i="59" s="1"/>
  <c r="E15" i="63"/>
  <c r="F33" i="63"/>
  <c r="F32" i="63"/>
  <c r="K65" i="47"/>
  <c r="K72" i="47" s="1"/>
  <c r="K66" i="47"/>
  <c r="K73" i="47" s="1"/>
  <c r="K67" i="47"/>
  <c r="K74" i="47" s="1"/>
  <c r="G21" i="56"/>
  <c r="C81" i="47"/>
  <c r="E81" i="47" s="1"/>
  <c r="C82" i="47"/>
  <c r="G82" i="47" s="1"/>
  <c r="C83" i="47"/>
  <c r="C80" i="47"/>
  <c r="D80" i="47" s="1"/>
  <c r="D81" i="47"/>
  <c r="D27" i="72"/>
  <c r="D26" i="72" s="1"/>
  <c r="D25" i="72"/>
  <c r="D17" i="72"/>
  <c r="D9" i="72"/>
  <c r="D10" i="72" s="1"/>
  <c r="K14" i="70"/>
  <c r="L14" i="70" s="1"/>
  <c r="K12" i="70"/>
  <c r="L12" i="70" s="1"/>
  <c r="K10" i="70"/>
  <c r="L10" i="70" s="1"/>
  <c r="I9" i="70"/>
  <c r="H9" i="70"/>
  <c r="F58" i="22"/>
  <c r="P21" i="12" s="1"/>
  <c r="D27" i="56"/>
  <c r="BD4" i="12" s="1"/>
  <c r="J25" i="63"/>
  <c r="K25" i="63"/>
  <c r="D42" i="63"/>
  <c r="J42" i="63"/>
  <c r="J46" i="63" s="1"/>
  <c r="D16" i="61"/>
  <c r="E25" i="60" s="1"/>
  <c r="BN4" i="12" s="1"/>
  <c r="E15" i="60"/>
  <c r="J28" i="60"/>
  <c r="K28" i="60"/>
  <c r="J29" i="60"/>
  <c r="K29" i="60"/>
  <c r="J30" i="60"/>
  <c r="K30" i="60"/>
  <c r="J31" i="60"/>
  <c r="D36" i="60"/>
  <c r="D38" i="60" s="1"/>
  <c r="K57" i="60" s="1"/>
  <c r="F41" i="60"/>
  <c r="F42" i="60"/>
  <c r="J38" i="60"/>
  <c r="J41" i="60" s="1"/>
  <c r="D23" i="59"/>
  <c r="BI4" i="12" s="1"/>
  <c r="J34" i="59"/>
  <c r="X89" i="59"/>
  <c r="G13" i="56"/>
  <c r="G16" i="56" s="1"/>
  <c r="G18" i="56" s="1"/>
  <c r="G20" i="56" s="1"/>
  <c r="I33" i="56"/>
  <c r="BD6" i="12" s="1"/>
  <c r="J39" i="56"/>
  <c r="J41" i="56"/>
  <c r="J42" i="56"/>
  <c r="I45" i="56"/>
  <c r="I46" i="56"/>
  <c r="I47" i="56"/>
  <c r="I48" i="56"/>
  <c r="B7" i="54"/>
  <c r="E23" i="53"/>
  <c r="AY4" i="12" s="1"/>
  <c r="J26" i="53"/>
  <c r="J59" i="53" s="1"/>
  <c r="J27" i="53"/>
  <c r="J60" i="53" s="1"/>
  <c r="K60" i="53" s="1"/>
  <c r="J28" i="53"/>
  <c r="K28" i="53" s="1"/>
  <c r="I41" i="53"/>
  <c r="I42" i="53"/>
  <c r="I74" i="53"/>
  <c r="I81" i="53" s="1"/>
  <c r="I75" i="53"/>
  <c r="I82" i="53" s="1"/>
  <c r="I76" i="53"/>
  <c r="I83" i="53" s="1"/>
  <c r="I77" i="53"/>
  <c r="I84" i="53" s="1"/>
  <c r="F78" i="53"/>
  <c r="D81" i="53"/>
  <c r="D82" i="53"/>
  <c r="D83" i="53"/>
  <c r="D84" i="53"/>
  <c r="E23" i="50"/>
  <c r="AT4" i="12" s="1"/>
  <c r="K26" i="50"/>
  <c r="K27" i="50"/>
  <c r="K28" i="50"/>
  <c r="K29" i="50"/>
  <c r="K30" i="50"/>
  <c r="K31" i="50"/>
  <c r="E32" i="50"/>
  <c r="C35" i="50"/>
  <c r="D35" i="50"/>
  <c r="L35" i="50" s="1"/>
  <c r="M35" i="50" s="1"/>
  <c r="C36" i="50"/>
  <c r="D36" i="50"/>
  <c r="L36" i="50" s="1"/>
  <c r="M36" i="50" s="1"/>
  <c r="C37" i="50"/>
  <c r="D37" i="50"/>
  <c r="L37" i="50" s="1"/>
  <c r="M37" i="50" s="1"/>
  <c r="C38" i="50"/>
  <c r="D38" i="50"/>
  <c r="L38" i="50" s="1"/>
  <c r="M38" i="50" s="1"/>
  <c r="K49" i="50"/>
  <c r="L51" i="50"/>
  <c r="L52" i="50"/>
  <c r="K65" i="50"/>
  <c r="K73" i="50" s="1"/>
  <c r="D70" i="50"/>
  <c r="E70" i="50"/>
  <c r="F70" i="50"/>
  <c r="C73" i="50"/>
  <c r="D73" i="50"/>
  <c r="E73" i="50"/>
  <c r="F73" i="50"/>
  <c r="D74" i="50"/>
  <c r="E74" i="50"/>
  <c r="F74" i="50"/>
  <c r="D75" i="50"/>
  <c r="E75" i="50"/>
  <c r="F75" i="50"/>
  <c r="D76" i="50"/>
  <c r="E76" i="50"/>
  <c r="F76" i="50"/>
  <c r="D77" i="50"/>
  <c r="E77" i="50"/>
  <c r="F77" i="50"/>
  <c r="K77" i="50"/>
  <c r="B7" i="48"/>
  <c r="K26" i="47"/>
  <c r="K27" i="47"/>
  <c r="K28" i="47"/>
  <c r="K29" i="47"/>
  <c r="K30" i="47"/>
  <c r="K31" i="47"/>
  <c r="C35" i="47"/>
  <c r="D35" i="47"/>
  <c r="L35" i="47" s="1"/>
  <c r="C36" i="47"/>
  <c r="D36" i="47"/>
  <c r="L36" i="47" s="1"/>
  <c r="M36" i="47" s="1"/>
  <c r="C37" i="47"/>
  <c r="D37" i="47"/>
  <c r="C38" i="47"/>
  <c r="D38" i="47"/>
  <c r="L38" i="47" s="1"/>
  <c r="M38" i="47" s="1"/>
  <c r="K50" i="47"/>
  <c r="K51" i="47"/>
  <c r="K52" i="47"/>
  <c r="K53" i="47"/>
  <c r="K64" i="47"/>
  <c r="K71" i="47" s="1"/>
  <c r="G14" i="45"/>
  <c r="H17" i="45" s="1"/>
  <c r="G26" i="45"/>
  <c r="H29" i="45"/>
  <c r="G37" i="45"/>
  <c r="E59" i="45"/>
  <c r="E63" i="45" s="1"/>
  <c r="K26" i="44"/>
  <c r="K27" i="44"/>
  <c r="K28" i="44"/>
  <c r="K29" i="44"/>
  <c r="K30" i="44"/>
  <c r="K31" i="44"/>
  <c r="K32" i="44"/>
  <c r="K33" i="44"/>
  <c r="E34" i="44"/>
  <c r="L45" i="44"/>
  <c r="AJ5" i="12" s="1"/>
  <c r="L37" i="44"/>
  <c r="K37" i="44"/>
  <c r="K38" i="44"/>
  <c r="L38" i="44"/>
  <c r="K39" i="44"/>
  <c r="L39" i="44"/>
  <c r="K52" i="44"/>
  <c r="K63" i="44" s="1"/>
  <c r="C73" i="44" s="1"/>
  <c r="F53" i="44"/>
  <c r="K53" i="44"/>
  <c r="K64" i="44" s="1"/>
  <c r="C74" i="44" s="1"/>
  <c r="K54" i="44"/>
  <c r="K65" i="44" s="1"/>
  <c r="C75" i="44" s="1"/>
  <c r="K58" i="44"/>
  <c r="K59" i="44"/>
  <c r="K60" i="44"/>
  <c r="D63" i="44"/>
  <c r="E63" i="44"/>
  <c r="F63" i="44"/>
  <c r="D64" i="44"/>
  <c r="E64" i="44"/>
  <c r="D65" i="44"/>
  <c r="E65" i="44"/>
  <c r="F65" i="44"/>
  <c r="F85" i="44"/>
  <c r="F86" i="44"/>
  <c r="F87" i="44"/>
  <c r="C69" i="22"/>
  <c r="F69" i="22" s="1"/>
  <c r="K29" i="41"/>
  <c r="K30" i="41"/>
  <c r="K31" i="41"/>
  <c r="K32" i="41"/>
  <c r="K33" i="41"/>
  <c r="K34" i="41"/>
  <c r="K35" i="41"/>
  <c r="K36" i="41"/>
  <c r="K37" i="41"/>
  <c r="K38" i="41"/>
  <c r="E39" i="41"/>
  <c r="J89" i="41"/>
  <c r="F76" i="41"/>
  <c r="B20" i="38"/>
  <c r="E24" i="36" s="1"/>
  <c r="B42" i="38"/>
  <c r="F17" i="36"/>
  <c r="L32" i="36"/>
  <c r="L33" i="36"/>
  <c r="L34" i="36"/>
  <c r="E25" i="35"/>
  <c r="U4" i="12" s="1"/>
  <c r="K28" i="35"/>
  <c r="K29" i="35"/>
  <c r="K30" i="35"/>
  <c r="K31" i="35"/>
  <c r="K32" i="35"/>
  <c r="K33" i="35"/>
  <c r="C37" i="35"/>
  <c r="K37" i="35" s="1"/>
  <c r="D37" i="35"/>
  <c r="L37" i="35"/>
  <c r="C38" i="35"/>
  <c r="K38" i="35" s="1"/>
  <c r="D38" i="35"/>
  <c r="L38" i="35"/>
  <c r="C39" i="35"/>
  <c r="K39" i="35" s="1"/>
  <c r="D39" i="35"/>
  <c r="L39" i="35"/>
  <c r="C40" i="35"/>
  <c r="K40" i="35" s="1"/>
  <c r="D40" i="35"/>
  <c r="L40" i="35"/>
  <c r="C41" i="35"/>
  <c r="K41" i="35" s="1"/>
  <c r="D41" i="35"/>
  <c r="L41" i="35"/>
  <c r="C42" i="35"/>
  <c r="K42" i="35" s="1"/>
  <c r="D42" i="35"/>
  <c r="L42" i="35"/>
  <c r="F56" i="35"/>
  <c r="F62" i="35"/>
  <c r="C74" i="35"/>
  <c r="F74" i="35" s="1"/>
  <c r="C77" i="35"/>
  <c r="C78" i="35"/>
  <c r="C79" i="35"/>
  <c r="C80" i="35"/>
  <c r="E12" i="25"/>
  <c r="E13" i="25"/>
  <c r="E14" i="25"/>
  <c r="K27" i="22"/>
  <c r="K28" i="22"/>
  <c r="K29" i="22"/>
  <c r="K30" i="22"/>
  <c r="K31" i="22"/>
  <c r="L32" i="22"/>
  <c r="E33" i="22"/>
  <c r="L44" i="22" s="1"/>
  <c r="L46" i="22" s="1"/>
  <c r="K36" i="22"/>
  <c r="L36" i="22"/>
  <c r="K37" i="22"/>
  <c r="L37" i="22"/>
  <c r="K38" i="22"/>
  <c r="K58" i="22"/>
  <c r="K59" i="22"/>
  <c r="D60" i="22"/>
  <c r="E60" i="22"/>
  <c r="F60" i="22"/>
  <c r="P32" i="12" s="1"/>
  <c r="K60" i="22"/>
  <c r="K63" i="22"/>
  <c r="K64" i="22"/>
  <c r="K65" i="22"/>
  <c r="C70" i="22"/>
  <c r="F70" i="22" s="1"/>
  <c r="C71" i="22"/>
  <c r="K27" i="21"/>
  <c r="K28" i="21"/>
  <c r="K29" i="21"/>
  <c r="K30" i="21"/>
  <c r="K31" i="21"/>
  <c r="K32" i="21"/>
  <c r="K58" i="21"/>
  <c r="K69" i="21" s="1"/>
  <c r="C81" i="21" s="1"/>
  <c r="K63" i="21"/>
  <c r="K71" i="21" s="1"/>
  <c r="C83" i="21" s="1"/>
  <c r="E83" i="21" s="1"/>
  <c r="K64" i="21"/>
  <c r="K72" i="21" s="1"/>
  <c r="C84" i="21" s="1"/>
  <c r="K65" i="21"/>
  <c r="K73" i="21" s="1"/>
  <c r="C85" i="21" s="1"/>
  <c r="E85" i="21" s="1"/>
  <c r="M65" i="21" s="1"/>
  <c r="E83" i="41"/>
  <c r="F80" i="35" l="1"/>
  <c r="F81" i="21"/>
  <c r="F88" i="91"/>
  <c r="F83" i="50"/>
  <c r="M125" i="4"/>
  <c r="G80" i="81"/>
  <c r="F82" i="92"/>
  <c r="F74" i="90"/>
  <c r="F80" i="92"/>
  <c r="F91" i="53"/>
  <c r="F56" i="56"/>
  <c r="F83" i="94"/>
  <c r="F78" i="91"/>
  <c r="F77" i="92"/>
  <c r="F97" i="93"/>
  <c r="F71" i="90"/>
  <c r="F6" i="2"/>
  <c r="F5" i="2"/>
  <c r="G5" i="2" s="1"/>
  <c r="H5" i="2" s="1"/>
  <c r="G20" i="2"/>
  <c r="H20" i="2" s="1"/>
  <c r="F9" i="2"/>
  <c r="F26" i="81" s="1"/>
  <c r="K26" i="81" s="1"/>
  <c r="F10" i="2"/>
  <c r="F31" i="95" s="1"/>
  <c r="J31" i="95" s="1"/>
  <c r="F8" i="2"/>
  <c r="F34" i="94" s="1"/>
  <c r="J34" i="94" s="1"/>
  <c r="F11" i="2"/>
  <c r="F25" i="81" s="1"/>
  <c r="K25" i="81" s="1"/>
  <c r="F13" i="2"/>
  <c r="G13" i="2" s="1"/>
  <c r="H13" i="2" s="1"/>
  <c r="F15" i="2"/>
  <c r="G15" i="2" s="1"/>
  <c r="H15" i="2" s="1"/>
  <c r="D97" i="93"/>
  <c r="F85" i="96"/>
  <c r="E87" i="92"/>
  <c r="L49" i="92" s="1"/>
  <c r="E80" i="81"/>
  <c r="F17" i="44"/>
  <c r="G17" i="44" s="1"/>
  <c r="D85" i="96"/>
  <c r="F87" i="92"/>
  <c r="F81" i="90"/>
  <c r="N75" i="4"/>
  <c r="O75" i="4" s="1"/>
  <c r="P75" i="4" s="1"/>
  <c r="Q75" i="4" s="1"/>
  <c r="AO12" i="12"/>
  <c r="G86" i="91"/>
  <c r="G82" i="50"/>
  <c r="G55" i="56"/>
  <c r="M96" i="4"/>
  <c r="G75" i="81"/>
  <c r="G71" i="90"/>
  <c r="G73" i="44"/>
  <c r="DL12" i="12"/>
  <c r="BN12" i="12"/>
  <c r="F83" i="41"/>
  <c r="F54" i="21"/>
  <c r="D80" i="81"/>
  <c r="E81" i="81"/>
  <c r="G84" i="90"/>
  <c r="G86" i="92"/>
  <c r="G79" i="90"/>
  <c r="G81" i="92"/>
  <c r="G77" i="90"/>
  <c r="CR12" i="12"/>
  <c r="CM12" i="12"/>
  <c r="AT12" i="12"/>
  <c r="U12" i="12"/>
  <c r="M103" i="4"/>
  <c r="W31" i="77" s="1"/>
  <c r="CW12" i="12"/>
  <c r="AY12" i="12"/>
  <c r="K43" i="91"/>
  <c r="L58" i="21"/>
  <c r="BD9" i="12"/>
  <c r="F30" i="93"/>
  <c r="G87" i="96"/>
  <c r="G83" i="96"/>
  <c r="G80" i="90"/>
  <c r="G85" i="92"/>
  <c r="G77" i="92"/>
  <c r="G73" i="90"/>
  <c r="M84" i="4"/>
  <c r="Q36" i="77" s="1"/>
  <c r="C104" i="78" s="1"/>
  <c r="BI12" i="12"/>
  <c r="AE12" i="12"/>
  <c r="N127" i="4"/>
  <c r="O127" i="4" s="1"/>
  <c r="P127" i="4" s="1"/>
  <c r="Q127" i="4" s="1"/>
  <c r="M127" i="4"/>
  <c r="N104" i="4"/>
  <c r="O104" i="4" s="1"/>
  <c r="P104" i="4" s="1"/>
  <c r="Q104" i="4" s="1"/>
  <c r="M104" i="4"/>
  <c r="E87" i="81"/>
  <c r="E81" i="95"/>
  <c r="E41" i="36"/>
  <c r="G7" i="2"/>
  <c r="H7" i="2" s="1"/>
  <c r="E84" i="91"/>
  <c r="E79" i="92"/>
  <c r="L41" i="92" s="1"/>
  <c r="M85" i="4"/>
  <c r="Q37" i="77" s="1"/>
  <c r="C105" i="78" s="1"/>
  <c r="E83" i="81"/>
  <c r="F83" i="81"/>
  <c r="E84" i="81"/>
  <c r="D40" i="82"/>
  <c r="L40" i="82" s="1"/>
  <c r="K40" i="90"/>
  <c r="L40" i="90" s="1"/>
  <c r="K41" i="90"/>
  <c r="L41" i="90" s="1"/>
  <c r="E85" i="96"/>
  <c r="E85" i="95"/>
  <c r="E82" i="50"/>
  <c r="E55" i="56"/>
  <c r="K41" i="56" s="1"/>
  <c r="G21" i="2"/>
  <c r="H21" i="2" s="1"/>
  <c r="M77" i="4"/>
  <c r="Q28" i="77" s="1"/>
  <c r="C96" i="78" s="1"/>
  <c r="G77" i="44"/>
  <c r="E101" i="93"/>
  <c r="K81" i="93" s="1"/>
  <c r="L108" i="4"/>
  <c r="N108" i="4" s="1"/>
  <c r="O108" i="4" s="1"/>
  <c r="P108" i="4" s="1"/>
  <c r="Q108" i="4" s="1"/>
  <c r="L124" i="4"/>
  <c r="N124" i="4" s="1"/>
  <c r="O124" i="4" s="1"/>
  <c r="P124" i="4" s="1"/>
  <c r="Q124" i="4" s="1"/>
  <c r="L101" i="4"/>
  <c r="N101" i="4" s="1"/>
  <c r="O101" i="4" s="1"/>
  <c r="P101" i="4" s="1"/>
  <c r="Q101" i="4" s="1"/>
  <c r="E81" i="90"/>
  <c r="K69" i="41"/>
  <c r="F77" i="41" s="1"/>
  <c r="G84" i="81"/>
  <c r="F75" i="81"/>
  <c r="F73" i="90"/>
  <c r="E75" i="35"/>
  <c r="F84" i="41"/>
  <c r="D38" i="22"/>
  <c r="L38" i="22" s="1"/>
  <c r="L39" i="22" s="1"/>
  <c r="G80" i="35"/>
  <c r="G77" i="35"/>
  <c r="F77" i="35"/>
  <c r="L60" i="44"/>
  <c r="J87" i="44" s="1"/>
  <c r="D84" i="81"/>
  <c r="D76" i="81"/>
  <c r="G91" i="82"/>
  <c r="K54" i="90"/>
  <c r="L54" i="90" s="1"/>
  <c r="K48" i="90"/>
  <c r="K67" i="90" s="1"/>
  <c r="G85" i="95"/>
  <c r="G88" i="92"/>
  <c r="G90" i="92"/>
  <c r="F84" i="92"/>
  <c r="F81" i="50"/>
  <c r="F80" i="91"/>
  <c r="F85" i="91"/>
  <c r="G92" i="92"/>
  <c r="E83" i="92"/>
  <c r="L45" i="92" s="1"/>
  <c r="E73" i="90"/>
  <c r="E92" i="53"/>
  <c r="G72" i="90"/>
  <c r="G75" i="90"/>
  <c r="G41" i="36"/>
  <c r="G83" i="92"/>
  <c r="N83" i="4"/>
  <c r="R35" i="77" s="1"/>
  <c r="D103" i="78" s="1"/>
  <c r="N87" i="4"/>
  <c r="R39" i="77" s="1"/>
  <c r="D107" i="78" s="1"/>
  <c r="J48" i="56"/>
  <c r="M111" i="4"/>
  <c r="M119" i="4"/>
  <c r="L110" i="4"/>
  <c r="N110" i="4" s="1"/>
  <c r="O110" i="4" s="1"/>
  <c r="P110" i="4" s="1"/>
  <c r="Q110" i="4" s="1"/>
  <c r="K35" i="47"/>
  <c r="G81" i="95"/>
  <c r="G87" i="92"/>
  <c r="F82" i="90"/>
  <c r="G86" i="90"/>
  <c r="G78" i="92"/>
  <c r="M76" i="4"/>
  <c r="N80" i="4"/>
  <c r="L54" i="92"/>
  <c r="G70" i="22"/>
  <c r="F84" i="81"/>
  <c r="D87" i="96"/>
  <c r="F89" i="96"/>
  <c r="F92" i="53"/>
  <c r="F55" i="56"/>
  <c r="F84" i="50"/>
  <c r="F88" i="92"/>
  <c r="G81" i="50"/>
  <c r="G79" i="92"/>
  <c r="L51" i="90"/>
  <c r="K74" i="90"/>
  <c r="F76" i="35"/>
  <c r="L55" i="90"/>
  <c r="L53" i="92"/>
  <c r="K61" i="92"/>
  <c r="K57" i="92"/>
  <c r="C9" i="78"/>
  <c r="K72" i="90"/>
  <c r="J45" i="56"/>
  <c r="K61" i="91"/>
  <c r="F28" i="77"/>
  <c r="G28" i="77" s="1"/>
  <c r="E74" i="35"/>
  <c r="D80" i="35"/>
  <c r="G74" i="35"/>
  <c r="E80" i="35"/>
  <c r="F75" i="35"/>
  <c r="D74" i="35"/>
  <c r="L54" i="44"/>
  <c r="L58" i="44"/>
  <c r="J85" i="44" s="1"/>
  <c r="L52" i="44"/>
  <c r="E73" i="44"/>
  <c r="L59" i="44"/>
  <c r="J86" i="44" s="1"/>
  <c r="D76" i="44"/>
  <c r="L66" i="44" s="1"/>
  <c r="K85" i="44" s="1"/>
  <c r="L39" i="50"/>
  <c r="K35" i="50"/>
  <c r="K27" i="63"/>
  <c r="K44" i="91"/>
  <c r="K46" i="91"/>
  <c r="K64" i="91" s="1"/>
  <c r="K50" i="91"/>
  <c r="K68" i="91" s="1"/>
  <c r="K53" i="91"/>
  <c r="L39" i="92"/>
  <c r="K59" i="92"/>
  <c r="K68" i="92"/>
  <c r="D43" i="111"/>
  <c r="E43" i="111" s="1"/>
  <c r="G43" i="111" s="1"/>
  <c r="J43" i="111" s="1"/>
  <c r="F33" i="93"/>
  <c r="H33" i="93" s="1"/>
  <c r="L78" i="93" s="1"/>
  <c r="L79" i="93"/>
  <c r="M109" i="4"/>
  <c r="G88" i="81"/>
  <c r="G93" i="53"/>
  <c r="K62" i="90"/>
  <c r="K60" i="90"/>
  <c r="G85" i="50"/>
  <c r="K12" i="12"/>
  <c r="D80" i="21"/>
  <c r="E80" i="21"/>
  <c r="G80" i="21"/>
  <c r="G74" i="44"/>
  <c r="E74" i="44"/>
  <c r="E54" i="59"/>
  <c r="G54" i="59"/>
  <c r="G69" i="22"/>
  <c r="J89" i="93"/>
  <c r="F82" i="41"/>
  <c r="E84" i="41"/>
  <c r="L64" i="21"/>
  <c r="E15" i="25"/>
  <c r="E24" i="22" s="1"/>
  <c r="P4" i="12" s="1"/>
  <c r="P12" i="12" s="1"/>
  <c r="J61" i="53"/>
  <c r="K61" i="53" s="1"/>
  <c r="K26" i="53"/>
  <c r="K39" i="56"/>
  <c r="G81" i="47"/>
  <c r="G87" i="81"/>
  <c r="D75" i="81"/>
  <c r="G76" i="81"/>
  <c r="F93" i="82"/>
  <c r="G90" i="82"/>
  <c r="K45" i="90"/>
  <c r="K64" i="90" s="1"/>
  <c r="K46" i="90"/>
  <c r="K65" i="90" s="1"/>
  <c r="K52" i="90"/>
  <c r="G85" i="96"/>
  <c r="D89" i="96"/>
  <c r="G53" i="56"/>
  <c r="G91" i="92"/>
  <c r="F85" i="92"/>
  <c r="F90" i="53"/>
  <c r="F75" i="90"/>
  <c r="F81" i="92"/>
  <c r="F89" i="91"/>
  <c r="G90" i="53"/>
  <c r="G82" i="91"/>
  <c r="G78" i="91"/>
  <c r="G92" i="53"/>
  <c r="G80" i="91"/>
  <c r="G84" i="92"/>
  <c r="N82" i="4"/>
  <c r="O82" i="4" s="1"/>
  <c r="P82" i="4" s="1"/>
  <c r="Q82" i="4" s="1"/>
  <c r="M88" i="4"/>
  <c r="D24" i="111"/>
  <c r="E24" i="111" s="1"/>
  <c r="G24" i="111" s="1"/>
  <c r="J24" i="111" s="1"/>
  <c r="X31" i="77"/>
  <c r="M105" i="4"/>
  <c r="M97" i="4"/>
  <c r="L99" i="4"/>
  <c r="N99" i="4" s="1"/>
  <c r="O99" i="4" s="1"/>
  <c r="P99" i="4" s="1"/>
  <c r="Q99" i="4" s="1"/>
  <c r="CH13" i="12"/>
  <c r="CI32" i="12" s="1"/>
  <c r="G83" i="41"/>
  <c r="G82" i="41"/>
  <c r="E78" i="35"/>
  <c r="K38" i="50"/>
  <c r="D22" i="63"/>
  <c r="BS4" i="12" s="1"/>
  <c r="BS12" i="12" s="1"/>
  <c r="K8" i="70"/>
  <c r="L8" i="70" s="1"/>
  <c r="F81" i="47"/>
  <c r="E88" i="81"/>
  <c r="F80" i="81"/>
  <c r="E76" i="81"/>
  <c r="D83" i="81"/>
  <c r="F90" i="82"/>
  <c r="J44" i="95"/>
  <c r="J45" i="95" s="1"/>
  <c r="J60" i="95" s="1"/>
  <c r="K50" i="90"/>
  <c r="K69" i="90" s="1"/>
  <c r="K47" i="90"/>
  <c r="K66" i="90" s="1"/>
  <c r="K44" i="90"/>
  <c r="K63" i="90" s="1"/>
  <c r="F86" i="96"/>
  <c r="K66" i="91"/>
  <c r="K72" i="92"/>
  <c r="D38" i="95"/>
  <c r="J38" i="95" s="1"/>
  <c r="J41" i="95" s="1"/>
  <c r="J57" i="96"/>
  <c r="J65" i="96" s="1"/>
  <c r="J46" i="96"/>
  <c r="J49" i="96" s="1"/>
  <c r="G76" i="44"/>
  <c r="G85" i="90"/>
  <c r="G88" i="91"/>
  <c r="F83" i="91"/>
  <c r="F79" i="90"/>
  <c r="F54" i="56"/>
  <c r="E78" i="92"/>
  <c r="L40" i="92" s="1"/>
  <c r="G51" i="60"/>
  <c r="G83" i="94"/>
  <c r="G84" i="50"/>
  <c r="G78" i="90"/>
  <c r="G50" i="63"/>
  <c r="K70" i="90"/>
  <c r="L39" i="21"/>
  <c r="M128" i="4"/>
  <c r="M122" i="4"/>
  <c r="G98" i="93"/>
  <c r="F100" i="93"/>
  <c r="E98" i="93"/>
  <c r="K78" i="93" s="1"/>
  <c r="E97" i="93"/>
  <c r="G100" i="93"/>
  <c r="J70" i="93"/>
  <c r="L61" i="82"/>
  <c r="E71" i="22"/>
  <c r="F71" i="22"/>
  <c r="L58" i="22"/>
  <c r="L55" i="22"/>
  <c r="G52" i="59"/>
  <c r="D52" i="59"/>
  <c r="E52" i="59"/>
  <c r="F52" i="59"/>
  <c r="F83" i="47"/>
  <c r="E83" i="47"/>
  <c r="G87" i="95"/>
  <c r="F87" i="95"/>
  <c r="F83" i="95"/>
  <c r="E83" i="95"/>
  <c r="D83" i="95"/>
  <c r="G83" i="95"/>
  <c r="F88" i="96"/>
  <c r="D88" i="96"/>
  <c r="E88" i="96"/>
  <c r="G84" i="96"/>
  <c r="F84" i="96"/>
  <c r="E84" i="96"/>
  <c r="Q39" i="77"/>
  <c r="C107" i="78" s="1"/>
  <c r="L131" i="4"/>
  <c r="F85" i="50"/>
  <c r="F76" i="44"/>
  <c r="F91" i="92"/>
  <c r="F53" i="56"/>
  <c r="F51" i="59"/>
  <c r="F93" i="53"/>
  <c r="F88" i="81"/>
  <c r="F92" i="91"/>
  <c r="M121" i="4"/>
  <c r="N121" i="4"/>
  <c r="O121" i="4" s="1"/>
  <c r="P121" i="4" s="1"/>
  <c r="Q121" i="4" s="1"/>
  <c r="L98" i="4"/>
  <c r="G91" i="53"/>
  <c r="G80" i="92"/>
  <c r="G56" i="56"/>
  <c r="G81" i="91"/>
  <c r="N95" i="4"/>
  <c r="O95" i="4" s="1"/>
  <c r="P95" i="4" s="1"/>
  <c r="Q95" i="4" s="1"/>
  <c r="M95" i="4"/>
  <c r="D79" i="35"/>
  <c r="F79" i="35"/>
  <c r="D83" i="47"/>
  <c r="E74" i="81"/>
  <c r="G74" i="81"/>
  <c r="D74" i="81"/>
  <c r="E78" i="81"/>
  <c r="D78" i="81"/>
  <c r="D82" i="81"/>
  <c r="F82" i="81"/>
  <c r="F86" i="81"/>
  <c r="G86" i="81"/>
  <c r="L47" i="92"/>
  <c r="K65" i="92"/>
  <c r="E99" i="93"/>
  <c r="K79" i="93" s="1"/>
  <c r="G99" i="93"/>
  <c r="G74" i="90"/>
  <c r="E79" i="35"/>
  <c r="L43" i="35"/>
  <c r="BN5" i="12"/>
  <c r="BN13" i="12" s="1"/>
  <c r="BO22" i="12" s="1"/>
  <c r="E19" i="60"/>
  <c r="F19" i="60" s="1"/>
  <c r="K58" i="60"/>
  <c r="F91" i="82"/>
  <c r="D91" i="82"/>
  <c r="E91" i="82"/>
  <c r="D87" i="95"/>
  <c r="F85" i="90"/>
  <c r="G79" i="35"/>
  <c r="D69" i="22"/>
  <c r="E69" i="22"/>
  <c r="F99" i="93"/>
  <c r="C4" i="78"/>
  <c r="C51" i="78" s="1"/>
  <c r="B47" i="78"/>
  <c r="E82" i="91"/>
  <c r="E81" i="50"/>
  <c r="E75" i="90"/>
  <c r="E81" i="92"/>
  <c r="L43" i="92" s="1"/>
  <c r="E54" i="56"/>
  <c r="K40" i="56" s="1"/>
  <c r="E89" i="92"/>
  <c r="L51" i="92" s="1"/>
  <c r="L69" i="92" s="1"/>
  <c r="E90" i="91"/>
  <c r="E83" i="90"/>
  <c r="E93" i="82"/>
  <c r="K36" i="47"/>
  <c r="F82" i="47"/>
  <c r="E82" i="95"/>
  <c r="G82" i="95"/>
  <c r="F82" i="95"/>
  <c r="F87" i="96"/>
  <c r="E87" i="96"/>
  <c r="E87" i="91"/>
  <c r="E86" i="92"/>
  <c r="L48" i="92" s="1"/>
  <c r="E84" i="90"/>
  <c r="L53" i="90" s="1"/>
  <c r="E91" i="91"/>
  <c r="E90" i="92"/>
  <c r="L52" i="92" s="1"/>
  <c r="G101" i="93"/>
  <c r="F101" i="93"/>
  <c r="L106" i="4"/>
  <c r="G82" i="90"/>
  <c r="CC39" i="12"/>
  <c r="CW39" i="12"/>
  <c r="G84" i="41"/>
  <c r="E82" i="41"/>
  <c r="L63" i="21"/>
  <c r="M63" i="21" s="1"/>
  <c r="F80" i="21"/>
  <c r="K36" i="50"/>
  <c r="E82" i="47"/>
  <c r="F87" i="81"/>
  <c r="E79" i="81"/>
  <c r="L57" i="82"/>
  <c r="K40" i="91"/>
  <c r="L40" i="91" s="1"/>
  <c r="K49" i="91"/>
  <c r="K67" i="91" s="1"/>
  <c r="K47" i="91"/>
  <c r="K65" i="91" s="1"/>
  <c r="D82" i="95"/>
  <c r="D101" i="93"/>
  <c r="J90" i="93" s="1"/>
  <c r="E78" i="44"/>
  <c r="M74" i="4"/>
  <c r="Q35" i="77"/>
  <c r="C103" i="78" s="1"/>
  <c r="D77" i="44"/>
  <c r="K63" i="92"/>
  <c r="D75" i="35"/>
  <c r="G75" i="35"/>
  <c r="R37" i="77"/>
  <c r="D105" i="78" s="1"/>
  <c r="O85" i="4"/>
  <c r="S37" i="77" s="1"/>
  <c r="E105" i="78" s="1"/>
  <c r="M81" i="4"/>
  <c r="N81" i="4"/>
  <c r="O81" i="4" s="1"/>
  <c r="P81" i="4" s="1"/>
  <c r="Q81" i="4" s="1"/>
  <c r="L129" i="4"/>
  <c r="N129" i="4" s="1"/>
  <c r="O129" i="4" s="1"/>
  <c r="P129" i="4" s="1"/>
  <c r="Q129" i="4" s="1"/>
  <c r="AA36" i="77" s="1"/>
  <c r="F90" i="91"/>
  <c r="F83" i="90"/>
  <c r="N117" i="4"/>
  <c r="O117" i="4" s="1"/>
  <c r="P117" i="4" s="1"/>
  <c r="Q117" i="4" s="1"/>
  <c r="M117" i="4"/>
  <c r="K38" i="47"/>
  <c r="CC5" i="12"/>
  <c r="CC13" i="12" s="1"/>
  <c r="CD26" i="12" s="1"/>
  <c r="K42" i="91"/>
  <c r="L42" i="91" s="1"/>
  <c r="K55" i="91"/>
  <c r="K73" i="91" s="1"/>
  <c r="K54" i="91"/>
  <c r="K45" i="91"/>
  <c r="E86" i="95"/>
  <c r="D86" i="95"/>
  <c r="G86" i="95"/>
  <c r="E83" i="96"/>
  <c r="F83" i="96"/>
  <c r="D45" i="35"/>
  <c r="D46" i="35"/>
  <c r="F24" i="81"/>
  <c r="K24" i="81" s="1"/>
  <c r="G22" i="2"/>
  <c r="H22" i="2" s="1"/>
  <c r="E83" i="91"/>
  <c r="E82" i="92"/>
  <c r="L44" i="92" s="1"/>
  <c r="L62" i="92" s="1"/>
  <c r="Q38" i="77"/>
  <c r="C106" i="78" s="1"/>
  <c r="M78" i="4"/>
  <c r="N78" i="4"/>
  <c r="O78" i="4" s="1"/>
  <c r="P78" i="4" s="1"/>
  <c r="Q78" i="4" s="1"/>
  <c r="L132" i="4"/>
  <c r="N132" i="4" s="1"/>
  <c r="F86" i="90"/>
  <c r="F93" i="91"/>
  <c r="L126" i="4"/>
  <c r="N126" i="4" s="1"/>
  <c r="O126" i="4" s="1"/>
  <c r="P126" i="4" s="1"/>
  <c r="Q126" i="4" s="1"/>
  <c r="F87" i="91"/>
  <c r="F80" i="90"/>
  <c r="DL39" i="12"/>
  <c r="BX39" i="12"/>
  <c r="L35" i="36"/>
  <c r="Z27" i="12" s="1"/>
  <c r="K37" i="50"/>
  <c r="J29" i="53"/>
  <c r="K29" i="53" s="1"/>
  <c r="K31" i="53" s="1"/>
  <c r="F46" i="60"/>
  <c r="D82" i="47"/>
  <c r="F34" i="63"/>
  <c r="K42" i="63" s="1"/>
  <c r="G83" i="81"/>
  <c r="D79" i="81"/>
  <c r="G85" i="81"/>
  <c r="L46" i="90"/>
  <c r="G93" i="82"/>
  <c r="K41" i="91"/>
  <c r="K59" i="91" s="1"/>
  <c r="K52" i="91"/>
  <c r="K51" i="91"/>
  <c r="K69" i="91" s="1"/>
  <c r="F86" i="95"/>
  <c r="D83" i="96"/>
  <c r="F85" i="95"/>
  <c r="F86" i="92"/>
  <c r="F77" i="44"/>
  <c r="N86" i="4"/>
  <c r="R38" i="77" s="1"/>
  <c r="D106" i="78" s="1"/>
  <c r="J47" i="56"/>
  <c r="K71" i="90"/>
  <c r="K67" i="92"/>
  <c r="K71" i="92"/>
  <c r="CH12" i="12"/>
  <c r="L130" i="4"/>
  <c r="F91" i="91"/>
  <c r="F78" i="44"/>
  <c r="F84" i="90"/>
  <c r="L100" i="4"/>
  <c r="G83" i="91"/>
  <c r="G76" i="90"/>
  <c r="L118" i="4"/>
  <c r="F98" i="93"/>
  <c r="F81" i="95"/>
  <c r="BD12" i="12"/>
  <c r="F17" i="87"/>
  <c r="J87" i="93"/>
  <c r="M73" i="4"/>
  <c r="F24" i="77"/>
  <c r="G24" i="77" s="1"/>
  <c r="M123" i="4"/>
  <c r="B19" i="107"/>
  <c r="D28" i="90" s="1"/>
  <c r="BX6" i="12" s="1"/>
  <c r="BX14" i="12" s="1"/>
  <c r="C13" i="107"/>
  <c r="D26" i="91" s="1"/>
  <c r="CC4" i="12" s="1"/>
  <c r="CC12" i="12" s="1"/>
  <c r="C24" i="108"/>
  <c r="C25" i="108" s="1"/>
  <c r="C26" i="108" s="1"/>
  <c r="C28" i="108" s="1"/>
  <c r="C30" i="108" s="1"/>
  <c r="K73" i="90"/>
  <c r="K58" i="92"/>
  <c r="K69" i="92"/>
  <c r="DG39" i="12"/>
  <c r="CH39" i="12"/>
  <c r="Z14" i="12"/>
  <c r="DB13" i="12"/>
  <c r="DC24" i="12" s="1"/>
  <c r="Z13" i="12"/>
  <c r="AA37" i="12" s="1"/>
  <c r="AC37" i="12" s="1"/>
  <c r="K34" i="77"/>
  <c r="C19" i="78" s="1"/>
  <c r="F34" i="77"/>
  <c r="G34" i="77" s="1"/>
  <c r="K32" i="77"/>
  <c r="C17" i="78" s="1"/>
  <c r="F32" i="77"/>
  <c r="L32" i="77" s="1"/>
  <c r="D17" i="78" s="1"/>
  <c r="AJ13" i="12"/>
  <c r="BD14" i="12"/>
  <c r="BX13" i="12"/>
  <c r="BY23" i="12" s="1"/>
  <c r="K70" i="92"/>
  <c r="K60" i="92"/>
  <c r="D38" i="111"/>
  <c r="E38" i="111" s="1"/>
  <c r="F38" i="111" s="1"/>
  <c r="G38" i="111" s="1"/>
  <c r="H38" i="111" s="1"/>
  <c r="J38" i="111" s="1"/>
  <c r="D18" i="111"/>
  <c r="E18" i="111" s="1"/>
  <c r="F18" i="111" s="1"/>
  <c r="K64" i="92"/>
  <c r="Z9" i="12"/>
  <c r="D25" i="111"/>
  <c r="E25" i="111" s="1"/>
  <c r="G25" i="111" s="1"/>
  <c r="J25" i="111" s="1"/>
  <c r="D13" i="111"/>
  <c r="E13" i="111" s="1"/>
  <c r="F13" i="111" s="1"/>
  <c r="G13" i="111" s="1"/>
  <c r="C14" i="83"/>
  <c r="DL13" i="12"/>
  <c r="DM30" i="12" s="1"/>
  <c r="D37" i="111"/>
  <c r="E37" i="111" s="1"/>
  <c r="F37" i="111" s="1"/>
  <c r="G37" i="111" s="1"/>
  <c r="H37" i="111" s="1"/>
  <c r="J37" i="111" s="1"/>
  <c r="D17" i="111"/>
  <c r="E17" i="111" s="1"/>
  <c r="F17" i="111" s="1"/>
  <c r="G17" i="111" s="1"/>
  <c r="H17" i="111" s="1"/>
  <c r="J17" i="111" s="1"/>
  <c r="F33" i="77"/>
  <c r="BD13" i="12"/>
  <c r="BE33" i="12" s="1"/>
  <c r="D45" i="111"/>
  <c r="E45" i="111" s="1"/>
  <c r="G45" i="111" s="1"/>
  <c r="J45" i="111" s="1"/>
  <c r="D40" i="111"/>
  <c r="E40" i="111" s="1"/>
  <c r="F40" i="111" s="1"/>
  <c r="G40" i="111" s="1"/>
  <c r="H40" i="111" s="1"/>
  <c r="J40" i="111" s="1"/>
  <c r="D36" i="111"/>
  <c r="E36" i="111" s="1"/>
  <c r="F36" i="111" s="1"/>
  <c r="D23" i="111"/>
  <c r="E23" i="111" s="1"/>
  <c r="G23" i="111" s="1"/>
  <c r="J23" i="111" s="1"/>
  <c r="D16" i="111"/>
  <c r="E16" i="111" s="1"/>
  <c r="F16" i="111" s="1"/>
  <c r="D44" i="111"/>
  <c r="E44" i="111" s="1"/>
  <c r="G44" i="111" s="1"/>
  <c r="J44" i="111" s="1"/>
  <c r="D39" i="111"/>
  <c r="E39" i="111" s="1"/>
  <c r="F39" i="111" s="1"/>
  <c r="G39" i="111" s="1"/>
  <c r="H39" i="111" s="1"/>
  <c r="J39" i="111" s="1"/>
  <c r="D35" i="111"/>
  <c r="E35" i="111" s="1"/>
  <c r="F35" i="111" s="1"/>
  <c r="G35" i="111" s="1"/>
  <c r="D22" i="111"/>
  <c r="E22" i="111" s="1"/>
  <c r="G22" i="111" s="1"/>
  <c r="J22" i="111" s="1"/>
  <c r="D15" i="111"/>
  <c r="E15" i="111" s="1"/>
  <c r="F15" i="111" s="1"/>
  <c r="G15" i="111" s="1"/>
  <c r="H15" i="111" s="1"/>
  <c r="J15" i="111" s="1"/>
  <c r="D34" i="83"/>
  <c r="C9" i="110"/>
  <c r="E23" i="110" s="1"/>
  <c r="C36" i="110"/>
  <c r="D36" i="110" s="1"/>
  <c r="C34" i="110"/>
  <c r="D34" i="110" s="1"/>
  <c r="C59" i="110"/>
  <c r="D59" i="110" s="1"/>
  <c r="C55" i="110"/>
  <c r="D55" i="110" s="1"/>
  <c r="C43" i="110"/>
  <c r="D43" i="110" s="1"/>
  <c r="C49" i="110"/>
  <c r="D49" i="110" s="1"/>
  <c r="C58" i="110"/>
  <c r="D58" i="110" s="1"/>
  <c r="C42" i="110"/>
  <c r="D42" i="110" s="1"/>
  <c r="C39" i="110"/>
  <c r="D39" i="110" s="1"/>
  <c r="C57" i="110"/>
  <c r="D57" i="110" s="1"/>
  <c r="C41" i="110"/>
  <c r="D41" i="110" s="1"/>
  <c r="C50" i="110"/>
  <c r="D50" i="110" s="1"/>
  <c r="C56" i="110"/>
  <c r="D56" i="110" s="1"/>
  <c r="C53" i="110"/>
  <c r="D53" i="110" s="1"/>
  <c r="C46" i="110"/>
  <c r="D46" i="110" s="1"/>
  <c r="C30" i="110"/>
  <c r="D30" i="110" s="1"/>
  <c r="C40" i="110"/>
  <c r="D40" i="110" s="1"/>
  <c r="C51" i="110"/>
  <c r="D51" i="110" s="1"/>
  <c r="C45" i="110"/>
  <c r="D45" i="110" s="1"/>
  <c r="C54" i="110"/>
  <c r="D54" i="110" s="1"/>
  <c r="C38" i="110"/>
  <c r="D38" i="110" s="1"/>
  <c r="C32" i="110"/>
  <c r="D32" i="110" s="1"/>
  <c r="C48" i="110"/>
  <c r="D48" i="110" s="1"/>
  <c r="C44" i="110"/>
  <c r="D44" i="110" s="1"/>
  <c r="C47" i="110"/>
  <c r="D47" i="110" s="1"/>
  <c r="C37" i="110"/>
  <c r="D37" i="110" s="1"/>
  <c r="C52" i="110"/>
  <c r="D52" i="110" s="1"/>
  <c r="F46" i="83"/>
  <c r="G46" i="83"/>
  <c r="E46" i="83"/>
  <c r="L38" i="36"/>
  <c r="F84" i="21"/>
  <c r="D84" i="21"/>
  <c r="E84" i="21"/>
  <c r="G84" i="21"/>
  <c r="D85" i="21"/>
  <c r="L73" i="21" s="1"/>
  <c r="G75" i="44"/>
  <c r="D75" i="44"/>
  <c r="K34" i="59"/>
  <c r="K51" i="81"/>
  <c r="D15" i="81"/>
  <c r="D16" i="81" s="1"/>
  <c r="K35" i="53"/>
  <c r="D82" i="21"/>
  <c r="E82" i="21"/>
  <c r="G82" i="21"/>
  <c r="Z4" i="12"/>
  <c r="Z12" i="12" s="1"/>
  <c r="F74" i="44"/>
  <c r="D74" i="44"/>
  <c r="F73" i="44"/>
  <c r="D73" i="44"/>
  <c r="L40" i="44"/>
  <c r="J17" i="45"/>
  <c r="J19" i="45" s="1"/>
  <c r="G28" i="45" s="1"/>
  <c r="H19" i="45"/>
  <c r="E23" i="44" s="1"/>
  <c r="AJ4" i="12" s="1"/>
  <c r="AJ12" i="12" s="1"/>
  <c r="M39" i="50"/>
  <c r="L46" i="50" s="1"/>
  <c r="BS6" i="12"/>
  <c r="K32" i="60"/>
  <c r="F80" i="47"/>
  <c r="G80" i="47"/>
  <c r="E80" i="47"/>
  <c r="F29" i="94"/>
  <c r="J29" i="94" s="1"/>
  <c r="F26" i="44"/>
  <c r="L26" i="44" s="1"/>
  <c r="F27" i="47"/>
  <c r="L27" i="47" s="1"/>
  <c r="F30" i="95"/>
  <c r="J30" i="95" s="1"/>
  <c r="G12" i="2"/>
  <c r="H12" i="2" s="1"/>
  <c r="F75" i="44"/>
  <c r="AJ22" i="12"/>
  <c r="L53" i="44"/>
  <c r="G53" i="59"/>
  <c r="E53" i="59"/>
  <c r="D53" i="59"/>
  <c r="F53" i="59"/>
  <c r="BS21" i="12"/>
  <c r="F82" i="21"/>
  <c r="G81" i="21"/>
  <c r="E81" i="21"/>
  <c r="M58" i="21" s="1"/>
  <c r="D71" i="22"/>
  <c r="G71" i="22"/>
  <c r="P5" i="12"/>
  <c r="P13" i="12" s="1"/>
  <c r="Q21" i="12" s="1"/>
  <c r="L59" i="22"/>
  <c r="D78" i="35"/>
  <c r="G78" i="35"/>
  <c r="U23" i="12"/>
  <c r="K59" i="53"/>
  <c r="H21" i="56"/>
  <c r="BI5" i="12"/>
  <c r="BI13" i="12" s="1"/>
  <c r="BJ23" i="12" s="1"/>
  <c r="E17" i="59"/>
  <c r="F17" i="59" s="1"/>
  <c r="J35" i="59"/>
  <c r="J36" i="59"/>
  <c r="J29" i="59"/>
  <c r="J37" i="59"/>
  <c r="E77" i="81"/>
  <c r="G77" i="81"/>
  <c r="F77" i="81"/>
  <c r="G81" i="81"/>
  <c r="F81" i="81"/>
  <c r="D81" i="81"/>
  <c r="E85" i="81"/>
  <c r="D85" i="81"/>
  <c r="F85" i="81"/>
  <c r="D89" i="81"/>
  <c r="E89" i="81"/>
  <c r="G89" i="81"/>
  <c r="F89" i="81"/>
  <c r="K62" i="92"/>
  <c r="H31" i="93"/>
  <c r="H30" i="93" s="1"/>
  <c r="E30" i="93"/>
  <c r="F84" i="95"/>
  <c r="D84" i="95"/>
  <c r="G84" i="95"/>
  <c r="E84" i="95"/>
  <c r="K60" i="95" s="1"/>
  <c r="F80" i="95"/>
  <c r="D80" i="95"/>
  <c r="G80" i="95"/>
  <c r="E80" i="95"/>
  <c r="F85" i="21"/>
  <c r="G85" i="21"/>
  <c r="F83" i="21"/>
  <c r="D83" i="21"/>
  <c r="G83" i="21"/>
  <c r="L60" i="22"/>
  <c r="D81" i="21"/>
  <c r="L69" i="21" s="1"/>
  <c r="E70" i="22"/>
  <c r="D70" i="22"/>
  <c r="F78" i="35"/>
  <c r="E77" i="35"/>
  <c r="D77" i="35"/>
  <c r="F64" i="44"/>
  <c r="E75" i="44"/>
  <c r="M35" i="47"/>
  <c r="K37" i="47"/>
  <c r="L37" i="47"/>
  <c r="M37" i="47" s="1"/>
  <c r="G51" i="59"/>
  <c r="D51" i="59"/>
  <c r="J42" i="59" s="1"/>
  <c r="D34" i="81"/>
  <c r="K34" i="81" s="1"/>
  <c r="K37" i="81" s="1"/>
  <c r="D77" i="81"/>
  <c r="L48" i="91"/>
  <c r="CH6" i="12"/>
  <c r="E92" i="82"/>
  <c r="D92" i="82"/>
  <c r="J61" i="96"/>
  <c r="E42" i="96"/>
  <c r="BX4" i="12"/>
  <c r="BX12" i="12" s="1"/>
  <c r="P85" i="4"/>
  <c r="F42" i="94"/>
  <c r="J42" i="94" s="1"/>
  <c r="G6" i="2"/>
  <c r="H6" i="2" s="1"/>
  <c r="M39" i="41"/>
  <c r="L46" i="41" s="1"/>
  <c r="L69" i="41" s="1"/>
  <c r="F54" i="59"/>
  <c r="D54" i="59"/>
  <c r="G83" i="47"/>
  <c r="E86" i="81"/>
  <c r="E82" i="81"/>
  <c r="F78" i="81"/>
  <c r="G92" i="82"/>
  <c r="DG5" i="12"/>
  <c r="DG13" i="12" s="1"/>
  <c r="DH33" i="12" s="1"/>
  <c r="K62" i="91"/>
  <c r="K71" i="91"/>
  <c r="K66" i="92"/>
  <c r="J55" i="94"/>
  <c r="E80" i="92"/>
  <c r="L42" i="92" s="1"/>
  <c r="E91" i="53"/>
  <c r="E81" i="91"/>
  <c r="E74" i="90"/>
  <c r="L43" i="90" s="1"/>
  <c r="E84" i="92"/>
  <c r="L46" i="92" s="1"/>
  <c r="E89" i="96"/>
  <c r="E85" i="91"/>
  <c r="E78" i="90"/>
  <c r="L47" i="90" s="1"/>
  <c r="E87" i="95"/>
  <c r="E88" i="92"/>
  <c r="L50" i="92" s="1"/>
  <c r="E89" i="91"/>
  <c r="R36" i="77"/>
  <c r="D104" i="78" s="1"/>
  <c r="O84" i="4"/>
  <c r="K27" i="53"/>
  <c r="D87" i="81"/>
  <c r="F79" i="81"/>
  <c r="E75" i="81"/>
  <c r="D86" i="81"/>
  <c r="F74" i="81"/>
  <c r="G78" i="81"/>
  <c r="F92" i="82"/>
  <c r="E90" i="82"/>
  <c r="D90" i="82"/>
  <c r="D99" i="93"/>
  <c r="J88" i="93" s="1"/>
  <c r="J62" i="93"/>
  <c r="F35" i="93"/>
  <c r="H35" i="93" s="1"/>
  <c r="D86" i="96"/>
  <c r="E86" i="96"/>
  <c r="BX9" i="12"/>
  <c r="E77" i="44"/>
  <c r="E56" i="56"/>
  <c r="K42" i="56" s="1"/>
  <c r="D77" i="77"/>
  <c r="K77" i="77" s="1"/>
  <c r="E76" i="35"/>
  <c r="G76" i="35"/>
  <c r="D76" i="35"/>
  <c r="DB21" i="12"/>
  <c r="F29" i="35"/>
  <c r="L29" i="35" s="1"/>
  <c r="F28" i="47"/>
  <c r="L28" i="47" s="1"/>
  <c r="G88" i="96"/>
  <c r="G97" i="93"/>
  <c r="K49" i="90"/>
  <c r="CD21" i="12"/>
  <c r="C16" i="107"/>
  <c r="C19" i="107" s="1"/>
  <c r="D28" i="91" s="1"/>
  <c r="D85" i="77"/>
  <c r="K85" i="77" s="1"/>
  <c r="CU30" i="12"/>
  <c r="D73" i="77"/>
  <c r="K73" i="77" s="1"/>
  <c r="D78" i="77"/>
  <c r="K78" i="77" s="1"/>
  <c r="J14" i="111"/>
  <c r="D86" i="77"/>
  <c r="K86" i="77" s="1"/>
  <c r="F47" i="94"/>
  <c r="J47" i="94" s="1"/>
  <c r="F31" i="94"/>
  <c r="J31" i="94" s="1"/>
  <c r="F28" i="35"/>
  <c r="L28" i="35" s="1"/>
  <c r="F26" i="50"/>
  <c r="L26" i="50" s="1"/>
  <c r="E41" i="53"/>
  <c r="J41" i="53" s="1"/>
  <c r="K41" i="53" s="1"/>
  <c r="F26" i="47"/>
  <c r="L26" i="47" s="1"/>
  <c r="CU31" i="12"/>
  <c r="D74" i="77"/>
  <c r="K74" i="77" s="1"/>
  <c r="D83" i="77"/>
  <c r="K83" i="77" s="1"/>
  <c r="Q83" i="77" s="1"/>
  <c r="F41" i="96"/>
  <c r="J41" i="96" s="1"/>
  <c r="F29" i="47"/>
  <c r="L29" i="47" s="1"/>
  <c r="F29" i="50"/>
  <c r="L29" i="50" s="1"/>
  <c r="E42" i="53"/>
  <c r="J42" i="53" s="1"/>
  <c r="K42" i="53" s="1"/>
  <c r="F28" i="82"/>
  <c r="L28" i="82" s="1"/>
  <c r="F33" i="41"/>
  <c r="L33" i="41" s="1"/>
  <c r="F29" i="82"/>
  <c r="L29" i="82" s="1"/>
  <c r="K5" i="12"/>
  <c r="K13" i="12" s="1"/>
  <c r="L24" i="12" s="1"/>
  <c r="L57" i="21"/>
  <c r="L59" i="21"/>
  <c r="K42" i="90"/>
  <c r="E100" i="93"/>
  <c r="K80" i="93" s="1"/>
  <c r="E79" i="91"/>
  <c r="D76" i="77"/>
  <c r="K76" i="77" s="1"/>
  <c r="D88" i="77"/>
  <c r="K88" i="77" s="1"/>
  <c r="Q88" i="77" s="1"/>
  <c r="F51" i="93"/>
  <c r="J51" i="93" s="1"/>
  <c r="J55" i="93" s="1"/>
  <c r="F27" i="82"/>
  <c r="L27" i="82" s="1"/>
  <c r="L28" i="77"/>
  <c r="F27" i="77"/>
  <c r="K27" i="77"/>
  <c r="F23" i="77"/>
  <c r="K23" i="77"/>
  <c r="C31" i="110"/>
  <c r="D31" i="110" s="1"/>
  <c r="C33" i="110"/>
  <c r="D33" i="110" s="1"/>
  <c r="C35" i="110"/>
  <c r="D35" i="110" s="1"/>
  <c r="K30" i="77"/>
  <c r="F30" i="77"/>
  <c r="K26" i="77"/>
  <c r="F26" i="77"/>
  <c r="CW13" i="12"/>
  <c r="CX34" i="12" s="1"/>
  <c r="K29" i="77"/>
  <c r="F29" i="77"/>
  <c r="K25" i="77"/>
  <c r="F25" i="77"/>
  <c r="P103" i="4"/>
  <c r="Y31" i="77"/>
  <c r="Q24" i="77"/>
  <c r="C92" i="78" s="1"/>
  <c r="Q109" i="4"/>
  <c r="M132" i="4"/>
  <c r="M133" i="4"/>
  <c r="M120" i="4"/>
  <c r="J62" i="53" l="1"/>
  <c r="F33" i="94"/>
  <c r="J33" i="94" s="1"/>
  <c r="F40" i="96"/>
  <c r="J40" i="96" s="1"/>
  <c r="F27" i="22"/>
  <c r="L27" i="22" s="1"/>
  <c r="L33" i="22" s="1"/>
  <c r="L41" i="22" s="1"/>
  <c r="F50" i="94"/>
  <c r="J50" i="94" s="1"/>
  <c r="F30" i="35"/>
  <c r="L30" i="35" s="1"/>
  <c r="F48" i="94"/>
  <c r="J48" i="94" s="1"/>
  <c r="F28" i="50"/>
  <c r="L28" i="50" s="1"/>
  <c r="F49" i="94"/>
  <c r="J49" i="94" s="1"/>
  <c r="J51" i="94" s="1"/>
  <c r="J63" i="94" s="1"/>
  <c r="G10" i="2"/>
  <c r="F31" i="41"/>
  <c r="L31" i="41" s="1"/>
  <c r="F32" i="94"/>
  <c r="J32" i="94" s="1"/>
  <c r="G9" i="2"/>
  <c r="H9" i="2" s="1"/>
  <c r="F44" i="93"/>
  <c r="J44" i="93" s="1"/>
  <c r="J48" i="93" s="1"/>
  <c r="DB4" i="12" s="1"/>
  <c r="DB12" i="12" s="1"/>
  <c r="F32" i="41"/>
  <c r="L32" i="41" s="1"/>
  <c r="F26" i="82"/>
  <c r="L26" i="82" s="1"/>
  <c r="L34" i="82" s="1"/>
  <c r="F28" i="44"/>
  <c r="L28" i="44" s="1"/>
  <c r="F27" i="21"/>
  <c r="L27" i="21" s="1"/>
  <c r="L33" i="21" s="1"/>
  <c r="F27" i="44"/>
  <c r="L27" i="44" s="1"/>
  <c r="F28" i="22"/>
  <c r="L28" i="22" s="1"/>
  <c r="F27" i="50"/>
  <c r="L27" i="50" s="1"/>
  <c r="F39" i="94"/>
  <c r="J39" i="94" s="1"/>
  <c r="G11" i="2"/>
  <c r="H11" i="2" s="1"/>
  <c r="G8" i="2"/>
  <c r="F66" i="60" s="1"/>
  <c r="F41" i="94"/>
  <c r="J41" i="94" s="1"/>
  <c r="K30" i="81"/>
  <c r="K39" i="81" s="1"/>
  <c r="K45" i="81" s="1"/>
  <c r="F31" i="35"/>
  <c r="L31" i="35" s="1"/>
  <c r="F30" i="94"/>
  <c r="J30" i="94" s="1"/>
  <c r="J36" i="94" s="1"/>
  <c r="J61" i="94" s="1"/>
  <c r="F40" i="94"/>
  <c r="J40" i="94" s="1"/>
  <c r="F32" i="35"/>
  <c r="L32" i="35" s="1"/>
  <c r="F35" i="94"/>
  <c r="J35" i="94" s="1"/>
  <c r="M58" i="44"/>
  <c r="M66" i="44" s="1"/>
  <c r="L85" i="44" s="1"/>
  <c r="M60" i="44"/>
  <c r="M68" i="44" s="1"/>
  <c r="L87" i="44" s="1"/>
  <c r="L67" i="44"/>
  <c r="K86" i="44" s="1"/>
  <c r="CD33" i="12"/>
  <c r="CD75" i="12" s="1"/>
  <c r="CE75" i="12" s="1"/>
  <c r="L43" i="91"/>
  <c r="L61" i="91" s="1"/>
  <c r="K59" i="90"/>
  <c r="M35" i="36"/>
  <c r="L63" i="22"/>
  <c r="AK23" i="12"/>
  <c r="AM23" i="12" s="1"/>
  <c r="L66" i="91"/>
  <c r="AA23" i="12"/>
  <c r="M108" i="4"/>
  <c r="M101" i="4"/>
  <c r="W29" i="77" s="1"/>
  <c r="L57" i="92"/>
  <c r="M38" i="36"/>
  <c r="L70" i="92"/>
  <c r="L59" i="90"/>
  <c r="L65" i="90"/>
  <c r="L74" i="90"/>
  <c r="L59" i="92"/>
  <c r="CI29" i="12"/>
  <c r="CK29" i="12" s="1"/>
  <c r="Q85" i="77"/>
  <c r="Q86" i="77"/>
  <c r="L45" i="90"/>
  <c r="M124" i="4"/>
  <c r="W30" i="77" s="1"/>
  <c r="M54" i="44"/>
  <c r="M65" i="44" s="1"/>
  <c r="L50" i="91"/>
  <c r="L68" i="91" s="1"/>
  <c r="L73" i="90"/>
  <c r="J88" i="44"/>
  <c r="L46" i="91"/>
  <c r="L64" i="91" s="1"/>
  <c r="CI27" i="12"/>
  <c r="CI69" i="12" s="1"/>
  <c r="CJ69" i="12" s="1"/>
  <c r="CI28" i="12"/>
  <c r="CI70" i="12" s="1"/>
  <c r="CJ70" i="12" s="1"/>
  <c r="CI37" i="12"/>
  <c r="CI79" i="12" s="1"/>
  <c r="CJ79" i="12" s="1"/>
  <c r="O87" i="4"/>
  <c r="AE21" i="12"/>
  <c r="L65" i="44"/>
  <c r="M64" i="21"/>
  <c r="M72" i="21" s="1"/>
  <c r="CI36" i="12"/>
  <c r="CJ36" i="12" s="1"/>
  <c r="L70" i="90"/>
  <c r="L44" i="90"/>
  <c r="L63" i="90" s="1"/>
  <c r="M110" i="4"/>
  <c r="W39" i="77" s="1"/>
  <c r="CI78" i="12"/>
  <c r="CJ78" i="12" s="1"/>
  <c r="BO33" i="12"/>
  <c r="BQ33" i="12" s="1"/>
  <c r="AA34" i="12"/>
  <c r="AC34" i="12" s="1"/>
  <c r="M59" i="44"/>
  <c r="M67" i="44" s="1"/>
  <c r="L86" i="44" s="1"/>
  <c r="J58" i="95"/>
  <c r="J69" i="95" s="1"/>
  <c r="L66" i="90"/>
  <c r="L62" i="90"/>
  <c r="J61" i="95"/>
  <c r="K61" i="95" s="1"/>
  <c r="K72" i="95" s="1"/>
  <c r="J62" i="96"/>
  <c r="M39" i="47"/>
  <c r="L47" i="47" s="1"/>
  <c r="L64" i="47" s="1"/>
  <c r="L64" i="90"/>
  <c r="K46" i="56"/>
  <c r="M58" i="22"/>
  <c r="M52" i="44"/>
  <c r="M63" i="44" s="1"/>
  <c r="J49" i="56"/>
  <c r="L72" i="92"/>
  <c r="F18" i="35"/>
  <c r="F19" i="35" s="1"/>
  <c r="L58" i="35"/>
  <c r="M58" i="35" s="1"/>
  <c r="L57" i="35"/>
  <c r="M57" i="35" s="1"/>
  <c r="L59" i="35"/>
  <c r="M59" i="35" s="1"/>
  <c r="L58" i="92"/>
  <c r="L65" i="92"/>
  <c r="AA26" i="12"/>
  <c r="AC26" i="12" s="1"/>
  <c r="J63" i="95"/>
  <c r="J74" i="95" s="1"/>
  <c r="L63" i="44"/>
  <c r="L68" i="44"/>
  <c r="K87" i="44" s="1"/>
  <c r="K88" i="44" s="1"/>
  <c r="M99" i="4"/>
  <c r="W27" i="77" s="1"/>
  <c r="L67" i="92"/>
  <c r="AA22" i="12"/>
  <c r="AC22" i="12" s="1"/>
  <c r="O83" i="4"/>
  <c r="S35" i="77" s="1"/>
  <c r="E103" i="78" s="1"/>
  <c r="AA25" i="12"/>
  <c r="AC25" i="12" s="1"/>
  <c r="L48" i="90"/>
  <c r="L67" i="90" s="1"/>
  <c r="AA36" i="12"/>
  <c r="AC36" i="12" s="1"/>
  <c r="L68" i="92"/>
  <c r="J56" i="95"/>
  <c r="J67" i="95" s="1"/>
  <c r="L63" i="92"/>
  <c r="L52" i="90"/>
  <c r="K65" i="96"/>
  <c r="K75" i="96" s="1"/>
  <c r="L60" i="90"/>
  <c r="K47" i="56"/>
  <c r="R31" i="77"/>
  <c r="D99" i="78" s="1"/>
  <c r="O80" i="4"/>
  <c r="AA30" i="12"/>
  <c r="AC30" i="12" s="1"/>
  <c r="AA21" i="12"/>
  <c r="AC21" i="12" s="1"/>
  <c r="AA35" i="12"/>
  <c r="AB35" i="12" s="1"/>
  <c r="AA28" i="12"/>
  <c r="AB28" i="12" s="1"/>
  <c r="BY21" i="12"/>
  <c r="BY63" i="12" s="1"/>
  <c r="BZ63" i="12" s="1"/>
  <c r="BY33" i="12"/>
  <c r="BZ33" i="12" s="1"/>
  <c r="Q32" i="77"/>
  <c r="C100" i="78" s="1"/>
  <c r="AA31" i="12"/>
  <c r="AC31" i="12" s="1"/>
  <c r="AA27" i="12"/>
  <c r="AC27" i="12" s="1"/>
  <c r="L72" i="90"/>
  <c r="M63" i="22"/>
  <c r="L53" i="91"/>
  <c r="L71" i="91" s="1"/>
  <c r="L64" i="92"/>
  <c r="AA32" i="12"/>
  <c r="AC32" i="12" s="1"/>
  <c r="L71" i="90"/>
  <c r="L72" i="21"/>
  <c r="K48" i="56"/>
  <c r="L58" i="91"/>
  <c r="L44" i="91"/>
  <c r="L62" i="91" s="1"/>
  <c r="L71" i="92"/>
  <c r="L61" i="92"/>
  <c r="CI33" i="12"/>
  <c r="CJ33" i="12" s="1"/>
  <c r="CI23" i="12"/>
  <c r="CJ23" i="12" s="1"/>
  <c r="G36" i="111"/>
  <c r="H36" i="111" s="1"/>
  <c r="J36" i="111" s="1"/>
  <c r="DC28" i="12"/>
  <c r="DD28" i="12" s="1"/>
  <c r="K89" i="93"/>
  <c r="L60" i="92"/>
  <c r="K42" i="59"/>
  <c r="L66" i="92"/>
  <c r="J75" i="96"/>
  <c r="K90" i="93"/>
  <c r="L60" i="91"/>
  <c r="L25" i="12"/>
  <c r="M25" i="12" s="1"/>
  <c r="L36" i="12"/>
  <c r="L78" i="12" s="1"/>
  <c r="M78" i="12" s="1"/>
  <c r="BO25" i="12"/>
  <c r="BO67" i="12" s="1"/>
  <c r="BP67" i="12" s="1"/>
  <c r="BO37" i="12"/>
  <c r="BP37" i="12" s="1"/>
  <c r="CI74" i="12"/>
  <c r="CJ74" i="12" s="1"/>
  <c r="CJ32" i="12"/>
  <c r="CK32" i="12"/>
  <c r="J64" i="96"/>
  <c r="J74" i="96" s="1"/>
  <c r="K45" i="56"/>
  <c r="BE34" i="12"/>
  <c r="BG34" i="12" s="1"/>
  <c r="M129" i="4"/>
  <c r="W36" i="77" s="1"/>
  <c r="CI22" i="12"/>
  <c r="CK22" i="12" s="1"/>
  <c r="L52" i="91"/>
  <c r="L70" i="91" s="1"/>
  <c r="L49" i="91"/>
  <c r="L67" i="91" s="1"/>
  <c r="CI26" i="12"/>
  <c r="CI24" i="12"/>
  <c r="CJ24" i="12" s="1"/>
  <c r="CI35" i="12"/>
  <c r="CJ35" i="12" s="1"/>
  <c r="CI21" i="12"/>
  <c r="CI63" i="12" s="1"/>
  <c r="CJ63" i="12" s="1"/>
  <c r="CI34" i="12"/>
  <c r="CI76" i="12" s="1"/>
  <c r="CJ76" i="12" s="1"/>
  <c r="CI30" i="12"/>
  <c r="CK30" i="12" s="1"/>
  <c r="L24" i="77"/>
  <c r="L51" i="91"/>
  <c r="L69" i="91" s="1"/>
  <c r="L47" i="91"/>
  <c r="L65" i="91" s="1"/>
  <c r="J59" i="95"/>
  <c r="J70" i="95" s="1"/>
  <c r="AK29" i="12"/>
  <c r="AK71" i="12" s="1"/>
  <c r="AL71" i="12" s="1"/>
  <c r="J60" i="96"/>
  <c r="K60" i="96" s="1"/>
  <c r="K70" i="96" s="1"/>
  <c r="J71" i="95"/>
  <c r="F18" i="36"/>
  <c r="K60" i="91"/>
  <c r="L55" i="91"/>
  <c r="L73" i="91" s="1"/>
  <c r="CI25" i="12"/>
  <c r="CK25" i="12" s="1"/>
  <c r="BY36" i="12"/>
  <c r="BY78" i="12" s="1"/>
  <c r="BZ78" i="12" s="1"/>
  <c r="AA24" i="12"/>
  <c r="AA66" i="12" s="1"/>
  <c r="AB66" i="12" s="1"/>
  <c r="AA33" i="12"/>
  <c r="AC33" i="12" s="1"/>
  <c r="CD29" i="12"/>
  <c r="CE29" i="12" s="1"/>
  <c r="BY22" i="12"/>
  <c r="CA22" i="12" s="1"/>
  <c r="CI31" i="12"/>
  <c r="CI73" i="12" s="1"/>
  <c r="CJ73" i="12" s="1"/>
  <c r="DM21" i="12"/>
  <c r="DM63" i="12" s="1"/>
  <c r="DN63" i="12" s="1"/>
  <c r="CD22" i="12"/>
  <c r="CD64" i="12" s="1"/>
  <c r="CE64" i="12" s="1"/>
  <c r="J66" i="96"/>
  <c r="J76" i="96" s="1"/>
  <c r="J62" i="95"/>
  <c r="J73" i="95" s="1"/>
  <c r="J57" i="95"/>
  <c r="K57" i="95" s="1"/>
  <c r="K68" i="95" s="1"/>
  <c r="BO27" i="12"/>
  <c r="BQ27" i="12" s="1"/>
  <c r="J63" i="96"/>
  <c r="J73" i="96" s="1"/>
  <c r="L52" i="35"/>
  <c r="AA29" i="12"/>
  <c r="AB29" i="12" s="1"/>
  <c r="L50" i="90"/>
  <c r="L69" i="90" s="1"/>
  <c r="K87" i="93"/>
  <c r="K88" i="93"/>
  <c r="L63" i="82"/>
  <c r="L66" i="82" s="1"/>
  <c r="N100" i="4"/>
  <c r="O100" i="4" s="1"/>
  <c r="P100" i="4" s="1"/>
  <c r="Q100" i="4" s="1"/>
  <c r="M100" i="4"/>
  <c r="W28" i="77" s="1"/>
  <c r="N130" i="4"/>
  <c r="M130" i="4"/>
  <c r="W37" i="77" s="1"/>
  <c r="BN21" i="12"/>
  <c r="BO21" i="12" s="1"/>
  <c r="BO63" i="12" s="1"/>
  <c r="BP63" i="12" s="1"/>
  <c r="K38" i="60"/>
  <c r="N106" i="4"/>
  <c r="M106" i="4"/>
  <c r="W35" i="77" s="1"/>
  <c r="CD25" i="12"/>
  <c r="CF25" i="12" s="1"/>
  <c r="M126" i="4"/>
  <c r="W33" i="77" s="1"/>
  <c r="CD24" i="12"/>
  <c r="CE24" i="12" s="1"/>
  <c r="CD30" i="12"/>
  <c r="CD72" i="12" s="1"/>
  <c r="CE72" i="12" s="1"/>
  <c r="O86" i="4"/>
  <c r="P86" i="4" s="1"/>
  <c r="R32" i="77"/>
  <c r="D100" i="78" s="1"/>
  <c r="N118" i="4"/>
  <c r="O118" i="4" s="1"/>
  <c r="P118" i="4" s="1"/>
  <c r="Q118" i="4" s="1"/>
  <c r="M118" i="4"/>
  <c r="W24" i="77" s="1"/>
  <c r="L45" i="91"/>
  <c r="L63" i="91" s="1"/>
  <c r="L54" i="91"/>
  <c r="L72" i="91" s="1"/>
  <c r="K72" i="91"/>
  <c r="N98" i="4"/>
  <c r="O98" i="4" s="1"/>
  <c r="P98" i="4" s="1"/>
  <c r="Q98" i="4" s="1"/>
  <c r="M98" i="4"/>
  <c r="W26" i="77" s="1"/>
  <c r="BY29" i="12"/>
  <c r="BZ29" i="12" s="1"/>
  <c r="BY24" i="12"/>
  <c r="BY66" i="12" s="1"/>
  <c r="BZ66" i="12" s="1"/>
  <c r="BY34" i="12"/>
  <c r="BY76" i="12" s="1"/>
  <c r="BZ76" i="12" s="1"/>
  <c r="BE22" i="12"/>
  <c r="BF22" i="12" s="1"/>
  <c r="CD35" i="12"/>
  <c r="CE35" i="12" s="1"/>
  <c r="CD34" i="12"/>
  <c r="CD76" i="12" s="1"/>
  <c r="CE76" i="12" s="1"/>
  <c r="G32" i="77"/>
  <c r="M32" i="77" s="1"/>
  <c r="X32" i="77"/>
  <c r="Z36" i="77"/>
  <c r="CD32" i="12"/>
  <c r="CE32" i="12" s="1"/>
  <c r="BY37" i="12"/>
  <c r="BZ37" i="12" s="1"/>
  <c r="M69" i="21"/>
  <c r="L67" i="35"/>
  <c r="K73" i="92"/>
  <c r="BS5" i="12"/>
  <c r="BS13" i="12" s="1"/>
  <c r="BT28" i="12" s="1"/>
  <c r="BV28" i="12" s="1"/>
  <c r="E16" i="63"/>
  <c r="F16" i="63" s="1"/>
  <c r="L45" i="35"/>
  <c r="N131" i="4"/>
  <c r="M131" i="4"/>
  <c r="W38" i="77" s="1"/>
  <c r="K63" i="91"/>
  <c r="CD23" i="12"/>
  <c r="CE23" i="12" s="1"/>
  <c r="CD31" i="12"/>
  <c r="CE31" i="12" s="1"/>
  <c r="L60" i="35"/>
  <c r="Q33" i="77"/>
  <c r="C101" i="78" s="1"/>
  <c r="BY27" i="12"/>
  <c r="CA27" i="12" s="1"/>
  <c r="CD36" i="12"/>
  <c r="CD78" i="12" s="1"/>
  <c r="CE78" i="12" s="1"/>
  <c r="CD28" i="12"/>
  <c r="CE28" i="12" s="1"/>
  <c r="CD37" i="12"/>
  <c r="CE37" i="12" s="1"/>
  <c r="BY35" i="12"/>
  <c r="BZ35" i="12" s="1"/>
  <c r="CD27" i="12"/>
  <c r="CF27" i="12" s="1"/>
  <c r="L41" i="91"/>
  <c r="L59" i="91" s="1"/>
  <c r="X36" i="77"/>
  <c r="DM35" i="12"/>
  <c r="DN35" i="12" s="1"/>
  <c r="AK36" i="12"/>
  <c r="AM36" i="12" s="1"/>
  <c r="L71" i="21"/>
  <c r="L48" i="35"/>
  <c r="G18" i="111"/>
  <c r="H18" i="111" s="1"/>
  <c r="J18" i="111" s="1"/>
  <c r="K58" i="91"/>
  <c r="K70" i="91"/>
  <c r="DC31" i="12"/>
  <c r="DE31" i="12" s="1"/>
  <c r="DC22" i="12"/>
  <c r="DE22" i="12" s="1"/>
  <c r="DC36" i="12"/>
  <c r="DC78" i="12" s="1"/>
  <c r="DD78" i="12" s="1"/>
  <c r="DC26" i="12"/>
  <c r="DD26" i="12" s="1"/>
  <c r="DC30" i="12"/>
  <c r="DE30" i="12" s="1"/>
  <c r="DC29" i="12"/>
  <c r="DC71" i="12" s="1"/>
  <c r="DD71" i="12" s="1"/>
  <c r="DC23" i="12"/>
  <c r="DC65" i="12" s="1"/>
  <c r="DD65" i="12" s="1"/>
  <c r="DC32" i="12"/>
  <c r="DC74" i="12" s="1"/>
  <c r="DD74" i="12" s="1"/>
  <c r="BJ24" i="12"/>
  <c r="BJ66" i="12" s="1"/>
  <c r="BK66" i="12" s="1"/>
  <c r="BO23" i="12"/>
  <c r="BP23" i="12" s="1"/>
  <c r="BO28" i="12"/>
  <c r="BO70" i="12" s="1"/>
  <c r="BP70" i="12" s="1"/>
  <c r="BO31" i="12"/>
  <c r="BQ31" i="12" s="1"/>
  <c r="BO26" i="12"/>
  <c r="BP26" i="12" s="1"/>
  <c r="BO29" i="12"/>
  <c r="BP29" i="12" s="1"/>
  <c r="BO36" i="12"/>
  <c r="BP36" i="12" s="1"/>
  <c r="BO24" i="12"/>
  <c r="BO66" i="12" s="1"/>
  <c r="BP66" i="12" s="1"/>
  <c r="BO35" i="12"/>
  <c r="BQ35" i="12" s="1"/>
  <c r="BO34" i="12"/>
  <c r="BO76" i="12" s="1"/>
  <c r="BP76" i="12" s="1"/>
  <c r="BO30" i="12"/>
  <c r="BP30" i="12" s="1"/>
  <c r="BO32" i="12"/>
  <c r="BQ32" i="12" s="1"/>
  <c r="AK21" i="12"/>
  <c r="AL21" i="12" s="1"/>
  <c r="AK30" i="12"/>
  <c r="AM30" i="12" s="1"/>
  <c r="AK25" i="12"/>
  <c r="AL25" i="12" s="1"/>
  <c r="DM34" i="12"/>
  <c r="DO34" i="12" s="1"/>
  <c r="DM37" i="12"/>
  <c r="DN37" i="12" s="1"/>
  <c r="DM33" i="12"/>
  <c r="DN33" i="12" s="1"/>
  <c r="DM27" i="12"/>
  <c r="DN27" i="12" s="1"/>
  <c r="DC33" i="12"/>
  <c r="DE33" i="12" s="1"/>
  <c r="DC37" i="12"/>
  <c r="DD37" i="12" s="1"/>
  <c r="DC27" i="12"/>
  <c r="DE27" i="12" s="1"/>
  <c r="DC35" i="12"/>
  <c r="DE35" i="12" s="1"/>
  <c r="DC34" i="12"/>
  <c r="DC76" i="12" s="1"/>
  <c r="DD76" i="12" s="1"/>
  <c r="DC25" i="12"/>
  <c r="DD25" i="12" s="1"/>
  <c r="AK32" i="12"/>
  <c r="AL32" i="12" s="1"/>
  <c r="AK26" i="12"/>
  <c r="AK68" i="12" s="1"/>
  <c r="AL68" i="12" s="1"/>
  <c r="AK22" i="12"/>
  <c r="AM22" i="12" s="1"/>
  <c r="AK37" i="12"/>
  <c r="AL37" i="12" s="1"/>
  <c r="BY65" i="12"/>
  <c r="BZ65" i="12" s="1"/>
  <c r="BZ23" i="12"/>
  <c r="CA23" i="12"/>
  <c r="BE30" i="12"/>
  <c r="BE26" i="12"/>
  <c r="BE36" i="12"/>
  <c r="BE52" i="12"/>
  <c r="G33" i="77"/>
  <c r="L33" i="77"/>
  <c r="AA79" i="12"/>
  <c r="AB79" i="12" s="1"/>
  <c r="AB37" i="12"/>
  <c r="BE27" i="12"/>
  <c r="BE69" i="12" s="1"/>
  <c r="BF69" i="12" s="1"/>
  <c r="DM24" i="12"/>
  <c r="DO24" i="12" s="1"/>
  <c r="BE35" i="12"/>
  <c r="BF35" i="12" s="1"/>
  <c r="BE29" i="12"/>
  <c r="BG29" i="12" s="1"/>
  <c r="BY26" i="12"/>
  <c r="CA26" i="12" s="1"/>
  <c r="AK33" i="12"/>
  <c r="AL33" i="12" s="1"/>
  <c r="DM32" i="12"/>
  <c r="DO32" i="12" s="1"/>
  <c r="BY25" i="12"/>
  <c r="CA25" i="12" s="1"/>
  <c r="W32" i="77"/>
  <c r="DM28" i="12"/>
  <c r="DM70" i="12" s="1"/>
  <c r="DN70" i="12" s="1"/>
  <c r="L34" i="77"/>
  <c r="D19" i="78" s="1"/>
  <c r="Q34" i="77"/>
  <c r="C102" i="78" s="1"/>
  <c r="DM31" i="12"/>
  <c r="DM73" i="12" s="1"/>
  <c r="DN73" i="12" s="1"/>
  <c r="DM25" i="12"/>
  <c r="DN25" i="12" s="1"/>
  <c r="AK27" i="12"/>
  <c r="AK69" i="12" s="1"/>
  <c r="AL69" i="12" s="1"/>
  <c r="AK31" i="12"/>
  <c r="AK73" i="12" s="1"/>
  <c r="AL73" i="12" s="1"/>
  <c r="AK28" i="12"/>
  <c r="AM28" i="12" s="1"/>
  <c r="M71" i="21"/>
  <c r="BY31" i="12"/>
  <c r="BE23" i="12"/>
  <c r="BE37" i="12"/>
  <c r="BF37" i="12" s="1"/>
  <c r="BE28" i="12"/>
  <c r="BE70" i="12" s="1"/>
  <c r="BF70" i="12" s="1"/>
  <c r="DM26" i="12"/>
  <c r="DN26" i="12" s="1"/>
  <c r="DM36" i="12"/>
  <c r="DN36" i="12" s="1"/>
  <c r="Q32" i="12"/>
  <c r="Q74" i="12" s="1"/>
  <c r="R74" i="12" s="1"/>
  <c r="CX21" i="12"/>
  <c r="CX63" i="12" s="1"/>
  <c r="CY63" i="12" s="1"/>
  <c r="Q22" i="12"/>
  <c r="Q64" i="12" s="1"/>
  <c r="R64" i="12" s="1"/>
  <c r="BE31" i="12"/>
  <c r="BG31" i="12" s="1"/>
  <c r="BE32" i="12"/>
  <c r="BG32" i="12" s="1"/>
  <c r="BE21" i="12"/>
  <c r="BF21" i="12" s="1"/>
  <c r="BY32" i="12"/>
  <c r="BY74" i="12" s="1"/>
  <c r="BZ74" i="12" s="1"/>
  <c r="AK35" i="12"/>
  <c r="AL35" i="12" s="1"/>
  <c r="DM22" i="12"/>
  <c r="DM64" i="12" s="1"/>
  <c r="DN64" i="12" s="1"/>
  <c r="BY28" i="12"/>
  <c r="CA28" i="12" s="1"/>
  <c r="W34" i="77"/>
  <c r="DM23" i="12"/>
  <c r="DM65" i="12" s="1"/>
  <c r="DN65" i="12" s="1"/>
  <c r="DM29" i="12"/>
  <c r="DM71" i="12" s="1"/>
  <c r="DN71" i="12" s="1"/>
  <c r="BY30" i="12"/>
  <c r="CA30" i="12" s="1"/>
  <c r="AK24" i="12"/>
  <c r="AM24" i="12" s="1"/>
  <c r="AK34" i="12"/>
  <c r="AL34" i="12" s="1"/>
  <c r="M73" i="21"/>
  <c r="K71" i="95"/>
  <c r="BE24" i="12"/>
  <c r="BE25" i="12"/>
  <c r="G16" i="111"/>
  <c r="H16" i="111" s="1"/>
  <c r="J16" i="111" s="1"/>
  <c r="K42" i="83"/>
  <c r="G26" i="111"/>
  <c r="G46" i="111"/>
  <c r="CR5" i="12"/>
  <c r="CR13" i="12" s="1"/>
  <c r="CS26" i="12" s="1"/>
  <c r="J46" i="111"/>
  <c r="H13" i="111"/>
  <c r="L76" i="41"/>
  <c r="M69" i="41"/>
  <c r="M76" i="41" s="1"/>
  <c r="H35" i="111"/>
  <c r="Q25" i="77"/>
  <c r="C93" i="78" s="1"/>
  <c r="W25" i="77"/>
  <c r="C10" i="78"/>
  <c r="D10" i="77"/>
  <c r="L88" i="77"/>
  <c r="R88" i="77" s="1"/>
  <c r="F65" i="60"/>
  <c r="H10" i="2"/>
  <c r="J72" i="95"/>
  <c r="BO75" i="12"/>
  <c r="BP75" i="12" s="1"/>
  <c r="J72" i="96"/>
  <c r="K62" i="96"/>
  <c r="K72" i="96" s="1"/>
  <c r="K37" i="59"/>
  <c r="K45" i="59" s="1"/>
  <c r="J45" i="59"/>
  <c r="L42" i="63"/>
  <c r="L46" i="63" s="1"/>
  <c r="K46" i="63"/>
  <c r="L29" i="77"/>
  <c r="G29" i="77"/>
  <c r="L27" i="12"/>
  <c r="L29" i="12"/>
  <c r="L34" i="12"/>
  <c r="L21" i="12"/>
  <c r="L28" i="12"/>
  <c r="L26" i="12"/>
  <c r="L30" i="12"/>
  <c r="L33" i="12"/>
  <c r="L35" i="12"/>
  <c r="L23" i="12"/>
  <c r="L37" i="12"/>
  <c r="DH22" i="12"/>
  <c r="DH23" i="12"/>
  <c r="DH27" i="12"/>
  <c r="DH24" i="12"/>
  <c r="DH30" i="12"/>
  <c r="DH35" i="12"/>
  <c r="DH36" i="12"/>
  <c r="DH34" i="12"/>
  <c r="DH25" i="12"/>
  <c r="DH29" i="12"/>
  <c r="DH37" i="12"/>
  <c r="DH21" i="12"/>
  <c r="J42" i="96"/>
  <c r="J51" i="96" s="1"/>
  <c r="L65" i="22"/>
  <c r="M60" i="22"/>
  <c r="M65" i="22" s="1"/>
  <c r="F17" i="22"/>
  <c r="F18" i="22" s="1"/>
  <c r="BI6" i="12"/>
  <c r="L64" i="22"/>
  <c r="M59" i="22"/>
  <c r="M64" i="22" s="1"/>
  <c r="L31" i="12"/>
  <c r="DH26" i="12"/>
  <c r="AA70" i="12"/>
  <c r="AB70" i="12" s="1"/>
  <c r="DH31" i="12"/>
  <c r="BG33" i="12"/>
  <c r="BF33" i="12"/>
  <c r="BE75" i="12"/>
  <c r="BF75" i="12" s="1"/>
  <c r="O132" i="4"/>
  <c r="X39" i="77"/>
  <c r="M24" i="77"/>
  <c r="H24" i="77"/>
  <c r="Q29" i="77"/>
  <c r="C97" i="78" s="1"/>
  <c r="C14" i="78"/>
  <c r="CX25" i="12"/>
  <c r="CX28" i="12"/>
  <c r="CX29" i="12"/>
  <c r="CX33" i="12"/>
  <c r="CX27" i="12"/>
  <c r="CX35" i="12"/>
  <c r="CX36" i="12"/>
  <c r="CX23" i="12"/>
  <c r="CX31" i="12"/>
  <c r="CX37" i="12"/>
  <c r="CX24" i="12"/>
  <c r="CX30" i="12"/>
  <c r="CX22" i="12"/>
  <c r="CX32" i="12"/>
  <c r="CX26" i="12"/>
  <c r="CX56" i="12"/>
  <c r="CX75" i="12" s="1"/>
  <c r="CY75" i="12" s="1"/>
  <c r="L26" i="77"/>
  <c r="G26" i="77"/>
  <c r="L23" i="77"/>
  <c r="G23" i="77"/>
  <c r="L22" i="12"/>
  <c r="R28" i="77"/>
  <c r="D96" i="78" s="1"/>
  <c r="D4" i="78"/>
  <c r="D51" i="78" s="1"/>
  <c r="D13" i="78"/>
  <c r="L41" i="21"/>
  <c r="L50" i="21" s="1"/>
  <c r="L76" i="77"/>
  <c r="Q76" i="77"/>
  <c r="S39" i="77"/>
  <c r="E107" i="78" s="1"/>
  <c r="P87" i="4"/>
  <c r="J26" i="111"/>
  <c r="L74" i="77"/>
  <c r="Q74" i="77"/>
  <c r="J46" i="53"/>
  <c r="L86" i="77"/>
  <c r="R86" i="77" s="1"/>
  <c r="Y36" i="77"/>
  <c r="L85" i="77"/>
  <c r="R85" i="77" s="1"/>
  <c r="DN30" i="12"/>
  <c r="DO30" i="12"/>
  <c r="DM72" i="12"/>
  <c r="DN72" i="12" s="1"/>
  <c r="CE26" i="12"/>
  <c r="CF26" i="12"/>
  <c r="CD68" i="12"/>
  <c r="CE68" i="12" s="1"/>
  <c r="DC21" i="12"/>
  <c r="DB39" i="12"/>
  <c r="J64" i="93"/>
  <c r="K58" i="95"/>
  <c r="K69" i="95" s="1"/>
  <c r="R21" i="12"/>
  <c r="S21" i="12"/>
  <c r="Q63" i="12"/>
  <c r="R63" i="12" s="1"/>
  <c r="AK76" i="12"/>
  <c r="AL76" i="12" s="1"/>
  <c r="CH14" i="12"/>
  <c r="CH9" i="12"/>
  <c r="K36" i="59"/>
  <c r="K44" i="59" s="1"/>
  <c r="J44" i="59"/>
  <c r="Q24" i="12"/>
  <c r="Q27" i="12"/>
  <c r="Q28" i="12"/>
  <c r="Q25" i="12"/>
  <c r="Q31" i="12"/>
  <c r="Q29" i="12"/>
  <c r="Q34" i="12"/>
  <c r="Q36" i="12"/>
  <c r="Q37" i="12"/>
  <c r="Q23" i="12"/>
  <c r="Q33" i="12"/>
  <c r="Q30" i="12"/>
  <c r="Q26" i="12"/>
  <c r="Q35" i="12"/>
  <c r="L64" i="44"/>
  <c r="M53" i="44"/>
  <c r="M64" i="44" s="1"/>
  <c r="J34" i="95"/>
  <c r="J47" i="95" s="1"/>
  <c r="AT5" i="12"/>
  <c r="AT13" i="12" s="1"/>
  <c r="L68" i="50"/>
  <c r="D49" i="50"/>
  <c r="L49" i="50" s="1"/>
  <c r="L67" i="50"/>
  <c r="L66" i="50"/>
  <c r="D50" i="50"/>
  <c r="L50" i="50" s="1"/>
  <c r="L65" i="50"/>
  <c r="L62" i="50"/>
  <c r="L69" i="50"/>
  <c r="G92" i="50"/>
  <c r="K62" i="81"/>
  <c r="K63" i="81"/>
  <c r="K66" i="81"/>
  <c r="K54" i="81"/>
  <c r="K56" i="81"/>
  <c r="K59" i="81"/>
  <c r="K61" i="81"/>
  <c r="K68" i="81"/>
  <c r="K57" i="81"/>
  <c r="K65" i="81"/>
  <c r="K60" i="81"/>
  <c r="K64" i="81"/>
  <c r="K67" i="81"/>
  <c r="K69" i="81"/>
  <c r="K58" i="81"/>
  <c r="K55" i="81"/>
  <c r="M24" i="12"/>
  <c r="N24" i="12"/>
  <c r="L66" i="12"/>
  <c r="M66" i="12" s="1"/>
  <c r="CY34" i="12"/>
  <c r="CZ34" i="12"/>
  <c r="CX76" i="12"/>
  <c r="CY76" i="12" s="1"/>
  <c r="L30" i="77"/>
  <c r="G30" i="77"/>
  <c r="L27" i="77"/>
  <c r="G27" i="77"/>
  <c r="L68" i="21"/>
  <c r="M57" i="21"/>
  <c r="M68" i="21" s="1"/>
  <c r="F17" i="21"/>
  <c r="F18" i="21" s="1"/>
  <c r="L83" i="77"/>
  <c r="R83" i="77" s="1"/>
  <c r="L77" i="77"/>
  <c r="Q77" i="77"/>
  <c r="T37" i="77"/>
  <c r="F105" i="78" s="1"/>
  <c r="Q85" i="4"/>
  <c r="U37" i="77" s="1"/>
  <c r="G105" i="78" s="1"/>
  <c r="E16" i="47"/>
  <c r="E17" i="47" s="1"/>
  <c r="L67" i="47"/>
  <c r="L65" i="47"/>
  <c r="L61" i="47"/>
  <c r="BN6" i="12"/>
  <c r="AB23" i="12"/>
  <c r="AC23" i="12"/>
  <c r="AA65" i="12"/>
  <c r="AB65" i="12" s="1"/>
  <c r="DI33" i="12"/>
  <c r="DJ33" i="12"/>
  <c r="DH75" i="12"/>
  <c r="DI75" i="12" s="1"/>
  <c r="BL23" i="12"/>
  <c r="BK23" i="12"/>
  <c r="BJ65" i="12"/>
  <c r="BK65" i="12" s="1"/>
  <c r="Q103" i="4"/>
  <c r="AA31" i="77" s="1"/>
  <c r="Z31" i="77"/>
  <c r="Q30" i="77"/>
  <c r="C98" i="78" s="1"/>
  <c r="C15" i="78"/>
  <c r="W23" i="77"/>
  <c r="Q23" i="77"/>
  <c r="C8" i="78"/>
  <c r="D8" i="77"/>
  <c r="M28" i="77"/>
  <c r="H28" i="77"/>
  <c r="L42" i="90"/>
  <c r="L61" i="90" s="1"/>
  <c r="K61" i="90"/>
  <c r="L32" i="47"/>
  <c r="E53" i="47" s="1"/>
  <c r="L53" i="47" s="1"/>
  <c r="L78" i="77"/>
  <c r="Q78" i="77"/>
  <c r="L77" i="93"/>
  <c r="J86" i="93"/>
  <c r="J91" i="93" s="1"/>
  <c r="K77" i="93"/>
  <c r="K86" i="93" s="1"/>
  <c r="BQ22" i="12"/>
  <c r="BP22" i="12"/>
  <c r="BO64" i="12"/>
  <c r="BP64" i="12" s="1"/>
  <c r="AE5" i="12"/>
  <c r="AE13" i="12" s="1"/>
  <c r="AF21" i="12" s="1"/>
  <c r="D51" i="41"/>
  <c r="L51" i="41" s="1"/>
  <c r="L72" i="41"/>
  <c r="D50" i="41"/>
  <c r="L50" i="41" s="1"/>
  <c r="K89" i="41"/>
  <c r="F19" i="41"/>
  <c r="F20" i="41" s="1"/>
  <c r="K65" i="41"/>
  <c r="J71" i="96"/>
  <c r="K61" i="96"/>
  <c r="K71" i="96" s="1"/>
  <c r="BJ31" i="12"/>
  <c r="BJ34" i="12"/>
  <c r="BJ37" i="12"/>
  <c r="BJ21" i="12"/>
  <c r="BJ26" i="12"/>
  <c r="BJ30" i="12"/>
  <c r="BJ27" i="12"/>
  <c r="BJ35" i="12"/>
  <c r="BJ22" i="12"/>
  <c r="BJ32" i="12"/>
  <c r="BJ25" i="12"/>
  <c r="BJ28" i="12"/>
  <c r="BJ33" i="12"/>
  <c r="BJ29" i="12"/>
  <c r="BJ52" i="12"/>
  <c r="BS39" i="12"/>
  <c r="BS14" i="12"/>
  <c r="L32" i="12"/>
  <c r="DE24" i="12"/>
  <c r="DD24" i="12"/>
  <c r="DC66" i="12"/>
  <c r="DD66" i="12" s="1"/>
  <c r="DH28" i="12"/>
  <c r="DH32" i="12"/>
  <c r="CK27" i="12"/>
  <c r="CF33" i="12"/>
  <c r="BJ36" i="12"/>
  <c r="L25" i="77"/>
  <c r="G25" i="77"/>
  <c r="Q26" i="77"/>
  <c r="C94" i="78" s="1"/>
  <c r="C11" i="78"/>
  <c r="D11" i="77"/>
  <c r="M34" i="77"/>
  <c r="H34" i="77"/>
  <c r="Q27" i="77"/>
  <c r="C95" i="78" s="1"/>
  <c r="C12" i="78"/>
  <c r="L68" i="41"/>
  <c r="L70" i="21"/>
  <c r="M59" i="21"/>
  <c r="M70" i="21" s="1"/>
  <c r="L73" i="77"/>
  <c r="Q73" i="77"/>
  <c r="P83" i="4"/>
  <c r="CC6" i="12"/>
  <c r="CE21" i="12"/>
  <c r="CF21" i="12"/>
  <c r="CD63" i="12"/>
  <c r="CE63" i="12" s="1"/>
  <c r="K68" i="90"/>
  <c r="L49" i="90"/>
  <c r="L68" i="90" s="1"/>
  <c r="S36" i="77"/>
  <c r="E104" i="78" s="1"/>
  <c r="P84" i="4"/>
  <c r="CM5" i="12"/>
  <c r="CM13" i="12" s="1"/>
  <c r="J69" i="94"/>
  <c r="L39" i="47"/>
  <c r="G30" i="93"/>
  <c r="J43" i="59"/>
  <c r="K35" i="59"/>
  <c r="K43" i="59" s="1"/>
  <c r="K62" i="53"/>
  <c r="J99" i="53"/>
  <c r="CE33" i="12" l="1"/>
  <c r="AA77" i="12"/>
  <c r="AB77" i="12" s="1"/>
  <c r="CK36" i="12"/>
  <c r="L32" i="50"/>
  <c r="L34" i="44"/>
  <c r="L42" i="44" s="1"/>
  <c r="L39" i="41"/>
  <c r="H8" i="2"/>
  <c r="L34" i="35"/>
  <c r="L46" i="35" s="1"/>
  <c r="J43" i="94"/>
  <c r="J62" i="94" s="1"/>
  <c r="AK65" i="12"/>
  <c r="AL65" i="12" s="1"/>
  <c r="CF34" i="12"/>
  <c r="CJ29" i="12"/>
  <c r="K63" i="95"/>
  <c r="K74" i="95" s="1"/>
  <c r="CE22" i="12"/>
  <c r="X28" i="77"/>
  <c r="X24" i="77"/>
  <c r="L68" i="35"/>
  <c r="CA24" i="12"/>
  <c r="AL23" i="12"/>
  <c r="CF29" i="12"/>
  <c r="DM66" i="12"/>
  <c r="DN66" i="12" s="1"/>
  <c r="M66" i="22"/>
  <c r="DE28" i="12"/>
  <c r="BY69" i="12"/>
  <c r="BZ69" i="12" s="1"/>
  <c r="CF36" i="12"/>
  <c r="CI71" i="12"/>
  <c r="CJ71" i="12" s="1"/>
  <c r="BT30" i="12"/>
  <c r="BT72" i="12" s="1"/>
  <c r="BU72" i="12" s="1"/>
  <c r="CD66" i="12"/>
  <c r="CE66" i="12" s="1"/>
  <c r="CI67" i="12"/>
  <c r="CJ67" i="12" s="1"/>
  <c r="CK34" i="12"/>
  <c r="CI64" i="12"/>
  <c r="CJ64" i="12" s="1"/>
  <c r="CJ25" i="12"/>
  <c r="CJ34" i="12"/>
  <c r="CK37" i="12"/>
  <c r="CJ27" i="12"/>
  <c r="AA73" i="12"/>
  <c r="AB73" i="12" s="1"/>
  <c r="AC29" i="12"/>
  <c r="BE76" i="12"/>
  <c r="BF76" i="12" s="1"/>
  <c r="CF22" i="12"/>
  <c r="CE34" i="12"/>
  <c r="CE25" i="12"/>
  <c r="CD71" i="12"/>
  <c r="CE71" i="12" s="1"/>
  <c r="CF24" i="12"/>
  <c r="CD67" i="12"/>
  <c r="CE67" i="12" s="1"/>
  <c r="CK28" i="12"/>
  <c r="CJ28" i="12"/>
  <c r="AA64" i="12"/>
  <c r="AB64" i="12" s="1"/>
  <c r="AA78" i="12"/>
  <c r="AB78" i="12" s="1"/>
  <c r="AB22" i="12"/>
  <c r="AB36" i="12"/>
  <c r="M36" i="12"/>
  <c r="DM75" i="12"/>
  <c r="DN75" i="12" s="1"/>
  <c r="L66" i="47"/>
  <c r="L68" i="47" s="1"/>
  <c r="D51" i="47"/>
  <c r="L51" i="47" s="1"/>
  <c r="AO5" i="12"/>
  <c r="AO13" i="12" s="1"/>
  <c r="AP29" i="12" s="1"/>
  <c r="L69" i="44"/>
  <c r="AC28" i="12"/>
  <c r="CJ31" i="12"/>
  <c r="BP33" i="12"/>
  <c r="CJ37" i="12"/>
  <c r="J70" i="96"/>
  <c r="J77" i="96" s="1"/>
  <c r="BQ28" i="12"/>
  <c r="BP28" i="12"/>
  <c r="D50" i="47"/>
  <c r="L50" i="47" s="1"/>
  <c r="L54" i="47" s="1"/>
  <c r="L56" i="47" s="1"/>
  <c r="AO6" i="12" s="1"/>
  <c r="CK21" i="12"/>
  <c r="M67" i="35"/>
  <c r="AK79" i="12"/>
  <c r="AL79" i="12" s="1"/>
  <c r="AB31" i="12"/>
  <c r="DE23" i="12"/>
  <c r="CK33" i="12"/>
  <c r="CK35" i="12"/>
  <c r="CI75" i="12"/>
  <c r="CJ75" i="12" s="1"/>
  <c r="CI66" i="12"/>
  <c r="CJ66" i="12" s="1"/>
  <c r="BZ30" i="12"/>
  <c r="BY71" i="12"/>
  <c r="BZ71" i="12" s="1"/>
  <c r="BZ24" i="12"/>
  <c r="BY77" i="12"/>
  <c r="BZ77" i="12" s="1"/>
  <c r="CA21" i="12"/>
  <c r="BQ36" i="12"/>
  <c r="AA63" i="12"/>
  <c r="AB63" i="12" s="1"/>
  <c r="AB34" i="12"/>
  <c r="AB27" i="12"/>
  <c r="BG21" i="12"/>
  <c r="L67" i="12"/>
  <c r="M67" i="12" s="1"/>
  <c r="AA75" i="12"/>
  <c r="AB75" i="12" s="1"/>
  <c r="CA29" i="12"/>
  <c r="AA71" i="12"/>
  <c r="AB71" i="12" s="1"/>
  <c r="L66" i="35"/>
  <c r="L55" i="35"/>
  <c r="M55" i="35" s="1"/>
  <c r="M64" i="35" s="1"/>
  <c r="L56" i="35"/>
  <c r="L65" i="35" s="1"/>
  <c r="AL28" i="12"/>
  <c r="DM67" i="12"/>
  <c r="DN67" i="12" s="1"/>
  <c r="CE36" i="12"/>
  <c r="AA68" i="12"/>
  <c r="AB68" i="12" s="1"/>
  <c r="DO21" i="12"/>
  <c r="DM74" i="12"/>
  <c r="DN74" i="12" s="1"/>
  <c r="N25" i="12"/>
  <c r="CI65" i="12"/>
  <c r="CJ65" i="12" s="1"/>
  <c r="CD69" i="12"/>
  <c r="CE69" i="12" s="1"/>
  <c r="AB33" i="12"/>
  <c r="L69" i="35"/>
  <c r="M60" i="35"/>
  <c r="M69" i="35" s="1"/>
  <c r="AL31" i="12"/>
  <c r="BZ36" i="12"/>
  <c r="DM77" i="12"/>
  <c r="DN77" i="12" s="1"/>
  <c r="DN21" i="12"/>
  <c r="K56" i="95"/>
  <c r="K67" i="95" s="1"/>
  <c r="CJ21" i="12"/>
  <c r="AA69" i="12"/>
  <c r="AB69" i="12" s="1"/>
  <c r="DN29" i="12"/>
  <c r="AA72" i="12"/>
  <c r="AB72" i="12" s="1"/>
  <c r="K66" i="96"/>
  <c r="K76" i="96" s="1"/>
  <c r="AA76" i="12"/>
  <c r="AB76" i="12" s="1"/>
  <c r="BT32" i="12"/>
  <c r="BT74" i="12" s="1"/>
  <c r="BU74" i="12" s="1"/>
  <c r="DE32" i="12"/>
  <c r="K49" i="56"/>
  <c r="CA35" i="12"/>
  <c r="BT36" i="12"/>
  <c r="BT78" i="12" s="1"/>
  <c r="BU78" i="12" s="1"/>
  <c r="BT29" i="12"/>
  <c r="AM27" i="12"/>
  <c r="BP24" i="12"/>
  <c r="K63" i="96"/>
  <c r="K73" i="96" s="1"/>
  <c r="AL27" i="12"/>
  <c r="AK63" i="12"/>
  <c r="AL63" i="12" s="1"/>
  <c r="AB26" i="12"/>
  <c r="BS9" i="12"/>
  <c r="CA37" i="12"/>
  <c r="BQ37" i="12"/>
  <c r="DO36" i="12"/>
  <c r="BZ21" i="12"/>
  <c r="K59" i="95"/>
  <c r="K70" i="95" s="1"/>
  <c r="BZ25" i="12"/>
  <c r="AB30" i="12"/>
  <c r="S38" i="77"/>
  <c r="E106" i="78" s="1"/>
  <c r="BY75" i="12"/>
  <c r="BZ75" i="12" s="1"/>
  <c r="L54" i="35"/>
  <c r="M54" i="35" s="1"/>
  <c r="M63" i="35" s="1"/>
  <c r="AL26" i="12"/>
  <c r="BT37" i="12"/>
  <c r="AB25" i="12"/>
  <c r="BT22" i="12"/>
  <c r="BV22" i="12" s="1"/>
  <c r="AB32" i="12"/>
  <c r="BT34" i="12"/>
  <c r="BT76" i="12" s="1"/>
  <c r="BU76" i="12" s="1"/>
  <c r="DO35" i="12"/>
  <c r="AC24" i="12"/>
  <c r="BZ27" i="12"/>
  <c r="BT25" i="12"/>
  <c r="BT67" i="12" s="1"/>
  <c r="BU67" i="12" s="1"/>
  <c r="BT21" i="12"/>
  <c r="BV21" i="12" s="1"/>
  <c r="BQ25" i="12"/>
  <c r="BG22" i="12"/>
  <c r="BQ34" i="12"/>
  <c r="BT33" i="12"/>
  <c r="BV33" i="12" s="1"/>
  <c r="AA67" i="12"/>
  <c r="AB67" i="12" s="1"/>
  <c r="BT26" i="12"/>
  <c r="BV26" i="12" s="1"/>
  <c r="P80" i="4"/>
  <c r="S31" i="77"/>
  <c r="E99" i="78" s="1"/>
  <c r="DN22" i="12"/>
  <c r="BZ22" i="12"/>
  <c r="BT79" i="12"/>
  <c r="BU79" i="12" s="1"/>
  <c r="CI72" i="12"/>
  <c r="CJ72" i="12" s="1"/>
  <c r="BO65" i="12"/>
  <c r="BP65" i="12" s="1"/>
  <c r="BZ28" i="12"/>
  <c r="BF32" i="12"/>
  <c r="R24" i="77"/>
  <c r="D92" i="78" s="1"/>
  <c r="BE74" i="12"/>
  <c r="BF74" i="12" s="1"/>
  <c r="AB21" i="12"/>
  <c r="AC35" i="12"/>
  <c r="AL29" i="12"/>
  <c r="BO79" i="12"/>
  <c r="BP79" i="12" s="1"/>
  <c r="DM68" i="12"/>
  <c r="DN68" i="12" s="1"/>
  <c r="X34" i="77"/>
  <c r="CD79" i="12"/>
  <c r="CE79" i="12" s="1"/>
  <c r="BQ29" i="12"/>
  <c r="H32" i="77"/>
  <c r="I32" i="77" s="1"/>
  <c r="O32" i="77" s="1"/>
  <c r="BY64" i="12"/>
  <c r="BZ64" i="12" s="1"/>
  <c r="BZ34" i="12"/>
  <c r="DC70" i="12"/>
  <c r="DD70" i="12" s="1"/>
  <c r="CA33" i="12"/>
  <c r="DM79" i="12"/>
  <c r="DN79" i="12" s="1"/>
  <c r="AA74" i="12"/>
  <c r="AB74" i="12" s="1"/>
  <c r="CA36" i="12"/>
  <c r="BP25" i="12"/>
  <c r="CF30" i="12"/>
  <c r="DO29" i="12"/>
  <c r="BG27" i="12"/>
  <c r="DO26" i="12"/>
  <c r="CF37" i="12"/>
  <c r="DN28" i="12"/>
  <c r="DO37" i="12"/>
  <c r="G41" i="111"/>
  <c r="N36" i="12"/>
  <c r="M66" i="35"/>
  <c r="M68" i="35"/>
  <c r="AK72" i="12"/>
  <c r="AL72" i="12" s="1"/>
  <c r="AM21" i="12"/>
  <c r="AK64" i="12"/>
  <c r="AL64" i="12" s="1"/>
  <c r="AK70" i="12"/>
  <c r="AL70" i="12" s="1"/>
  <c r="BF34" i="12"/>
  <c r="BG35" i="12"/>
  <c r="J74" i="53"/>
  <c r="K74" i="53" s="1"/>
  <c r="J71" i="53"/>
  <c r="BT31" i="12"/>
  <c r="BT35" i="12"/>
  <c r="BU35" i="12" s="1"/>
  <c r="BT23" i="12"/>
  <c r="CD77" i="12"/>
  <c r="CE77" i="12" s="1"/>
  <c r="CF35" i="12"/>
  <c r="CK24" i="12"/>
  <c r="CJ30" i="12"/>
  <c r="CK23" i="12"/>
  <c r="CJ22" i="12"/>
  <c r="L73" i="92"/>
  <c r="DE29" i="12"/>
  <c r="J68" i="95"/>
  <c r="J75" i="95" s="1"/>
  <c r="DC68" i="12"/>
  <c r="DD68" i="12" s="1"/>
  <c r="DD36" i="12"/>
  <c r="DD29" i="12"/>
  <c r="DC67" i="12"/>
  <c r="DD67" i="12" s="1"/>
  <c r="DD23" i="12"/>
  <c r="DC79" i="12"/>
  <c r="DD79" i="12" s="1"/>
  <c r="DE25" i="12"/>
  <c r="DE37" i="12"/>
  <c r="DE36" i="12"/>
  <c r="DD34" i="12"/>
  <c r="DC75" i="12"/>
  <c r="DD75" i="12" s="1"/>
  <c r="DD22" i="12"/>
  <c r="K74" i="91"/>
  <c r="L88" i="44"/>
  <c r="L65" i="82"/>
  <c r="L78" i="82" s="1"/>
  <c r="BO69" i="12"/>
  <c r="BP69" i="12" s="1"/>
  <c r="BO73" i="12"/>
  <c r="BP73" i="12" s="1"/>
  <c r="BP27" i="12"/>
  <c r="BQ24" i="12"/>
  <c r="BQ30" i="12"/>
  <c r="BO78" i="12"/>
  <c r="BP78" i="12" s="1"/>
  <c r="DO25" i="12"/>
  <c r="AM29" i="12"/>
  <c r="CE30" i="12"/>
  <c r="R34" i="77"/>
  <c r="D102" i="78" s="1"/>
  <c r="DN32" i="12"/>
  <c r="AB24" i="12"/>
  <c r="BP32" i="12"/>
  <c r="CF32" i="12"/>
  <c r="CK31" i="12"/>
  <c r="U5" i="12"/>
  <c r="U13" i="12" s="1"/>
  <c r="V23" i="12" s="1"/>
  <c r="W23" i="12" s="1"/>
  <c r="DN24" i="12"/>
  <c r="K64" i="96"/>
  <c r="K74" i="96" s="1"/>
  <c r="D9" i="78"/>
  <c r="K62" i="95"/>
  <c r="K73" i="95" s="1"/>
  <c r="E9" i="77"/>
  <c r="CD65" i="12"/>
  <c r="CE65" i="12" s="1"/>
  <c r="CD70" i="12"/>
  <c r="CE70" i="12" s="1"/>
  <c r="BE77" i="12"/>
  <c r="BF77" i="12" s="1"/>
  <c r="CA32" i="12"/>
  <c r="CI77" i="12"/>
  <c r="CJ77" i="12" s="1"/>
  <c r="AK75" i="12"/>
  <c r="AL75" i="12" s="1"/>
  <c r="BO39" i="12"/>
  <c r="CJ26" i="12"/>
  <c r="CK26" i="12"/>
  <c r="CI68" i="12"/>
  <c r="CJ68" i="12" s="1"/>
  <c r="CF23" i="12"/>
  <c r="AK78" i="12"/>
  <c r="AL78" i="12" s="1"/>
  <c r="L53" i="50"/>
  <c r="L55" i="50" s="1"/>
  <c r="BQ26" i="12"/>
  <c r="CA34" i="12"/>
  <c r="AM25" i="12"/>
  <c r="DE26" i="12"/>
  <c r="K91" i="93"/>
  <c r="L74" i="91"/>
  <c r="O131" i="4"/>
  <c r="X38" i="77"/>
  <c r="O106" i="4"/>
  <c r="X35" i="77"/>
  <c r="AL36" i="12"/>
  <c r="CF28" i="12"/>
  <c r="L38" i="60"/>
  <c r="L41" i="60" s="1"/>
  <c r="K41" i="60"/>
  <c r="BP35" i="12"/>
  <c r="BY70" i="12"/>
  <c r="BZ70" i="12" s="1"/>
  <c r="BE63" i="12"/>
  <c r="BF63" i="12" s="1"/>
  <c r="BO72" i="12"/>
  <c r="BP72" i="12" s="1"/>
  <c r="BY79" i="12"/>
  <c r="BZ79" i="12" s="1"/>
  <c r="DM78" i="12"/>
  <c r="DN78" i="12" s="1"/>
  <c r="K46" i="53"/>
  <c r="BO68" i="12"/>
  <c r="BP68" i="12" s="1"/>
  <c r="BP31" i="12"/>
  <c r="BY72" i="12"/>
  <c r="BZ72" i="12" s="1"/>
  <c r="BY67" i="12"/>
  <c r="BZ67" i="12" s="1"/>
  <c r="DO33" i="12"/>
  <c r="BE64" i="12"/>
  <c r="BF64" i="12" s="1"/>
  <c r="R22" i="12"/>
  <c r="CZ21" i="12"/>
  <c r="BO74" i="12"/>
  <c r="BP74" i="12" s="1"/>
  <c r="CD74" i="12"/>
  <c r="CE74" i="12" s="1"/>
  <c r="CE27" i="12"/>
  <c r="CF31" i="12"/>
  <c r="R32" i="12"/>
  <c r="DD35" i="12"/>
  <c r="O130" i="4"/>
  <c r="X37" i="77"/>
  <c r="BO77" i="12"/>
  <c r="BP77" i="12" s="1"/>
  <c r="L66" i="22"/>
  <c r="DO27" i="12"/>
  <c r="CD73" i="12"/>
  <c r="CE73" i="12" s="1"/>
  <c r="K46" i="59"/>
  <c r="AM26" i="12"/>
  <c r="AM32" i="12"/>
  <c r="BK24" i="12"/>
  <c r="DC69" i="12"/>
  <c r="DD69" i="12" s="1"/>
  <c r="DD32" i="12"/>
  <c r="BT24" i="12"/>
  <c r="BT27" i="12"/>
  <c r="BF31" i="12"/>
  <c r="BE73" i="12"/>
  <c r="BF73" i="12" s="1"/>
  <c r="BE71" i="12"/>
  <c r="BF71" i="12" s="1"/>
  <c r="DN34" i="12"/>
  <c r="DM69" i="12"/>
  <c r="DN69" i="12" s="1"/>
  <c r="DD30" i="12"/>
  <c r="DD27" i="12"/>
  <c r="DD31" i="12"/>
  <c r="DC72" i="12"/>
  <c r="DD72" i="12" s="1"/>
  <c r="DC73" i="12"/>
  <c r="DD73" i="12" s="1"/>
  <c r="DC64" i="12"/>
  <c r="DD64" i="12" s="1"/>
  <c r="CY21" i="12"/>
  <c r="BF29" i="12"/>
  <c r="BL24" i="12"/>
  <c r="BQ23" i="12"/>
  <c r="BO71" i="12"/>
  <c r="BP71" i="12" s="1"/>
  <c r="BP34" i="12"/>
  <c r="BQ21" i="12"/>
  <c r="BP21" i="12"/>
  <c r="BT70" i="12"/>
  <c r="BU70" i="12" s="1"/>
  <c r="AM31" i="12"/>
  <c r="AL22" i="12"/>
  <c r="AL30" i="12"/>
  <c r="AK67" i="12"/>
  <c r="AL67" i="12" s="1"/>
  <c r="AM37" i="12"/>
  <c r="DN31" i="12"/>
  <c r="DO22" i="12"/>
  <c r="DM76" i="12"/>
  <c r="DN76" i="12" s="1"/>
  <c r="DN23" i="12"/>
  <c r="DO28" i="12"/>
  <c r="DE34" i="12"/>
  <c r="DD33" i="12"/>
  <c r="DC77" i="12"/>
  <c r="DD77" i="12" s="1"/>
  <c r="BY68" i="12"/>
  <c r="BZ68" i="12" s="1"/>
  <c r="BU28" i="12"/>
  <c r="BF28" i="12"/>
  <c r="BE79" i="12"/>
  <c r="BF79" i="12" s="1"/>
  <c r="AM35" i="12"/>
  <c r="AK74" i="12"/>
  <c r="AL74" i="12" s="1"/>
  <c r="AK77" i="12"/>
  <c r="AL77" i="12" s="1"/>
  <c r="AL24" i="12"/>
  <c r="AM33" i="12"/>
  <c r="BF26" i="12"/>
  <c r="BE68" i="12"/>
  <c r="BF68" i="12" s="1"/>
  <c r="BG26" i="12"/>
  <c r="BE66" i="12"/>
  <c r="BF66" i="12" s="1"/>
  <c r="BF24" i="12"/>
  <c r="BG24" i="12"/>
  <c r="BY73" i="12"/>
  <c r="BZ73" i="12" s="1"/>
  <c r="BZ31" i="12"/>
  <c r="CA31" i="12"/>
  <c r="M33" i="77"/>
  <c r="H33" i="77"/>
  <c r="BG36" i="12"/>
  <c r="BE78" i="12"/>
  <c r="BF78" i="12" s="1"/>
  <c r="BF36" i="12"/>
  <c r="BF25" i="12"/>
  <c r="BE67" i="12"/>
  <c r="BF67" i="12" s="1"/>
  <c r="BG25" i="12"/>
  <c r="D18" i="78"/>
  <c r="X33" i="77"/>
  <c r="R33" i="77"/>
  <c r="D101" i="78" s="1"/>
  <c r="S22" i="12"/>
  <c r="BZ32" i="12"/>
  <c r="S32" i="12"/>
  <c r="E56" i="12"/>
  <c r="D84" i="77" s="1"/>
  <c r="K84" i="77" s="1"/>
  <c r="Q84" i="77" s="1"/>
  <c r="DO31" i="12"/>
  <c r="BF27" i="12"/>
  <c r="AM34" i="12"/>
  <c r="DO23" i="12"/>
  <c r="BZ26" i="12"/>
  <c r="BG28" i="12"/>
  <c r="BG37" i="12"/>
  <c r="Q54" i="12"/>
  <c r="Q73" i="12" s="1"/>
  <c r="R73" i="12" s="1"/>
  <c r="G20" i="111"/>
  <c r="BE65" i="12"/>
  <c r="BF65" i="12" s="1"/>
  <c r="BF23" i="12"/>
  <c r="BG23" i="12"/>
  <c r="BE72" i="12"/>
  <c r="BF72" i="12" s="1"/>
  <c r="BF30" i="12"/>
  <c r="BG30" i="12"/>
  <c r="M69" i="44"/>
  <c r="AK66" i="12"/>
  <c r="AL66" i="12" s="1"/>
  <c r="J46" i="59"/>
  <c r="CS36" i="12"/>
  <c r="CS78" i="12" s="1"/>
  <c r="CT78" i="12" s="1"/>
  <c r="CS23" i="12"/>
  <c r="CS65" i="12" s="1"/>
  <c r="CT65" i="12" s="1"/>
  <c r="CS34" i="12"/>
  <c r="CT34" i="12" s="1"/>
  <c r="CS37" i="12"/>
  <c r="CS79" i="12" s="1"/>
  <c r="CT79" i="12" s="1"/>
  <c r="CS25" i="12"/>
  <c r="CT25" i="12" s="1"/>
  <c r="CS21" i="12"/>
  <c r="CT21" i="12" s="1"/>
  <c r="CS35" i="12"/>
  <c r="CT35" i="12" s="1"/>
  <c r="CS22" i="12"/>
  <c r="CT22" i="12" s="1"/>
  <c r="L42" i="83"/>
  <c r="L47" i="83" s="1"/>
  <c r="L48" i="83" s="1"/>
  <c r="K47" i="83"/>
  <c r="K48" i="83" s="1"/>
  <c r="CS33" i="12"/>
  <c r="CU33" i="12" s="1"/>
  <c r="CS32" i="12"/>
  <c r="CS74" i="12" s="1"/>
  <c r="CT74" i="12" s="1"/>
  <c r="CS27" i="12"/>
  <c r="CT27" i="12" s="1"/>
  <c r="CS24" i="12"/>
  <c r="CT24" i="12" s="1"/>
  <c r="CS28" i="12"/>
  <c r="CS70" i="12" s="1"/>
  <c r="CT70" i="12" s="1"/>
  <c r="CS29" i="12"/>
  <c r="CS71" i="12" s="1"/>
  <c r="CT71" i="12" s="1"/>
  <c r="DG6" i="12"/>
  <c r="E26" i="95"/>
  <c r="DG4" i="12" s="1"/>
  <c r="DG12" i="12" s="1"/>
  <c r="E12" i="12" s="1"/>
  <c r="J49" i="95"/>
  <c r="J48" i="95"/>
  <c r="J72" i="94"/>
  <c r="J73" i="94"/>
  <c r="BL25" i="12"/>
  <c r="BK25" i="12"/>
  <c r="BJ67" i="12"/>
  <c r="BK67" i="12" s="1"/>
  <c r="BL37" i="12"/>
  <c r="BK37" i="12"/>
  <c r="BJ79" i="12"/>
  <c r="BK79" i="12" s="1"/>
  <c r="L64" i="81"/>
  <c r="L84" i="81" s="1"/>
  <c r="K84" i="81"/>
  <c r="R36" i="12"/>
  <c r="S36" i="12"/>
  <c r="Q78" i="12"/>
  <c r="R78" i="12" s="1"/>
  <c r="DD21" i="12"/>
  <c r="DE21" i="12"/>
  <c r="DC63" i="12"/>
  <c r="DD63" i="12" s="1"/>
  <c r="M86" i="77"/>
  <c r="S86" i="77" s="1"/>
  <c r="M76" i="77"/>
  <c r="R76" i="77"/>
  <c r="CZ26" i="12"/>
  <c r="CY26" i="12"/>
  <c r="CX68" i="12"/>
  <c r="CY68" i="12" s="1"/>
  <c r="DL6" i="12"/>
  <c r="J52" i="96"/>
  <c r="DJ30" i="12"/>
  <c r="DI30" i="12"/>
  <c r="DH72" i="12"/>
  <c r="DI72" i="12" s="1"/>
  <c r="M27" i="12"/>
  <c r="N27" i="12"/>
  <c r="L69" i="12"/>
  <c r="M69" i="12" s="1"/>
  <c r="M29" i="77"/>
  <c r="H29" i="77"/>
  <c r="CU26" i="12"/>
  <c r="CT26" i="12"/>
  <c r="CS68" i="12"/>
  <c r="CT68" i="12" s="1"/>
  <c r="CC14" i="12"/>
  <c r="CC9" i="12"/>
  <c r="R73" i="77"/>
  <c r="M73" i="77"/>
  <c r="L75" i="41"/>
  <c r="M68" i="41"/>
  <c r="M75" i="41" s="1"/>
  <c r="M32" i="12"/>
  <c r="N32" i="12"/>
  <c r="L74" i="12"/>
  <c r="M74" i="12" s="1"/>
  <c r="E52" i="12"/>
  <c r="BJ71" i="12"/>
  <c r="BK71" i="12" s="1"/>
  <c r="L75" i="90"/>
  <c r="M27" i="77"/>
  <c r="H27" i="77"/>
  <c r="L55" i="81"/>
  <c r="L75" i="81" s="1"/>
  <c r="K75" i="81"/>
  <c r="R30" i="12"/>
  <c r="S30" i="12"/>
  <c r="Q72" i="12"/>
  <c r="R72" i="12" s="1"/>
  <c r="DI25" i="12"/>
  <c r="DJ25" i="12"/>
  <c r="DH67" i="12"/>
  <c r="DI67" i="12" s="1"/>
  <c r="M28" i="12"/>
  <c r="N28" i="12"/>
  <c r="L70" i="12"/>
  <c r="M70" i="12" s="1"/>
  <c r="AH21" i="12"/>
  <c r="AG21" i="12"/>
  <c r="Y34" i="77"/>
  <c r="S34" i="77"/>
  <c r="E102" i="78" s="1"/>
  <c r="E19" i="78"/>
  <c r="M25" i="77"/>
  <c r="H25" i="77"/>
  <c r="DI28" i="12"/>
  <c r="DJ28" i="12"/>
  <c r="DH70" i="12"/>
  <c r="DI70" i="12" s="1"/>
  <c r="BL30" i="12"/>
  <c r="BK30" i="12"/>
  <c r="BJ72" i="12"/>
  <c r="BK72" i="12" s="1"/>
  <c r="AF24" i="12"/>
  <c r="AF26" i="12"/>
  <c r="AF27" i="12"/>
  <c r="AF30" i="12"/>
  <c r="AF35" i="12"/>
  <c r="AF25" i="12"/>
  <c r="AF29" i="12"/>
  <c r="AF31" i="12"/>
  <c r="AF32" i="12"/>
  <c r="AF34" i="12"/>
  <c r="AF37" i="12"/>
  <c r="AF28" i="12"/>
  <c r="AF36" i="12"/>
  <c r="AF23" i="12"/>
  <c r="AF44" i="12"/>
  <c r="AF33" i="12"/>
  <c r="AF22" i="12"/>
  <c r="N28" i="77"/>
  <c r="I28" i="77"/>
  <c r="O28" i="77" s="1"/>
  <c r="Q40" i="77"/>
  <c r="C91" i="78"/>
  <c r="L74" i="47"/>
  <c r="M67" i="47"/>
  <c r="M74" i="47" s="1"/>
  <c r="M74" i="21"/>
  <c r="DI21" i="12"/>
  <c r="DJ21" i="12"/>
  <c r="DH63" i="12"/>
  <c r="DI63" i="12" s="1"/>
  <c r="DI24" i="12"/>
  <c r="DJ24" i="12"/>
  <c r="DH66" i="12"/>
  <c r="DI66" i="12" s="1"/>
  <c r="M21" i="12"/>
  <c r="N21" i="12"/>
  <c r="L63" i="12"/>
  <c r="M63" i="12" s="1"/>
  <c r="K59" i="60"/>
  <c r="P6" i="12"/>
  <c r="L48" i="22"/>
  <c r="T36" i="77"/>
  <c r="F104" i="78" s="1"/>
  <c r="Q84" i="4"/>
  <c r="U36" i="77" s="1"/>
  <c r="G104" i="78" s="1"/>
  <c r="R25" i="77"/>
  <c r="D93" i="78" s="1"/>
  <c r="X25" i="77"/>
  <c r="D10" i="78"/>
  <c r="E10" i="77"/>
  <c r="BK36" i="12"/>
  <c r="BL36" i="12"/>
  <c r="BJ78" i="12"/>
  <c r="BK78" i="12" s="1"/>
  <c r="BL33" i="12"/>
  <c r="BK33" i="12"/>
  <c r="BJ75" i="12"/>
  <c r="BK75" i="12" s="1"/>
  <c r="BL22" i="12"/>
  <c r="BK22" i="12"/>
  <c r="BJ64" i="12"/>
  <c r="BK64" i="12" s="1"/>
  <c r="BL26" i="12"/>
  <c r="BK26" i="12"/>
  <c r="BJ68" i="12"/>
  <c r="BK68" i="12" s="1"/>
  <c r="BL31" i="12"/>
  <c r="BK31" i="12"/>
  <c r="BJ73" i="12"/>
  <c r="BK73" i="12" s="1"/>
  <c r="L56" i="41"/>
  <c r="K75" i="90"/>
  <c r="S28" i="77"/>
  <c r="E96" i="78" s="1"/>
  <c r="Y28" i="77"/>
  <c r="E4" i="78"/>
  <c r="E51" i="78" s="1"/>
  <c r="E13" i="78"/>
  <c r="W40" i="77"/>
  <c r="C139" i="78" s="1"/>
  <c r="L72" i="47"/>
  <c r="M65" i="47"/>
  <c r="M72" i="47" s="1"/>
  <c r="R30" i="77"/>
  <c r="D98" i="78" s="1"/>
  <c r="X30" i="77"/>
  <c r="D15" i="78"/>
  <c r="L69" i="81"/>
  <c r="L89" i="81" s="1"/>
  <c r="K89" i="81"/>
  <c r="L65" i="81"/>
  <c r="L85" i="81" s="1"/>
  <c r="K85" i="81"/>
  <c r="L59" i="81"/>
  <c r="L79" i="81" s="1"/>
  <c r="K79" i="81"/>
  <c r="L63" i="81"/>
  <c r="L83" i="81" s="1"/>
  <c r="K83" i="81"/>
  <c r="L77" i="50"/>
  <c r="M69" i="50"/>
  <c r="M77" i="50" s="1"/>
  <c r="L74" i="50"/>
  <c r="M66" i="50"/>
  <c r="M74" i="50" s="1"/>
  <c r="AU21" i="12"/>
  <c r="AU24" i="12"/>
  <c r="AU35" i="12"/>
  <c r="AU22" i="12"/>
  <c r="AU28" i="12"/>
  <c r="AU32" i="12"/>
  <c r="AU33" i="12"/>
  <c r="AU26" i="12"/>
  <c r="AU30" i="12"/>
  <c r="AU37" i="12"/>
  <c r="AU47" i="12"/>
  <c r="AU34" i="12"/>
  <c r="AU36" i="12"/>
  <c r="AU31" i="12"/>
  <c r="AU27" i="12"/>
  <c r="AU23" i="12"/>
  <c r="AU29" i="12"/>
  <c r="AU25" i="12"/>
  <c r="S35" i="12"/>
  <c r="R35" i="12"/>
  <c r="Q77" i="12"/>
  <c r="R77" i="12" s="1"/>
  <c r="S23" i="12"/>
  <c r="R23" i="12"/>
  <c r="Q65" i="12"/>
  <c r="R65" i="12" s="1"/>
  <c r="R29" i="12"/>
  <c r="S29" i="12"/>
  <c r="Q71" i="12"/>
  <c r="R71" i="12" s="1"/>
  <c r="S27" i="12"/>
  <c r="R27" i="12"/>
  <c r="Q69" i="12"/>
  <c r="R69" i="12" s="1"/>
  <c r="M22" i="12"/>
  <c r="N22" i="12"/>
  <c r="L64" i="12"/>
  <c r="M64" i="12" s="1"/>
  <c r="X26" i="77"/>
  <c r="R26" i="77"/>
  <c r="D94" i="78" s="1"/>
  <c r="D11" i="78"/>
  <c r="E11" i="77"/>
  <c r="CZ22" i="12"/>
  <c r="CY22" i="12"/>
  <c r="CX64" i="12"/>
  <c r="CY64" i="12" s="1"/>
  <c r="CY31" i="12"/>
  <c r="CZ31" i="12"/>
  <c r="CX73" i="12"/>
  <c r="CY73" i="12" s="1"/>
  <c r="CY27" i="12"/>
  <c r="CZ27" i="12"/>
  <c r="CX69" i="12"/>
  <c r="CY69" i="12" s="1"/>
  <c r="CY25" i="12"/>
  <c r="CZ25" i="12"/>
  <c r="CX67" i="12"/>
  <c r="CY67" i="12" s="1"/>
  <c r="N24" i="77"/>
  <c r="I24" i="77"/>
  <c r="O24" i="77" s="1"/>
  <c r="DI31" i="12"/>
  <c r="DJ31" i="12"/>
  <c r="DH73" i="12"/>
  <c r="DI73" i="12" s="1"/>
  <c r="DJ26" i="12"/>
  <c r="DI26" i="12"/>
  <c r="DH68" i="12"/>
  <c r="DI68" i="12" s="1"/>
  <c r="DI37" i="12"/>
  <c r="DJ37" i="12"/>
  <c r="DH79" i="12"/>
  <c r="DI79" i="12" s="1"/>
  <c r="DI36" i="12"/>
  <c r="DJ36" i="12"/>
  <c r="DH78" i="12"/>
  <c r="DI78" i="12" s="1"/>
  <c r="DI27" i="12"/>
  <c r="DJ27" i="12"/>
  <c r="DH69" i="12"/>
  <c r="DI69" i="12" s="1"/>
  <c r="T38" i="77"/>
  <c r="F106" i="78" s="1"/>
  <c r="Q86" i="4"/>
  <c r="U38" i="77" s="1"/>
  <c r="G106" i="78" s="1"/>
  <c r="M37" i="12"/>
  <c r="N37" i="12"/>
  <c r="L79" i="12"/>
  <c r="M79" i="12" s="1"/>
  <c r="M30" i="12"/>
  <c r="N30" i="12"/>
  <c r="M34" i="12"/>
  <c r="N34" i="12"/>
  <c r="L76" i="12"/>
  <c r="M76" i="12" s="1"/>
  <c r="D37" i="82"/>
  <c r="L37" i="82" s="1"/>
  <c r="D42" i="82"/>
  <c r="L42" i="82" s="1"/>
  <c r="J13" i="111"/>
  <c r="J20" i="111" s="1"/>
  <c r="J27" i="111" s="1"/>
  <c r="E16" i="110" s="1"/>
  <c r="H20" i="111"/>
  <c r="H27" i="111" s="1"/>
  <c r="D16" i="110" s="1"/>
  <c r="AY5" i="12"/>
  <c r="AY13" i="12" s="1"/>
  <c r="J76" i="53"/>
  <c r="J77" i="53"/>
  <c r="J75" i="53"/>
  <c r="N34" i="77"/>
  <c r="I34" i="77"/>
  <c r="O34" i="77" s="1"/>
  <c r="DI32" i="12"/>
  <c r="DJ32" i="12"/>
  <c r="DH74" i="12"/>
  <c r="DI74" i="12" s="1"/>
  <c r="BL27" i="12"/>
  <c r="BK27" i="12"/>
  <c r="BJ69" i="12"/>
  <c r="BK69" i="12" s="1"/>
  <c r="M78" i="77"/>
  <c r="R78" i="77"/>
  <c r="BN14" i="12"/>
  <c r="BN9" i="12"/>
  <c r="L71" i="47"/>
  <c r="M64" i="47"/>
  <c r="R77" i="77"/>
  <c r="M77" i="77"/>
  <c r="L68" i="81"/>
  <c r="L88" i="81" s="1"/>
  <c r="K88" i="81"/>
  <c r="L54" i="81"/>
  <c r="L74" i="81" s="1"/>
  <c r="K74" i="81"/>
  <c r="L73" i="50"/>
  <c r="M65" i="50"/>
  <c r="M73" i="50" s="1"/>
  <c r="R25" i="12"/>
  <c r="S25" i="12"/>
  <c r="Q67" i="12"/>
  <c r="R67" i="12" s="1"/>
  <c r="X23" i="77"/>
  <c r="R23" i="77"/>
  <c r="E8" i="77"/>
  <c r="D8" i="78"/>
  <c r="CZ24" i="12"/>
  <c r="CY24" i="12"/>
  <c r="CX66" i="12"/>
  <c r="CY66" i="12" s="1"/>
  <c r="CY36" i="12"/>
  <c r="CZ36" i="12"/>
  <c r="CX78" i="12"/>
  <c r="CY78" i="12" s="1"/>
  <c r="CY29" i="12"/>
  <c r="CZ29" i="12"/>
  <c r="CX71" i="12"/>
  <c r="CY71" i="12" s="1"/>
  <c r="DJ22" i="12"/>
  <c r="DI22" i="12"/>
  <c r="DH64" i="12"/>
  <c r="DI64" i="12" s="1"/>
  <c r="M35" i="12"/>
  <c r="N35" i="12"/>
  <c r="L77" i="12"/>
  <c r="M77" i="12" s="1"/>
  <c r="CN25" i="12"/>
  <c r="CN28" i="12"/>
  <c r="CN29" i="12"/>
  <c r="CN31" i="12"/>
  <c r="CN33" i="12"/>
  <c r="CN34" i="12"/>
  <c r="CN22" i="12"/>
  <c r="CN30" i="12"/>
  <c r="CN32" i="12"/>
  <c r="CN35" i="12"/>
  <c r="CN36" i="12"/>
  <c r="CN23" i="12"/>
  <c r="CN27" i="12"/>
  <c r="CN37" i="12"/>
  <c r="CN24" i="12"/>
  <c r="CN26" i="12"/>
  <c r="CN21" i="12"/>
  <c r="T35" i="77"/>
  <c r="F103" i="78" s="1"/>
  <c r="Q83" i="4"/>
  <c r="U35" i="77" s="1"/>
  <c r="G103" i="78" s="1"/>
  <c r="BL29" i="12"/>
  <c r="BK29" i="12"/>
  <c r="BK32" i="12"/>
  <c r="BL32" i="12"/>
  <c r="BJ74" i="12"/>
  <c r="BK74" i="12" s="1"/>
  <c r="BL34" i="12"/>
  <c r="BK34" i="12"/>
  <c r="BJ76" i="12"/>
  <c r="BK76" i="12" s="1"/>
  <c r="X27" i="77"/>
  <c r="R27" i="77"/>
  <c r="D95" i="78" s="1"/>
  <c r="D12" i="78"/>
  <c r="M30" i="77"/>
  <c r="H30" i="77"/>
  <c r="L58" i="81"/>
  <c r="L78" i="81" s="1"/>
  <c r="K78" i="81"/>
  <c r="L60" i="81"/>
  <c r="L80" i="81" s="1"/>
  <c r="K80" i="81"/>
  <c r="L61" i="81"/>
  <c r="L81" i="81" s="1"/>
  <c r="K81" i="81"/>
  <c r="L66" i="81"/>
  <c r="L86" i="81" s="1"/>
  <c r="K86" i="81"/>
  <c r="M68" i="50"/>
  <c r="M76" i="50" s="1"/>
  <c r="L76" i="50"/>
  <c r="E16" i="50"/>
  <c r="E17" i="50" s="1"/>
  <c r="R33" i="12"/>
  <c r="S33" i="12"/>
  <c r="Q75" i="12"/>
  <c r="R75" i="12" s="1"/>
  <c r="R34" i="12"/>
  <c r="S34" i="12"/>
  <c r="Q76" i="12"/>
  <c r="R76" i="12" s="1"/>
  <c r="R28" i="12"/>
  <c r="S28" i="12"/>
  <c r="Q70" i="12"/>
  <c r="R70" i="12" s="1"/>
  <c r="DB6" i="12"/>
  <c r="J65" i="93"/>
  <c r="J66" i="93" s="1"/>
  <c r="M85" i="77"/>
  <c r="S85" i="77" s="1"/>
  <c r="T39" i="77"/>
  <c r="F107" i="78" s="1"/>
  <c r="Q87" i="4"/>
  <c r="U39" i="77" s="1"/>
  <c r="G107" i="78" s="1"/>
  <c r="K6" i="12"/>
  <c r="M26" i="77"/>
  <c r="H26" i="77"/>
  <c r="CY32" i="12"/>
  <c r="CZ32" i="12"/>
  <c r="CX74" i="12"/>
  <c r="CY74" i="12" s="1"/>
  <c r="CY37" i="12"/>
  <c r="CZ37" i="12"/>
  <c r="CX79" i="12"/>
  <c r="CY79" i="12" s="1"/>
  <c r="CY35" i="12"/>
  <c r="CZ35" i="12"/>
  <c r="CX77" i="12"/>
  <c r="CY77" i="12" s="1"/>
  <c r="CY28" i="12"/>
  <c r="CZ28" i="12"/>
  <c r="CX70" i="12"/>
  <c r="CY70" i="12" s="1"/>
  <c r="P132" i="4"/>
  <c r="Y39" i="77"/>
  <c r="BI14" i="12"/>
  <c r="BI9" i="12"/>
  <c r="DJ34" i="12"/>
  <c r="DI34" i="12"/>
  <c r="DH76" i="12"/>
  <c r="DI76" i="12" s="1"/>
  <c r="M33" i="12"/>
  <c r="N33" i="12"/>
  <c r="L75" i="12"/>
  <c r="M75" i="12" s="1"/>
  <c r="R29" i="77"/>
  <c r="D97" i="78" s="1"/>
  <c r="X29" i="77"/>
  <c r="D14" i="78"/>
  <c r="K99" i="53"/>
  <c r="BK28" i="12"/>
  <c r="BL28" i="12"/>
  <c r="BJ70" i="12"/>
  <c r="BK70" i="12" s="1"/>
  <c r="BL35" i="12"/>
  <c r="BK35" i="12"/>
  <c r="BJ77" i="12"/>
  <c r="BK77" i="12" s="1"/>
  <c r="BL21" i="12"/>
  <c r="BK21" i="12"/>
  <c r="BJ63" i="12"/>
  <c r="BK63" i="12" s="1"/>
  <c r="L77" i="41"/>
  <c r="M72" i="41"/>
  <c r="M77" i="41" s="1"/>
  <c r="M83" i="77"/>
  <c r="S83" i="77" s="1"/>
  <c r="L74" i="21"/>
  <c r="L67" i="81"/>
  <c r="L87" i="81" s="1"/>
  <c r="K87" i="81"/>
  <c r="L57" i="81"/>
  <c r="L77" i="81" s="1"/>
  <c r="K77" i="81"/>
  <c r="L56" i="81"/>
  <c r="L76" i="81" s="1"/>
  <c r="K76" i="81"/>
  <c r="L62" i="81"/>
  <c r="L82" i="81" s="1"/>
  <c r="K82" i="81"/>
  <c r="M67" i="50"/>
  <c r="M75" i="50" s="1"/>
  <c r="L75" i="50"/>
  <c r="R26" i="12"/>
  <c r="S26" i="12"/>
  <c r="Q68" i="12"/>
  <c r="R68" i="12" s="1"/>
  <c r="R37" i="12"/>
  <c r="S37" i="12"/>
  <c r="Q79" i="12"/>
  <c r="R79" i="12" s="1"/>
  <c r="R31" i="12"/>
  <c r="S31" i="12"/>
  <c r="R24" i="12"/>
  <c r="S24" i="12"/>
  <c r="Q66" i="12"/>
  <c r="R66" i="12" s="1"/>
  <c r="M74" i="77"/>
  <c r="R74" i="77"/>
  <c r="M23" i="77"/>
  <c r="H23" i="77"/>
  <c r="CY30" i="12"/>
  <c r="CZ30" i="12"/>
  <c r="CX72" i="12"/>
  <c r="CY72" i="12" s="1"/>
  <c r="CY23" i="12"/>
  <c r="CZ23" i="12"/>
  <c r="CX65" i="12"/>
  <c r="CY65" i="12" s="1"/>
  <c r="CY33" i="12"/>
  <c r="CZ33" i="12"/>
  <c r="S24" i="77"/>
  <c r="E92" i="78" s="1"/>
  <c r="Y24" i="77"/>
  <c r="E9" i="78"/>
  <c r="F9" i="77"/>
  <c r="S32" i="77"/>
  <c r="E100" i="78" s="1"/>
  <c r="Y32" i="77"/>
  <c r="E17" i="78"/>
  <c r="M31" i="12"/>
  <c r="L53" i="12"/>
  <c r="N31" i="12"/>
  <c r="L73" i="12"/>
  <c r="M73" i="12" s="1"/>
  <c r="AJ6" i="12"/>
  <c r="L46" i="44"/>
  <c r="DI29" i="12"/>
  <c r="DJ29" i="12"/>
  <c r="DH71" i="12"/>
  <c r="DI71" i="12" s="1"/>
  <c r="DI35" i="12"/>
  <c r="DJ35" i="12"/>
  <c r="DH77" i="12"/>
  <c r="DI77" i="12" s="1"/>
  <c r="DI23" i="12"/>
  <c r="DJ23" i="12"/>
  <c r="DH65" i="12"/>
  <c r="DI65" i="12" s="1"/>
  <c r="M23" i="12"/>
  <c r="N23" i="12"/>
  <c r="L65" i="12"/>
  <c r="M65" i="12" s="1"/>
  <c r="M26" i="12"/>
  <c r="N26" i="12"/>
  <c r="L68" i="12"/>
  <c r="M68" i="12" s="1"/>
  <c r="M29" i="12"/>
  <c r="N29" i="12"/>
  <c r="L71" i="12"/>
  <c r="M71" i="12" s="1"/>
  <c r="M88" i="77"/>
  <c r="S88" i="77" s="1"/>
  <c r="J35" i="111"/>
  <c r="J41" i="111" s="1"/>
  <c r="J48" i="111" s="1"/>
  <c r="E17" i="110" s="1"/>
  <c r="H41" i="111"/>
  <c r="H48" i="111" s="1"/>
  <c r="D17" i="110" s="1"/>
  <c r="AP22" i="12" l="1"/>
  <c r="L58" i="41"/>
  <c r="J53" i="94"/>
  <c r="CM6" i="12" s="1"/>
  <c r="AY6" i="12"/>
  <c r="AY9" i="12" s="1"/>
  <c r="J65" i="53"/>
  <c r="J100" i="53" s="1"/>
  <c r="K100" i="53" s="1"/>
  <c r="L73" i="47"/>
  <c r="L75" i="47" s="1"/>
  <c r="M66" i="47"/>
  <c r="M73" i="47" s="1"/>
  <c r="AP37" i="12"/>
  <c r="AR37" i="12" s="1"/>
  <c r="BT75" i="12"/>
  <c r="BU75" i="12" s="1"/>
  <c r="BV30" i="12"/>
  <c r="BU30" i="12"/>
  <c r="K75" i="95"/>
  <c r="BU26" i="12"/>
  <c r="BU25" i="12"/>
  <c r="BV25" i="12"/>
  <c r="AP33" i="12"/>
  <c r="AR33" i="12" s="1"/>
  <c r="AP24" i="12"/>
  <c r="AR24" i="12" s="1"/>
  <c r="AP30" i="12"/>
  <c r="AQ30" i="12" s="1"/>
  <c r="AP34" i="12"/>
  <c r="AQ34" i="12" s="1"/>
  <c r="AP47" i="12"/>
  <c r="E47" i="12" s="1"/>
  <c r="AP27" i="12"/>
  <c r="AQ27" i="12" s="1"/>
  <c r="V36" i="12"/>
  <c r="X36" i="12" s="1"/>
  <c r="D95" i="77"/>
  <c r="Q95" i="77" s="1"/>
  <c r="AB39" i="12"/>
  <c r="BU32" i="12"/>
  <c r="L64" i="35"/>
  <c r="AP36" i="12"/>
  <c r="AP78" i="12" s="1"/>
  <c r="AQ78" i="12" s="1"/>
  <c r="AP32" i="12"/>
  <c r="AR32" i="12" s="1"/>
  <c r="AP28" i="12"/>
  <c r="AR28" i="12" s="1"/>
  <c r="AP26" i="12"/>
  <c r="AR26" i="12" s="1"/>
  <c r="AP31" i="12"/>
  <c r="AP73" i="12" s="1"/>
  <c r="AQ73" i="12" s="1"/>
  <c r="N32" i="77"/>
  <c r="T32" i="77" s="1"/>
  <c r="F100" i="78" s="1"/>
  <c r="AP23" i="12"/>
  <c r="AQ23" i="12" s="1"/>
  <c r="AP25" i="12"/>
  <c r="AR25" i="12" s="1"/>
  <c r="AP35" i="12"/>
  <c r="AP77" i="12" s="1"/>
  <c r="AQ77" i="12" s="1"/>
  <c r="AP21" i="12"/>
  <c r="AP63" i="12" s="1"/>
  <c r="AQ63" i="12" s="1"/>
  <c r="V31" i="12"/>
  <c r="V73" i="12" s="1"/>
  <c r="W73" i="12" s="1"/>
  <c r="BV32" i="12"/>
  <c r="BT68" i="12"/>
  <c r="BU68" i="12" s="1"/>
  <c r="K77" i="96"/>
  <c r="BT64" i="12"/>
  <c r="BU64" i="12" s="1"/>
  <c r="L63" i="35"/>
  <c r="L70" i="35" s="1"/>
  <c r="CJ39" i="12"/>
  <c r="AC39" i="12"/>
  <c r="AC16" i="12" s="1"/>
  <c r="D59" i="78" s="1"/>
  <c r="BV34" i="12"/>
  <c r="BU22" i="12"/>
  <c r="AB82" i="12"/>
  <c r="AB83" i="12" s="1"/>
  <c r="AB17" i="12" s="1"/>
  <c r="E59" i="78" s="1"/>
  <c r="BV29" i="12"/>
  <c r="BT71" i="12"/>
  <c r="BU71" i="12" s="1"/>
  <c r="BU29" i="12"/>
  <c r="BT63" i="12"/>
  <c r="BU63" i="12" s="1"/>
  <c r="Q80" i="4"/>
  <c r="U31" i="77" s="1"/>
  <c r="G99" i="78" s="1"/>
  <c r="T31" i="77"/>
  <c r="F99" i="78" s="1"/>
  <c r="BU21" i="12"/>
  <c r="V22" i="12"/>
  <c r="W22" i="12" s="1"/>
  <c r="BU36" i="12"/>
  <c r="BV36" i="12"/>
  <c r="BU37" i="12"/>
  <c r="BV37" i="12"/>
  <c r="CU25" i="12"/>
  <c r="V34" i="12"/>
  <c r="X34" i="12" s="1"/>
  <c r="BU34" i="12"/>
  <c r="BU33" i="12"/>
  <c r="L57" i="47"/>
  <c r="V25" i="12"/>
  <c r="W25" i="12" s="1"/>
  <c r="V35" i="12"/>
  <c r="V77" i="12" s="1"/>
  <c r="W77" i="12" s="1"/>
  <c r="CE39" i="12"/>
  <c r="V28" i="12"/>
  <c r="V37" i="12"/>
  <c r="W37" i="12" s="1"/>
  <c r="V65" i="12"/>
  <c r="W65" i="12" s="1"/>
  <c r="CK39" i="12"/>
  <c r="CK16" i="12" s="1"/>
  <c r="D71" i="78" s="1"/>
  <c r="M56" i="35"/>
  <c r="M65" i="35" s="1"/>
  <c r="M70" i="35" s="1"/>
  <c r="V33" i="12"/>
  <c r="V75" i="12" s="1"/>
  <c r="W75" i="12" s="1"/>
  <c r="V24" i="12"/>
  <c r="X24" i="12" s="1"/>
  <c r="V21" i="12"/>
  <c r="V63" i="12" s="1"/>
  <c r="W63" i="12" s="1"/>
  <c r="V30" i="12"/>
  <c r="X30" i="12" s="1"/>
  <c r="V29" i="12"/>
  <c r="V71" i="12" s="1"/>
  <c r="W71" i="12" s="1"/>
  <c r="X23" i="12"/>
  <c r="V32" i="12"/>
  <c r="W32" i="12" s="1"/>
  <c r="V51" i="12"/>
  <c r="V70" i="12" s="1"/>
  <c r="W70" i="12" s="1"/>
  <c r="V27" i="12"/>
  <c r="V26" i="12"/>
  <c r="W26" i="12" s="1"/>
  <c r="AL39" i="12"/>
  <c r="BT73" i="12"/>
  <c r="BU73" i="12" s="1"/>
  <c r="BU31" i="12"/>
  <c r="BV35" i="12"/>
  <c r="BT77" i="12"/>
  <c r="BU77" i="12" s="1"/>
  <c r="BV31" i="12"/>
  <c r="BT65" i="12"/>
  <c r="BU65" i="12" s="1"/>
  <c r="BV23" i="12"/>
  <c r="BU23" i="12"/>
  <c r="CE82" i="12"/>
  <c r="CE83" i="12" s="1"/>
  <c r="CE17" i="12" s="1"/>
  <c r="E70" i="78" s="1"/>
  <c r="CJ82" i="12"/>
  <c r="CJ16" i="12" s="1"/>
  <c r="C71" i="78" s="1"/>
  <c r="L76" i="82"/>
  <c r="L82" i="82" s="1"/>
  <c r="L56" i="50"/>
  <c r="G93" i="50" s="1"/>
  <c r="AT6" i="12"/>
  <c r="AT9" i="12" s="1"/>
  <c r="BZ82" i="12"/>
  <c r="BZ16" i="12" s="1"/>
  <c r="C69" i="78" s="1"/>
  <c r="L72" i="82"/>
  <c r="L75" i="82"/>
  <c r="M75" i="82" s="1"/>
  <c r="M81" i="82" s="1"/>
  <c r="L77" i="82"/>
  <c r="L83" i="82" s="1"/>
  <c r="CT36" i="12"/>
  <c r="CA39" i="12"/>
  <c r="CA16" i="12" s="1"/>
  <c r="D69" i="78" s="1"/>
  <c r="CF39" i="12"/>
  <c r="CF16" i="12" s="1"/>
  <c r="D70" i="78" s="1"/>
  <c r="U6" i="12"/>
  <c r="L47" i="35"/>
  <c r="CS69" i="12"/>
  <c r="CT69" i="12" s="1"/>
  <c r="P106" i="4"/>
  <c r="Y35" i="77"/>
  <c r="J74" i="94"/>
  <c r="K74" i="94" s="1"/>
  <c r="K78" i="94" s="1"/>
  <c r="BZ39" i="12"/>
  <c r="BP82" i="12"/>
  <c r="BP16" i="12" s="1"/>
  <c r="C67" i="78" s="1"/>
  <c r="DN39" i="12"/>
  <c r="BT69" i="12"/>
  <c r="BU69" i="12" s="1"/>
  <c r="BU27" i="12"/>
  <c r="BV27" i="12"/>
  <c r="Y38" i="77"/>
  <c r="P131" i="4"/>
  <c r="L44" i="82"/>
  <c r="L46" i="82" s="1"/>
  <c r="CW6" i="12" s="1"/>
  <c r="BP39" i="12"/>
  <c r="BQ39" i="12"/>
  <c r="BQ17" i="12" s="1"/>
  <c r="F67" i="78" s="1"/>
  <c r="BU24" i="12"/>
  <c r="BT66" i="12"/>
  <c r="BU66" i="12" s="1"/>
  <c r="BV24" i="12"/>
  <c r="P130" i="4"/>
  <c r="Y37" i="77"/>
  <c r="DO39" i="12"/>
  <c r="CT28" i="12"/>
  <c r="AL82" i="12"/>
  <c r="AL83" i="12" s="1"/>
  <c r="AL17" i="12" s="1"/>
  <c r="AM39" i="12"/>
  <c r="E54" i="12"/>
  <c r="D82" i="77" s="1"/>
  <c r="K82" i="77" s="1"/>
  <c r="Q82" i="77" s="1"/>
  <c r="DD39" i="12"/>
  <c r="DE39" i="12"/>
  <c r="CT33" i="12"/>
  <c r="CU35" i="12"/>
  <c r="CU36" i="12"/>
  <c r="BF82" i="12"/>
  <c r="BG39" i="12"/>
  <c r="BF39" i="12"/>
  <c r="E18" i="78"/>
  <c r="S33" i="77"/>
  <c r="E101" i="78" s="1"/>
  <c r="Y33" i="77"/>
  <c r="N33" i="77"/>
  <c r="I33" i="77"/>
  <c r="O33" i="77" s="1"/>
  <c r="CU28" i="12"/>
  <c r="CZ39" i="12"/>
  <c r="CS75" i="12"/>
  <c r="CT75" i="12" s="1"/>
  <c r="R39" i="12"/>
  <c r="R82" i="12"/>
  <c r="CU34" i="12"/>
  <c r="CY39" i="12"/>
  <c r="CS77" i="12"/>
  <c r="CT77" i="12" s="1"/>
  <c r="CS76" i="12"/>
  <c r="CT76" i="12" s="1"/>
  <c r="CY82" i="12"/>
  <c r="S39" i="12"/>
  <c r="CT32" i="12"/>
  <c r="CU37" i="12"/>
  <c r="CS64" i="12"/>
  <c r="CT64" i="12" s="1"/>
  <c r="CU29" i="12"/>
  <c r="CU23" i="12"/>
  <c r="CU32" i="12"/>
  <c r="CU22" i="12"/>
  <c r="CS67" i="12"/>
  <c r="CT67" i="12" s="1"/>
  <c r="CT37" i="12"/>
  <c r="CT29" i="12"/>
  <c r="CS63" i="12"/>
  <c r="CT63" i="12" s="1"/>
  <c r="CT23" i="12"/>
  <c r="CU27" i="12"/>
  <c r="CU21" i="12"/>
  <c r="CS66" i="12"/>
  <c r="CT66" i="12" s="1"/>
  <c r="CU24" i="12"/>
  <c r="L90" i="81"/>
  <c r="S74" i="77"/>
  <c r="N74" i="77"/>
  <c r="N83" i="77"/>
  <c r="T83" i="77" s="1"/>
  <c r="N26" i="77"/>
  <c r="I26" i="77"/>
  <c r="O26" i="77" s="1"/>
  <c r="CO21" i="12"/>
  <c r="CP21" i="12"/>
  <c r="CN63" i="12"/>
  <c r="CO63" i="12" s="1"/>
  <c r="M78" i="50"/>
  <c r="K77" i="53"/>
  <c r="K84" i="53" s="1"/>
  <c r="J84" i="53"/>
  <c r="Z24" i="77"/>
  <c r="T24" i="77"/>
  <c r="F92" i="78" s="1"/>
  <c r="F9" i="78"/>
  <c r="G9" i="77"/>
  <c r="AV25" i="12"/>
  <c r="AW25" i="12"/>
  <c r="AU67" i="12"/>
  <c r="AV67" i="12" s="1"/>
  <c r="AV31" i="12"/>
  <c r="AW31" i="12"/>
  <c r="AU73" i="12"/>
  <c r="AV73" i="12" s="1"/>
  <c r="AV37" i="12"/>
  <c r="AW37" i="12"/>
  <c r="AU79" i="12"/>
  <c r="AV79" i="12" s="1"/>
  <c r="AV32" i="12"/>
  <c r="AW32" i="12"/>
  <c r="AU74" i="12"/>
  <c r="AV74" i="12" s="1"/>
  <c r="AV24" i="12"/>
  <c r="AW24" i="12"/>
  <c r="W36" i="12"/>
  <c r="M39" i="12"/>
  <c r="Z28" i="77"/>
  <c r="T28" i="77"/>
  <c r="F96" i="78" s="1"/>
  <c r="F13" i="78"/>
  <c r="F4" i="78"/>
  <c r="F51" i="78" s="1"/>
  <c r="AG23" i="12"/>
  <c r="AH23" i="12"/>
  <c r="AF65" i="12"/>
  <c r="AG65" i="12" s="1"/>
  <c r="AG34" i="12"/>
  <c r="AH34" i="12"/>
  <c r="AF76" i="12"/>
  <c r="AG76" i="12" s="1"/>
  <c r="AH25" i="12"/>
  <c r="AG25" i="12"/>
  <c r="AF67" i="12"/>
  <c r="AG67" i="12" s="1"/>
  <c r="AH26" i="12"/>
  <c r="AG26" i="12"/>
  <c r="AF68" i="12"/>
  <c r="AG68" i="12" s="1"/>
  <c r="N25" i="77"/>
  <c r="I25" i="77"/>
  <c r="O25" i="77" s="1"/>
  <c r="I27" i="77"/>
  <c r="O27" i="77" s="1"/>
  <c r="N27" i="77"/>
  <c r="L78" i="41"/>
  <c r="N29" i="77"/>
  <c r="I29" i="77"/>
  <c r="O29" i="77" s="1"/>
  <c r="N86" i="77"/>
  <c r="T86" i="77" s="1"/>
  <c r="M78" i="82"/>
  <c r="M84" i="82" s="1"/>
  <c r="L84" i="82"/>
  <c r="I23" i="77"/>
  <c r="O23" i="77" s="1"/>
  <c r="N23" i="77"/>
  <c r="AP74" i="12"/>
  <c r="AQ74" i="12" s="1"/>
  <c r="BK82" i="12"/>
  <c r="S26" i="77"/>
  <c r="E94" i="78" s="1"/>
  <c r="Y26" i="77"/>
  <c r="F11" i="77"/>
  <c r="E11" i="78"/>
  <c r="CP26" i="12"/>
  <c r="CO26" i="12"/>
  <c r="CN68" i="12"/>
  <c r="CO68" i="12" s="1"/>
  <c r="CP23" i="12"/>
  <c r="CO23" i="12"/>
  <c r="CN65" i="12"/>
  <c r="CO65" i="12" s="1"/>
  <c r="CP30" i="12"/>
  <c r="CO30" i="12"/>
  <c r="CN72" i="12"/>
  <c r="CO72" i="12" s="1"/>
  <c r="CP31" i="12"/>
  <c r="CO31" i="12"/>
  <c r="CN73" i="12"/>
  <c r="CO73" i="12" s="1"/>
  <c r="L78" i="50"/>
  <c r="M71" i="47"/>
  <c r="U34" i="77"/>
  <c r="G102" i="78" s="1"/>
  <c r="AA34" i="77"/>
  <c r="G19" i="78"/>
  <c r="J81" i="53"/>
  <c r="K81" i="53"/>
  <c r="E51" i="110"/>
  <c r="E45" i="110"/>
  <c r="E42" i="110"/>
  <c r="E46" i="110"/>
  <c r="E53" i="110"/>
  <c r="E44" i="110"/>
  <c r="E59" i="110"/>
  <c r="E49" i="110"/>
  <c r="E56" i="110"/>
  <c r="E48" i="110"/>
  <c r="E50" i="110"/>
  <c r="E52" i="110"/>
  <c r="E57" i="110"/>
  <c r="E58" i="110"/>
  <c r="E21" i="110"/>
  <c r="E47" i="110"/>
  <c r="E55" i="110"/>
  <c r="E54" i="110"/>
  <c r="E43" i="110"/>
  <c r="AA32" i="77"/>
  <c r="U32" i="77"/>
  <c r="G100" i="78" s="1"/>
  <c r="G17" i="78"/>
  <c r="AV29" i="12"/>
  <c r="AW29" i="12"/>
  <c r="AU71" i="12"/>
  <c r="AV71" i="12" s="1"/>
  <c r="AV36" i="12"/>
  <c r="AW36" i="12"/>
  <c r="AU78" i="12"/>
  <c r="AV78" i="12" s="1"/>
  <c r="AV30" i="12"/>
  <c r="AW30" i="12"/>
  <c r="AU72" i="12"/>
  <c r="AV72" i="12" s="1"/>
  <c r="AW28" i="12"/>
  <c r="AV28" i="12"/>
  <c r="AU70" i="12"/>
  <c r="AV70" i="12" s="1"/>
  <c r="AV21" i="12"/>
  <c r="AW21" i="12"/>
  <c r="AU63" i="12"/>
  <c r="AV63" i="12" s="1"/>
  <c r="AE6" i="12"/>
  <c r="L61" i="41"/>
  <c r="L89" i="41" s="1"/>
  <c r="AG22" i="12"/>
  <c r="AH22" i="12"/>
  <c r="AF64" i="12"/>
  <c r="AG64" i="12" s="1"/>
  <c r="AG36" i="12"/>
  <c r="AH36" i="12"/>
  <c r="AF78" i="12"/>
  <c r="AG78" i="12" s="1"/>
  <c r="AG32" i="12"/>
  <c r="AH32" i="12"/>
  <c r="AF74" i="12"/>
  <c r="AG74" i="12" s="1"/>
  <c r="AH35" i="12"/>
  <c r="AG35" i="12"/>
  <c r="AF77" i="12"/>
  <c r="AG77" i="12" s="1"/>
  <c r="AG24" i="12"/>
  <c r="AH24" i="12"/>
  <c r="AF66" i="12"/>
  <c r="AG66" i="12" s="1"/>
  <c r="S25" i="77"/>
  <c r="E93" i="78" s="1"/>
  <c r="Y25" i="77"/>
  <c r="E10" i="78"/>
  <c r="F10" i="77"/>
  <c r="L84" i="77"/>
  <c r="R84" i="77" s="1"/>
  <c r="Y27" i="77"/>
  <c r="S27" i="77"/>
  <c r="E95" i="78" s="1"/>
  <c r="E12" i="78"/>
  <c r="D80" i="77"/>
  <c r="K80" i="77" s="1"/>
  <c r="N73" i="77"/>
  <c r="S73" i="77"/>
  <c r="S29" i="77"/>
  <c r="E97" i="78" s="1"/>
  <c r="Y29" i="77"/>
  <c r="E14" i="78"/>
  <c r="AO14" i="12"/>
  <c r="AO9" i="12"/>
  <c r="AP75" i="12"/>
  <c r="AQ75" i="12" s="1"/>
  <c r="S30" i="77"/>
  <c r="E98" i="78" s="1"/>
  <c r="Y30" i="77"/>
  <c r="E15" i="78"/>
  <c r="CP32" i="12"/>
  <c r="CO32" i="12"/>
  <c r="CN74" i="12"/>
  <c r="CO74" i="12" s="1"/>
  <c r="CO25" i="12"/>
  <c r="CP25" i="12"/>
  <c r="CN67" i="12"/>
  <c r="CO67" i="12" s="1"/>
  <c r="E53" i="12"/>
  <c r="L72" i="12"/>
  <c r="M72" i="12" s="1"/>
  <c r="M82" i="12" s="1"/>
  <c r="Y23" i="77"/>
  <c r="S23" i="77"/>
  <c r="F8" i="77"/>
  <c r="E8" i="78"/>
  <c r="AQ21" i="12"/>
  <c r="AQ29" i="12"/>
  <c r="AR29" i="12"/>
  <c r="AP71" i="12"/>
  <c r="AQ71" i="12" s="1"/>
  <c r="BK39" i="12"/>
  <c r="N85" i="77"/>
  <c r="T85" i="77" s="1"/>
  <c r="DB14" i="12"/>
  <c r="DD81" i="12" s="1"/>
  <c r="DD82" i="12" s="1"/>
  <c r="DB9" i="12"/>
  <c r="CP24" i="12"/>
  <c r="CO24" i="12"/>
  <c r="CN66" i="12"/>
  <c r="CO66" i="12" s="1"/>
  <c r="CP36" i="12"/>
  <c r="CO36" i="12"/>
  <c r="CN78" i="12"/>
  <c r="CO78" i="12" s="1"/>
  <c r="CO22" i="12"/>
  <c r="CP22" i="12"/>
  <c r="CN64" i="12"/>
  <c r="CO64" i="12" s="1"/>
  <c r="CO29" i="12"/>
  <c r="CP29" i="12"/>
  <c r="CN71" i="12"/>
  <c r="CO71" i="12" s="1"/>
  <c r="R40" i="77"/>
  <c r="D91" i="78"/>
  <c r="K90" i="81"/>
  <c r="N77" i="77"/>
  <c r="S77" i="77"/>
  <c r="Z34" i="77"/>
  <c r="T34" i="77"/>
  <c r="F102" i="78" s="1"/>
  <c r="F19" i="78"/>
  <c r="E16" i="53"/>
  <c r="E17" i="53" s="1"/>
  <c r="J83" i="53"/>
  <c r="K76" i="53"/>
  <c r="K83" i="53" s="1"/>
  <c r="AW23" i="12"/>
  <c r="AV23" i="12"/>
  <c r="AU65" i="12"/>
  <c r="AV65" i="12" s="1"/>
  <c r="AW34" i="12"/>
  <c r="AV34" i="12"/>
  <c r="AU76" i="12"/>
  <c r="AV76" i="12" s="1"/>
  <c r="AV26" i="12"/>
  <c r="AW26" i="12"/>
  <c r="AU68" i="12"/>
  <c r="AV68" i="12" s="1"/>
  <c r="AW22" i="12"/>
  <c r="AV22" i="12"/>
  <c r="AU64" i="12"/>
  <c r="AV64" i="12" s="1"/>
  <c r="P14" i="12"/>
  <c r="P9" i="12"/>
  <c r="DJ39" i="12"/>
  <c r="C138" i="78"/>
  <c r="C108" i="78"/>
  <c r="AG33" i="12"/>
  <c r="AH33" i="12"/>
  <c r="AF75" i="12"/>
  <c r="AG75" i="12" s="1"/>
  <c r="AG28" i="12"/>
  <c r="AH28" i="12"/>
  <c r="AF70" i="12"/>
  <c r="AG70" i="12" s="1"/>
  <c r="AH31" i="12"/>
  <c r="AG31" i="12"/>
  <c r="AF73" i="12"/>
  <c r="AG73" i="12" s="1"/>
  <c r="AH30" i="12"/>
  <c r="AG30" i="12"/>
  <c r="AF72" i="12"/>
  <c r="AG72" i="12" s="1"/>
  <c r="M78" i="41"/>
  <c r="N76" i="77"/>
  <c r="S76" i="77"/>
  <c r="CO27" i="12"/>
  <c r="CP27" i="12"/>
  <c r="CN69" i="12"/>
  <c r="CO69" i="12" s="1"/>
  <c r="CO33" i="12"/>
  <c r="CP33" i="12"/>
  <c r="CN75" i="12"/>
  <c r="CO75" i="12" s="1"/>
  <c r="N88" i="77"/>
  <c r="T88" i="77" s="1"/>
  <c r="AJ14" i="12"/>
  <c r="AJ9" i="12"/>
  <c r="AQ22" i="12"/>
  <c r="AR22" i="12"/>
  <c r="AP64" i="12"/>
  <c r="AQ64" i="12" s="1"/>
  <c r="BL39" i="12"/>
  <c r="Q132" i="4"/>
  <c r="AA39" i="77" s="1"/>
  <c r="Z39" i="77"/>
  <c r="K14" i="12"/>
  <c r="K9" i="12"/>
  <c r="N30" i="77"/>
  <c r="I30" i="77"/>
  <c r="O30" i="77" s="1"/>
  <c r="CO37" i="12"/>
  <c r="CP37" i="12"/>
  <c r="CN79" i="12"/>
  <c r="CO79" i="12" s="1"/>
  <c r="CP35" i="12"/>
  <c r="CO35" i="12"/>
  <c r="CN77" i="12"/>
  <c r="CO77" i="12" s="1"/>
  <c r="CP34" i="12"/>
  <c r="CO34" i="12"/>
  <c r="CN76" i="12"/>
  <c r="CO76" i="12" s="1"/>
  <c r="CP28" i="12"/>
  <c r="CO28" i="12"/>
  <c r="CN70" i="12"/>
  <c r="CO70" i="12" s="1"/>
  <c r="X40" i="77"/>
  <c r="D139" i="78" s="1"/>
  <c r="N78" i="77"/>
  <c r="S78" i="77"/>
  <c r="J82" i="53"/>
  <c r="K75" i="53"/>
  <c r="K82" i="53" s="1"/>
  <c r="AZ26" i="12"/>
  <c r="AZ30" i="12"/>
  <c r="AZ21" i="12"/>
  <c r="AZ31" i="12"/>
  <c r="AZ34" i="12"/>
  <c r="AZ37" i="12"/>
  <c r="AZ22" i="12"/>
  <c r="AZ28" i="12"/>
  <c r="AZ29" i="12"/>
  <c r="AZ32" i="12"/>
  <c r="AZ33" i="12"/>
  <c r="AZ35" i="12"/>
  <c r="AZ27" i="12"/>
  <c r="AZ25" i="12"/>
  <c r="AZ59" i="12"/>
  <c r="AZ36" i="12"/>
  <c r="AZ24" i="12"/>
  <c r="AZ23" i="12"/>
  <c r="U24" i="77"/>
  <c r="G92" i="78" s="1"/>
  <c r="AA24" i="77"/>
  <c r="H9" i="77"/>
  <c r="G9" i="78"/>
  <c r="AV27" i="12"/>
  <c r="AW27" i="12"/>
  <c r="AU69" i="12"/>
  <c r="AV69" i="12" s="1"/>
  <c r="AU66" i="12"/>
  <c r="AV66" i="12" s="1"/>
  <c r="AV33" i="12"/>
  <c r="AW33" i="12"/>
  <c r="AU75" i="12"/>
  <c r="AV75" i="12" s="1"/>
  <c r="AV35" i="12"/>
  <c r="AW35" i="12"/>
  <c r="AU77" i="12"/>
  <c r="AV77" i="12" s="1"/>
  <c r="N39" i="12"/>
  <c r="DI39" i="12"/>
  <c r="U28" i="77"/>
  <c r="G96" i="78" s="1"/>
  <c r="AA28" i="77"/>
  <c r="G4" i="78"/>
  <c r="G51" i="78" s="1"/>
  <c r="G13" i="78"/>
  <c r="E44" i="12"/>
  <c r="AF63" i="12"/>
  <c r="AG63" i="12" s="1"/>
  <c r="AH37" i="12"/>
  <c r="AG37" i="12"/>
  <c r="AF79" i="12"/>
  <c r="AG79" i="12" s="1"/>
  <c r="AG29" i="12"/>
  <c r="AH29" i="12"/>
  <c r="AF71" i="12"/>
  <c r="AG71" i="12" s="1"/>
  <c r="AG27" i="12"/>
  <c r="AH27" i="12"/>
  <c r="AF69" i="12"/>
  <c r="AG69" i="12" s="1"/>
  <c r="DL14" i="12"/>
  <c r="DN81" i="12" s="1"/>
  <c r="DN82" i="12" s="1"/>
  <c r="DL9" i="12"/>
  <c r="DG14" i="12"/>
  <c r="DI81" i="12" s="1"/>
  <c r="DI82" i="12" s="1"/>
  <c r="DG9" i="12"/>
  <c r="AY14" i="12" l="1"/>
  <c r="M75" i="47"/>
  <c r="M68" i="47"/>
  <c r="AR31" i="12"/>
  <c r="J57" i="94"/>
  <c r="AQ37" i="12"/>
  <c r="E51" i="12"/>
  <c r="D79" i="77" s="1"/>
  <c r="K79" i="77" s="1"/>
  <c r="AR21" i="12"/>
  <c r="AP79" i="12"/>
  <c r="AQ79" i="12" s="1"/>
  <c r="AQ33" i="12"/>
  <c r="X31" i="12"/>
  <c r="AR23" i="12"/>
  <c r="AP72" i="12"/>
  <c r="AQ72" i="12" s="1"/>
  <c r="AQ26" i="12"/>
  <c r="AP66" i="12"/>
  <c r="AQ66" i="12" s="1"/>
  <c r="CJ83" i="12"/>
  <c r="CJ17" i="12" s="1"/>
  <c r="E71" i="78" s="1"/>
  <c r="AQ24" i="12"/>
  <c r="AP70" i="12"/>
  <c r="AQ70" i="12" s="1"/>
  <c r="AP69" i="12"/>
  <c r="AQ69" i="12" s="1"/>
  <c r="AQ28" i="12"/>
  <c r="AR27" i="12"/>
  <c r="AP65" i="12"/>
  <c r="AQ65" i="12" s="1"/>
  <c r="W31" i="12"/>
  <c r="X21" i="12"/>
  <c r="AP76" i="12"/>
  <c r="AQ76" i="12" s="1"/>
  <c r="AR30" i="12"/>
  <c r="AQ25" i="12"/>
  <c r="AR34" i="12"/>
  <c r="AP68" i="12"/>
  <c r="AQ68" i="12" s="1"/>
  <c r="AQ36" i="12"/>
  <c r="AR35" i="12"/>
  <c r="AQ31" i="12"/>
  <c r="AR36" i="12"/>
  <c r="V78" i="12"/>
  <c r="W78" i="12" s="1"/>
  <c r="X27" i="12"/>
  <c r="E27" i="12"/>
  <c r="D54" i="77" s="1"/>
  <c r="K54" i="77" s="1"/>
  <c r="Q54" i="77" s="1"/>
  <c r="W28" i="12"/>
  <c r="E28" i="12"/>
  <c r="I28" i="12" s="1"/>
  <c r="W95" i="77"/>
  <c r="R95" i="77"/>
  <c r="X95" i="77" s="1"/>
  <c r="BQ16" i="12"/>
  <c r="D67" i="78" s="1"/>
  <c r="BP83" i="12"/>
  <c r="BP17" i="12" s="1"/>
  <c r="E67" i="78" s="1"/>
  <c r="X28" i="12"/>
  <c r="W33" i="12"/>
  <c r="Z32" i="77"/>
  <c r="AP67" i="12"/>
  <c r="AQ67" i="12" s="1"/>
  <c r="AQ32" i="12"/>
  <c r="CE16" i="12"/>
  <c r="C70" i="78" s="1"/>
  <c r="E22" i="12"/>
  <c r="F22" i="12" s="1"/>
  <c r="F17" i="78"/>
  <c r="AQ35" i="12"/>
  <c r="E30" i="12"/>
  <c r="I30" i="12" s="1"/>
  <c r="W34" i="12"/>
  <c r="AB16" i="12"/>
  <c r="C59" i="78" s="1"/>
  <c r="AC17" i="12"/>
  <c r="F59" i="78" s="1"/>
  <c r="V72" i="12"/>
  <c r="W72" i="12" s="1"/>
  <c r="V76" i="12"/>
  <c r="W76" i="12" s="1"/>
  <c r="W29" i="12"/>
  <c r="V74" i="12"/>
  <c r="W74" i="12" s="1"/>
  <c r="CK17" i="12"/>
  <c r="F71" i="78" s="1"/>
  <c r="E32" i="12"/>
  <c r="D59" i="77" s="1"/>
  <c r="K59" i="77" s="1"/>
  <c r="Q59" i="77" s="1"/>
  <c r="L81" i="82"/>
  <c r="L85" i="82" s="1"/>
  <c r="X26" i="12"/>
  <c r="J78" i="94"/>
  <c r="V69" i="12"/>
  <c r="W69" i="12" s="1"/>
  <c r="X35" i="12"/>
  <c r="V67" i="12"/>
  <c r="W67" i="12" s="1"/>
  <c r="W21" i="12"/>
  <c r="BV39" i="12"/>
  <c r="BV17" i="12" s="1"/>
  <c r="F68" i="78" s="1"/>
  <c r="E35" i="12"/>
  <c r="F35" i="12" s="1"/>
  <c r="V66" i="12"/>
  <c r="W66" i="12" s="1"/>
  <c r="W35" i="12"/>
  <c r="X22" i="12"/>
  <c r="V64" i="12"/>
  <c r="W64" i="12" s="1"/>
  <c r="M76" i="82"/>
  <c r="M82" i="82" s="1"/>
  <c r="X29" i="12"/>
  <c r="X33" i="12"/>
  <c r="BZ83" i="12"/>
  <c r="BZ17" i="12" s="1"/>
  <c r="E69" i="78" s="1"/>
  <c r="X37" i="12"/>
  <c r="V79" i="12"/>
  <c r="W79" i="12" s="1"/>
  <c r="E25" i="12"/>
  <c r="G25" i="12" s="1"/>
  <c r="W27" i="12"/>
  <c r="W24" i="12"/>
  <c r="X25" i="12"/>
  <c r="V68" i="12"/>
  <c r="W68" i="12" s="1"/>
  <c r="W30" i="12"/>
  <c r="X32" i="12"/>
  <c r="E21" i="12"/>
  <c r="D48" i="77" s="1"/>
  <c r="K48" i="77" s="1"/>
  <c r="M77" i="82"/>
  <c r="M83" i="82" s="1"/>
  <c r="CA17" i="12"/>
  <c r="F69" i="78" s="1"/>
  <c r="AT14" i="12"/>
  <c r="U14" i="12"/>
  <c r="U9" i="12"/>
  <c r="CF17" i="12"/>
  <c r="F70" i="78" s="1"/>
  <c r="BU39" i="12"/>
  <c r="BU82" i="12"/>
  <c r="BU16" i="12" s="1"/>
  <c r="C68" i="78" s="1"/>
  <c r="L64" i="82"/>
  <c r="L67" i="82"/>
  <c r="Q130" i="4"/>
  <c r="AA37" i="77" s="1"/>
  <c r="Z37" i="77"/>
  <c r="Q131" i="4"/>
  <c r="AA38" i="77" s="1"/>
  <c r="Z38" i="77"/>
  <c r="DO17" i="12"/>
  <c r="F77" i="78" s="1"/>
  <c r="Q106" i="4"/>
  <c r="AA35" i="77" s="1"/>
  <c r="Z35" i="77"/>
  <c r="AL16" i="12"/>
  <c r="C61" i="78" s="1"/>
  <c r="R83" i="12"/>
  <c r="R17" i="12" s="1"/>
  <c r="E57" i="78" s="1"/>
  <c r="R16" i="12"/>
  <c r="C57" i="78" s="1"/>
  <c r="S17" i="12"/>
  <c r="F57" i="78" s="1"/>
  <c r="DN83" i="12"/>
  <c r="DN17" i="12" s="1"/>
  <c r="E77" i="78" s="1"/>
  <c r="DN16" i="12"/>
  <c r="C77" i="78" s="1"/>
  <c r="DO16" i="12"/>
  <c r="D77" i="78" s="1"/>
  <c r="DI83" i="12"/>
  <c r="DI17" i="12" s="1"/>
  <c r="E76" i="78" s="1"/>
  <c r="DI16" i="12"/>
  <c r="C76" i="78" s="1"/>
  <c r="DJ17" i="12"/>
  <c r="F76" i="78" s="1"/>
  <c r="DJ16" i="12"/>
  <c r="D76" i="78" s="1"/>
  <c r="DE16" i="12"/>
  <c r="D75" i="78" s="1"/>
  <c r="DE17" i="12"/>
  <c r="F75" i="78" s="1"/>
  <c r="DD83" i="12"/>
  <c r="DD17" i="12" s="1"/>
  <c r="E75" i="78" s="1"/>
  <c r="DD16" i="12"/>
  <c r="C75" i="78" s="1"/>
  <c r="CY83" i="12"/>
  <c r="CY17" i="12" s="1"/>
  <c r="CY16" i="12"/>
  <c r="BK83" i="12"/>
  <c r="BK17" i="12" s="1"/>
  <c r="E66" i="78" s="1"/>
  <c r="BK16" i="12"/>
  <c r="C66" i="78" s="1"/>
  <c r="BL17" i="12"/>
  <c r="F66" i="78" s="1"/>
  <c r="BL16" i="12"/>
  <c r="D66" i="78" s="1"/>
  <c r="BF83" i="12"/>
  <c r="BF17" i="12" s="1"/>
  <c r="E65" i="78" s="1"/>
  <c r="BF16" i="12"/>
  <c r="C65" i="78" s="1"/>
  <c r="BG16" i="12"/>
  <c r="D65" i="78" s="1"/>
  <c r="BG17" i="12"/>
  <c r="F65" i="78" s="1"/>
  <c r="E61" i="78"/>
  <c r="AM17" i="12"/>
  <c r="F61" i="78" s="1"/>
  <c r="AM16" i="12"/>
  <c r="D61" i="78" s="1"/>
  <c r="S16" i="12"/>
  <c r="D57" i="78" s="1"/>
  <c r="AA33" i="77"/>
  <c r="G18" i="78"/>
  <c r="U33" i="77"/>
  <c r="G101" i="78" s="1"/>
  <c r="AH39" i="12"/>
  <c r="F18" i="78"/>
  <c r="T33" i="77"/>
  <c r="F101" i="78" s="1"/>
  <c r="Z33" i="77"/>
  <c r="K85" i="53"/>
  <c r="AG39" i="12"/>
  <c r="CU39" i="12"/>
  <c r="CT39" i="12"/>
  <c r="CT82" i="12"/>
  <c r="BB26" i="12"/>
  <c r="BA26" i="12"/>
  <c r="AZ68" i="12"/>
  <c r="BA68" i="12" s="1"/>
  <c r="E26" i="12"/>
  <c r="O73" i="77"/>
  <c r="U73" i="77" s="1"/>
  <c r="T73" i="77"/>
  <c r="AV39" i="12"/>
  <c r="CW14" i="12"/>
  <c r="CZ16" i="12" s="1"/>
  <c r="CW9" i="12"/>
  <c r="U26" i="77"/>
  <c r="G94" i="78" s="1"/>
  <c r="AA26" i="77"/>
  <c r="H11" i="77"/>
  <c r="G11" i="78"/>
  <c r="O83" i="77"/>
  <c r="U83" i="77" s="1"/>
  <c r="AG82" i="12"/>
  <c r="N16" i="12"/>
  <c r="D56" i="78" s="1"/>
  <c r="N17" i="12"/>
  <c r="F56" i="78" s="1"/>
  <c r="BA36" i="12"/>
  <c r="BB36" i="12"/>
  <c r="H36" i="12" s="1"/>
  <c r="E36" i="12"/>
  <c r="BB35" i="12"/>
  <c r="BA35" i="12"/>
  <c r="AZ77" i="12"/>
  <c r="BA77" i="12" s="1"/>
  <c r="BA28" i="12"/>
  <c r="BB28" i="12"/>
  <c r="AZ70" i="12"/>
  <c r="BA70" i="12" s="1"/>
  <c r="BB31" i="12"/>
  <c r="BA31" i="12"/>
  <c r="AZ73" i="12"/>
  <c r="BA73" i="12" s="1"/>
  <c r="E31" i="12"/>
  <c r="O78" i="77"/>
  <c r="U78" i="77" s="1"/>
  <c r="T78" i="77"/>
  <c r="S40" i="77"/>
  <c r="E91" i="78"/>
  <c r="CM14" i="12"/>
  <c r="CO81" i="12" s="1"/>
  <c r="CM9" i="12"/>
  <c r="AE14" i="12"/>
  <c r="AE9" i="12"/>
  <c r="AA29" i="77"/>
  <c r="U29" i="77"/>
  <c r="G97" i="78" s="1"/>
  <c r="G14" i="78"/>
  <c r="T27" i="77"/>
  <c r="F95" i="78" s="1"/>
  <c r="Z27" i="77"/>
  <c r="F12" i="78"/>
  <c r="T26" i="77"/>
  <c r="F94" i="78" s="1"/>
  <c r="Z26" i="77"/>
  <c r="G11" i="77"/>
  <c r="F11" i="78"/>
  <c r="O74" i="77"/>
  <c r="U74" i="77" s="1"/>
  <c r="T74" i="77"/>
  <c r="BB27" i="12"/>
  <c r="BA27" i="12"/>
  <c r="AZ69" i="12"/>
  <c r="BA69" i="12" s="1"/>
  <c r="BB34" i="12"/>
  <c r="BA34" i="12"/>
  <c r="AZ76" i="12"/>
  <c r="BA76" i="12" s="1"/>
  <c r="T30" i="77"/>
  <c r="F98" i="78" s="1"/>
  <c r="Z30" i="77"/>
  <c r="F15" i="78"/>
  <c r="D75" i="77"/>
  <c r="K75" i="77" s="1"/>
  <c r="M16" i="12"/>
  <c r="M83" i="12"/>
  <c r="M17" i="12" s="1"/>
  <c r="E56" i="78" s="1"/>
  <c r="D81" i="77"/>
  <c r="K81" i="77" s="1"/>
  <c r="D72" i="77"/>
  <c r="K72" i="77" s="1"/>
  <c r="E59" i="12"/>
  <c r="AZ78" i="12"/>
  <c r="BA78" i="12" s="1"/>
  <c r="BB33" i="12"/>
  <c r="BA33" i="12"/>
  <c r="AZ75" i="12"/>
  <c r="BA75" i="12" s="1"/>
  <c r="BB22" i="12"/>
  <c r="BA22" i="12"/>
  <c r="AZ64" i="12"/>
  <c r="BA64" i="12" s="1"/>
  <c r="BB21" i="12"/>
  <c r="BA21" i="12"/>
  <c r="AZ63" i="12"/>
  <c r="BA63" i="12" s="1"/>
  <c r="L82" i="77"/>
  <c r="R82" i="77" s="1"/>
  <c r="D138" i="78"/>
  <c r="D108" i="78"/>
  <c r="Y40" i="77"/>
  <c r="E139" i="78" s="1"/>
  <c r="Q80" i="77"/>
  <c r="L80" i="77"/>
  <c r="M84" i="77"/>
  <c r="S84" i="77" s="1"/>
  <c r="AV82" i="12"/>
  <c r="E36" i="110"/>
  <c r="F29" i="83" s="1"/>
  <c r="L29" i="83" s="1"/>
  <c r="E35" i="110"/>
  <c r="E38" i="110"/>
  <c r="E34" i="110"/>
  <c r="E31" i="110"/>
  <c r="E30" i="110"/>
  <c r="E41" i="110"/>
  <c r="E40" i="110"/>
  <c r="E37" i="110"/>
  <c r="E33" i="110"/>
  <c r="E32" i="110"/>
  <c r="E25" i="110"/>
  <c r="E39" i="110"/>
  <c r="T23" i="77"/>
  <c r="Z23" i="77"/>
  <c r="F8" i="78"/>
  <c r="G8" i="77"/>
  <c r="Z29" i="77"/>
  <c r="T29" i="77"/>
  <c r="F97" i="78" s="1"/>
  <c r="F14" i="78"/>
  <c r="U27" i="77"/>
  <c r="G95" i="78" s="1"/>
  <c r="AA27" i="77"/>
  <c r="G12" i="78"/>
  <c r="AA25" i="77"/>
  <c r="U25" i="77"/>
  <c r="G93" i="78" s="1"/>
  <c r="G10" i="78"/>
  <c r="H10" i="77"/>
  <c r="CP39" i="12"/>
  <c r="BA24" i="12"/>
  <c r="BB24" i="12"/>
  <c r="H24" i="12" s="1"/>
  <c r="AZ66" i="12"/>
  <c r="BA66" i="12" s="1"/>
  <c r="BB29" i="12"/>
  <c r="BA29" i="12"/>
  <c r="AZ71" i="12"/>
  <c r="BA71" i="12" s="1"/>
  <c r="E29" i="12"/>
  <c r="O88" i="77"/>
  <c r="U88" i="77" s="1"/>
  <c r="O76" i="77"/>
  <c r="U76" i="77" s="1"/>
  <c r="T76" i="77"/>
  <c r="E34" i="12"/>
  <c r="O85" i="77"/>
  <c r="U85" i="77" s="1"/>
  <c r="BB23" i="12"/>
  <c r="BA23" i="12"/>
  <c r="AZ65" i="12"/>
  <c r="BA65" i="12" s="1"/>
  <c r="E23" i="12"/>
  <c r="BB25" i="12"/>
  <c r="BA25" i="12"/>
  <c r="AZ67" i="12"/>
  <c r="BA67" i="12" s="1"/>
  <c r="BA32" i="12"/>
  <c r="BB32" i="12"/>
  <c r="AZ74" i="12"/>
  <c r="BA74" i="12" s="1"/>
  <c r="BB37" i="12"/>
  <c r="BA37" i="12"/>
  <c r="AZ79" i="12"/>
  <c r="BA79" i="12" s="1"/>
  <c r="BB30" i="12"/>
  <c r="BA30" i="12"/>
  <c r="AZ72" i="12"/>
  <c r="BA72" i="12" s="1"/>
  <c r="U30" i="77"/>
  <c r="G98" i="78" s="1"/>
  <c r="AA30" i="77"/>
  <c r="G15" i="78"/>
  <c r="O77" i="77"/>
  <c r="U77" i="77" s="1"/>
  <c r="T77" i="77"/>
  <c r="E24" i="12"/>
  <c r="AW39" i="12"/>
  <c r="J85" i="53"/>
  <c r="U23" i="77"/>
  <c r="AA23" i="77"/>
  <c r="G8" i="78"/>
  <c r="H8" i="77"/>
  <c r="O86" i="77"/>
  <c r="U86" i="77" s="1"/>
  <c r="Z25" i="77"/>
  <c r="T25" i="77"/>
  <c r="F93" i="78" s="1"/>
  <c r="F10" i="78"/>
  <c r="G10" i="77"/>
  <c r="CO39" i="12"/>
  <c r="E37" i="12"/>
  <c r="E33" i="12"/>
  <c r="H23" i="12" l="1"/>
  <c r="H31" i="12"/>
  <c r="Q48" i="77"/>
  <c r="D13" i="77"/>
  <c r="AQ82" i="12"/>
  <c r="S95" i="77"/>
  <c r="T95" i="77" s="1"/>
  <c r="H30" i="12"/>
  <c r="AR39" i="12"/>
  <c r="AR16" i="12" s="1"/>
  <c r="D62" i="78" s="1"/>
  <c r="H37" i="12"/>
  <c r="BV16" i="12"/>
  <c r="D68" i="78" s="1"/>
  <c r="H34" i="12"/>
  <c r="AQ39" i="12"/>
  <c r="H27" i="12"/>
  <c r="H28" i="12"/>
  <c r="H26" i="12"/>
  <c r="E64" i="12"/>
  <c r="F64" i="12" s="1"/>
  <c r="G22" i="12"/>
  <c r="G30" i="12"/>
  <c r="D57" i="77"/>
  <c r="K57" i="77" s="1"/>
  <c r="F30" i="12"/>
  <c r="E72" i="12"/>
  <c r="F72" i="12" s="1"/>
  <c r="D55" i="77"/>
  <c r="K55" i="77" s="1"/>
  <c r="F21" i="12"/>
  <c r="D49" i="77"/>
  <c r="K49" i="77" s="1"/>
  <c r="D14" i="77" s="1"/>
  <c r="I22" i="12"/>
  <c r="G81" i="12"/>
  <c r="I25" i="12"/>
  <c r="D62" i="77"/>
  <c r="K62" i="77" s="1"/>
  <c r="E70" i="12"/>
  <c r="F70" i="12" s="1"/>
  <c r="G28" i="12"/>
  <c r="F28" i="12"/>
  <c r="H25" i="12"/>
  <c r="H33" i="12"/>
  <c r="H22" i="12"/>
  <c r="W82" i="12"/>
  <c r="W83" i="12" s="1"/>
  <c r="W17" i="12" s="1"/>
  <c r="E58" i="78" s="1"/>
  <c r="G32" i="12"/>
  <c r="I32" i="12"/>
  <c r="F32" i="12"/>
  <c r="I35" i="12"/>
  <c r="E74" i="12"/>
  <c r="F74" i="12" s="1"/>
  <c r="F27" i="12"/>
  <c r="H32" i="12"/>
  <c r="E77" i="12"/>
  <c r="F77" i="12" s="1"/>
  <c r="H35" i="12"/>
  <c r="F25" i="12"/>
  <c r="G35" i="12"/>
  <c r="E67" i="12"/>
  <c r="F67" i="12" s="1"/>
  <c r="D52" i="77"/>
  <c r="K52" i="77" s="1"/>
  <c r="X39" i="12"/>
  <c r="X17" i="12" s="1"/>
  <c r="F58" i="78" s="1"/>
  <c r="M85" i="82"/>
  <c r="G27" i="12"/>
  <c r="I27" i="12"/>
  <c r="H29" i="12"/>
  <c r="E69" i="12"/>
  <c r="F69" i="12" s="1"/>
  <c r="W39" i="12"/>
  <c r="I21" i="12"/>
  <c r="E63" i="12"/>
  <c r="F63" i="12" s="1"/>
  <c r="G21" i="12"/>
  <c r="BU83" i="12"/>
  <c r="BU17" i="12" s="1"/>
  <c r="E68" i="78" s="1"/>
  <c r="AA40" i="77"/>
  <c r="G139" i="78" s="1"/>
  <c r="CZ17" i="12"/>
  <c r="F74" i="78" s="1"/>
  <c r="CO82" i="12"/>
  <c r="CO16" i="12" s="1"/>
  <c r="C73" i="78" s="1"/>
  <c r="CP16" i="12"/>
  <c r="D73" i="78" s="1"/>
  <c r="CP17" i="12"/>
  <c r="F73" i="78" s="1"/>
  <c r="CT83" i="12"/>
  <c r="CT17" i="12" s="1"/>
  <c r="CT16" i="12"/>
  <c r="AV83" i="12"/>
  <c r="AV17" i="12" s="1"/>
  <c r="E63" i="78" s="1"/>
  <c r="AV16" i="12"/>
  <c r="C63" i="78" s="1"/>
  <c r="AW17" i="12"/>
  <c r="F63" i="78" s="1"/>
  <c r="AW16" i="12"/>
  <c r="D63" i="78" s="1"/>
  <c r="AQ83" i="12"/>
  <c r="AQ17" i="12" s="1"/>
  <c r="E62" i="78" s="1"/>
  <c r="AQ16" i="12"/>
  <c r="C62" i="78" s="1"/>
  <c r="AH16" i="12"/>
  <c r="D60" i="78" s="1"/>
  <c r="AH17" i="12"/>
  <c r="F60" i="78" s="1"/>
  <c r="AG83" i="12"/>
  <c r="AG17" i="12" s="1"/>
  <c r="E60" i="78" s="1"/>
  <c r="AG16" i="12"/>
  <c r="C60" i="78" s="1"/>
  <c r="C56" i="78"/>
  <c r="Z40" i="77"/>
  <c r="F139" i="78" s="1"/>
  <c r="N84" i="77"/>
  <c r="T84" i="77" s="1"/>
  <c r="BA39" i="12"/>
  <c r="L72" i="77"/>
  <c r="Q72" i="77"/>
  <c r="C74" i="78"/>
  <c r="E74" i="78"/>
  <c r="D74" i="78"/>
  <c r="W48" i="77"/>
  <c r="L48" i="77"/>
  <c r="D61" i="77"/>
  <c r="K61" i="77" s="1"/>
  <c r="Q61" i="77" s="1"/>
  <c r="F34" i="12"/>
  <c r="G34" i="12"/>
  <c r="I34" i="12"/>
  <c r="E76" i="12"/>
  <c r="F76" i="12" s="1"/>
  <c r="T40" i="77"/>
  <c r="F91" i="78"/>
  <c r="M80" i="77"/>
  <c r="R80" i="77"/>
  <c r="BB39" i="12"/>
  <c r="H21" i="12"/>
  <c r="D87" i="77"/>
  <c r="K87" i="77" s="1"/>
  <c r="Q87" i="77" s="1"/>
  <c r="E78" i="12"/>
  <c r="F78" i="12" s="1"/>
  <c r="D63" i="77"/>
  <c r="K63" i="77" s="1"/>
  <c r="Q63" i="77" s="1"/>
  <c r="G36" i="12"/>
  <c r="F36" i="12"/>
  <c r="I36" i="12"/>
  <c r="D53" i="77"/>
  <c r="K53" i="77" s="1"/>
  <c r="Q53" i="77" s="1"/>
  <c r="G26" i="12"/>
  <c r="F26" i="12"/>
  <c r="I26" i="12"/>
  <c r="E68" i="12"/>
  <c r="F68" i="12" s="1"/>
  <c r="D60" i="77"/>
  <c r="K60" i="77" s="1"/>
  <c r="Q60" i="77" s="1"/>
  <c r="I33" i="12"/>
  <c r="F33" i="12"/>
  <c r="G33" i="12"/>
  <c r="E75" i="12"/>
  <c r="F75" i="12" s="1"/>
  <c r="D51" i="77"/>
  <c r="K51" i="77" s="1"/>
  <c r="F24" i="12"/>
  <c r="G24" i="12"/>
  <c r="I24" i="12"/>
  <c r="D56" i="77"/>
  <c r="K56" i="77" s="1"/>
  <c r="Q56" i="77" s="1"/>
  <c r="I29" i="12"/>
  <c r="F29" i="12"/>
  <c r="G29" i="12"/>
  <c r="E71" i="12"/>
  <c r="F71" i="12" s="1"/>
  <c r="L30" i="83"/>
  <c r="M82" i="77"/>
  <c r="S82" i="77" s="1"/>
  <c r="E66" i="12"/>
  <c r="F66" i="12" s="1"/>
  <c r="W59" i="77"/>
  <c r="C127" i="78" s="1"/>
  <c r="L59" i="77"/>
  <c r="D64" i="77"/>
  <c r="G37" i="12"/>
  <c r="F37" i="12"/>
  <c r="I37" i="12"/>
  <c r="E79" i="12"/>
  <c r="F79" i="12" s="1"/>
  <c r="U40" i="77"/>
  <c r="G91" i="78"/>
  <c r="D50" i="77"/>
  <c r="K50" i="77" s="1"/>
  <c r="G23" i="12"/>
  <c r="F23" i="12"/>
  <c r="I23" i="12"/>
  <c r="E65" i="12"/>
  <c r="F65" i="12" s="1"/>
  <c r="L79" i="77"/>
  <c r="Q79" i="77"/>
  <c r="BA82" i="12"/>
  <c r="Q81" i="77"/>
  <c r="L81" i="77"/>
  <c r="L75" i="77"/>
  <c r="Q75" i="77"/>
  <c r="E138" i="78"/>
  <c r="E108" i="78"/>
  <c r="D58" i="77"/>
  <c r="K58" i="77" s="1"/>
  <c r="Q58" i="77" s="1"/>
  <c r="I31" i="12"/>
  <c r="F31" i="12"/>
  <c r="G31" i="12"/>
  <c r="E73" i="12"/>
  <c r="F73" i="12" s="1"/>
  <c r="W54" i="77"/>
  <c r="C122" i="78" s="1"/>
  <c r="L54" i="77"/>
  <c r="E13" i="77" l="1"/>
  <c r="Q50" i="77"/>
  <c r="D15" i="77"/>
  <c r="Q51" i="77"/>
  <c r="D16" i="77"/>
  <c r="G69" i="12"/>
  <c r="G77" i="12"/>
  <c r="Y95" i="77"/>
  <c r="G63" i="12"/>
  <c r="AR17" i="12"/>
  <c r="F62" i="78" s="1"/>
  <c r="Q96" i="77"/>
  <c r="R96" i="77" s="1"/>
  <c r="S96" i="77" s="1"/>
  <c r="T96" i="77" s="1"/>
  <c r="U96" i="77" s="1"/>
  <c r="L57" i="77"/>
  <c r="X57" i="77" s="1"/>
  <c r="D125" i="78" s="1"/>
  <c r="Q57" i="77"/>
  <c r="L55" i="77"/>
  <c r="N55" i="77" s="1"/>
  <c r="Q55" i="77"/>
  <c r="W57" i="77"/>
  <c r="C125" i="78" s="1"/>
  <c r="L52" i="77"/>
  <c r="M52" i="77" s="1"/>
  <c r="Q52" i="77"/>
  <c r="Q62" i="77"/>
  <c r="Q49" i="77"/>
  <c r="G72" i="12"/>
  <c r="G64" i="12"/>
  <c r="W62" i="77"/>
  <c r="C130" i="78" s="1"/>
  <c r="U95" i="77"/>
  <c r="AA95" i="77" s="1"/>
  <c r="J17" i="78"/>
  <c r="E37" i="78" s="1"/>
  <c r="J9" i="78"/>
  <c r="G29" i="78" s="1"/>
  <c r="Z95" i="77"/>
  <c r="W55" i="77"/>
  <c r="C123" i="78" s="1"/>
  <c r="W49" i="77"/>
  <c r="C117" i="78" s="1"/>
  <c r="L62" i="77"/>
  <c r="R62" i="77" s="1"/>
  <c r="L49" i="77"/>
  <c r="E14" i="77" s="1"/>
  <c r="W16" i="12"/>
  <c r="C58" i="78" s="1"/>
  <c r="G74" i="12"/>
  <c r="J15" i="78"/>
  <c r="G35" i="78" s="1"/>
  <c r="G70" i="12"/>
  <c r="J14" i="78"/>
  <c r="D34" i="78" s="1"/>
  <c r="G67" i="12"/>
  <c r="J22" i="78"/>
  <c r="D42" i="78" s="1"/>
  <c r="J12" i="78"/>
  <c r="F32" i="78" s="1"/>
  <c r="J19" i="78"/>
  <c r="C39" i="78" s="1"/>
  <c r="H39" i="12"/>
  <c r="J8" i="78"/>
  <c r="G28" i="78" s="1"/>
  <c r="X16" i="12"/>
  <c r="D58" i="78" s="1"/>
  <c r="W52" i="77"/>
  <c r="C120" i="78" s="1"/>
  <c r="CO83" i="12"/>
  <c r="CO17" i="12" s="1"/>
  <c r="E73" i="78" s="1"/>
  <c r="BA83" i="12"/>
  <c r="BA17" i="12" s="1"/>
  <c r="E64" i="78" s="1"/>
  <c r="BA16" i="12"/>
  <c r="C64" i="78" s="1"/>
  <c r="BB17" i="12"/>
  <c r="F64" i="78" s="1"/>
  <c r="BB16" i="12"/>
  <c r="D64" i="78" s="1"/>
  <c r="G39" i="12"/>
  <c r="I39" i="12"/>
  <c r="L60" i="77"/>
  <c r="W60" i="77"/>
  <c r="C128" i="78" s="1"/>
  <c r="F138" i="78"/>
  <c r="F108" i="78"/>
  <c r="M72" i="77"/>
  <c r="R72" i="77"/>
  <c r="G73" i="12"/>
  <c r="J18" i="78"/>
  <c r="W58" i="77"/>
  <c r="C126" i="78" s="1"/>
  <c r="L58" i="77"/>
  <c r="R81" i="77"/>
  <c r="M81" i="77"/>
  <c r="M79" i="77"/>
  <c r="R79" i="77"/>
  <c r="G71" i="12"/>
  <c r="J16" i="78"/>
  <c r="W56" i="77"/>
  <c r="C124" i="78" s="1"/>
  <c r="L56" i="77"/>
  <c r="N80" i="77"/>
  <c r="S80" i="77"/>
  <c r="G66" i="12"/>
  <c r="J11" i="78"/>
  <c r="CR6" i="12"/>
  <c r="G75" i="12"/>
  <c r="J20" i="78"/>
  <c r="W63" i="77"/>
  <c r="C131" i="78" s="1"/>
  <c r="L63" i="77"/>
  <c r="R54" i="77"/>
  <c r="M54" i="77"/>
  <c r="X54" i="77"/>
  <c r="D122" i="78" s="1"/>
  <c r="N54" i="77"/>
  <c r="M75" i="77"/>
  <c r="R75" i="77"/>
  <c r="G65" i="12"/>
  <c r="J10" i="78"/>
  <c r="W50" i="77"/>
  <c r="C118" i="78" s="1"/>
  <c r="L50" i="77"/>
  <c r="E15" i="77" s="1"/>
  <c r="G79" i="12"/>
  <c r="J24" i="78"/>
  <c r="K64" i="77"/>
  <c r="Q64" i="77" s="1"/>
  <c r="E64" i="77"/>
  <c r="F64" i="77" s="1"/>
  <c r="G64" i="77" s="1"/>
  <c r="H64" i="77" s="1"/>
  <c r="I64" i="77" s="1"/>
  <c r="N82" i="77"/>
  <c r="T82" i="77" s="1"/>
  <c r="W51" i="77"/>
  <c r="C119" i="78" s="1"/>
  <c r="L51" i="77"/>
  <c r="E16" i="77" s="1"/>
  <c r="G78" i="12"/>
  <c r="J23" i="78"/>
  <c r="G76" i="12"/>
  <c r="J21" i="78"/>
  <c r="W61" i="77"/>
  <c r="C129" i="78" s="1"/>
  <c r="L61" i="77"/>
  <c r="R48" i="77"/>
  <c r="M48" i="77"/>
  <c r="X48" i="77"/>
  <c r="N48" i="77"/>
  <c r="G138" i="78"/>
  <c r="G108" i="78"/>
  <c r="M59" i="77"/>
  <c r="R59" i="77"/>
  <c r="N59" i="77"/>
  <c r="X59" i="77"/>
  <c r="D127" i="78" s="1"/>
  <c r="G68" i="12"/>
  <c r="J13" i="78"/>
  <c r="W53" i="77"/>
  <c r="C121" i="78" s="1"/>
  <c r="L53" i="77"/>
  <c r="L87" i="77"/>
  <c r="R87" i="77" s="1"/>
  <c r="Q89" i="77"/>
  <c r="C116" i="78"/>
  <c r="O84" i="77"/>
  <c r="U84" i="77" s="1"/>
  <c r="F13" i="77" l="1"/>
  <c r="N57" i="77"/>
  <c r="T57" i="77" s="1"/>
  <c r="R57" i="77"/>
  <c r="M57" i="77"/>
  <c r="Y57" i="77" s="1"/>
  <c r="E125" i="78" s="1"/>
  <c r="N52" i="77"/>
  <c r="O52" i="77" s="1"/>
  <c r="M55" i="77"/>
  <c r="S55" i="77" s="1"/>
  <c r="R52" i="77"/>
  <c r="X52" i="77"/>
  <c r="D120" i="78" s="1"/>
  <c r="R55" i="77"/>
  <c r="X55" i="77"/>
  <c r="D123" i="78" s="1"/>
  <c r="N62" i="77"/>
  <c r="O62" i="77" s="1"/>
  <c r="F37" i="78"/>
  <c r="D37" i="78"/>
  <c r="X62" i="77"/>
  <c r="D130" i="78" s="1"/>
  <c r="C37" i="78"/>
  <c r="D29" i="78"/>
  <c r="C29" i="78"/>
  <c r="G37" i="78"/>
  <c r="F29" i="78"/>
  <c r="E29" i="78"/>
  <c r="N49" i="77"/>
  <c r="G14" i="77" s="1"/>
  <c r="M49" i="77"/>
  <c r="F14" i="77" s="1"/>
  <c r="M62" i="77"/>
  <c r="S62" i="77" s="1"/>
  <c r="R49" i="77"/>
  <c r="X49" i="77"/>
  <c r="D117" i="78" s="1"/>
  <c r="F34" i="78"/>
  <c r="E34" i="78"/>
  <c r="E35" i="78"/>
  <c r="D35" i="78"/>
  <c r="C35" i="78"/>
  <c r="F35" i="78"/>
  <c r="G34" i="78"/>
  <c r="C34" i="78"/>
  <c r="G32" i="78"/>
  <c r="C42" i="78"/>
  <c r="G39" i="78"/>
  <c r="E39" i="78"/>
  <c r="D39" i="78"/>
  <c r="C32" i="78"/>
  <c r="G42" i="78"/>
  <c r="F39" i="78"/>
  <c r="F42" i="78"/>
  <c r="E42" i="78"/>
  <c r="E32" i="78"/>
  <c r="D32" i="78"/>
  <c r="E28" i="78"/>
  <c r="F28" i="78"/>
  <c r="D28" i="78"/>
  <c r="C28" i="78"/>
  <c r="C33" i="78"/>
  <c r="C47" i="78" s="1"/>
  <c r="C52" i="78" s="1"/>
  <c r="D33" i="78"/>
  <c r="D47" i="78" s="1"/>
  <c r="D52" i="78" s="1"/>
  <c r="E33" i="78"/>
  <c r="E47" i="78" s="1"/>
  <c r="E52" i="78" s="1"/>
  <c r="G33" i="78"/>
  <c r="G47" i="78" s="1"/>
  <c r="G52" i="78" s="1"/>
  <c r="F33" i="78"/>
  <c r="F47" i="78" s="1"/>
  <c r="F52" i="78" s="1"/>
  <c r="R50" i="77"/>
  <c r="M50" i="77"/>
  <c r="F15" i="77" s="1"/>
  <c r="N50" i="77"/>
  <c r="G15" i="77" s="1"/>
  <c r="X50" i="77"/>
  <c r="D118" i="78" s="1"/>
  <c r="O54" i="77"/>
  <c r="T54" i="77"/>
  <c r="Z54" i="77"/>
  <c r="F122" i="78" s="1"/>
  <c r="C31" i="78"/>
  <c r="D31" i="78"/>
  <c r="E31" i="78"/>
  <c r="G31" i="78"/>
  <c r="F31" i="78"/>
  <c r="S52" i="77"/>
  <c r="Y52" i="77"/>
  <c r="E120" i="78" s="1"/>
  <c r="R60" i="77"/>
  <c r="M60" i="77"/>
  <c r="X60" i="77"/>
  <c r="D128" i="78" s="1"/>
  <c r="N60" i="77"/>
  <c r="M53" i="77"/>
  <c r="R53" i="77"/>
  <c r="N53" i="77"/>
  <c r="X53" i="77"/>
  <c r="D121" i="78" s="1"/>
  <c r="T55" i="77"/>
  <c r="O55" i="77"/>
  <c r="Z55" i="77"/>
  <c r="F123" i="78" s="1"/>
  <c r="T59" i="77"/>
  <c r="O59" i="77"/>
  <c r="Z59" i="77"/>
  <c r="F127" i="78" s="1"/>
  <c r="D116" i="78"/>
  <c r="W64" i="77"/>
  <c r="L64" i="77"/>
  <c r="F36" i="78"/>
  <c r="D36" i="78"/>
  <c r="C36" i="78"/>
  <c r="G36" i="78"/>
  <c r="E36" i="78"/>
  <c r="G82" i="12"/>
  <c r="R58" i="77"/>
  <c r="M58" i="77"/>
  <c r="N58" i="77"/>
  <c r="X58" i="77"/>
  <c r="D126" i="78" s="1"/>
  <c r="N72" i="77"/>
  <c r="G13" i="77" s="1"/>
  <c r="S72" i="77"/>
  <c r="O48" i="77"/>
  <c r="T48" i="77"/>
  <c r="Z48" i="77"/>
  <c r="S48" i="77"/>
  <c r="Y48" i="77"/>
  <c r="F43" i="78"/>
  <c r="E43" i="78"/>
  <c r="D43" i="78"/>
  <c r="G43" i="78"/>
  <c r="C43" i="78"/>
  <c r="M51" i="77"/>
  <c r="F16" i="77" s="1"/>
  <c r="R51" i="77"/>
  <c r="N51" i="77"/>
  <c r="X51" i="77"/>
  <c r="D119" i="78" s="1"/>
  <c r="O82" i="77"/>
  <c r="U82" i="77" s="1"/>
  <c r="D44" i="78"/>
  <c r="E44" i="78"/>
  <c r="C44" i="78"/>
  <c r="F44" i="78"/>
  <c r="G44" i="78"/>
  <c r="C30" i="78"/>
  <c r="D30" i="78"/>
  <c r="E30" i="78"/>
  <c r="F30" i="78"/>
  <c r="G30" i="78"/>
  <c r="S75" i="77"/>
  <c r="N75" i="77"/>
  <c r="S54" i="77"/>
  <c r="Y54" i="77"/>
  <c r="E122" i="78" s="1"/>
  <c r="F40" i="78"/>
  <c r="G40" i="78"/>
  <c r="E40" i="78"/>
  <c r="D40" i="78"/>
  <c r="C40" i="78"/>
  <c r="N81" i="77"/>
  <c r="S81" i="77"/>
  <c r="M61" i="77"/>
  <c r="R61" i="77"/>
  <c r="N61" i="77"/>
  <c r="X61" i="77"/>
  <c r="D129" i="78" s="1"/>
  <c r="M87" i="77"/>
  <c r="S87" i="77" s="1"/>
  <c r="R89" i="77"/>
  <c r="S59" i="77"/>
  <c r="Y59" i="77"/>
  <c r="E127" i="78" s="1"/>
  <c r="E41" i="78"/>
  <c r="F41" i="78"/>
  <c r="C41" i="78"/>
  <c r="G41" i="78"/>
  <c r="D41" i="78"/>
  <c r="M63" i="77"/>
  <c r="R63" i="77"/>
  <c r="N63" i="77"/>
  <c r="X63" i="77"/>
  <c r="D131" i="78" s="1"/>
  <c r="CR14" i="12"/>
  <c r="E14" i="12" s="1"/>
  <c r="D94" i="77" s="1"/>
  <c r="W94" i="77" s="1"/>
  <c r="CR9" i="12"/>
  <c r="O80" i="77"/>
  <c r="U80" i="77" s="1"/>
  <c r="T80" i="77"/>
  <c r="R56" i="77"/>
  <c r="M56" i="77"/>
  <c r="N56" i="77"/>
  <c r="X56" i="77"/>
  <c r="D124" i="78" s="1"/>
  <c r="S79" i="77"/>
  <c r="N79" i="77"/>
  <c r="C38" i="78"/>
  <c r="E38" i="78"/>
  <c r="D38" i="78"/>
  <c r="F38" i="78"/>
  <c r="G38" i="78"/>
  <c r="G16" i="77" l="1"/>
  <c r="S57" i="77"/>
  <c r="Z57" i="77"/>
  <c r="F125" i="78" s="1"/>
  <c r="O57" i="77"/>
  <c r="U57" i="77" s="1"/>
  <c r="Z52" i="77"/>
  <c r="F120" i="78" s="1"/>
  <c r="T52" i="77"/>
  <c r="Y55" i="77"/>
  <c r="E123" i="78" s="1"/>
  <c r="Z62" i="77"/>
  <c r="F130" i="78" s="1"/>
  <c r="T62" i="77"/>
  <c r="Y62" i="77"/>
  <c r="E130" i="78" s="1"/>
  <c r="S49" i="77"/>
  <c r="Z49" i="77"/>
  <c r="F117" i="78" s="1"/>
  <c r="O49" i="77"/>
  <c r="H14" i="77" s="1"/>
  <c r="Y49" i="77"/>
  <c r="E117" i="78" s="1"/>
  <c r="T49" i="77"/>
  <c r="CU16" i="12"/>
  <c r="D72" i="78" s="1"/>
  <c r="CU17" i="12"/>
  <c r="F72" i="78" s="1"/>
  <c r="Q65" i="77"/>
  <c r="Q98" i="77" s="1"/>
  <c r="T79" i="77"/>
  <c r="O79" i="77"/>
  <c r="U79" i="77" s="1"/>
  <c r="S56" i="77"/>
  <c r="Y56" i="77"/>
  <c r="E124" i="78" s="1"/>
  <c r="S63" i="77"/>
  <c r="Y63" i="77"/>
  <c r="E131" i="78" s="1"/>
  <c r="S51" i="77"/>
  <c r="Y51" i="77"/>
  <c r="E119" i="78" s="1"/>
  <c r="C132" i="78"/>
  <c r="W65" i="77"/>
  <c r="O60" i="77"/>
  <c r="T60" i="77"/>
  <c r="Z60" i="77"/>
  <c r="F128" i="78" s="1"/>
  <c r="U54" i="77"/>
  <c r="AA54" i="77"/>
  <c r="G122" i="78" s="1"/>
  <c r="S50" i="77"/>
  <c r="Y50" i="77"/>
  <c r="E118" i="78" s="1"/>
  <c r="F116" i="78"/>
  <c r="G83" i="12"/>
  <c r="T53" i="77"/>
  <c r="O53" i="77"/>
  <c r="Z53" i="77"/>
  <c r="F121" i="78" s="1"/>
  <c r="N87" i="77"/>
  <c r="T87" i="77" s="1"/>
  <c r="S61" i="77"/>
  <c r="Y61" i="77"/>
  <c r="E129" i="78" s="1"/>
  <c r="T81" i="77"/>
  <c r="O81" i="77"/>
  <c r="U81" i="77" s="1"/>
  <c r="T63" i="77"/>
  <c r="O63" i="77"/>
  <c r="Z63" i="77"/>
  <c r="F131" i="78" s="1"/>
  <c r="U62" i="77"/>
  <c r="AA62" i="77"/>
  <c r="G130" i="78" s="1"/>
  <c r="T61" i="77"/>
  <c r="O61" i="77"/>
  <c r="Z61" i="77"/>
  <c r="F129" i="78" s="1"/>
  <c r="U52" i="77"/>
  <c r="AA52" i="77"/>
  <c r="G120" i="78" s="1"/>
  <c r="T75" i="77"/>
  <c r="O75" i="77"/>
  <c r="U75" i="77" s="1"/>
  <c r="T51" i="77"/>
  <c r="O51" i="77"/>
  <c r="Z51" i="77"/>
  <c r="F119" i="78" s="1"/>
  <c r="O58" i="77"/>
  <c r="T58" i="77"/>
  <c r="Z58" i="77"/>
  <c r="F126" i="78" s="1"/>
  <c r="U59" i="77"/>
  <c r="AA59" i="77"/>
  <c r="G127" i="78" s="1"/>
  <c r="U55" i="77"/>
  <c r="AA55" i="77"/>
  <c r="G123" i="78" s="1"/>
  <c r="S60" i="77"/>
  <c r="Y60" i="77"/>
  <c r="E128" i="78" s="1"/>
  <c r="E72" i="78"/>
  <c r="O72" i="77"/>
  <c r="U72" i="77" s="1"/>
  <c r="T72" i="77"/>
  <c r="O56" i="77"/>
  <c r="T56" i="77"/>
  <c r="Z56" i="77"/>
  <c r="F124" i="78" s="1"/>
  <c r="E116" i="78"/>
  <c r="U48" i="77"/>
  <c r="AA48" i="77"/>
  <c r="S89" i="77"/>
  <c r="S58" i="77"/>
  <c r="Y58" i="77"/>
  <c r="E126" i="78" s="1"/>
  <c r="R64" i="77"/>
  <c r="M64" i="77"/>
  <c r="N64" i="77"/>
  <c r="X64" i="77"/>
  <c r="D132" i="78" s="1"/>
  <c r="Y53" i="77"/>
  <c r="E121" i="78" s="1"/>
  <c r="S53" i="77"/>
  <c r="O50" i="77"/>
  <c r="H15" i="77" s="1"/>
  <c r="T50" i="77"/>
  <c r="Z50" i="77"/>
  <c r="F118" i="78" s="1"/>
  <c r="H13" i="77" l="1"/>
  <c r="H16" i="77"/>
  <c r="AA57" i="77"/>
  <c r="G125" i="78" s="1"/>
  <c r="AA49" i="77"/>
  <c r="G117" i="78" s="1"/>
  <c r="U49" i="77"/>
  <c r="Q99" i="77"/>
  <c r="C87" i="78" s="1"/>
  <c r="C72" i="78"/>
  <c r="G16" i="12"/>
  <c r="G17" i="12" s="1"/>
  <c r="R65" i="77"/>
  <c r="S64" i="77"/>
  <c r="Y64" i="77"/>
  <c r="E132" i="78" s="1"/>
  <c r="E78" i="78"/>
  <c r="U60" i="77"/>
  <c r="AA60" i="77"/>
  <c r="G128" i="78" s="1"/>
  <c r="U50" i="77"/>
  <c r="AA50" i="77"/>
  <c r="G118" i="78" s="1"/>
  <c r="U56" i="77"/>
  <c r="AA56" i="77"/>
  <c r="G124" i="78" s="1"/>
  <c r="D78" i="78"/>
  <c r="U58" i="77"/>
  <c r="AA58" i="77"/>
  <c r="G126" i="78" s="1"/>
  <c r="U61" i="77"/>
  <c r="AA61" i="77"/>
  <c r="G129" i="78" s="1"/>
  <c r="T89" i="77"/>
  <c r="O87" i="77"/>
  <c r="X65" i="77"/>
  <c r="C133" i="78"/>
  <c r="G116" i="78"/>
  <c r="F78" i="78"/>
  <c r="U51" i="77"/>
  <c r="AA51" i="77"/>
  <c r="G119" i="78" s="1"/>
  <c r="U63" i="77"/>
  <c r="AA63" i="77"/>
  <c r="G131" i="78" s="1"/>
  <c r="O64" i="77"/>
  <c r="T64" i="77"/>
  <c r="Z64" i="77"/>
  <c r="F132" i="78" s="1"/>
  <c r="X94" i="77"/>
  <c r="Y94" i="77" s="1"/>
  <c r="Z94" i="77" s="1"/>
  <c r="AA94" i="77" s="1"/>
  <c r="I16" i="12"/>
  <c r="H16" i="12"/>
  <c r="I17" i="12"/>
  <c r="H17" i="12"/>
  <c r="U53" i="77"/>
  <c r="AA53" i="77"/>
  <c r="G121" i="78" s="1"/>
  <c r="R98" i="77" l="1"/>
  <c r="R99" i="77" s="1"/>
  <c r="C143" i="78"/>
  <c r="C78" i="78"/>
  <c r="S65" i="77"/>
  <c r="U87" i="77"/>
  <c r="U89" i="77" s="1"/>
  <c r="T65" i="77"/>
  <c r="W98" i="77"/>
  <c r="W99" i="77" s="1"/>
  <c r="C144" i="78" s="1"/>
  <c r="Z65" i="77"/>
  <c r="Z98" i="77" s="1"/>
  <c r="Z99" i="77" s="1"/>
  <c r="F144" i="78" s="1"/>
  <c r="D133" i="78"/>
  <c r="X98" i="77"/>
  <c r="X99" i="77" s="1"/>
  <c r="D144" i="78" s="1"/>
  <c r="C112" i="78"/>
  <c r="Y65" i="77"/>
  <c r="U64" i="77"/>
  <c r="AA64" i="77"/>
  <c r="G132" i="78" s="1"/>
  <c r="D87" i="78" l="1"/>
  <c r="D143" i="78"/>
  <c r="S98" i="77"/>
  <c r="S99" i="77" s="1"/>
  <c r="E143" i="78" s="1"/>
  <c r="T98" i="77"/>
  <c r="T99" i="77" s="1"/>
  <c r="F133" i="78"/>
  <c r="E133" i="78"/>
  <c r="Y98" i="77"/>
  <c r="Y99" i="77" s="1"/>
  <c r="E144" i="78" s="1"/>
  <c r="AA65" i="77"/>
  <c r="U65" i="77"/>
  <c r="U98" i="77" s="1"/>
  <c r="D112" i="78" l="1"/>
  <c r="E87" i="78"/>
  <c r="F87" i="78"/>
  <c r="F143" i="78"/>
  <c r="U99" i="77"/>
  <c r="G133" i="78"/>
  <c r="AA98" i="77"/>
  <c r="AA99" i="77" s="1"/>
  <c r="G144" i="78" s="1"/>
  <c r="E112" i="78" l="1"/>
  <c r="F112" i="78"/>
  <c r="G87" i="78"/>
  <c r="G143" i="78"/>
  <c r="G112" i="78" l="1"/>
</calcChain>
</file>

<file path=xl/comments1.xml><?xml version="1.0" encoding="utf-8"?>
<comments xmlns="http://schemas.openxmlformats.org/spreadsheetml/2006/main">
  <authors>
    <author>Jacqui Bobby</author>
  </authors>
  <commentList>
    <comment ref="J3" authorId="0">
      <text>
        <r>
          <rPr>
            <sz val="16"/>
            <color indexed="81"/>
            <rFont val="Tahoma"/>
            <family val="2"/>
          </rPr>
          <t>Extractable - This is the Unit cost that can be extracted per unit of activity when the threshold is exceeded.
It is the variable cost plus a proportion of the semi-fixed costs. The proportion of the semi fixed cost is set by the determination factor column</t>
        </r>
        <r>
          <rPr>
            <sz val="9"/>
            <color indexed="81"/>
            <rFont val="Tahoma"/>
            <family val="2"/>
          </rPr>
          <t xml:space="preserve">
</t>
        </r>
      </text>
    </comment>
    <comment ref="K3" authorId="0">
      <text>
        <r>
          <rPr>
            <sz val="14"/>
            <color indexed="81"/>
            <rFont val="Tahoma"/>
            <family val="2"/>
          </rPr>
          <t>This is the percentage of the semi fixed costs that it is thought will be extracted in practise.
Semi fixed costs generally relate to staff. 
There are several factors to consider here:
&gt;All staff costs are apportions over services - thus ED semi fixed costs will include an apportionment of all supporting services across a trust (eg pathology, medical records, finance department etc etc). 
&gt;If a service is under stress then it will be harder to remove staff. For example Ed departments and GP practices may be struggling to cope with existing demand. Reducing activity might contribute to releasing pressure on system but may be unlikely to lead to any redundancy in system
&gt;there need to be management action to remove staff posts.</t>
        </r>
        <r>
          <rPr>
            <sz val="9"/>
            <color indexed="81"/>
            <rFont val="Tahoma"/>
            <family val="2"/>
          </rPr>
          <t xml:space="preserve">
</t>
        </r>
      </text>
    </comment>
    <comment ref="L19" authorId="0">
      <text>
        <r>
          <rPr>
            <sz val="14"/>
            <color indexed="81"/>
            <rFont val="Tahoma"/>
            <family val="2"/>
          </rPr>
          <t xml:space="preserve">threshold is set at one contact  
because generally the impact is on multiple small organisations and theoretically threshold should be applied to each individually. 
Users should adjust for expected savings in column K
</t>
        </r>
      </text>
    </comment>
    <comment ref="L20" authorId="0">
      <text>
        <r>
          <rPr>
            <sz val="14"/>
            <color indexed="81"/>
            <rFont val="Tahoma"/>
            <family val="2"/>
          </rPr>
          <t>threshold is set at one contact  
because generally the impact is on multiple small organisations and theoretically threshold should be applied to each individually. 
Users should adjust for expected savings in the optimism bias column</t>
        </r>
      </text>
    </comment>
  </commentList>
</comments>
</file>

<file path=xl/comments10.xml><?xml version="1.0" encoding="utf-8"?>
<comments xmlns="http://schemas.openxmlformats.org/spreadsheetml/2006/main">
  <authors>
    <author>Jenny Williams</author>
  </authors>
  <commentList>
    <comment ref="E23"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11.xml><?xml version="1.0" encoding="utf-8"?>
<comments xmlns="http://schemas.openxmlformats.org/spreadsheetml/2006/main">
  <authors>
    <author>Jenny Williams</author>
  </authors>
  <commentList>
    <comment ref="D27"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12.xml><?xml version="1.0" encoding="utf-8"?>
<comments xmlns="http://schemas.openxmlformats.org/spreadsheetml/2006/main">
  <authors>
    <author>Jenny Williams</author>
  </authors>
  <commentList>
    <comment ref="E23"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13.xml><?xml version="1.0" encoding="utf-8"?>
<comments xmlns="http://schemas.openxmlformats.org/spreadsheetml/2006/main">
  <authors>
    <author>Jenny Williams</author>
  </authors>
  <commentList>
    <comment ref="D23"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14.xml><?xml version="1.0" encoding="utf-8"?>
<comments xmlns="http://schemas.openxmlformats.org/spreadsheetml/2006/main">
  <authors>
    <author>Jenny Williams</author>
  </authors>
  <commentList>
    <comment ref="E25"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15.xml><?xml version="1.0" encoding="utf-8"?>
<comments xmlns="http://schemas.openxmlformats.org/spreadsheetml/2006/main">
  <authors>
    <author>Jenny Williams</author>
  </authors>
  <commentList>
    <comment ref="D22"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16.xml><?xml version="1.0" encoding="utf-8"?>
<comments xmlns="http://schemas.openxmlformats.org/spreadsheetml/2006/main">
  <authors>
    <author>Jenny Williams</author>
  </authors>
  <commentList>
    <comment ref="D26"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 ref="D28"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17.xml><?xml version="1.0" encoding="utf-8"?>
<comments xmlns="http://schemas.openxmlformats.org/spreadsheetml/2006/main">
  <authors>
    <author>Jenny Williams</author>
  </authors>
  <commentList>
    <comment ref="D26"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 ref="D28"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18.xml><?xml version="1.0" encoding="utf-8"?>
<comments xmlns="http://schemas.openxmlformats.org/spreadsheetml/2006/main">
  <authors>
    <author>Jenny Williams</author>
  </authors>
  <commentList>
    <comment ref="D26"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 ref="D28"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19.xml><?xml version="1.0" encoding="utf-8"?>
<comments xmlns="http://schemas.openxmlformats.org/spreadsheetml/2006/main">
  <authors>
    <author>Jenny Williams</author>
  </authors>
  <commentList>
    <comment ref="D25"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2.xml><?xml version="1.0" encoding="utf-8"?>
<comments xmlns="http://schemas.openxmlformats.org/spreadsheetml/2006/main">
  <authors>
    <author>Jacqui Bobby</author>
  </authors>
  <commentList>
    <comment ref="D3" authorId="0">
      <text>
        <r>
          <rPr>
            <b/>
            <sz val="9"/>
            <color indexed="81"/>
            <rFont val="Tahoma"/>
            <family val="2"/>
          </rPr>
          <t>set at 0% to exclude intervention</t>
        </r>
        <r>
          <rPr>
            <sz val="9"/>
            <color indexed="81"/>
            <rFont val="Tahoma"/>
            <family val="2"/>
          </rPr>
          <t xml:space="preserve">
</t>
        </r>
      </text>
    </comment>
    <comment ref="F3" authorId="0">
      <text>
        <r>
          <rPr>
            <b/>
            <sz val="9"/>
            <color indexed="81"/>
            <rFont val="Tahoma"/>
            <family val="2"/>
          </rPr>
          <t>set at 0% to exclude intervention</t>
        </r>
        <r>
          <rPr>
            <sz val="9"/>
            <color indexed="81"/>
            <rFont val="Tahoma"/>
            <family val="2"/>
          </rPr>
          <t xml:space="preserve">
</t>
        </r>
      </text>
    </comment>
    <comment ref="H3" authorId="0">
      <text>
        <r>
          <rPr>
            <b/>
            <sz val="9"/>
            <color indexed="81"/>
            <rFont val="Tahoma"/>
            <family val="2"/>
          </rPr>
          <t>set at 0% to exclude intervention</t>
        </r>
        <r>
          <rPr>
            <sz val="9"/>
            <color indexed="81"/>
            <rFont val="Tahoma"/>
            <family val="2"/>
          </rPr>
          <t xml:space="preserve">
</t>
        </r>
      </text>
    </comment>
  </commentList>
</comments>
</file>

<file path=xl/comments20.xml><?xml version="1.0" encoding="utf-8"?>
<comments xmlns="http://schemas.openxmlformats.org/spreadsheetml/2006/main">
  <authors>
    <author>Jenny Williams</author>
  </authors>
  <commentList>
    <comment ref="E23"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21.xml><?xml version="1.0" encoding="utf-8"?>
<comments xmlns="http://schemas.openxmlformats.org/spreadsheetml/2006/main">
  <authors>
    <author>Jenny Williams</author>
  </authors>
  <commentList>
    <comment ref="E31"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3.xml><?xml version="1.0" encoding="utf-8"?>
<comments xmlns="http://schemas.openxmlformats.org/spreadsheetml/2006/main">
  <authors>
    <author>Jenny Williams</author>
  </authors>
  <commentList>
    <comment ref="E24" authorId="0">
      <text>
        <r>
          <rPr>
            <b/>
            <sz val="9"/>
            <color indexed="81"/>
            <rFont val="Tahoma"/>
            <family val="2"/>
          </rPr>
          <t>This cell is linked to the relevant "set up costs template" sheet, but this link can be overwritten with your own cost figure.</t>
        </r>
      </text>
    </comment>
  </commentList>
</comments>
</file>

<file path=xl/comments4.xml><?xml version="1.0" encoding="utf-8"?>
<comments xmlns="http://schemas.openxmlformats.org/spreadsheetml/2006/main">
  <authors>
    <author>Jenny Williams</author>
  </authors>
  <commentList>
    <comment ref="E24"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5.xml><?xml version="1.0" encoding="utf-8"?>
<comments xmlns="http://schemas.openxmlformats.org/spreadsheetml/2006/main">
  <authors>
    <author>Jenny Williams</author>
  </authors>
  <commentList>
    <comment ref="E25" authorId="0">
      <text>
        <r>
          <rPr>
            <b/>
            <sz val="9"/>
            <color indexed="81"/>
            <rFont val="Tahoma"/>
            <family val="2"/>
          </rPr>
          <t>This cell is linked to the relevant "set up costs template" sheet, but this link can be overwritten with your own cost figure.</t>
        </r>
      </text>
    </comment>
  </commentList>
</comments>
</file>

<file path=xl/comments6.xml><?xml version="1.0" encoding="utf-8"?>
<comments xmlns="http://schemas.openxmlformats.org/spreadsheetml/2006/main">
  <authors>
    <author>Jenny Williams</author>
  </authors>
  <commentList>
    <comment ref="E24"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7.xml><?xml version="1.0" encoding="utf-8"?>
<comments xmlns="http://schemas.openxmlformats.org/spreadsheetml/2006/main">
  <authors>
    <author>Jenny Williams</author>
  </authors>
  <commentList>
    <comment ref="E26"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8.xml><?xml version="1.0" encoding="utf-8"?>
<comments xmlns="http://schemas.openxmlformats.org/spreadsheetml/2006/main">
  <authors>
    <author>Jenny Williams</author>
  </authors>
  <commentList>
    <comment ref="E23"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comments9.xml><?xml version="1.0" encoding="utf-8"?>
<comments xmlns="http://schemas.openxmlformats.org/spreadsheetml/2006/main">
  <authors>
    <author>Jenny Williams</author>
  </authors>
  <commentList>
    <comment ref="E23" authorId="0">
      <text>
        <r>
          <rPr>
            <b/>
            <sz val="9"/>
            <color indexed="81"/>
            <rFont val="Tahoma"/>
            <family val="2"/>
          </rPr>
          <t>This cell is linked to the relevant "set up costs template" sheet, but this link can be overwritten with your own cost figure.</t>
        </r>
        <r>
          <rPr>
            <sz val="9"/>
            <color indexed="81"/>
            <rFont val="Tahoma"/>
            <family val="2"/>
          </rPr>
          <t xml:space="preserve">
</t>
        </r>
      </text>
    </comment>
  </commentList>
</comments>
</file>

<file path=xl/sharedStrings.xml><?xml version="1.0" encoding="utf-8"?>
<sst xmlns="http://schemas.openxmlformats.org/spreadsheetml/2006/main" count="3274" uniqueCount="1333">
  <si>
    <t>8a</t>
  </si>
  <si>
    <t>8b</t>
  </si>
  <si>
    <t>8c</t>
  </si>
  <si>
    <t>8d</t>
  </si>
  <si>
    <t>FHO1</t>
  </si>
  <si>
    <t>FHO2</t>
  </si>
  <si>
    <t>As.S</t>
  </si>
  <si>
    <t>Cons</t>
  </si>
  <si>
    <t>GP</t>
  </si>
  <si>
    <t xml:space="preserve">Band 1 </t>
  </si>
  <si>
    <t xml:space="preserve">Band 2 </t>
  </si>
  <si>
    <t xml:space="preserve">Band 3 </t>
  </si>
  <si>
    <t xml:space="preserve">Band 4 </t>
  </si>
  <si>
    <t xml:space="preserve">Band 5 </t>
  </si>
  <si>
    <t xml:space="preserve">Band 6 </t>
  </si>
  <si>
    <t xml:space="preserve">Band 7 </t>
  </si>
  <si>
    <t xml:space="preserve">Band 8a </t>
  </si>
  <si>
    <t xml:space="preserve">Band 8b </t>
  </si>
  <si>
    <t xml:space="preserve">Band 8c </t>
  </si>
  <si>
    <t xml:space="preserve">Band 8d </t>
  </si>
  <si>
    <t xml:space="preserve">Band 9 </t>
  </si>
  <si>
    <t>Foundation house officer 1</t>
  </si>
  <si>
    <t>Foundation house officer 2</t>
  </si>
  <si>
    <t>Registrar</t>
  </si>
  <si>
    <t>Associate specialist</t>
  </si>
  <si>
    <t>Total Cost</t>
  </si>
  <si>
    <t>Pension % &amp; on cost</t>
  </si>
  <si>
    <t>Corby CCG combined contract costs</t>
  </si>
  <si>
    <t xml:space="preserve">Corby CCG combined contract costs </t>
  </si>
  <si>
    <t>Corby CCG quoted £12 as national average cost. Other sources have range £7.50-£20</t>
  </si>
  <si>
    <t>Community contacts</t>
  </si>
  <si>
    <t>The cost per hour for a home care worker (face to face) is £24, ( table 11.6 PSSRU)</t>
  </si>
  <si>
    <t>GP attends</t>
  </si>
  <si>
    <t>cost per patient contact -11.7 minutes. PSSRU. Table 10.8b</t>
  </si>
  <si>
    <t>GP visits</t>
  </si>
  <si>
    <t>cost per patient contact -11.7 minutes plus 12 minutes travel time PSSRU. Table 10.8b</t>
  </si>
  <si>
    <t>uplift</t>
  </si>
  <si>
    <t>Reg</t>
  </si>
  <si>
    <t>no uplift</t>
  </si>
  <si>
    <t>mid</t>
  </si>
  <si>
    <t>high</t>
  </si>
  <si>
    <t>Community pharmacy attends</t>
  </si>
  <si>
    <t>`</t>
  </si>
  <si>
    <t>ED attends</t>
  </si>
  <si>
    <t>OOH clinic visits</t>
  </si>
  <si>
    <t>OOH home visits</t>
  </si>
  <si>
    <t>Ambulance - see and convey to ED</t>
  </si>
  <si>
    <t>6 bed bay, 365 days a year</t>
  </si>
  <si>
    <t>Intermediate care bed days</t>
  </si>
  <si>
    <t>ED Minor attends</t>
  </si>
  <si>
    <t>111 calls (call handler)</t>
  </si>
  <si>
    <t>111 calls (clinical advisor)</t>
  </si>
  <si>
    <t>1 WTE 3 patients an hour</t>
  </si>
  <si>
    <t>1 WTE, 4 patients an hour</t>
  </si>
  <si>
    <t>1 WTE, 3 patients an hour</t>
  </si>
  <si>
    <t>1 WTE, 1 patient an hour</t>
  </si>
  <si>
    <t>1 WTE, 6 patients an hour</t>
  </si>
  <si>
    <t>at cost per contact - no threshold</t>
  </si>
  <si>
    <t>2 WTE, 1 patient an hour</t>
  </si>
  <si>
    <t>4 beds 365 days</t>
  </si>
  <si>
    <t>1 WTE, 2 patient an hour</t>
  </si>
  <si>
    <t>no nat figures. Based on north Devon contract cost for MAS</t>
  </si>
  <si>
    <t>Intervention</t>
  </si>
  <si>
    <t>Set up cost</t>
  </si>
  <si>
    <t>Number of units input</t>
  </si>
  <si>
    <t>Cost per unit</t>
  </si>
  <si>
    <t>A&amp;E attends</t>
  </si>
  <si>
    <t>UCC attends</t>
  </si>
  <si>
    <t>N/A</t>
  </si>
  <si>
    <t>Emergency bed days</t>
  </si>
  <si>
    <t>Total - channel shift cost reduction</t>
  </si>
  <si>
    <t>Planned % implementation</t>
  </si>
  <si>
    <t>Activity units input</t>
  </si>
  <si>
    <t>Recurring cost</t>
  </si>
  <si>
    <t>System cost change (with thresholds by intervention)</t>
  </si>
  <si>
    <t>System cost change (with thresholds across interventions)</t>
  </si>
  <si>
    <t>Ambulance - See and treat</t>
  </si>
  <si>
    <t>Ambulance - see and treat</t>
  </si>
  <si>
    <t>2016-17</t>
  </si>
  <si>
    <t>2017-18</t>
  </si>
  <si>
    <t>2018-19</t>
  </si>
  <si>
    <t>2019-20</t>
  </si>
  <si>
    <t>2020-21</t>
  </si>
  <si>
    <t>111 calls (calls answered)</t>
  </si>
  <si>
    <t>111 calls (transferred to clinical advisor)</t>
  </si>
  <si>
    <t>baseline</t>
  </si>
  <si>
    <t>2016/17</t>
  </si>
  <si>
    <t>2017/18</t>
  </si>
  <si>
    <t>2018/19</t>
  </si>
  <si>
    <t>2019/20</t>
  </si>
  <si>
    <t>2020/21</t>
  </si>
  <si>
    <t>see comment</t>
  </si>
  <si>
    <t>2015/16</t>
  </si>
  <si>
    <t>https://www.bma.org.uk/advice/employment/pay/sas-pay-england</t>
  </si>
  <si>
    <t>mean average earnings 2014/15 : source HSCIC</t>
  </si>
  <si>
    <t>Description</t>
  </si>
  <si>
    <t>None</t>
  </si>
  <si>
    <t>SUPPLY INDUCED DEMAND</t>
  </si>
  <si>
    <t>Total</t>
  </si>
  <si>
    <t>Expected reduction</t>
  </si>
  <si>
    <t>Max</t>
  </si>
  <si>
    <t xml:space="preserve">Min </t>
  </si>
  <si>
    <t>What is the anticipated impact on urgent care systems channels?</t>
  </si>
  <si>
    <t>Guidance</t>
  </si>
  <si>
    <t>Re-triaged calls</t>
  </si>
  <si>
    <t>Patient parameters</t>
  </si>
  <si>
    <t>Weeks worked (after leave, sickness, training etc)</t>
  </si>
  <si>
    <t>Hours available</t>
  </si>
  <si>
    <t>Staff parameters</t>
  </si>
  <si>
    <t>Total WTE</t>
  </si>
  <si>
    <t>Per year</t>
  </si>
  <si>
    <t>Cost</t>
  </si>
  <si>
    <t>% additional salary cost per unsocial hour</t>
  </si>
  <si>
    <t>% time unsocial hours</t>
  </si>
  <si>
    <t>Baseline Cost per WTE</t>
  </si>
  <si>
    <t>WTE</t>
  </si>
  <si>
    <t>Band</t>
  </si>
  <si>
    <t>What is the additional resource needed for the intervention?  What additional capacity is generated by the intervention?</t>
  </si>
  <si>
    <t>Current % hear and treat</t>
  </si>
  <si>
    <t xml:space="preserve">What is the scope for the intervention to make a difference? </t>
  </si>
  <si>
    <t>System cost implication</t>
  </si>
  <si>
    <t>Total activity</t>
  </si>
  <si>
    <t>Min</t>
  </si>
  <si>
    <t>% utilisation of ambulance team time</t>
  </si>
  <si>
    <t>Patients seen</t>
  </si>
  <si>
    <t>Average ambulance crew minutes per patient (including direct care, travelling, conveyance where necessary, paperwork etc)</t>
  </si>
  <si>
    <t>Total staff hours per year</t>
  </si>
  <si>
    <t>Total non staff cost</t>
  </si>
  <si>
    <t>Training</t>
  </si>
  <si>
    <t>Ambulances</t>
  </si>
  <si>
    <t>Non staff recurring cost</t>
  </si>
  <si>
    <t>Est. Recurring Cost per Unit</t>
  </si>
  <si>
    <t>Unit</t>
  </si>
  <si>
    <t>Staff</t>
  </si>
  <si>
    <t>Bariatric ambulances (re-used)</t>
  </si>
  <si>
    <t>Set up costs - see and treat (assuming expansion of existing service)</t>
  </si>
  <si>
    <t>Recruitment, IT, training</t>
  </si>
  <si>
    <t>Set up costs - hear and treat (assuming expansion of existing service)</t>
  </si>
  <si>
    <t>Units</t>
  </si>
  <si>
    <t>Channel</t>
  </si>
  <si>
    <t>Results</t>
  </si>
  <si>
    <t>User input</t>
  </si>
  <si>
    <t>Staff costs</t>
  </si>
  <si>
    <t>Protected cells</t>
  </si>
  <si>
    <t>Unit cost below threshold (variable only)</t>
  </si>
  <si>
    <t>Threshold</t>
  </si>
  <si>
    <t>Total notional saving</t>
  </si>
  <si>
    <t>% No change (disposition same as would have been with call handler)</t>
  </si>
  <si>
    <t>Activity reaching step threshold</t>
  </si>
  <si>
    <t>Reduction</t>
  </si>
  <si>
    <t>Cost per consultation</t>
  </si>
  <si>
    <t>IT</t>
  </si>
  <si>
    <t>Total calls offered</t>
  </si>
  <si>
    <t>% time on calls  (utilisation)</t>
  </si>
  <si>
    <t>Nurse (MH)</t>
  </si>
  <si>
    <t>Clinical manager</t>
  </si>
  <si>
    <t>(source: NHS 111 minimum data set)</t>
  </si>
  <si>
    <t>Actvity reaching step threshold</t>
  </si>
  <si>
    <t>Channel shift per avoided call</t>
  </si>
  <si>
    <t>Recurring cost of hub</t>
  </si>
  <si>
    <t>Total calls transferred between hubs</t>
  </si>
  <si>
    <t>Total Ambulance service calls transferred to 111 hub or OOH hub</t>
  </si>
  <si>
    <t>Total OOH calls transferred to 111 hub</t>
  </si>
  <si>
    <t>Total 111 calls transferred to OOH hub</t>
  </si>
  <si>
    <t>Total Budget</t>
  </si>
  <si>
    <t>Training costs</t>
  </si>
  <si>
    <t>Test Beds</t>
  </si>
  <si>
    <t>Consultant connect</t>
  </si>
  <si>
    <t>111 contracting costs</t>
  </si>
  <si>
    <t>Data analysis/ modelling</t>
  </si>
  <si>
    <t>HR support/ workforce planning</t>
  </si>
  <si>
    <t>IT licenses</t>
  </si>
  <si>
    <t>IM&amp;T Spend SystmOne</t>
  </si>
  <si>
    <t>IM&amp;T setup/ specialist advice</t>
  </si>
  <si>
    <t xml:space="preserve">3 clinical trials </t>
  </si>
  <si>
    <t>S1 Project Support</t>
  </si>
  <si>
    <t>Example costs</t>
  </si>
  <si>
    <t>Example funding for IUC. However some benefits will be across several interventions, notably improved referral processes and shared care records.</t>
  </si>
  <si>
    <t>HR contract negotiation etc</t>
  </si>
  <si>
    <t>IT software. Algorithm development etc</t>
  </si>
  <si>
    <t>IT - hardware</t>
  </si>
  <si>
    <t>This will depend on local circumstances.  Whether plan to re-locate services. Costs of potential redundancies</t>
  </si>
  <si>
    <t>Set up costs - integrated clinical hub</t>
  </si>
  <si>
    <t>Likely to be simple expansion existing service costs may be v low</t>
  </si>
  <si>
    <t>Total staff cost</t>
  </si>
  <si>
    <t>Total re-triaged calls</t>
  </si>
  <si>
    <t>Cost per re-triaged call</t>
  </si>
  <si>
    <t>Total modelled below</t>
  </si>
  <si>
    <t>There may also be demand led impact as where improved flow of patients through the system will free up resources  in A&amp;E and for inpatient beds</t>
  </si>
  <si>
    <t>Note: these patients may not have self cared but may have been more appropriate to be treated in other services  (A&amp;E, urgent outpatients, primary care  etc)</t>
  </si>
  <si>
    <t>Patients attending AEC 'below threshold' (from above)</t>
  </si>
  <si>
    <t>Cost For all AEC Attends modelled</t>
  </si>
  <si>
    <t>For all AEC Attends modelled</t>
  </si>
  <si>
    <t>Per AEC attendance</t>
  </si>
  <si>
    <t xml:space="preserve">What is the potential supply induced demand arising directly from this intervention?
</t>
  </si>
  <si>
    <t>Average bed days saved per patient discharged</t>
  </si>
  <si>
    <t>% Inappropriate referrals (below threshold)</t>
  </si>
  <si>
    <t>% AEC attenders subsequently admitted</t>
  </si>
  <si>
    <t>% AEC attendances where ED attendances avoided or triaged direct to AEC</t>
  </si>
  <si>
    <t>Expected</t>
  </si>
  <si>
    <t>Assumptions</t>
  </si>
  <si>
    <t xml:space="preserve">Cost per patient </t>
  </si>
  <si>
    <t xml:space="preserve">Total </t>
  </si>
  <si>
    <t>Other Variable Cost</t>
  </si>
  <si>
    <t>Diagnostics</t>
  </si>
  <si>
    <t>Additional Non-pay cost</t>
  </si>
  <si>
    <t>% utilisation of capacity of unit</t>
  </si>
  <si>
    <t>Hours available / hours per patient x utilisation</t>
  </si>
  <si>
    <t>Average AEC staff hours input per patient</t>
  </si>
  <si>
    <t>Patients treated</t>
  </si>
  <si>
    <t>Associate Specialist</t>
  </si>
  <si>
    <t>Consultant</t>
  </si>
  <si>
    <t>Staff Hours per year</t>
  </si>
  <si>
    <t>Additional Resource Cost</t>
  </si>
  <si>
    <t>AEC Staffing Resource</t>
  </si>
  <si>
    <t xml:space="preserve">What is the resource needed for the intervention?  What additional capacity is generated by the intervention?
</t>
  </si>
  <si>
    <t>Current % Med emergencies AEC</t>
  </si>
  <si>
    <t>Ambulatory Emergency Care</t>
  </si>
  <si>
    <t>Set up Costs</t>
  </si>
  <si>
    <t>Intervention costs</t>
  </si>
  <si>
    <t>Social care</t>
  </si>
  <si>
    <t>Additional social care contacts</t>
  </si>
  <si>
    <t>Additional community contacts</t>
  </si>
  <si>
    <t>Using local costs</t>
  </si>
  <si>
    <t>Contacts</t>
  </si>
  <si>
    <t>Social services domiciliary care</t>
  </si>
  <si>
    <t>Total savings</t>
  </si>
  <si>
    <t>Number Needed to Treat to avoid:</t>
  </si>
  <si>
    <t>Additional GP attends</t>
  </si>
  <si>
    <t>Annual</t>
  </si>
  <si>
    <t>Additional activity</t>
  </si>
  <si>
    <t>Number of patients with a PCP</t>
  </si>
  <si>
    <t>Nurse training</t>
  </si>
  <si>
    <t>Other recurring cost</t>
  </si>
  <si>
    <t>Social services practitioner</t>
  </si>
  <si>
    <t>Advanced nurse practitioner</t>
  </si>
  <si>
    <t>What is the resource needed for the intervention?  What additional capacity is generated by the intervention?</t>
  </si>
  <si>
    <t>Client Group - Multiple morbidity; complex care</t>
  </si>
  <si>
    <t>Personalised care planning</t>
  </si>
  <si>
    <t>Total Hours</t>
  </si>
  <si>
    <t>Other</t>
  </si>
  <si>
    <t>Facilitating access to social care</t>
  </si>
  <si>
    <t>sub total</t>
  </si>
  <si>
    <t>c. Co-ordinating transitions</t>
  </si>
  <si>
    <t>b. Communicating with clinicians</t>
  </si>
  <si>
    <t>Guiding the patient through the health system</t>
  </si>
  <si>
    <t>Educating and supporting carers</t>
  </si>
  <si>
    <t>Promoting patient self management</t>
  </si>
  <si>
    <t>Proactive monitoring of the patient's condition &amp;</t>
  </si>
  <si>
    <t>Developing care plans</t>
  </si>
  <si>
    <t>Hours per week</t>
  </si>
  <si>
    <t>Time allocation for a Nurse delivering Care Planning in Primary Care</t>
  </si>
  <si>
    <t>On-going health promotion as a % of start-up is based on DAFNE fact sheet from the DAFNE website</t>
  </si>
  <si>
    <t>On-going annual training as a % of start-up</t>
  </si>
  <si>
    <t>Additional cos of leave and sickness cover</t>
  </si>
  <si>
    <t>Assumed number of nurses that need to be recruited</t>
  </si>
  <si>
    <t>Salary with on-costs assumed to be 20%</t>
  </si>
  <si>
    <t>Basic salary scale 8c mid point from RCN web site</t>
  </si>
  <si>
    <t>Case load per nurse based on "Guided Care a New Nurse Physician Partnership" Boult et al 2009</t>
  </si>
  <si>
    <t>Notes / Assumptions</t>
  </si>
  <si>
    <t>Fixed cost per nurse</t>
  </si>
  <si>
    <t>Service cost for patient case load</t>
  </si>
  <si>
    <t>Step cost</t>
  </si>
  <si>
    <t>Education</t>
  </si>
  <si>
    <t>Marginal cost</t>
  </si>
  <si>
    <t>Cost breakdown</t>
  </si>
  <si>
    <t>Cost for each nurse service - £000</t>
  </si>
  <si>
    <t>Start up health education for an individual patient - £000</t>
  </si>
  <si>
    <t>Nurse training cost - £000</t>
  </si>
  <si>
    <t>Expected number of patients per nurse over the course of 1 year</t>
  </si>
  <si>
    <t>Case load per nurse</t>
  </si>
  <si>
    <t>£'000</t>
  </si>
  <si>
    <t>Resource Estimate</t>
  </si>
  <si>
    <t>Notes</t>
  </si>
  <si>
    <t>Recurrent</t>
  </si>
  <si>
    <t>Start-up</t>
  </si>
  <si>
    <t>Intervention Costs</t>
  </si>
  <si>
    <t>Source: Guided Care a new Physician Partnership -Boult et al; Springer 2009</t>
  </si>
  <si>
    <t>Not modelled. Assumption that presence of UCC will not lead to additional attendance over and above those attending ED. However improved flow / reduced waiting times may lead to increased attendance</t>
  </si>
  <si>
    <t>Savings from Avoided attendances</t>
  </si>
  <si>
    <t>Cost per case</t>
  </si>
  <si>
    <t>Total other  cost</t>
  </si>
  <si>
    <t>Capacity above target!</t>
  </si>
  <si>
    <t>Cases seen</t>
  </si>
  <si>
    <t>Max Cases per year</t>
  </si>
  <si>
    <t>UCC Staffing Resource</t>
  </si>
  <si>
    <t>Co-location of UCC</t>
  </si>
  <si>
    <t>Re location of WIC, MIU or UCC</t>
  </si>
  <si>
    <t>Attendances</t>
  </si>
  <si>
    <t>Expected supply induced demand (new patients who would otherwise have self-cared)</t>
  </si>
  <si>
    <t>Attendance at own GP practice in hours</t>
  </si>
  <si>
    <t xml:space="preserve">Number Needed to Treat to reduce attendances </t>
  </si>
  <si>
    <t>Other Variable Cost (treatment etc)</t>
  </si>
  <si>
    <t>Enhanced urgent care standards</t>
  </si>
  <si>
    <t>Assume minimal. About extending existing services</t>
  </si>
  <si>
    <t>Crude cost reduction</t>
  </si>
  <si>
    <t>Number of Patient's deflected to allow Ward closure</t>
  </si>
  <si>
    <t>Acute I/P care</t>
  </si>
  <si>
    <t>Patient</t>
  </si>
  <si>
    <t>Fixed Cost</t>
  </si>
  <si>
    <t>Variable costs</t>
  </si>
  <si>
    <t>Unit of Activity</t>
  </si>
  <si>
    <t>Service Description</t>
  </si>
  <si>
    <t>Code</t>
  </si>
  <si>
    <t>Per week</t>
  </si>
  <si>
    <t>Sunday</t>
  </si>
  <si>
    <t>Saturday</t>
  </si>
  <si>
    <t>Cost per attended appointment</t>
  </si>
  <si>
    <t>Week days</t>
  </si>
  <si>
    <t>% Expected DNA</t>
  </si>
  <si>
    <t xml:space="preserve">Expected number of attended appointments </t>
  </si>
  <si>
    <t>% Expected booking of available appointments</t>
  </si>
  <si>
    <t>GP clinical advisor</t>
  </si>
  <si>
    <t>Receptionist</t>
  </si>
  <si>
    <t>Additional staff hours</t>
  </si>
  <si>
    <t>Number of GPs deployed in each extra hour provided</t>
  </si>
  <si>
    <t>Total Additional appointments</t>
  </si>
  <si>
    <t>Number of appointments per hour per GP</t>
  </si>
  <si>
    <t>Extra appointments on Sunday</t>
  </si>
  <si>
    <t>Extra appointments on Saturday</t>
  </si>
  <si>
    <t>Additional available appointments</t>
  </si>
  <si>
    <t>Hrs per additional session</t>
  </si>
  <si>
    <t>Number of days with additional session</t>
  </si>
  <si>
    <t>Scope of Extension</t>
  </si>
  <si>
    <t>GP extended hours</t>
  </si>
  <si>
    <t>Service delivery</t>
  </si>
  <si>
    <t>Bury's intervention costs</t>
  </si>
  <si>
    <t>What is the potential supply induced demand arising directly from this intervention?</t>
  </si>
  <si>
    <t xml:space="preserve"> Cost shift from  Avoided activity </t>
  </si>
  <si>
    <t>UCC / WIC attendance is avoided</t>
  </si>
  <si>
    <t>ED contact is avoided</t>
  </si>
  <si>
    <t>GP contact is avoided</t>
  </si>
  <si>
    <t>Per PGD Minor Ailments contact</t>
  </si>
  <si>
    <t>PGD Minor Ailments scheme</t>
  </si>
  <si>
    <t>PGD Minor Ailments contacts</t>
  </si>
  <si>
    <t>Number of PGD Minor Ailments contacts</t>
  </si>
  <si>
    <t>Initial Set up Cost</t>
  </si>
  <si>
    <t>Current community pharmacy minor ailments contacts</t>
  </si>
  <si>
    <t>Av GP contacts per person per year (see evidence tab)</t>
  </si>
  <si>
    <t>Total Population</t>
  </si>
  <si>
    <t>Intervention is based on a cost per contact. Thus further details of resources required in terms of eg pharmacist time not considered.</t>
  </si>
  <si>
    <t>Set up Cost</t>
  </si>
  <si>
    <t>% emergency supply contacts where the patient would otherwise have gone without medication</t>
  </si>
  <si>
    <t>Attendance</t>
  </si>
  <si>
    <t>Urgent prescriptions scheme</t>
  </si>
  <si>
    <t>Urgent prescription contacts</t>
  </si>
  <si>
    <t>Number of Urgent prescription contacts</t>
  </si>
  <si>
    <t>Current community pharmacy urgent prescription contacts</t>
  </si>
  <si>
    <t>Supplier induced demand not  applicable i.e. does not lead to increased treatment of patients who would otherwise have self cared</t>
  </si>
  <si>
    <t>Channel shift per reconciliation performed</t>
  </si>
  <si>
    <t xml:space="preserve">The average number of additional days spent in hospital as a result of an adverse drug event </t>
  </si>
  <si>
    <t>Number of adverse drug event resulting from each prescribing error</t>
  </si>
  <si>
    <t>Av prescribing errors avoided per admitted patient by use of SCR (as opposed to other sources)</t>
  </si>
  <si>
    <t>Percent emergency admissions where reconciliation performed</t>
  </si>
  <si>
    <t>Total emergency admissions</t>
  </si>
  <si>
    <t xml:space="preserve">What is the resource needed for the intervention?  </t>
  </si>
  <si>
    <t>Assume % of emergency bed days could be avoided</t>
  </si>
  <si>
    <t>Estimated emergency bed days</t>
  </si>
  <si>
    <t>Assume number of bed days per admission</t>
  </si>
  <si>
    <t>total</t>
  </si>
  <si>
    <t>Issuing and management of smart cards for spine access</t>
  </si>
  <si>
    <t xml:space="preserve">Privacy officer role. </t>
  </si>
  <si>
    <t>nil</t>
  </si>
  <si>
    <t>IT hardware / software costs</t>
  </si>
  <si>
    <t>Training - other staff</t>
  </si>
  <si>
    <t>Training- hospital pharmacy staff</t>
  </si>
  <si>
    <t>Channel shift per SCR access</t>
  </si>
  <si>
    <t>Warning - Bed days saved exceeds target!</t>
  </si>
  <si>
    <t>Emergency Admissions</t>
  </si>
  <si>
    <t>Evidence/ Rationale</t>
  </si>
  <si>
    <t>Source</t>
  </si>
  <si>
    <t xml:space="preserve"> It has been concluded that approximately 40% of 999 calls do not require an emergency response. ECP and paramedic practitioner roles are having an impact on patient care, including an average 25% reduction in the conveyance rate to hospital. For an ambulance service receiving 200,000 calls a year a potential 15,000 ambulance journeys could be saved.</t>
  </si>
  <si>
    <t>Liverpool Public Health Observatory August 2009. Reducing Emergency admissions to hospital  - redesign of services</t>
  </si>
  <si>
    <t>https://www.liverpool.ac.uk/media/livacuk/instituteofpsychology/researchgroups/lpho/82_Redesign_of_services.pdf</t>
  </si>
  <si>
    <t>Falls-related calls make up about 20% of all calls received by the East Midlands Ambulance Service (EMAS); approximately 90,000 calls per year. The solution developed in the Northamptonshire area (population 700,000) is the Crisis Response Falls Team (CRFT).
The ambulance crews include 7 staff made up of paramedics and emergency care assistants who are trained in enhanced diagnosis and lifting techniques related to falls. The ambulance control’s computer system uses an algorithm to dispatch a CRFT ambulance to people who have fallen. The crews use 2 bariatric ambulances and specialist lifting equipment to ensure people of any size who fall can be helped. Enhanced diagnosis and faster access to lifting equipment helps to reduce conveyance to hospital and subsequent admissions. The conveyance rate for people who fall attended by the CRFT is around 40% compared to 65% for those attended by a normal ambulance. This is due to the improved diagnosis and management of falls-related injuries provided by the specialist service.
Team also link with a social care team who can undertake fall prevention work with patient to reduce risk of future falls. It should be noted that some of the cost figures quoted in the paper relate to this service. These cost have not been included in our model</t>
  </si>
  <si>
    <t xml:space="preserve">East Midlands Ambulance Service NHS Trust 
Crisis response falls team: reducing admissions and repeat falls: </t>
  </si>
  <si>
    <t>https://www.nice.org.uk/Media/Default/About/Who-we-are/Local%20Practice/13-0010-qpcs-crisis-falls.pdf</t>
  </si>
  <si>
    <t>HSCIC A&amp;E statistics 2014-15</t>
  </si>
  <si>
    <t>Links</t>
  </si>
  <si>
    <t>Primary care foundation</t>
  </si>
  <si>
    <t>http://www.primarycarefoundation.co.uk/commissioning-urgent-care.html</t>
  </si>
  <si>
    <t>NHS England.  Commissioning Standards Integrated Urgent Care September 2015</t>
  </si>
  <si>
    <t>https://www.england.nhs.uk/wp-content/uploads/2015/10/integrtd-urgnt-care-comms-standrds-oct15.pdf</t>
  </si>
  <si>
    <t>http://www.sheffield.ac.uk/polopoly_fs/1.227406!/file/NHS111finalsummary.pdf</t>
  </si>
  <si>
    <t xml:space="preserve">OVERVIEW
AEC is an approach which results in a significant proportion of emergency adult patients being managed safely and efficiently on the same day avoiding admission to a hospital bed. 
Models may vary between hospitals, however it is considered best practice to have a unit that is distinct from the emergency department and Medical decision unit.  The AEC facility should have immediate access to a senior doctor who is responsible for agreeing the case management plan for each patient. The time frames for initial assessment and medical review in the AEC facility should be similar to those in the main emergency department. Patients in the AEC facility should have access to diagnostics within the same timeframe as all other emergency patients.
Hospitals introducing AEC for the first time should expert to convert 25% of their adult acute medical admissions to ambulatory emergency  care episodes.  In time this can be increased to around 30% of all medical admissions with all patients considered for AEC management as a first line unless they are clinically unstable
The AEC facility should have immediate access to a senior doctor who is responsible for agreeing the case management plan for each patient. The time frames for initial assessment and medical review in the AEC facility should be similar to those in the main emergency department. Patients in the AEC facility should have access to diagnostics within the same timeframe as all other emergency patients.
Benefits are improvement in patient flow with more patient being diagnosed, treated and safely discharged with an appropriate care package on the same day, thus avoiding admission which are costly for the trust and unwanted by the patient. 
Cost benefits considered are:
- avoided A&amp;E attenders / or reduced cost A&amp;E attenders where patient are triaged direct to AEC. 
- avoided emergency overnight admissions and saved bed days.  
</t>
  </si>
  <si>
    <t>Assumption</t>
  </si>
  <si>
    <t>A&amp;E attendances may be triaged direct to Ambulatory Emergency care thus avoiding time, investigations and treatment in A&amp;E. There may be also be a change in referral pathways where GPs can refer direct to the AEC rather than to A&amp;E. The percentage will require local analysis to inform</t>
  </si>
  <si>
    <t>Vanguard plans, clinical opinion</t>
  </si>
  <si>
    <t xml:space="preserve">A proportion of patients will be transferred from the AEC facility to inpatient wards. A low rate may suggest risk aversion, while a high rate may indicate problems with patient selection. It is suggested that around 90% of referrals should be managed without admission to an inpatient ward.
</t>
  </si>
  <si>
    <t>NHS England</t>
  </si>
  <si>
    <t>AEC attendances should meet the criteria for referral. Patients should not be referred who could otherwise be seen in urgent outpatients clinics or otherwise be treated in primary and community settings. Adherence to correct threshold for referral is seen to be important to maintain cost effectiveness of a AEC unit</t>
  </si>
  <si>
    <t>Urgent Care Delivery Network</t>
  </si>
  <si>
    <t>AEC attenders discharged. Simply the percentage of attenders that were neither inappropriately referred or admitted</t>
  </si>
  <si>
    <t xml:space="preserve">It is widely reported and accepted that overnight stays are avoided but we have not source and evidence based quantification of how this relates to attenders seen. </t>
  </si>
  <si>
    <t>Informed estimate based on case studies published on www.ambulatoryemergencycare.org.uk</t>
  </si>
  <si>
    <t>Average additional community visits. Again we have not the evidence to support this. AEC units tend to work closely with community / MDT teams to ensure that patients can be supported on discharge. Some patients will not require any care package, others will maintain their existing care package, others may need a new or extended care package. Some may be admitted to care home or intermediate care beds</t>
  </si>
  <si>
    <t>Cost parameters</t>
  </si>
  <si>
    <t>PSSRU: unit costs of health care 2015</t>
  </si>
  <si>
    <t xml:space="preserve">Cost A&amp;E attendance. This is taken as the average cost of an A&amp;E attendance with category 2 or 3 investigation </t>
  </si>
  <si>
    <t>National reference costs</t>
  </si>
  <si>
    <t>Evidence</t>
  </si>
  <si>
    <t>case studies at http://www.ambulatoryemergencycare.org.uk/    </t>
  </si>
  <si>
    <t>East Kent</t>
  </si>
  <si>
    <t>As a result of the new Ambulatory Emergency Care service, zero length of stay has increased to 33% from 28%, with impacts on short stay increasing to 69.7%.</t>
  </si>
  <si>
    <t>Watford</t>
  </si>
  <si>
    <t xml:space="preserve">The service was consultant-led with a dedicated staff grade doctor and a dedicated nursing team. From being a five-day a week service, it became a 12-hour-a-day, seven-day a week service. </t>
  </si>
  <si>
    <t>Nottingham</t>
  </si>
  <si>
    <t>The QMC is now treating between 60 and 88 GP emergency referrals in an ambulatory way every week. That is between 30 and 40% of total referrals</t>
  </si>
  <si>
    <t>Whittington</t>
  </si>
  <si>
    <t>Middlesbrough</t>
  </si>
  <si>
    <t>Today, the renamed ‘Ambulatory Emergency Care unit’ which is adjacent to the Emergency Department, is open seven days a week, from 8am to 9pm on weekdays and 8am to 8pm at weekends. The unit has four trolleys, four consulting rooms and a discharge lounge. It treats an average of 23 patients a day. In January 2012, the unit handled 469 of the 2,133 emergency referrals to the hospital – around 22% of all emergency admissions. This is a typical monthly level</t>
  </si>
  <si>
    <t>Bassetlaw
http://nhsconfed.org/resources/2014/03/delivering-seven-day-care-in-bassetlaw'</t>
  </si>
  <si>
    <t xml:space="preserve">Developed Assessment treatment centre (ATC), a unit for medically ill patients with seven-day consultant-delivered care. The ATC opened at Bassetlaw Hospital in November 2012 and receives patient admissions from A&amp;E, GPs (in hours and out of hours), community services and ambulances. It has 21 beds with access to diagnostics, and enhanced pharmacy and dedicated social care support. An acute physician is present Monday to Friday, and a general physician at the weekends, resulting in consistent, high-quality seven-day consultant-delivered care. Additionally, the community rapid response service supports patient discharge over seven days. The ATC also has a non-bedded ambulatory day care facility for patients with conditions such as deep vein thrombosis (which clinically do not require the patient to be admitted) to attend the unit for treatment and go home. </t>
  </si>
  <si>
    <t xml:space="preserve">
Result: Reduced variability in patient experience, quality of care and outcomes, with a 12 per cent reduction in standardised mortality and a reduction in average length of stay of at least one day for non-elective medical patients since the assessment treatment centre (ATC) was established
 A&amp;E is now supported with a clinically robust follow-on service. There has also been a reduction in locum staffing and a decline in inappropriate hospital stays.</t>
  </si>
  <si>
    <t xml:space="preserve">OVERVIEW-  Personalised Care Planning
General Practice Co-produced personalised care plans (PCP) for at least 5% of patients who would benefit the most from this, particularly long-term conditions. With proactive care. 
Potential for care closer to home  with fewer ambulance conveyances and ED attendances and admissions. </t>
  </si>
  <si>
    <t>Page ref in Purdy</t>
  </si>
  <si>
    <t>Study</t>
  </si>
  <si>
    <t>Target Group</t>
  </si>
  <si>
    <t>Population characteristics</t>
  </si>
  <si>
    <t>P-value</t>
  </si>
  <si>
    <t>Absolute Risk Reduction (ARR)</t>
  </si>
  <si>
    <t>Number Needed to Treat</t>
  </si>
  <si>
    <t>Relevant Summary Conclusions of systematic review</t>
  </si>
  <si>
    <t xml:space="preserve">Mean age </t>
  </si>
  <si>
    <t>Control</t>
  </si>
  <si>
    <t>Caplan (2004) Australia</t>
  </si>
  <si>
    <t>Older people sent home from ED</t>
  </si>
  <si>
    <t>60% Female</t>
  </si>
  <si>
    <t>Living alone</t>
  </si>
  <si>
    <t>District Nurse</t>
  </si>
  <si>
    <t>Readmission within 18 months</t>
  </si>
  <si>
    <t>Shelton (2001) USA</t>
  </si>
  <si>
    <t>Carers of people with dementia</t>
  </si>
  <si>
    <t>65% Female</t>
  </si>
  <si>
    <t>Comprehensive needs assessment</t>
  </si>
  <si>
    <t>Admissions over 18 months</t>
  </si>
  <si>
    <t>Murphy (2009) UK</t>
  </si>
  <si>
    <t>CHD Patients</t>
  </si>
  <si>
    <t>70% Male</t>
  </si>
  <si>
    <t>Practice nurse prepares plan &amp; delivers 90 min behaviour change</t>
  </si>
  <si>
    <t>Hospital admission for cardiac cause</t>
  </si>
  <si>
    <t xml:space="preserve">Not given </t>
  </si>
  <si>
    <t>"Education and Self - management ..was a topic covered by recent Cochrane reviews....reduced unplanned admissions in adults with asthma and in COPD but not in children with asthma. There is weak evidence for the role in reducing unplanned admissions in heart failure patients</t>
  </si>
  <si>
    <t>GP 90 min Educational Outreach visit</t>
  </si>
  <si>
    <t>Follow up intervention</t>
  </si>
  <si>
    <t>4 monthly follow up appointments with GP or nurse</t>
  </si>
  <si>
    <t>Evidence from other sources</t>
  </si>
  <si>
    <t>Reference: Guided Care: Cost and Utilization Outcomes in a Pilot Study; Martha L Sylvia et al Disease Management; Volume 11, number 1</t>
  </si>
  <si>
    <t>Older people with multiple morbidity</t>
  </si>
  <si>
    <t>Guided Care Nurse (8c) plus some additional primary care support</t>
  </si>
  <si>
    <t>Hospital Admissions</t>
  </si>
  <si>
    <t>Length of Stay (Hospital Days)</t>
  </si>
  <si>
    <t>Primary Care (GP visits)</t>
  </si>
  <si>
    <t>Studies finding no significant impact</t>
  </si>
  <si>
    <t>Melin (1992) Sweden</t>
  </si>
  <si>
    <t>Toseland (1997) USA</t>
  </si>
  <si>
    <t>Source: Capita Client Work on ACG in South Central</t>
  </si>
  <si>
    <t>University of York. Centre for Reviews and dissemination. 2013
https://www.york.ac.uk/media/crd/Consolidating%20urgent%20care.pdf</t>
  </si>
  <si>
    <t>NHS England. Keogh review. Safer, faster, better. 
http://www.nhs.uk/NHSEngland/keogh-review/Documents/safer-faster-better-v28.pdf</t>
  </si>
  <si>
    <t>Walk-in- Centres / Minor Injuries Units (1)</t>
  </si>
  <si>
    <t>Attendance (source note 1)</t>
  </si>
  <si>
    <t>Daily</t>
  </si>
  <si>
    <t>hourly</t>
  </si>
  <si>
    <t>Peak times</t>
  </si>
  <si>
    <t xml:space="preserve">2hrs before working day </t>
  </si>
  <si>
    <t>Early evening</t>
  </si>
  <si>
    <t>Referrals (source note 1)</t>
  </si>
  <si>
    <t xml:space="preserve">Likely number requiring onward referral </t>
  </si>
  <si>
    <t>Presenting conditions (source note 1)</t>
  </si>
  <si>
    <t>Minor illness</t>
  </si>
  <si>
    <t>Minor injury</t>
  </si>
  <si>
    <t>Scope to extend hours (source note 1)</t>
  </si>
  <si>
    <t>Standard opening times</t>
  </si>
  <si>
    <t>7am  to 10 pm</t>
  </si>
  <si>
    <t>Standard hours per day</t>
  </si>
  <si>
    <t>Extended hours</t>
  </si>
  <si>
    <t>Weekly</t>
  </si>
  <si>
    <t>Monthly</t>
  </si>
  <si>
    <t>Caseload(source note 2)</t>
  </si>
  <si>
    <t xml:space="preserve"> 1 to 3 cases per clinical hour</t>
  </si>
  <si>
    <t>1) Review of research on walk-in-centres; University of Sheffield (2000)</t>
  </si>
  <si>
    <t>2) Review of Urgent Care Centres - Primary Care Foundation (2012)</t>
  </si>
  <si>
    <t>Evidence on Number Needed to Treat</t>
  </si>
  <si>
    <t>GP Attendances Avoided</t>
  </si>
  <si>
    <t>ED</t>
  </si>
  <si>
    <t>Arain M et al (2013); BIMC Health Service Research: 13(142)</t>
  </si>
  <si>
    <t>29% of attendees reported that they attended because their surgery was closed or that they were unable to see their GP in working hours or did not have to make an appointment. But note that the WiC in this study was staffed by GPs</t>
  </si>
  <si>
    <t>23% would have attended ED if the WiC was not open</t>
  </si>
  <si>
    <t>Arain M et al (2014); Emergency Medicine Journal 0, 1-6</t>
  </si>
  <si>
    <t>8.3% reduction in day time GP attendance - note this was a WiC staffed by GPs</t>
  </si>
  <si>
    <t>Service Definition</t>
  </si>
  <si>
    <t>….community and primary care facilities providing access to urgent care. They encompass walk-in-centres, minor injuries units, GP led Health Centres and similar facilities, including the majority of Type 3 A&amp;E Departments</t>
  </si>
  <si>
    <t>Note that the NHS Choices web site brackets UCCs, MIUs WiCs together as type 3 A&amp;E. Hence these are interchangeable.</t>
  </si>
  <si>
    <t>They offer</t>
  </si>
  <si>
    <t>Model Assumptions</t>
  </si>
  <si>
    <t>This intervention has 2 impacts: (1) extension of opening times and (2) changes to patient / user behaviour</t>
  </si>
  <si>
    <t xml:space="preserve">The UCC standards assume minimum opening hours of  8am to Midnight </t>
  </si>
  <si>
    <t>The draft paper also states that the UCC must have access to diagnostic equipment etc. It is assumed that this equipment will be in place during normal working hours and that the additional costs are more intense use of that equipment i.e. higher depreciation and maintenance.</t>
  </si>
  <si>
    <t>Main source</t>
  </si>
  <si>
    <t>NHS Greater Manchester Primary Care Demonstrator Evaluation. Of extended hours schemehealthcare/demonstrator/</t>
  </si>
  <si>
    <t>http://clahrc-gm.nihr.ac.uk/wp-content/uploads/PCDE-final-report-full-final.pdf</t>
  </si>
  <si>
    <t>Evidence applied in modelling (Bury Demonstrator Project)</t>
  </si>
  <si>
    <t>Numbers Needed to Treat (to avoid 1 attendance)</t>
  </si>
  <si>
    <t>Cost avoided (Tariff)</t>
  </si>
  <si>
    <t>Out of Hours</t>
  </si>
  <si>
    <t>Walk-in Centre</t>
  </si>
  <si>
    <t>A&amp;E Attendances</t>
  </si>
  <si>
    <t xml:space="preserve">Primary source: Evaluation of Pharmacy First. South Devon. 
Information on costs and rates are from this document
</t>
  </si>
  <si>
    <t>http://devonlpc.org/wp-content/uploads/sites/20/2015/01/Devon-Pharmacy-First-Evaluation-June-20150.pdf</t>
  </si>
  <si>
    <t>GP consultation rates. National audit office paper quotes figures of 372 million GP contacts a year in England. For Population of  54 million this works out at a rate of 6.9 consultations per person</t>
  </si>
  <si>
    <t>https://www.nao.org.uk/wp-content/uploads/2015/11/Stocktake-of-access-to-general-practice-in-England.pdf</t>
  </si>
  <si>
    <t>Studies have suggested that 15-18% of the GP managed consultations for minor ailments could be managed in community pharmacy</t>
  </si>
  <si>
    <t>N.Pillay et al. The Economic Burden of Minor Ailments on the NHS in the UK. Selfcare. 2010;1(3):105-116. http://www.selfcarejournal.com/uploads/products/10024/pdf/IMS%203%3B105-16.pdf</t>
  </si>
  <si>
    <t>Link - where available</t>
  </si>
  <si>
    <t>1, 5</t>
  </si>
  <si>
    <t>Average (mean) number of discrepancies per patient when SCR was used 2.2, average number when not used 1.7. difference 0.5</t>
  </si>
  <si>
    <t>Hospital Summary Care Record Audit</t>
  </si>
  <si>
    <t>http://systems.hscic.gov.uk/scr/library/scrhospaudit.pdf/view</t>
  </si>
  <si>
    <t>The number of discrepancies that result in an adverse drug event; (65 ADE’s/1350 discrepancies) = 0.481</t>
  </si>
  <si>
    <t>Boockvar K S, Liu S, Goldstein N, et al. ‘Adverse drug events after patient transfer’ Qual Saf Health Care 2009 18: 32-36</t>
  </si>
  <si>
    <t>http://qualitysafety.bmj.com/content/18/1/32.short</t>
  </si>
  <si>
    <t>The average number of additional days spent in hospital as a result of an adverse drug event (avoidable/unavoidable): 2-4. (Authors suggest to use 2 days)</t>
  </si>
  <si>
    <t xml:space="preserve">Wiffen Pet al. Adverse drug reactions in hospital patients. Bandolier Extra. 2002: 1-16 </t>
  </si>
  <si>
    <t>http://www.medicine.ox.ac.uk/bandolier/extraforbando/adrpm.pdf</t>
  </si>
  <si>
    <t>NICE guidelines state that 'In an acute setting, accurately list all of the person's medicines (including prescribed, over‑the‑ counter and complementary medicines) and carry out medicines reconciliation within 24 hours or sooner if clinically necessary, when the person moves from one care setting to another – for example, if they are admitted to hospital' 
It is thought that Trusts should aim to reach 95% compliance and the SCR should enable them to approach this targets. To cite a specific example, evidence from one Trust shows that pre SCR the meds rec rate was 79% &amp; post SCR was 90% (source: HSCIC)</t>
  </si>
  <si>
    <t>Medicines optimisation: the safe and effective use of medicines to enable the best possible outcomes. National Centre for Clinical Excellence. March 2015</t>
  </si>
  <si>
    <t>https://www.nice.org.uk/guidance/ng5/chapter/1-Recommendations#medicines-reconciliation</t>
  </si>
  <si>
    <t>5,6</t>
  </si>
  <si>
    <t>Early evidence indicates that a benchmark for SCR viewing is up to 15% of patients (i.e. for other patients the information in SCR may not be appropriate/significant to the care they receive). Actual % where used can be a lot less so this assumption needs to be informed by local data. Avoidance of medication error where SCR is viewed is 41%.</t>
  </si>
  <si>
    <t>HSCIC. ED survey responses</t>
  </si>
  <si>
    <t>unpublished</t>
  </si>
  <si>
    <t>Average difference between time taken to establish the patient’s drug history for medicines reconciliation with and without SCR.  48 minutes (without) - 19 minutes (with SCR) = 29 minutes</t>
  </si>
  <si>
    <t>Hospital Summary Care Record Audit (as 1 above)</t>
  </si>
  <si>
    <t>General information at HSCIC SCR website</t>
  </si>
  <si>
    <t>http://systems.hscic.gov.uk/scr</t>
  </si>
  <si>
    <r>
      <t xml:space="preserve">The </t>
    </r>
    <r>
      <rPr>
        <b/>
        <sz val="11"/>
        <color indexed="8"/>
        <rFont val="Arial"/>
        <family val="2"/>
      </rPr>
      <t>primary care foundation</t>
    </r>
    <r>
      <rPr>
        <sz val="11"/>
        <color indexed="8"/>
        <rFont val="Arial"/>
        <family val="2"/>
      </rPr>
      <t xml:space="preserve">  have developed a financial model that focuses particularly on the NHS 111 and OOH ‘front end’ to an integrated urgent care system (but also looks at the cost of onward referrals to other services). This can be used by commissioners and providers to plan services in more detail. It requires users to define the nature of the 111 service that they are looking to establish, how the clinical hub will work, what mix of skills it might contain and challenges them to estimate what proportion of calls will go through the hub, what dispositions might be expected from the system. It also models the out of hours services across the locality and includes looking at and costing the referrals to other services such as UCCs or extended hours GP services.  It will be published by NHS England soon.</t>
    </r>
  </si>
  <si>
    <t>An average of 46% of medical heralded GP referrals for admission are now streamed to Ambulatory Emergency Care.  Overall 29% of the medical take is diverted to Ambulatory Emergency Care Unit  Based on the 12-week period an average of 14% of the Ambulatory activity has converted to admission to AAU.</t>
  </si>
  <si>
    <t>Emergency lifting equipment</t>
  </si>
  <si>
    <t>Clinical nurse specialist</t>
  </si>
  <si>
    <t>Additional  primary care contacts per patient</t>
  </si>
  <si>
    <t>Av medication errors avoided where SCR accessed</t>
  </si>
  <si>
    <t>% Population in base year</t>
  </si>
  <si>
    <t>What is the scope for the intervention to make a difference?</t>
  </si>
  <si>
    <t>Modelled below</t>
  </si>
  <si>
    <t>Additional activity to model</t>
  </si>
  <si>
    <t>What % do you want to increase it to?</t>
  </si>
  <si>
    <t xml:space="preserve">Channel shift per accepted referral </t>
  </si>
  <si>
    <t>Annual 111 answered calls</t>
  </si>
  <si>
    <t>Annual medical emergency admissions - acute trust</t>
  </si>
  <si>
    <t>Current AEC admissions / attends</t>
  </si>
  <si>
    <t>% of population currently with PCP</t>
  </si>
  <si>
    <t>What % do you want to increase to?</t>
  </si>
  <si>
    <t>What % do you want to address?</t>
  </si>
  <si>
    <t>Savings from avoided attendances</t>
  </si>
  <si>
    <t>Required additional community pharmacy minor ailments contacts</t>
  </si>
  <si>
    <t xml:space="preserve">Channel shift per re-triaged call </t>
  </si>
  <si>
    <t>Key results</t>
  </si>
  <si>
    <t>Current contacts urgent prescriptions (across all services: pharmacy, OOH, GP Service, ED )</t>
  </si>
  <si>
    <t>Annual emergency admissions</t>
  </si>
  <si>
    <t>Cost per patient seen</t>
  </si>
  <si>
    <t>Crew members per ambulance</t>
  </si>
  <si>
    <t>Unit cost at step threshold (semi fixed + variable)</t>
  </si>
  <si>
    <t>Baseline</t>
  </si>
  <si>
    <t>Local base data input</t>
  </si>
  <si>
    <t>Provider based view (cost base)</t>
  </si>
  <si>
    <t>Local Data input</t>
  </si>
  <si>
    <t>2) Baseline Activity</t>
  </si>
  <si>
    <t>Ambulance - hear and treat</t>
  </si>
  <si>
    <t>type 3 and 4</t>
  </si>
  <si>
    <t>general acute only</t>
  </si>
  <si>
    <t>3) Population</t>
  </si>
  <si>
    <t>4) Growth and Inflation Assumptions</t>
  </si>
  <si>
    <t>National assumptions</t>
  </si>
  <si>
    <t xml:space="preserve">Non elective admissions </t>
  </si>
  <si>
    <t>IHAM Rate applied</t>
  </si>
  <si>
    <t xml:space="preserve">Band </t>
  </si>
  <si>
    <t>Integrated clinical hubs - Integration of 111 and OOH hubs</t>
  </si>
  <si>
    <t>Community pharmacy: PGD minor ailments service</t>
  </si>
  <si>
    <t>Summary care record: Use in  ED</t>
  </si>
  <si>
    <t>Decreasing Ambulance conveyances: Hear and Treat</t>
  </si>
  <si>
    <t>Decreasing Ambulance conveyances: See and Treat</t>
  </si>
  <si>
    <t>Integrated clinical hubs - Increasing Clinical advisor consultations</t>
  </si>
  <si>
    <t>Intervention modelled for population of:</t>
  </si>
  <si>
    <t>Annual ambulance calls with response</t>
  </si>
  <si>
    <t>% of target projected to be achieved</t>
  </si>
  <si>
    <t xml:space="preserve">Target additional hear and treat </t>
  </si>
  <si>
    <t>Total call transfers saved</t>
  </si>
  <si>
    <t>Total additional AEC attendances modelled below</t>
  </si>
  <si>
    <t>Total additional AEC attends</t>
  </si>
  <si>
    <t>% of target modelled below</t>
  </si>
  <si>
    <t>% of target achieved</t>
  </si>
  <si>
    <t>Additional  UCC attendances</t>
  </si>
  <si>
    <t>Population to scale to</t>
  </si>
  <si>
    <t xml:space="preserve">Projected activity </t>
  </si>
  <si>
    <t>Projected change</t>
  </si>
  <si>
    <t>UEC channels</t>
  </si>
  <si>
    <t>a) Vanguard specific  Activity  growth assumption by channels</t>
  </si>
  <si>
    <t>b) Cost Inflation assumptions</t>
  </si>
  <si>
    <t>Projected activity (do nothing: counterfactual)</t>
  </si>
  <si>
    <t>They are composite cost inflation figure across pay and pensions, drugs, capita costs and other operating costs</t>
  </si>
  <si>
    <t>Net savings (excl. Set Up Costs)</t>
  </si>
  <si>
    <t xml:space="preserve">Commissioner view </t>
  </si>
  <si>
    <t>Ambulance - Hear and Treat</t>
  </si>
  <si>
    <t>Individual interventions have been developed based on specific areas and populations. The default output will simply use the output of  these models and scale (up to down) to the vanguard population input here. Users can also put in local data and assumptions into each model.</t>
  </si>
  <si>
    <t>Baseline activity and projections (counterfactual do nothing)</t>
  </si>
  <si>
    <t>Change from intervention channel shift impact (output of intervention)</t>
  </si>
  <si>
    <t>UEC channels - activity</t>
  </si>
  <si>
    <t>Projected cost change (system view with thresholds)</t>
  </si>
  <si>
    <t>Without interventions</t>
  </si>
  <si>
    <t>With interventions</t>
  </si>
  <si>
    <t>UCC attends +int</t>
  </si>
  <si>
    <t>TOTAL (cost)</t>
  </si>
  <si>
    <t>Change from intervention (input activity)</t>
  </si>
  <si>
    <t>Counterfactual Projected Growth above Baseline</t>
  </si>
  <si>
    <t>Net Change including Intervention Impact</t>
  </si>
  <si>
    <t>Channel Shift based on Interventions</t>
  </si>
  <si>
    <t>Counterfactual Growth above Baseline (i)</t>
  </si>
  <si>
    <t>Counterfactual Growth above Baseline (ii)</t>
  </si>
  <si>
    <t>Commissioner View</t>
  </si>
  <si>
    <t>System Cost</t>
  </si>
  <si>
    <t xml:space="preserve">Excl. Set Up </t>
  </si>
  <si>
    <t>Incl. Set Up</t>
  </si>
  <si>
    <t>NB. Negative numbers in the chart are a cost to the system</t>
  </si>
  <si>
    <t>Commissioner View - Intervention Impact</t>
  </si>
  <si>
    <t>Commissioner View - Counterfactual Cost Change above Baseline</t>
  </si>
  <si>
    <t>Commissioner View - Cost Change with Interventions</t>
  </si>
  <si>
    <t>System View (with thresholds) - Intervention Impact</t>
  </si>
  <si>
    <t>Select Channel to alter this graph:</t>
  </si>
  <si>
    <t>Interventions</t>
  </si>
  <si>
    <t>Model</t>
  </si>
  <si>
    <t>Description and evidence base</t>
  </si>
  <si>
    <t xml:space="preserve"> Additional cost info</t>
  </si>
  <si>
    <t>Net activity change for main UEC channels</t>
  </si>
  <si>
    <t>Current level of targeted activity</t>
  </si>
  <si>
    <t>Staff cost</t>
  </si>
  <si>
    <t>Resource input that drives capacity</t>
  </si>
  <si>
    <t>Capacity generated per resources input</t>
  </si>
  <si>
    <t>Additional capacity</t>
  </si>
  <si>
    <t>Channel shift. Avoided attendances elsewhere per unit of capacity</t>
  </si>
  <si>
    <t>Expected reduction per unit</t>
  </si>
  <si>
    <t xml:space="preserve">Channel shift </t>
  </si>
  <si>
    <t>Capacity (cases etc)</t>
  </si>
  <si>
    <t>input comment here</t>
  </si>
  <si>
    <t>annual capacity per resource input above. eg cases per WTE</t>
  </si>
  <si>
    <t xml:space="preserve">Other recurring cost </t>
  </si>
  <si>
    <t>eg IT, HR, training etc</t>
  </si>
  <si>
    <t>eg diagnostics</t>
  </si>
  <si>
    <t>2014/15 total non elective spell costs (inc XS bed days).  Divided by total non elective bed days. Excluding neonatal and maternity. Adjusted for inflation and cost efficiency</t>
  </si>
  <si>
    <t>2016/17 tariff for HRG VB1-7 weighted by attends by HRG from 2014/15 ref costs data</t>
  </si>
  <si>
    <t>2016/17 tariff for HRG VB8,9,11 weighted by attends by HRG (non admitted) from 2014/15 ref costs data</t>
  </si>
  <si>
    <t>2016/17 tariff</t>
  </si>
  <si>
    <t>Other costs</t>
  </si>
  <si>
    <t xml:space="preserve">Other Variable Cost </t>
  </si>
  <si>
    <t>2014/15 ambulance service national average reference costs.  Uplifted for inflation and adjusted for cost efficiency to 2016/17</t>
  </si>
  <si>
    <t>2014/15 district nurse face to face  national average reference costs.  Uplifted for inflation and adjusted for cost efficiency to 2016/17</t>
  </si>
  <si>
    <t xml:space="preserve">2014/15 intermediate care bed based  national average reference costs.  Uplifted for inflation and adjusted for cost efficiency to 2016/17 </t>
  </si>
  <si>
    <t>These outputs are at 16/17 prices and for one year.</t>
  </si>
  <si>
    <t>Projected cost change - commissioner view</t>
  </si>
  <si>
    <t xml:space="preserve">ED attends </t>
  </si>
  <si>
    <t>Commissioner cost  view</t>
  </si>
  <si>
    <t>Commissioner view (price based)</t>
  </si>
  <si>
    <t>Commissioner view</t>
  </si>
  <si>
    <t>Cost parameters  (Commissioner view)</t>
  </si>
  <si>
    <t>Evidence from Purdy review</t>
  </si>
  <si>
    <t>Development of personalised care plans (PCP) for patients who would benefit the most from this, particularly long-term conditions. This could be for up to 5% of patients on a GP practice list</t>
  </si>
  <si>
    <t>NHS England document which outlines the standards which commissioners should adhere to in order to commission a functionally integrated 24/7 urgent care access, clinical assessment, advice and treatment service; aiming to incorporate NHS 111 and Out of Hours services into a coherent service model.</t>
  </si>
  <si>
    <t>The model is built up from the minimum resourcing requirements set out in the NHS England draft policy paper provided by Neil Riley in the intervention definition taxonomy document namely that during opening hours the UCC must be staffed by at least two people, one of which must be a "registered health practitioner". The UCC standards in that paper describe the minimum skills of that staff member</t>
  </si>
  <si>
    <t xml:space="preserve">Intervention: Integrated Clinical Hub (UEC Standards)
OVERVIEW
The intent is to enable commissioners to deliver a functionally integrated 24/7 urgent care service that is the ‘front door’ of the NHS and which provides the public with access to both treatment and clinical advice. 
Part of this will be providing an integrated 'clinical hub' for calls across NHS 111 providers, GP Out-of-hours services and ambulance services. 
There are models  designed to look at:
 - Clinical adviser consultations  -  The impact of increasing input of clinical advisors to provide assessment, advice and, where necessary, onward referral as opposed to calls being handled solely by  call handlers.
-  Integration of hubs - The potential impact of integrating OOH, and 111 calls by reducing the 'hand offs' (transferring calls between different services) 
There may well be other savings that are not modelled here that are dependent on local circumstances e.g.
- savings from re-procurement of GP Out of Hours / 111 contracts
- further efficiency savings from having a single clinical hub - versus 111/OOH/999 such as reduced management overheads, ability to manage demand better thus enabling a a higher utilisation rates
- savings from improved systems for call handling.
In some areas, clinical hubs will be able to book directly into a wider range of services (broader than by ambulance and OOH) and can encompass single point of access services for community and mental health services. The impact of enabling this by developing referrals pathways, a directory of services and direct booking is  modelled under the 'referral processes' model. Care should be taken to avoid  double counting of benefits of these (and other interventions)
</t>
  </si>
  <si>
    <t xml:space="preserve">Intervention: Minor Ailments Service
The NHS England definition is: Services where pharmacists at Community Pharmacies prescribe to those who do not pay for prescriptions for minor ailments without the need for a prescription from General Practice or elsewhere.
This model is divided into two distinct schemes:  .
1. A minor ailments Patient Group Direction (PGD) service supplying a limited range of prescription only medicines (POMs) to treat bacterial conjunctivitis, impetigo, nappy rash, oral candidiasis and uncomplicated Urinary Tract Infections (UTIs) 
2.  An emergency supply service for patients on repeat medication.  This provides supplies for local patients out of hours and any time supplies for patients out of area
A third scheme; a  “winter ailments” service, was considered. This provided access to Over-The-Counter (OTC) medications to vulnerable groups (those with self limiting conditions and eligible for free prescriptions under a limited formulary;. However this scheme was discontinued as main impact was 'supply induced demand' in that most people who used the  scheme would have self cared (see paper in evidence tab). 
</t>
  </si>
  <si>
    <t>type 1. excluding minors (see below)</t>
  </si>
  <si>
    <t>type 1. Defined as HRGs VB08Z, VB09Z and VB011Z excluding admissions</t>
  </si>
  <si>
    <t xml:space="preserve">Nationally, 52% of patients who arrive at A&amp;E by ambulance are admitted. 
The EMAS study states 'From over 1300 referrals accepted by the CRFT in Northamptonshire in 2012, just over 1000 admissions were avoided'. These admissions can only be taken as truly avoided if  those 1000 patients would have been admitted without the crisis falls service. This cannot be true. Many would have been taken to A&amp;E been treated and discharged back home.
We have calculated change in admission rate on the basis that:
Before falls service 65% of falls patient conveyed to A&amp;E (from paper). Assuming 52% of those conveyed were admitted (as per national admission rate - see table)  this gives a figure of 34% of falls patients overall admitted without the crisis falls service.
With the crisis falls service, in paper above it reports that 261 out of 1311 were admitted – 20%.  So overall reduction in admissions is from 34% to 20% - i.e. 14%. </t>
  </si>
  <si>
    <t xml:space="preserve">Intervention: Decreasing Ambulance Conveyances to ED
OVERVIEW
The objective of the intervention is to increase the use of Hear and Treat and See and Treat to deflect unnecessary conveyances to ED
- Hear and treat but refers to any call that is successfully completed (“closed”) without despatching an ambulance vehicle response. This may include advice, self-care or a referral to other urgent care services. The intervention modelled here involves investment in clinical advisors who re-triage green ambulance calls with the aim of resolving more issues over the phone. Note evaluation of the success of hear and treat should include anonymised measurement of subsequent contacts with the entire integrated urgent care system, to ensure that the call has been fully resolved, and not simply deferred.   
- See and Treat: aims to bring care to patients as opposed to conveying them to hospital.  The intervention modelled is for a specialist paramedic team to go out to falls patients, but  the parameters can be changed to model any scenario where used for where Paramedics are given additional assessment, treatment and/ or referral skills.
</t>
  </si>
  <si>
    <t>24/7 access to ( in practice 16 hours (8am to Midnight) to a full range of urgent care services</t>
  </si>
  <si>
    <t xml:space="preserve">OVERVIEW - Enhanced Urgent Care Centre Standards 
Community and primary care facilities providing access to urgent care. They encompass walk-in-centres, minor injuries units, GP led Health Centres and similar facilities, including the majority of Type 3 A&amp;E Departments Note that the NHS Choices web site brackets UCCs, MIUs WiCs together as type 3 A&amp;E. The public may view these as interchangeable. 
This intervention has 2 impacts: (1) extension of opening times and (2) changes to patient / user behaviour 
1) Extended opening - Since this intervention is concerned with enhancing existing UCC services. The volume of activity is constrained by the number of existing UCC facilities, (WiCs, MIUs) and the opportunity to extend their opening hours, rather than a targeted ratio of health professional per head of population.  This contrasts with the GP extended hours initiative. In the latter, such targets make sense because surgeries are more evenly distributed across populated areas, whereas UCCs tend to be located in places with high foot fall and / or co-located with other UEC channels The UCC standards assume minimum opening hours of  8am to Midnight  The model is built up from the minimum resourcing requirements set out in the NHS England draft policy paper provided by NHS England in the intervention definition taxonomy document namely that during opening hours the UCC must be staffed by at least two people, one of which must be a "registered health practitioner". The UCC standards in that paper describe the minimum skills of that staff member The draft paper also states that the UCC must have access to diagnostic equipment etc. It is assumed that this equipment will be in place during normal working hours and that the additional costs are more intense use of that equipment i.e. higher depreciation and maintenance. 
2) Behavioural impact - UCC Standard # 20 says: (20) Where appropriate, patients attending an Urgent Care Centre should be provided with health and wellbeing advice and sign-posting to local community and social care services where they can self-refer (for example, smoking cessation services and sexual health, alcohol and drug services). The impact of this depends on the number of attendees with the conditions listed and the number needed to treat to reduce attendances 
</t>
  </si>
  <si>
    <t xml:space="preserve">Resources in Primary Community </t>
  </si>
  <si>
    <t>As part of an overall review this looked at the disposition of call from call handler versus  clinicians.  (Table 5.5: Dispositions of triaged calls by call advisers and clinicians). Summing across the sites and assuming that the 'no service' calls would be solely handed by call advisers we modelled change in disposition where there was clinician triage. the rate change in disposition per triaged call achieved was in table below.</t>
  </si>
  <si>
    <t xml:space="preserve">University Of Sheffield Evaluation of NHS 111 pilot sites
Final Report August 2012 </t>
  </si>
  <si>
    <t>It is assumed that many patients in the cohort will have 4 or more LTCs. This figure is based on 5 times the cost of a DAFNE course</t>
  </si>
  <si>
    <t>Assessing new patients and any carer at home</t>
  </si>
  <si>
    <t>a. Addressing emerging issues</t>
  </si>
  <si>
    <t>However they may also be non staff savings in closing existing sites, reduction in management overheads etc</t>
  </si>
  <si>
    <t>eg for maintenance of equipment, rent etc</t>
  </si>
  <si>
    <t>here linked to WTE - but could be other calculation, eg WTE excluding admin</t>
  </si>
  <si>
    <t>target  % of non elective admissions to reconcile with  SCR</t>
  </si>
  <si>
    <t>Health Education for patient Group - £000</t>
  </si>
  <si>
    <t xml:space="preserve">% AEC attenders discharged same day (excluding inappropriate referrals) </t>
  </si>
  <si>
    <t>Average additional out of hospital (community, domiciliary / respite) contacts  per patient discharged from AEC</t>
  </si>
  <si>
    <t>Unit cost at step threshold (variable + % of semi fixed)</t>
  </si>
  <si>
    <t xml:space="preserve">Appropriate patient caseload per year (excl. inappropriate referrals) </t>
  </si>
  <si>
    <t>Patient visits per year</t>
  </si>
  <si>
    <t>% inappropriate referrals (patients who would not otherwise have been admitted)</t>
  </si>
  <si>
    <t>Patient caseload per year</t>
  </si>
  <si>
    <t>Average care visits per patient</t>
  </si>
  <si>
    <t>% care visits double handed</t>
  </si>
  <si>
    <t>Total staff hours per patient</t>
  </si>
  <si>
    <t>% assessment visits double handed</t>
  </si>
  <si>
    <t>Face to face time assessment visit (mins)</t>
  </si>
  <si>
    <t>% time direct patient care</t>
  </si>
  <si>
    <t>Hours available for direct patient care</t>
  </si>
  <si>
    <t>HCA</t>
  </si>
  <si>
    <t>Target % reduction</t>
  </si>
  <si>
    <t>Avoidable admissions</t>
  </si>
  <si>
    <t>Rapid Response Services</t>
  </si>
  <si>
    <t>bed days  bigger than target!!!</t>
  </si>
  <si>
    <t>Channel shift per patient covered</t>
  </si>
  <si>
    <t>Patients covered</t>
  </si>
  <si>
    <t>Cost per patient covered</t>
  </si>
  <si>
    <t>Staff Cost</t>
  </si>
  <si>
    <t>Max % reduction by this intervention</t>
  </si>
  <si>
    <t>Uniforms</t>
  </si>
  <si>
    <t>Lease car cost</t>
  </si>
  <si>
    <t>This will include dressings, equipment for examination, eg BP monitor</t>
  </si>
  <si>
    <t>Clinical consumables</t>
  </si>
  <si>
    <t>per service</t>
  </si>
  <si>
    <t>Stationary</t>
  </si>
  <si>
    <t>per member of staff per year</t>
  </si>
  <si>
    <t>Mobile phone</t>
  </si>
  <si>
    <t>Maintenance/ services</t>
  </si>
  <si>
    <t>Mobile solution – lap tops / sim / license</t>
  </si>
  <si>
    <t>May want to consider following in intervention costs: below are example costs only</t>
  </si>
  <si>
    <t>TOTAL</t>
  </si>
  <si>
    <t>Care Home Educators IT Equipment</t>
  </si>
  <si>
    <t>Care Home Educators Travel</t>
  </si>
  <si>
    <t>Care Home Educator - Admin Support</t>
  </si>
  <si>
    <t>Care home Educators</t>
  </si>
  <si>
    <t>Care Home Educator - Lead</t>
  </si>
  <si>
    <t>Head of Quality - Care Homes</t>
  </si>
  <si>
    <t>Care Homes</t>
  </si>
  <si>
    <t>AFC +on costs</t>
  </si>
  <si>
    <r>
      <t xml:space="preserve">2016/17
£k
</t>
    </r>
    <r>
      <rPr>
        <i/>
        <sz val="12"/>
        <color indexed="8"/>
        <rFont val="Arial"/>
        <family val="2"/>
      </rPr>
      <t>1% uplift</t>
    </r>
  </si>
  <si>
    <t>Cost Type</t>
  </si>
  <si>
    <t>Pay Band</t>
  </si>
  <si>
    <t>Cost Item</t>
  </si>
  <si>
    <t>From VP2 plans</t>
  </si>
  <si>
    <t>Maybe assume 6 months before achieve results. So set up as half running costs</t>
  </si>
  <si>
    <t>Set up</t>
  </si>
  <si>
    <t>At Band 8a - to support the development and implementation of the Programme</t>
  </si>
  <si>
    <t>Project Worker - Band 8a</t>
  </si>
  <si>
    <t>To record necessary data. Cost Per Unit £576</t>
  </si>
  <si>
    <t xml:space="preserve">Each Home to have at least one tablet </t>
  </si>
  <si>
    <t>Set Up Costs</t>
  </si>
  <si>
    <t>Projected
Cost</t>
  </si>
  <si>
    <t>cost per unit / WTE</t>
  </si>
  <si>
    <t>Units / WTEs</t>
  </si>
  <si>
    <t>Rationale</t>
  </si>
  <si>
    <t>Cost Projections</t>
  </si>
  <si>
    <t>These are based on costs for setting up systems in a NE CCG</t>
  </si>
  <si>
    <t>Intervention (Initial Costs)</t>
  </si>
  <si>
    <t>Early Warning System</t>
  </si>
  <si>
    <t>Improved Referral processes - In Ambulance Service</t>
  </si>
  <si>
    <t>Improved Referral processes - In ED</t>
  </si>
  <si>
    <t>Improved Referral processes - In Care Homes</t>
  </si>
  <si>
    <t>Discharge Planning</t>
  </si>
  <si>
    <t>Care Home educators</t>
  </si>
  <si>
    <t>Early Warning Score in Care homes</t>
  </si>
  <si>
    <t>Channel shift per MiDos access</t>
  </si>
  <si>
    <t>Attended calls</t>
  </si>
  <si>
    <t>Referring service 1</t>
  </si>
  <si>
    <t xml:space="preserve">Ambulance service </t>
  </si>
  <si>
    <t>Emergency department</t>
  </si>
  <si>
    <t>Patients with stay 0 or 1 day discharged home</t>
  </si>
  <si>
    <t>Care homes</t>
  </si>
  <si>
    <t>Emergency bed days from care home admissions</t>
  </si>
  <si>
    <t>See and treat</t>
  </si>
  <si>
    <t>Channel shift per care home</t>
  </si>
  <si>
    <t>Baseline average admissions per resident</t>
  </si>
  <si>
    <t>Baseline average admissions per care home</t>
  </si>
  <si>
    <t>Recurrent cost per resident</t>
  </si>
  <si>
    <t>Recurrent cost per care home</t>
  </si>
  <si>
    <t>Total Recurrent Cost</t>
  </si>
  <si>
    <t>Travel and training materials</t>
  </si>
  <si>
    <t>Training Staff</t>
  </si>
  <si>
    <t>See, Treat and Convey (ambulance)</t>
  </si>
  <si>
    <t>See and Treat (ambulance)</t>
  </si>
  <si>
    <t>999 Calls</t>
  </si>
  <si>
    <t>Target</t>
  </si>
  <si>
    <t>Potential Reduction</t>
  </si>
  <si>
    <t>Potential reduction %</t>
  </si>
  <si>
    <t>Total Scope</t>
  </si>
  <si>
    <t xml:space="preserve">Channel </t>
  </si>
  <si>
    <t>Summary Potential and Target Impact</t>
  </si>
  <si>
    <t>% admissions following A&amp;E attendance for patients conveyed from care home</t>
  </si>
  <si>
    <t>Conveyances resulting in direct admission to ward</t>
  </si>
  <si>
    <t>Hear and Treat rate</t>
  </si>
  <si>
    <t>See and Treat Rate</t>
  </si>
  <si>
    <t>Conveyance Rate</t>
  </si>
  <si>
    <t>999 calls per care home per year</t>
  </si>
  <si>
    <t>Avge residents per care home</t>
  </si>
  <si>
    <t>Number of care homes</t>
  </si>
  <si>
    <t>Care home residents. Mainly frail elderly 75+</t>
  </si>
  <si>
    <t>Emergency admissions, Ambulance conveyances &amp; see and treat, ED attendances, 999 Calls</t>
  </si>
  <si>
    <t>not applicable for this intervention: patients would not have otherwise self cared</t>
  </si>
  <si>
    <t>Total bed days avoided</t>
  </si>
  <si>
    <t>Mean Bed Days avoided per readmission</t>
  </si>
  <si>
    <t>% Readmission</t>
  </si>
  <si>
    <t>Total community intervention team</t>
  </si>
  <si>
    <t>Admin</t>
  </si>
  <si>
    <t>Assistant Care Co-ordinator</t>
  </si>
  <si>
    <t>Care Co-ordinators</t>
  </si>
  <si>
    <t>Planned Care Manager</t>
  </si>
  <si>
    <t>Community services Intervention locality team</t>
  </si>
  <si>
    <t>Total LA DPT</t>
  </si>
  <si>
    <t>Care Purchasing Co-ordinator</t>
  </si>
  <si>
    <t>Care Manager</t>
  </si>
  <si>
    <t>Social worker</t>
  </si>
  <si>
    <t>Senior Social worker</t>
  </si>
  <si>
    <t>Local authority - discharge planning team</t>
  </si>
  <si>
    <t>Community Admin</t>
  </si>
  <si>
    <t>Acute Admin</t>
  </si>
  <si>
    <t>Discharge Planning Specialist Nurse</t>
  </si>
  <si>
    <t>Senior Discharge Planning Specialist Nurse</t>
  </si>
  <si>
    <t>Operational discharge planning manager</t>
  </si>
  <si>
    <t>Strategic discharge planning manager</t>
  </si>
  <si>
    <t>NHS discharge planning team</t>
  </si>
  <si>
    <t>Staff input</t>
  </si>
  <si>
    <t>Complex discharges</t>
  </si>
  <si>
    <t>Admitted Older people with medical conditions</t>
  </si>
  <si>
    <t>Channel shift per care home resident covered</t>
  </si>
  <si>
    <t>Number care homes residents covered</t>
  </si>
  <si>
    <t>Number care homes covered</t>
  </si>
  <si>
    <t>IT equipment</t>
  </si>
  <si>
    <t>Target reduction in emergency bed days</t>
  </si>
  <si>
    <t>Target reduction in emergency admissions from care homes</t>
  </si>
  <si>
    <t>Average LOS</t>
  </si>
  <si>
    <t>Emergency admissions, Ambulance conveyances, ED attendances</t>
  </si>
  <si>
    <t>Wi Fi transmission annual cost</t>
  </si>
  <si>
    <t>Laptop / tablet depreciation (£1000 over 5 years)</t>
  </si>
  <si>
    <t>Support worker</t>
  </si>
  <si>
    <t>Patients covered by EWS</t>
  </si>
  <si>
    <t>Number of care homes covered</t>
  </si>
  <si>
    <t>Target reduction in emergency beds (at av LOS stay 4 days)</t>
  </si>
  <si>
    <t>% emergency admissions from care homes</t>
  </si>
  <si>
    <t>Care home residents. Frail elderly 75+</t>
  </si>
  <si>
    <t>http://www.wales.nhs.uk/sitesplus/documents/829/Salford%20Joint%20Rapid%20Response%20Service.pdf</t>
  </si>
  <si>
    <t>Salford case study</t>
  </si>
  <si>
    <t>Salford Primary Care Trust and Salford City Council have a joint funded and jointly managed rapid response service.. For 321 patients evaluated, 307 (95% avoided an ambulance journey, 308 (96%) avoided A&amp;E or acute admission and 39 (12%) avoided emergency social care respite care</t>
  </si>
  <si>
    <t>https://www.gov.uk/guidance/moving-healthcare-closer-to-home</t>
  </si>
  <si>
    <t>selection</t>
  </si>
  <si>
    <t>Case studies: moving care closer to home</t>
  </si>
  <si>
    <t>http://www.pssru.ac.uk/project-pages/unit-costs/2015/</t>
  </si>
  <si>
    <t>PSSRU. Unit cost of health and social care 2015</t>
  </si>
  <si>
    <t>table 10.1 'Based on a study by Ball &amp; Philippou (2013),10 community nurses spent 43 per cent of their time on direct care and a further 18 per cent of their time on care planning, assessment and coordination. Nineteen per cent of time was spent on admin, 5 per cent on management, 14 per cent travelling with a further 1 per cent on other duties…. The median number of visits per day carried out by district nurses was 5.6 in 2008.'</t>
  </si>
  <si>
    <t>http://onlinelibrary.wiley.com/doi/10.1002/14651858.CD007491/abstract;jsessionid=0DAE35E351E8FE1A679D400BCCC505A6.f02t02</t>
  </si>
  <si>
    <t xml:space="preserve">Sheppard S, Doll H, Angus RM, Clarke MJ, Kalra L, Ricaunda NA, Wilson AD. Hospital at home admission avoidance (Review). Cochrane Database of Systematic Reviews 2008
</t>
  </si>
  <si>
    <t>http://www.cqc.org.uk/sites/default/files/documents/state_of_care_annex1.pdf</t>
  </si>
  <si>
    <t>The state of health care and adult social care in England. CQC 2012/13 Technical Annex 1: Avoidable admissions</t>
  </si>
  <si>
    <t>http://www.nwas.nhs.uk/professionals/paramedic-pathfinder/</t>
  </si>
  <si>
    <t>Paramedic pathfinder and community care pathways. 
The North West Ambulance Service (NWAS) implemented Paramedic Pathfinder in 2012. Based on the Manchester Triage System, Pathfinder is a consistent and clinically safe triage system to enable accurate face-toface assessment of individual patient needs on scene, identifying the most appropriate care pathway for that patient. This initiative has been adopted by several UK Ambulance Trusts and has enabled NWAS to increase safe care closer to home by over 10% in 3 years</t>
  </si>
  <si>
    <t xml:space="preserve">NHS England paper 'Commissioning standards Integrated Urgent Care' 2015
Section 4.4 relates to access to information on the Directory of Services
The technical annex sets out '127a. Achievement of milestones in the delivery of an integrated urgent care service'. and lists milestones as:
1. A single call to get an appointment Out of hours 
2. Data can be sent between providers 
3. The capacity for NHS 111 and Out of hours is jointly planned 
4. The Summary Care Record (SCR) is available in the hub and elsewhere 
5. Care plans and patient notes are shared 
6. Appointments can be made to in-hours GPs 
7. There is joint governance across Urgent and Emergency Care 
8. There is a Clinical Hub containing GPs and other health care professionals. 
</t>
  </si>
  <si>
    <t>http://www.nhs.uk/NHSEngland/keogh-review/Documents/UECR-ambulance-guidance-FV.PDF</t>
  </si>
  <si>
    <t>NHS England paper 'Clinical models for ambulance services'</t>
  </si>
  <si>
    <t>http://www.nhs.uk/NHSEngland/keogh-review/Documents/improving-referral-pathways-v1-FINAL.PDF</t>
  </si>
  <si>
    <t>NHS England paper 'Improving referral pathways between urgent and emergency services in England' 2015</t>
  </si>
  <si>
    <t>If assume admission rates for care home residents is  0.57 per person (as per quality watch paper.) reduction of 51% would take this to be 0.29. - which translates to a channel shift of 0.28 admissions per person.  If intervention targets care homes with higher admissions rates there may be scope for more reduction, if lower baseline admission rates then the scope for reduction may be less</t>
  </si>
  <si>
    <t>http://www.nursingtimes.net/roles/older-people-nursing/training-in-care-homes-to-reduce-avoidable-harm/5064668.article</t>
  </si>
  <si>
    <t>(Brownhill, K (2013) Training in care homes to reduce avoidable harm, Nursing Times; 09:43, 20-22)</t>
  </si>
  <si>
    <t>In appendix to quality watch paper gave figures for rates of activity</t>
  </si>
  <si>
    <t>http://www.qualitywatch.org.uk/content/about-hospital-admissions-care-homes</t>
  </si>
  <si>
    <t>QualityWatch - Focus on: Hospital admissions from care homes. Report form the Health foundation and Nuffield trust 2015</t>
  </si>
  <si>
    <t xml:space="preserve">An analysis exploring how care home residents use hospital services, and how this information could prompt improvement in the way care is provided
they report that It is estimated that around 325,000 older people live in care homes in England, representing around 4% of the population aged 65 and over. With the number of older people in the UK projected to double in the next 20 years, understanding the quality of care being delivered to care home residents will be of increasing importance to policy makers, commissioners and providers.
For the 'entire admissions population in 2011/12 for all people aged 75 and over, ...we identified 1,462,610 emergency admissions, of which 195,974 (13.4 per cent) were from a postcode containing a care home.
</t>
  </si>
  <si>
    <t>Centre  for Workforce Intelligence  Care Pathways Case Study (November 2011)</t>
  </si>
  <si>
    <t>http://www.cfwi.org.uk/publications/care-pathways-case-study-workforce-and-the-discharge-care-pathway-in-cambridgeshire</t>
  </si>
  <si>
    <t>CARE PATHWAYS CASE STUDY. WORKFORCE AND THE DISCHARGE PATHWAY IN CAMBRIDGESHIRE</t>
  </si>
  <si>
    <t>NECS benchmarking</t>
  </si>
  <si>
    <t>DTOC days</t>
  </si>
  <si>
    <t>Evidence from Systematic Reviews Purdy et al 2012</t>
  </si>
  <si>
    <t xml:space="preserve">Studies showing statistically significant impact </t>
  </si>
  <si>
    <t>http://www.sussexcommunity.nhs.uk/Downloads/news/docoboweb-pilot-evaluation-report.pdf</t>
  </si>
  <si>
    <t>Docoboweb Evaluation report. Sussex community Trust. 2014.</t>
  </si>
  <si>
    <t>http://health.gov.ie/wp-content/uploads/2015/01/NEWSFull-ReportAugust2014.pdf</t>
  </si>
  <si>
    <t>National Early Warning Score. Clinical guideline  from Irish clinical effectiveness committee 2015</t>
  </si>
  <si>
    <t>Paper sets out definition and recommendation of implementation of early warning schemes across whole healthcare system</t>
  </si>
  <si>
    <t>An analysis exploring how care home residents use hospital services, and how this information could prompt improvement in the way care is provided
they report that It is estimated that around 325,000 older people live in care homes in England, representing around 4% of the population aged 65 and over. With the number of older people in the UK projected to double in the next 20 years, understanding the quality of care being delivered to care home residents will be of increasing importance to policy makers, commissioners and providers</t>
  </si>
  <si>
    <t>Improving Patient Flows, The Health Foundation (based on South Warwickshire NHS FT and Sheffield Teaching Hospitals NHS FT)</t>
  </si>
  <si>
    <t>Avoiding admission by assessment at Home - the Front Door</t>
  </si>
  <si>
    <t>NHS England National Delayed Transfers of Care (DToC) data set.</t>
  </si>
  <si>
    <t>Information on the delayed transfer of care is based on information extracted from KPI 10 datasets by North of England Commissioning Support Unit. This shows that delays in assessments accounted for a third of delayed transfers of care in our example Hospital.
Modelling is based on the rate of Delayed Transfers of Care (DToC) for 2015/16, which was 4%.</t>
  </si>
  <si>
    <t xml:space="preserve">The key data inputs for the example hospital have been:
- an average length of stay for patients 65+ of 4 days 
- a unit cost per excess bed day for 65+ of £221
- Total non-elective admissions of 25,806
- number of emergency short stays 3,264
- emergency short stays for 65+ of 1,663
- Ambulatory Care admissions 65+ of 2,017
- Provider unit cost proportion 11%
</t>
  </si>
  <si>
    <t>SUS, SLAM systems data for South Tees CCG 2015-16</t>
  </si>
  <si>
    <t xml:space="preserve">Modelling is also based on 2014/15 activity, cost and delayed discharge data for an example hospital, the James Cook University Hospital in the Tees Valley.
</t>
  </si>
  <si>
    <t>Bellevue Case Study (South Tees CCG)
Improving Urgent Care: Discharge Home to Assess Pathway One - South Worcestershire CCG
Discharge to Assess Pilot Evaluation - Cambridgeshire and Peterborough CCG</t>
  </si>
  <si>
    <t>For those patients not discharged to their Home or Care Home, another approach has been developed, as part of the Worcestershire pilot and similar case studies in South Tees and Cambridge. This involves discharge to an intermediate or 'step-down' setting with rehabilitation support or to a Community hospital for rehabilitation, if the patient continues to require 24hr nursing care and daily medical review over a period of 2 to 6 weeks.
The model includes an assumption that 10% of patients will be discharged into Intermediate Care rather than their Home, and for an average length of stay of 20 days. The average daily cost per patient is around £90.</t>
  </si>
  <si>
    <t>Presentation introducing County Durham and Tees Valley D2A pilot
Improving Patient Flows, The Health Foundation (based on South Warwickshire NHS FT and Sheffield Teaching Hospitals NHS FT)
Improving Urgent Care: Discharge Home to Assess Pathway One - South Worcestershire CCG</t>
  </si>
  <si>
    <t xml:space="preserve">Discharging inpatients that are medically fit - the Back Door </t>
  </si>
  <si>
    <t xml:space="preserve">Profiling services: development of SNOMED-CT search terms for use by clinicians. Upkeep of existing referral pathways and development of new ones
Upkeep of LA/CVS directory integration </t>
  </si>
  <si>
    <t>12-month licences for maintaining links with LA/CVS directories, updating service information, etc.</t>
  </si>
  <si>
    <t xml:space="preserve">MiDoS software licence for LA/CVS </t>
  </si>
  <si>
    <t>12-month licence for all CCG-approved users</t>
  </si>
  <si>
    <t xml:space="preserve">MiDoS software licence for CCG </t>
  </si>
  <si>
    <t>Admin resource @ £250/day</t>
  </si>
  <si>
    <t>DoS support (administration)</t>
  </si>
  <si>
    <t>Senior resource @ £500/day</t>
  </si>
  <si>
    <t>DoS Strategy management</t>
  </si>
  <si>
    <t>Recurring (across services)</t>
  </si>
  <si>
    <t>Specialist resource - estimated fee across multiple directories</t>
  </si>
  <si>
    <t>MiDoS support (directory integration)</t>
  </si>
  <si>
    <t>Set up (across services)</t>
  </si>
  <si>
    <t xml:space="preserve">In addition there will be some set up and recurring costs across services. </t>
  </si>
  <si>
    <t>Total recurring</t>
  </si>
  <si>
    <t>Communications/ training</t>
  </si>
  <si>
    <t xml:space="preserve">IT Equipment, licences and telephony </t>
  </si>
  <si>
    <t>Recurring</t>
  </si>
  <si>
    <t xml:space="preserve">Training </t>
  </si>
  <si>
    <t>For model 3 (care homes)</t>
  </si>
  <si>
    <t>For model 2 (ED department)</t>
  </si>
  <si>
    <t>For model 1 (ambulance services)</t>
  </si>
  <si>
    <t>Number of Care Homes</t>
  </si>
  <si>
    <t>Staff in Care Homes requiring training</t>
  </si>
  <si>
    <t>Staff trained per session</t>
  </si>
  <si>
    <t>Length of training course (days)</t>
  </si>
  <si>
    <t>Certificate Duration (year)</t>
  </si>
  <si>
    <t>Staffing turnover rate</t>
  </si>
  <si>
    <t>Pump Prime - Year 1</t>
  </si>
  <si>
    <t>Sessions Required (year 1 pump prime)</t>
  </si>
  <si>
    <t>Training Days Required</t>
  </si>
  <si>
    <t>Working days per year</t>
  </si>
  <si>
    <t>Number of trainers required (WTE)</t>
  </si>
  <si>
    <t>Total WTE requirement</t>
  </si>
  <si>
    <t>Recurrent - Year 2 onwards</t>
  </si>
  <si>
    <t>Annual staff requiring training refresher</t>
  </si>
  <si>
    <t>Annual staffing turnover - new staff requiring training</t>
  </si>
  <si>
    <t>Annual recurrent staff requiring training</t>
  </si>
  <si>
    <t>Annual recurrent sessions required</t>
  </si>
  <si>
    <t>The Scheme proposed, initially in County Durham and Tees Valley (CDTV), involves the discharge of medically fit patients from Medical Wards to their Home (which may be a Care Home) without waiting for completion of the range of required medical assessments. The assessments are undertaken in the patient's home, and the D2A team provides 48 hours' intensive support to ensure successful discharge. The proposed approach is not resource intensive, as the required services exist and are already deployed - it is the timing and location which are key to reducing the length of stay for each patient that no longer needs to be in Hospital. The project is among a suite of initiatives that aim to reduce bed usage by 50% over 5 years. 
The CDTV Scheme is based on the Health Foundation's Improving Patient Flows report, drawn from work done at South Warwickshire and Sheffield Teaching Hospitals NHS FTs during the Flow Cost Quality programme. In analysing and responding to problems of patient flow, Sheffield moved to a model of 'discharge to assess' whereby patients who need post-discharge care are discharged as soon as they are medically fit, with assessment and care packages put in place with the patient at home. 
In Worcestershire, the D2A pilot project similarly supports earlier discharge by arranging a care package to ensure support at home. The pilot aims to deliver care in a more appropriate setting and improve the experience of patients who no longer need the care of an acute hospital but are able to manage at home with support or in a residential home. Patients are given appropriate support at home until a full assessment can take place and longer term care package be implemented.</t>
  </si>
  <si>
    <t>Template for input of locally defined intervention</t>
  </si>
  <si>
    <t>Savings in time taken to carry out reconciliations</t>
  </si>
  <si>
    <t>Average difference in minutes between time taken by pharmacist to establish the patient’s drug history for medicines reconciliation with and without SCR</t>
  </si>
  <si>
    <t>Saved Hours (across all reconciliations)</t>
  </si>
  <si>
    <t>% checks performed by pharmacist</t>
  </si>
  <si>
    <t>Saved WTEs</t>
  </si>
  <si>
    <t>% checks performed by medical technician</t>
  </si>
  <si>
    <t>Costed saved WTEs (full cost)</t>
  </si>
  <si>
    <t>Cost hospital pharmacist per hour (band 6)</t>
  </si>
  <si>
    <t>Cost medical technician per hour (band 4)</t>
  </si>
  <si>
    <t>The overall ADR impact on England is therefore estimated to be 4 out of 100 hospital bed-days,</t>
  </si>
  <si>
    <t>Sex</t>
  </si>
  <si>
    <t>% attendances where MiDoS accessed by paramedic</t>
  </si>
  <si>
    <t>Number patients for whom MiDoS accessed</t>
  </si>
  <si>
    <t>% attendances where MiDoS accessed by clinician</t>
  </si>
  <si>
    <t>Channel shift per MiDoS access</t>
  </si>
  <si>
    <t>Expected reduction per access (a negative figure represents an increase)</t>
  </si>
  <si>
    <t>111 calls where disposition OOH or ambulance service</t>
  </si>
  <si>
    <t>OOH calls where disposition 111 or ambulance service</t>
  </si>
  <si>
    <t>Ambulance service calls where disposition 111 or OOH</t>
  </si>
  <si>
    <t>Target % Minor ailments contacts to be managed in community pharmacy</t>
  </si>
  <si>
    <t>Target Minor ailments contacts to be managed in community pharmacy</t>
  </si>
  <si>
    <t>Target  %  to deflect to community pharmacy</t>
  </si>
  <si>
    <t xml:space="preserve">An analysis exploring how care home residents use hospital services, and how this information could prompt improvement in the way care is provided
they report that It is estimated that around 325,000 older people live in care homes in England, representing around 4% of the population aged 65 and over. With the number of older people in the UK projected to double in the next 20 years, understanding the quality of care being delivered to care home residents will be of increasing importance to policy makers, commissioners and providers.
For the 'entire admissions population in 2011/12 for all people aged 75 and over, ...we identified 1,462,610 emergency admissions, of which 195,974 (13.4 per cent) were from a postcode containing a care home. 
In the appendix table A3.1 gives rates compartive of emergency admissions for the population aged 75 and over. the rate for care home residents is given as 0.57 admissions per year and for non care home residences is 0.32 per person per year.
</t>
  </si>
  <si>
    <t>http://www.nhs.uk/NHSEngland/keogh-review/Pages/quick-guides.aspx</t>
  </si>
  <si>
    <t>MiDoS Accesses</t>
  </si>
  <si>
    <t xml:space="preserve">NHS England has worked collaboratively with stakeholders across different settings to develop several Quick Guide, relevant to care homes. These  comprises of case studies, ideas and practical tips on how to improve use of and   care for people living in care homes for commissioners and providers. The contents of the Quick Guide are to be taken as pragmatic recommendations to support local health and social care systems.
The quick guides include:
-Better use of care at home 
-Clinical input to care homes Identifying local care home placements
-Improving hospital discharge into the care sector 
-Technology in care homes
-sharing patient information.
</t>
  </si>
  <si>
    <r>
      <t xml:space="preserve">.
South Tyneside CCG  were considering implementing an “urgent care hub”, locating out-of-hours provision on a single site adjacent to an accident and emergency department and asked University of York carried out an evidence review of collocating urgent care services
The University of York reported that
-  </t>
    </r>
    <r>
      <rPr>
        <i/>
        <sz val="11"/>
        <color indexed="8"/>
        <rFont val="Arial"/>
        <family val="2"/>
      </rPr>
      <t>We did not find any systematic reviews assessing the effectiveness of a single site “urgent care hub”.
-  Reviews assessing strategies for triage and treating non-emergency cases presenting to emergency departments may inform elements of a single site hub
-  We found evidence that suggests triage liaison physicians, working in a team or alone, and fast-tracking patients with less serious symptoms both reduce emergency department waiting times and length of stay
-  Evidence from a small number of poor quality studies suggests that rapid assessment zones and employing general practitioners and nurse practitioners in emergency departments may improve the flow of non-emergency cases through the department.
-  The evidence about the safety and cost-effectiveness of any of these strategies is lacking.</t>
    </r>
    <r>
      <rPr>
        <sz val="11"/>
        <color indexed="8"/>
        <rFont val="Arial"/>
        <family val="2"/>
      </rPr>
      <t xml:space="preserve">
</t>
    </r>
  </si>
  <si>
    <r>
      <t xml:space="preserve">The Keogh report  states
(Page 25) </t>
    </r>
    <r>
      <rPr>
        <i/>
        <sz val="11"/>
        <color indexed="8"/>
        <rFont val="Arial"/>
        <family val="2"/>
      </rPr>
      <t xml:space="preserve">The co-location of primary care out of hours services with emergency departments provides opportunities for collaboration, routine two-way transfer of appropriate patients and can help decongest emergency departments (see: http://tinyurl.com/og9qv7t for further guidance on primary care supporting emergency departments).
(Page 36) Co-located urgent/primary care models should be considered. Where there is a co-located urgent care model there should be shared governance and a single ‘front door’ (see section11and http://tinyurl.com/lqcstpv)
The co-location of GP out-of-hours services with emergency departments provides opportunities for collaboration and the two-way transfer of appropriate patients.
</t>
    </r>
  </si>
  <si>
    <r>
      <t xml:space="preserve">Time to Act. College of Emergency Medicine and Patient association. Looks at some of the reason patients may attend A&amp;E instead of other urgent care channels.  Recommends the </t>
    </r>
    <r>
      <rPr>
        <i/>
        <sz val="11"/>
        <color indexed="8"/>
        <rFont val="Arial"/>
        <family val="2"/>
      </rPr>
      <t>' co-location of other out-of-hours services with A&amp;E departments to simplify patient decision-making while ensuring that all patients are streamed to the most appropriate care provider in a safe and timely manner'</t>
    </r>
  </si>
  <si>
    <r>
      <t xml:space="preserve">
Time to Act. College of Emergency Medicine and Patient association. May 2015
www.r</t>
    </r>
    <r>
      <rPr>
        <i/>
        <sz val="11"/>
        <color indexed="63"/>
        <rFont val="Arial"/>
        <family val="2"/>
      </rPr>
      <t>cem.ac.uk/CEM/document?id=8480</t>
    </r>
  </si>
  <si>
    <r>
      <rPr>
        <u/>
        <sz val="11"/>
        <color theme="1"/>
        <rFont val="Arial"/>
        <family val="2"/>
      </rPr>
      <t xml:space="preserve">1) Extended opening </t>
    </r>
    <r>
      <rPr>
        <sz val="11"/>
        <color theme="1"/>
        <rFont val="Arial"/>
        <family val="2"/>
      </rPr>
      <t>- Since this intervention is concerned with enhancing existing UCC services. The volume of activity is constrained by the number of existing UCC facilities, (WiCs, MIUs) and the opportunity to extend their opening hours, rather than a targeted ratio of health professional per head of population.  This contrasts with the GP extended hours initiative. In the latte, such targets make sense because surgeries are more evenly distributed across populated areas, whereas UCCs tend to be located in places with high foot fall and / or co-located with other UEC channels</t>
    </r>
  </si>
  <si>
    <r>
      <t xml:space="preserve">2) </t>
    </r>
    <r>
      <rPr>
        <u/>
        <sz val="11"/>
        <color theme="1"/>
        <rFont val="Arial"/>
        <family val="2"/>
      </rPr>
      <t>Behavioural impact</t>
    </r>
    <r>
      <rPr>
        <sz val="11"/>
        <color theme="1"/>
        <rFont val="Arial"/>
        <family val="2"/>
      </rPr>
      <t xml:space="preserve"> -</t>
    </r>
    <r>
      <rPr>
        <i/>
        <sz val="11"/>
        <color theme="1"/>
        <rFont val="Arial"/>
        <family val="2"/>
      </rPr>
      <t xml:space="preserve"> UCC Standard # 20 says: (20) Where appropriate, patients attending an Urgent Care Centre should be provided with health and wellbeing advice and sign-posting to local community and social care services where they can self-refer (for example, smoking cessation services and sexual health, alcohol and drug services). </t>
    </r>
    <r>
      <rPr>
        <sz val="11"/>
        <color theme="1"/>
        <rFont val="Arial"/>
        <family val="2"/>
      </rPr>
      <t>The impact of this depends on the number of attendees with the conditions listed and the number needed to treat to reduce attendances</t>
    </r>
  </si>
  <si>
    <r>
      <t>Evaluation of a pilot in in Nursing/Residential Homes within Coastal West Sussex. The aim  was to use Telehealth to assist in the early detection of signs and symptoms in patients  to prevent unnecessary admissions to hospital.
Once registered the home was asked to answer specific questions allocated to the individual patients on regular intervals throughout a 5 day week. Each patient had parameters set against each question and anything outside of this was flagged to  a community matron via a web. Action was then taken to address the anomaly which could be a telephone call or a visit 
They reported  a 75% reduction in admissions across the patients involved compared to the same period the year previously. 
Results included
Number of alerts : 8.3 per patients (513 across 92 patients in 8 months)
Based on the 46 patients at the end of the pilot they had 69 admissions in 2012/13 compared to 17 admissions 2013/14.  a reduction of 1.1 admissions over 8 months which can be scaled to 1.7 over a year.
NB</t>
    </r>
    <r>
      <rPr>
        <i/>
        <sz val="11"/>
        <color indexed="8"/>
        <rFont val="Arial"/>
        <family val="2"/>
      </rPr>
      <t xml:space="preserve"> i) Patient who died were excluded (these patients could well be more likely to have been admitted) . ii) Patient selected were those with high admission in previous year. Would expect a level of regression to mean. </t>
    </r>
  </si>
  <si>
    <t>% Implementation</t>
  </si>
  <si>
    <t>Avoided activity</t>
  </si>
  <si>
    <r>
      <t xml:space="preserve">A systematic review of admission avoidance through hospital at home (Sheppard et al, 2008; 2009) indicated that this service can provide an alternative to treatment in an acute hospital. The study reviewed 10 randomised controlled trials involving 850 patients.
A review of 10 high quality hospital-at-home studies, of services to provide care at home for people who would otherwise be admitted to hospital, showed them to lead to a 38% reduction in the risk of death over the next six months, an average saving of 14 hospital days per patient despite a 49% increase in readmissions, a markedly reduced risk of people with dementia going into an institution (by 89%), higher levels of patient satisfaction and lower costs to the health and social systems.
</t>
    </r>
    <r>
      <rPr>
        <i/>
        <sz val="11"/>
        <color indexed="8"/>
        <rFont val="Arial"/>
        <family val="2"/>
      </rPr>
      <t>Notes these schemes are not necessarily rapid response schemes but will include schemes which would require longer terms community input</t>
    </r>
  </si>
  <si>
    <t xml:space="preserve">OVERVIEW:
Summary Care Record (SCR) provides detailed information on a patient’s allergies, adverse reactions and medication history in a timely manner that may otherwise be unavailable when require). Accessing the patient’s SCR informs treatment  and referral  decisions, supports drug checks and reduces errors in medication. There is potential to enhance the summary care record with further information including  significant medical history and anticipatory care information.
Information including benefits of the  SCRs are set out on the HSCIC website http://systems.hscic.gov.uk/scr
The only benefits considered in this model are - reduction in adverse drug events arising from reduced prescribing errors for  emergency admissions and  A&amp;E attenders and Time saved on medicines reconciliation by pharmacy departments. We have specifically not considered benefits of accessing SCR / shared records re accessed where this is covered by other interventions to avoid double counting of benefits. Thus use of SCR / shared records by clinical hubs (999/111/OOH), community pharmacies (covered in MAS),  GP practices offering extended hours, and paramedics (reduced ambulance conveyances) are specifically NOT considered..
There will be other benefits not covered where access to the SCR will support improved clinical decision making. eg out of hours services, Urgent care centre, 111/ clinical hubs . Benefits will be possible not only in terms of quality but also in terms of reduced referrals elsewhere (admissions, ambulance conveyances). The evidence to support this largely based on expert opinion rather than quantified  by analysis of patient data thus are considered not robust enough to model in a quantified way For example a recent survey of clinicians in Accident and Emergency department suggested that the clinicians thought that accessing the SCR  would help inform  a treatment decision in  34% of cases, avoid an admission  in 1% of cases, avoid further tests / interventions in 5% of cases and save time chasing information.  All of these could potentially be translated into cost benefits.
Other benefits not modelled because of a lack of robust quantified evidence.  
-Reduction in time taken to check medication (apart from as part of medicines reconciliation for inpatients). So requests from all points of delivery (A&amp;E, OOH, etc) to GP surgery., and at the GP surgery responding to these requests.
-Reduction in referrals / admissions. Through  more informed clinical decisions.
-Reduction in litigation costs following adverse drug events
- Reduction in the number of referrals for further tests, procedures and interventions 
- Reduction in drugs wastage - by avoiding incorrect medication and duplication of existing.
- possible reduction in time taken to compile TTO (drugs patients sent home with)
Where have enhanced record or a shared care record:
-Reduction in referrals / admissions.  – as access to care plans can help identify alternative and more appropriate pathways (including for mental health and end of life care)
-Reduction in repeat tests – where info on past test availability
</t>
  </si>
  <si>
    <t>People will have easier and more convenient access to GP services, with the option to book appointments either in and out of hours (after 6.30pm weekdays and weekends).</t>
  </si>
  <si>
    <t>Potential savings modelled are from reduced attendances elsewhere (ED, OOH, UCC)</t>
  </si>
  <si>
    <t xml:space="preserve">OVERVIEW - Extended GP Opening </t>
  </si>
  <si>
    <t>Follow up on asthma and copd points below  in the Purdy et al evidence</t>
  </si>
  <si>
    <t>Note - Support / Trainers part of running costs so have taken out of set-up costs.</t>
  </si>
  <si>
    <t>Cost of teams is based those set out in the Centre  for Workforce Intelligence  Care Pathways Case Study (November 2011)</t>
  </si>
  <si>
    <t>Will depend on local circumstances. If eg expansion of existing service to cover additional evening / weekend hours may be minimal set up costs. If new service and further office space etc required may be substantial set up costs</t>
  </si>
  <si>
    <t>Profiling services: development of SNOMED-CT search terms for use by clinicians. Initial development Integration of LA/CVS directories to provide a single access point for searching across health and social care service information</t>
  </si>
  <si>
    <t>Cost (fee + VAT on drug cost)</t>
  </si>
  <si>
    <t>Cost across all contacts (fees + VAT on drug cost)</t>
  </si>
  <si>
    <t>Cost per contact (locally negotiated)</t>
  </si>
  <si>
    <t>Step threshold</t>
  </si>
  <si>
    <t>Baseline Cost per WTE (including 24% pensions and on costs)</t>
  </si>
  <si>
    <t>Care homes: Falls response training</t>
  </si>
  <si>
    <t xml:space="preserve">Non channel commissioner costs </t>
  </si>
  <si>
    <t>Additional staff hours per session for opening / closing surgery etc.</t>
  </si>
  <si>
    <t>supply induced demand - % that would otherwise have self cared</t>
  </si>
  <si>
    <t>approx. non elective 0 or 1 day admissions for C&amp;P</t>
  </si>
  <si>
    <t>Total max potential bed days to be saved - medically fit for discharge (DTOC days)</t>
  </si>
  <si>
    <t>Conveyances resulting in ED attendance</t>
  </si>
  <si>
    <t>Examples of this is below but users will need to use local information and costs.</t>
  </si>
  <si>
    <t xml:space="preserve"> </t>
  </si>
  <si>
    <t>Expected additional activity per re-triaged call</t>
  </si>
  <si>
    <t>Link</t>
  </si>
  <si>
    <t>Source/Link</t>
  </si>
  <si>
    <r>
      <t xml:space="preserve">This paper describes a project to deliver training to carers in care homes. Results stated were that
- Visits to the homes by district nurses and GPs fell by 60% </t>
    </r>
    <r>
      <rPr>
        <b/>
        <sz val="11"/>
        <color indexed="8"/>
        <rFont val="Arial"/>
        <family val="2"/>
      </rPr>
      <t xml:space="preserve"> </t>
    </r>
    <r>
      <rPr>
        <sz val="11"/>
        <color indexed="8"/>
        <rFont val="Arial"/>
        <family val="2"/>
      </rPr>
      <t>There was a 63% reduction in falls and a 75% reduction in recurrent falls 
- Care home-acquired grade 2 pressure ulcers were reduced by 63% and grade 3 and 4 by 88% 
- UTIs reduced by 66%; teaching the staff to dip test urine samples reduced the number of urine samples sent for analysis by 74%. 
- The number of care home residents admitted to hospital fell by 51%.</t>
    </r>
  </si>
  <si>
    <t>Comment</t>
  </si>
  <si>
    <r>
      <t>The Health Foundation's Improving Patient Flows report is based on work done at South Warwickshire and Sheffield Teaching Hospitals NHS FTs during the Flow Cost Quality programme. 
In addition to discharge the project covered '</t>
    </r>
    <r>
      <rPr>
        <i/>
        <sz val="11"/>
        <color indexed="8"/>
        <rFont val="Arial"/>
        <family val="2"/>
      </rPr>
      <t>meeting demand in real time at the front door</t>
    </r>
    <r>
      <rPr>
        <sz val="11"/>
        <color indexed="8"/>
        <rFont val="Arial"/>
        <family val="2"/>
      </rPr>
      <t>', and identified that for any generic hospital, problems with patient flow result not from a scarcity of resources but from resources not being available at the right times to meet what are essentially predictable demand patterns.
The FTs changed working patterns in A&amp;E, so its solution was not resource intensive. The required services and resources exist and are already deployed in the right places, only their timing changed in order to improve A&amp;E performance and patient experience. In Sheffield, a by-product of the flow problem was the admission of frail elderly patients that would have been avoided if the availability of senior decision making staff had matched demand.
Among the changes to working patterns and services, Sheffield also reviewed its '</t>
    </r>
    <r>
      <rPr>
        <i/>
        <sz val="11"/>
        <color indexed="8"/>
        <rFont val="Arial"/>
        <family val="2"/>
      </rPr>
      <t>Front Door Response Team</t>
    </r>
    <r>
      <rPr>
        <sz val="11"/>
        <color indexed="8"/>
        <rFont val="Arial"/>
        <family val="2"/>
      </rPr>
      <t>'. The principles of discharging, rather than admitting patients for the range of assessments proved very effective.
The implementation measured a 37% increase in frail elderly patients with a 0 or 1 day length of stay, and with no impact on readmission levels.</t>
    </r>
  </si>
  <si>
    <t>Sickness absence, annual leave, training etc</t>
  </si>
  <si>
    <t>Expected reduction per re-triaged call</t>
  </si>
  <si>
    <t>IT recurrent cost per advisor</t>
  </si>
  <si>
    <t>Target % 111 calls with clinical advisor consultation</t>
  </si>
  <si>
    <t>Target additional calls with additional clinical advisor consultation</t>
  </si>
  <si>
    <t>Year 1 - Set up cost increase - Clinical advisor</t>
  </si>
  <si>
    <t>INCREASING CLINICAL ADVISOR CONSULTATIONS</t>
  </si>
  <si>
    <t>Total additional calls with consultation with clinical advisor</t>
  </si>
  <si>
    <t>New % 111 calls with clinical advisor input</t>
  </si>
  <si>
    <t>Channel shift per clinical advisor consultation</t>
  </si>
  <si>
    <t>Channel shift - Avoided activity</t>
  </si>
  <si>
    <t xml:space="preserve">Channel shift - Savings from avoided activity </t>
  </si>
  <si>
    <t>Channel shift - Avoided handovers</t>
  </si>
  <si>
    <t xml:space="preserve">Channel shift - Avoided  activity </t>
  </si>
  <si>
    <t xml:space="preserve">Channel shift - Additional  activity </t>
  </si>
  <si>
    <t>Channel shift - Savings</t>
  </si>
  <si>
    <t>Cost per patient</t>
  </si>
  <si>
    <t>Channel shift - Rate of avoided activity elsewhere per patient with PCP</t>
  </si>
  <si>
    <t>Channel shift - Expected volume of avoided activity</t>
  </si>
  <si>
    <t>Cost savings</t>
  </si>
  <si>
    <t>Community care</t>
  </si>
  <si>
    <t xml:space="preserve">Capacity: cases per  hour </t>
  </si>
  <si>
    <t>Hours per year</t>
  </si>
  <si>
    <t>Staff related overheads (IT, HR etc)</t>
  </si>
  <si>
    <t>Channel shift - Expected volume of additional  activity</t>
  </si>
  <si>
    <t>Channel shift - Avoided attendances elsewhere per UCC attend</t>
  </si>
  <si>
    <t>Total Capacity</t>
  </si>
  <si>
    <t>Extra appointments during week days</t>
  </si>
  <si>
    <t>Baseline Cost per hour</t>
  </si>
  <si>
    <t>Channel shift - Avoided attendances elsewhere per extended hours attendance</t>
  </si>
  <si>
    <t xml:space="preserve">Channel shift - Avoided attendances </t>
  </si>
  <si>
    <t>Channel shift - Savings from Avoided attendances</t>
  </si>
  <si>
    <t>Total additional contacts</t>
  </si>
  <si>
    <t>Channel shift - Avoided attendances elsewhere per contact</t>
  </si>
  <si>
    <t>No other attendance avoided (demand led supply)</t>
  </si>
  <si>
    <t>Total contacts</t>
  </si>
  <si>
    <t>Activity</t>
  </si>
  <si>
    <t>Smart card management</t>
  </si>
  <si>
    <t>Privacy officer role</t>
  </si>
  <si>
    <t>Total emergency admissions with reconciliation</t>
  </si>
  <si>
    <t>Reduced Prescribing errors - Inpatients</t>
  </si>
  <si>
    <t xml:space="preserve">Channel shift - Savings from Avoided activity </t>
  </si>
  <si>
    <t>Parameters - Reduced time for medicines reconciliation, Inpatients</t>
  </si>
  <si>
    <t xml:space="preserve">Target % reduction </t>
  </si>
  <si>
    <t xml:space="preserve">Target reduction </t>
  </si>
  <si>
    <t>Both</t>
  </si>
  <si>
    <t>Emergency admissions following ambulance conveyances</t>
  </si>
  <si>
    <t>A whole-system model of care that supports same-day discharge. Acute Medicine in East Kent is working towards a wrap-around service that supports patients both in and out of hospital, so there is no need for them to remain in hospital longer than they need to</t>
  </si>
  <si>
    <t>The number of GP referrals that are discharged same-day has risen from 20% to 50% and this is due to the role that Ambulatory Care is playing in admissions avoidance</t>
  </si>
  <si>
    <t>Cost per bed day</t>
  </si>
  <si>
    <r>
      <t xml:space="preserve">Cost per AEC attendance. Assumed to be equivalent to cost of a bed day. </t>
    </r>
    <r>
      <rPr>
        <i/>
        <sz val="11"/>
        <color indexed="10"/>
        <rFont val="Arial"/>
        <family val="2"/>
      </rPr>
      <t>(would be  good to have further detail on this)</t>
    </r>
  </si>
  <si>
    <t>Cost per district nursing adult face to face attendance</t>
  </si>
  <si>
    <t xml:space="preserve">List of avoidable admissions from CQC State of healthcare paper with Fractures and sprains excluded.  </t>
  </si>
  <si>
    <t>Target % reduction in short stay admissions</t>
  </si>
  <si>
    <t>Target reduction in short stay admissions</t>
  </si>
  <si>
    <t>Clinical advisor hours per year</t>
  </si>
  <si>
    <t>Primary channels impacted:</t>
  </si>
  <si>
    <t>Admin support</t>
  </si>
  <si>
    <t>Travel</t>
  </si>
  <si>
    <t>Mobile solution (tablet / sim / license)</t>
  </si>
  <si>
    <t>Total staff minutes per patient assessment visits (minutes)</t>
  </si>
  <si>
    <t>Total staff minutes per patient care visits (minutes)</t>
  </si>
  <si>
    <t>Cost per visit</t>
  </si>
  <si>
    <t>Channel shift - Avoided activity elsewhere per patient covered</t>
  </si>
  <si>
    <t>* Intermediate care bed days same as ref cost</t>
  </si>
  <si>
    <t>Savings from avoided activity</t>
  </si>
  <si>
    <t>Total savings from avoided activity</t>
  </si>
  <si>
    <t xml:space="preserve">Set up costs - Clinical advisor input </t>
  </si>
  <si>
    <t>Re-location (if any)</t>
  </si>
  <si>
    <t>Etc</t>
  </si>
  <si>
    <t>Additional project support</t>
  </si>
  <si>
    <t>Workshops</t>
  </si>
  <si>
    <t>Legal / procurement / specialist advice</t>
  </si>
  <si>
    <t>Training and recruitment – clinical time</t>
  </si>
  <si>
    <t>% utilisation of clinical advisor time</t>
  </si>
  <si>
    <t>Average minutes clinical advisor call per patient</t>
  </si>
  <si>
    <t>Cost per WTE</t>
  </si>
  <si>
    <t>Current % 111 calls transferred to clinical advisor</t>
  </si>
  <si>
    <t>Average time per call</t>
  </si>
  <si>
    <t>Year 1 - Set up cost</t>
  </si>
  <si>
    <t>Year 1 - Set up cost - Hear and Treat</t>
  </si>
  <si>
    <t>Year 1 - Set up cost - See and Treat</t>
  </si>
  <si>
    <t>Total Additional appointments per 1000 poptn</t>
  </si>
  <si>
    <t>% GP contacts that could be managed in community pharmacy under proposed scheme</t>
  </si>
  <si>
    <t>Number GP contacts for minor ailments could be managed in community pharmacy</t>
  </si>
  <si>
    <t xml:space="preserve">Summary care record: Use for IP drug reconciliation </t>
  </si>
  <si>
    <t>Total recurring cost</t>
  </si>
  <si>
    <t>Target population:</t>
  </si>
  <si>
    <t>Client Group:</t>
  </si>
  <si>
    <t>Target emergency bed days saved</t>
  </si>
  <si>
    <t>Total NHS DPT</t>
  </si>
  <si>
    <t>Patient capacity per WTE (across all teams)</t>
  </si>
  <si>
    <t>Total patient referrals</t>
  </si>
  <si>
    <t>Cost per patient by team</t>
  </si>
  <si>
    <t xml:space="preserve"> Cost shift from Avoided activity </t>
  </si>
  <si>
    <t>Target reduction in Avoidable admissions</t>
  </si>
  <si>
    <t>Baseline yearly admissions from care homes covered prior to intervention</t>
  </si>
  <si>
    <t>Average residents per care home</t>
  </si>
  <si>
    <t>Cost per care home</t>
  </si>
  <si>
    <t>Cost per resident</t>
  </si>
  <si>
    <t>Average Care homes covered per Educator WTE</t>
  </si>
  <si>
    <t>Initial Set up cost</t>
  </si>
  <si>
    <t>Set up cost (see intervention cost tab)</t>
  </si>
  <si>
    <t>Total Educators</t>
  </si>
  <si>
    <t>Trainer</t>
  </si>
  <si>
    <t>Target % reduction in admissions from care homes</t>
  </si>
  <si>
    <t xml:space="preserve">uplift for High Cost Area </t>
  </si>
  <si>
    <t>cost per hour (band 1-9 42 weeks, 37.5 hours)</t>
  </si>
  <si>
    <t>cost per minute</t>
  </si>
  <si>
    <t>uplift for high cost area - permitted  values</t>
  </si>
  <si>
    <t>1) Price and cost</t>
  </si>
  <si>
    <t>Commissioner view (tariff / price base)</t>
  </si>
  <si>
    <t>% fixed</t>
  </si>
  <si>
    <t>% semi variable</t>
  </si>
  <si>
    <t>% variable</t>
  </si>
  <si>
    <t>threshold</t>
  </si>
  <si>
    <t>variable cost</t>
  </si>
  <si>
    <t>Extractable at threshold</t>
  </si>
  <si>
    <t>threshold rationale. (NB one WTE = 42 weeks*37.5 hours = 1575 hours)</t>
  </si>
  <si>
    <t>source  fully burdened cost (where available)</t>
  </si>
  <si>
    <t>2016/17 (no inflation applied)</t>
  </si>
  <si>
    <t xml:space="preserve">these figures are provided by NHS England. </t>
  </si>
  <si>
    <t>cost extractable at threshold</t>
  </si>
  <si>
    <t>variable cost (extractable below threshold)</t>
  </si>
  <si>
    <t>Nurse / paramedic clinical advisor</t>
  </si>
  <si>
    <t>Total other cost</t>
  </si>
  <si>
    <t>Channel shift - Avoided attendances</t>
  </si>
  <si>
    <t>Project management</t>
  </si>
  <si>
    <t xml:space="preserve">Readmission Bed days avoided </t>
  </si>
  <si>
    <t>Emergency admissions, ED attendances</t>
  </si>
  <si>
    <t>Average face to face time care visit (mins)</t>
  </si>
  <si>
    <t>Savings from Avoided activity</t>
  </si>
  <si>
    <t>Navigation To:</t>
  </si>
  <si>
    <t>Date Version</t>
  </si>
  <si>
    <t>Across all interventions</t>
  </si>
  <si>
    <t>from model</t>
  </si>
  <si>
    <t>Recurring Cost of intervention</t>
  </si>
  <si>
    <t>Population covered in modelled intervention</t>
  </si>
  <si>
    <t>scaled to population</t>
  </si>
  <si>
    <t>Assumptions Channel Shift:
reduction in activity and costs</t>
  </si>
  <si>
    <t>Additional reduction in activity required to reach next step threshold</t>
  </si>
  <si>
    <t>Rate change</t>
  </si>
  <si>
    <t>Activity change for new units input</t>
  </si>
  <si>
    <t>System cost change (with threshold)</t>
  </si>
  <si>
    <t>Activity change associated with intervention mapped to channel</t>
  </si>
  <si>
    <t>additional hear and treat</t>
  </si>
  <si>
    <t>additional see and treat</t>
  </si>
  <si>
    <t>Costed commissioner view</t>
  </si>
  <si>
    <t>Total net cost change excl set up</t>
  </si>
  <si>
    <t>Net savings (incl. 20% Set Up Costs)</t>
  </si>
  <si>
    <t>Cost change including 20% set up</t>
  </si>
  <si>
    <t>Channel shift - reduction in activity modelled</t>
  </si>
  <si>
    <t>Net activity change by channel</t>
  </si>
  <si>
    <t>Other non staff cost</t>
  </si>
  <si>
    <t>Cost Heading</t>
  </si>
  <si>
    <t>Beds</t>
  </si>
  <si>
    <t>Occupancy</t>
  </si>
  <si>
    <t>Total Bed Day Capacity Created</t>
  </si>
  <si>
    <t>Occupied Bed Day Capacity Created</t>
  </si>
  <si>
    <t>Community Ward Costs</t>
  </si>
  <si>
    <t>Length of Stay in Community Ward</t>
  </si>
  <si>
    <t>Total Number of Beds (capacity)</t>
  </si>
  <si>
    <t>Total Number of Bed Days (capacity)</t>
  </si>
  <si>
    <t>Bed Occupancy</t>
  </si>
  <si>
    <t>Occupied Bed Days</t>
  </si>
  <si>
    <t>WTE/Pas (programmed activity)</t>
  </si>
  <si>
    <t>Total Annual Costs</t>
  </si>
  <si>
    <t>Semi Fixed/Fixed Costs</t>
  </si>
  <si>
    <t>Band 7 Lead Nurse</t>
  </si>
  <si>
    <t>Band 6 Deputy Lead Nurse</t>
  </si>
  <si>
    <t>Band 6 Nursing</t>
  </si>
  <si>
    <t>Band 5 RGNs</t>
  </si>
  <si>
    <t>Band 2 HCAs</t>
  </si>
  <si>
    <t>NUH Medical Cover</t>
  </si>
  <si>
    <t>OT&amp;Physio Input</t>
  </si>
  <si>
    <t>Other (overheads, other non pay etc)</t>
  </si>
  <si>
    <t>Total Ward Costs excl. prescribing</t>
  </si>
  <si>
    <t>Variable Cost</t>
  </si>
  <si>
    <t>Mediciation and Suppliements (Prescribing - variable cost - £4.49 per bed day)</t>
  </si>
  <si>
    <t>Total Ward Costs including prescribing</t>
  </si>
  <si>
    <t>Equivilent Beds</t>
  </si>
  <si>
    <t>Annual Bed Days</t>
  </si>
  <si>
    <t>Cost Per Bed Day</t>
  </si>
  <si>
    <t>Bed Capacity</t>
  </si>
  <si>
    <t>RGN Nurse:BedRatio</t>
  </si>
  <si>
    <t>HCA Nurse:Bed Ratio</t>
  </si>
  <si>
    <t>Band 5 Input</t>
  </si>
  <si>
    <t>Hours Per Shift</t>
  </si>
  <si>
    <t>Number of Shifts</t>
  </si>
  <si>
    <t>Headcount per Shift</t>
  </si>
  <si>
    <t>Total Hours (excl. 21%)</t>
  </si>
  <si>
    <t>21% headroom</t>
  </si>
  <si>
    <t>Total Hours (incl. 21%)</t>
  </si>
  <si>
    <t>Annual Cost/hourly cost</t>
  </si>
  <si>
    <t>Mon - Fri Day Shifts Shifts (8am - 8:30pm)</t>
  </si>
  <si>
    <t>Mon-Fri Night Shifts (8pm to 8:30am)</t>
  </si>
  <si>
    <t>Saturday Shifts - Day</t>
  </si>
  <si>
    <t>Saturday Shifts - Night</t>
  </si>
  <si>
    <t>Sunday Shifts - Day</t>
  </si>
  <si>
    <t>Sunday Shifts - Night</t>
  </si>
  <si>
    <t>Handovers (built into shift pattern above)</t>
  </si>
  <si>
    <t>Bank Holiday Cost Adjustment</t>
  </si>
  <si>
    <t>Bank Holiday Shifts - Day</t>
  </si>
  <si>
    <t>Bank Holiday Shifts - Night</t>
  </si>
  <si>
    <t>Weekday Day Shifts</t>
  </si>
  <si>
    <t>Weekday Night Shifts</t>
  </si>
  <si>
    <t>Net Cost Pressure arising from Bank Holidays</t>
  </si>
  <si>
    <t>Total Band 5 Input</t>
  </si>
  <si>
    <t>Basic Annual Salary</t>
  </si>
  <si>
    <t>Hourly rate</t>
  </si>
  <si>
    <t>Band 2 Input Carers)</t>
  </si>
  <si>
    <t>Mon - Fri Day Shifts Shifts Early</t>
  </si>
  <si>
    <t>Mon-Fri Night Shifts (Late)</t>
  </si>
  <si>
    <t>Saturday Shifts - (Early)</t>
  </si>
  <si>
    <t>Saturday Shifts - (Late)</t>
  </si>
  <si>
    <t>Sunday Shifts - (Early)</t>
  </si>
  <si>
    <t>Sunday Shifts - (Late)</t>
  </si>
  <si>
    <t>Bank Holiday Shifts</t>
  </si>
  <si>
    <t>Total Band 2 Input</t>
  </si>
  <si>
    <t>Annual Cost</t>
  </si>
  <si>
    <t>Covered in the cost of the intervention</t>
  </si>
  <si>
    <t>N/A for this intervention.</t>
  </si>
  <si>
    <t>Bed occupancy and cost per occupied bed day</t>
  </si>
  <si>
    <t>Notional unit costs (from local data input tab)</t>
  </si>
  <si>
    <t>Current % see and treat</t>
  </si>
  <si>
    <t>Number higher than target avoidable admissions</t>
  </si>
  <si>
    <t>Number bigger than target!</t>
  </si>
  <si>
    <t>Title of Intervention</t>
  </si>
  <si>
    <t>Variable cost linked to WTE</t>
  </si>
  <si>
    <t>Variable cost linked to capacity / cases</t>
  </si>
  <si>
    <t>Linking resources to capacity</t>
  </si>
  <si>
    <t>Notional unit costs per Channel</t>
  </si>
  <si>
    <t xml:space="preserve">Target additional see and treat </t>
  </si>
  <si>
    <t>Number higher than WTE in cell E31!</t>
  </si>
  <si>
    <t>Staff_List</t>
  </si>
  <si>
    <t>GP advisor</t>
  </si>
  <si>
    <t>Nurse advisor</t>
  </si>
  <si>
    <t>Pharmacist advisor</t>
  </si>
  <si>
    <t>Emergency care practitioner</t>
  </si>
  <si>
    <t>Nurse</t>
  </si>
  <si>
    <t>Qualified Nurse / therapist</t>
  </si>
  <si>
    <t>Highly skilled paramedic</t>
  </si>
  <si>
    <t>Foundation house officer</t>
  </si>
  <si>
    <t>Select from list or type in job title</t>
  </si>
  <si>
    <t>Bed day capacity</t>
  </si>
  <si>
    <t>Community Ward</t>
  </si>
  <si>
    <t>Agenda for Change mid range salary 16/17</t>
  </si>
  <si>
    <r>
      <t xml:space="preserve">These figures are from the </t>
    </r>
    <r>
      <rPr>
        <b/>
        <sz val="11"/>
        <color theme="1"/>
        <rFont val="Arial"/>
        <family val="2"/>
      </rPr>
      <t>Indicative Hospital Activity Model</t>
    </r>
    <r>
      <rPr>
        <sz val="11"/>
        <color theme="1"/>
        <rFont val="Arial"/>
        <family val="2"/>
      </rPr>
      <t xml:space="preserve"> (IHAM).  This gives projected growth activity figures by CCG taking account of historic trends and demographic changed. Here figures have been summed across all CCGs in vanguard areas  to produce figures for overall vanguard growth
</t>
    </r>
  </si>
  <si>
    <t>L63*'local_data_input'!$C4</t>
  </si>
  <si>
    <t>Counterfactual cost pressure</t>
  </si>
  <si>
    <t>Cost view with interventions in place</t>
  </si>
  <si>
    <t>CHC patients who are medically fit for discharge</t>
  </si>
  <si>
    <t>Total Non-Elective Admissions (CHC)</t>
  </si>
  <si>
    <t>Average LoS for CHC patients</t>
  </si>
  <si>
    <t>Total Bed Days for CHC patients</t>
  </si>
  <si>
    <t>Community pharmacy: Emergency medication supply</t>
  </si>
  <si>
    <t>Total modelled below (avoided see and treat plus avoided see and convey to ED)</t>
  </si>
  <si>
    <t>Total modelled below (additional see and treat = avoided see and convey)</t>
  </si>
  <si>
    <t>Additional calls with clinical advisor consultation modelled below</t>
  </si>
  <si>
    <t>ED Minor attends 
(following ambulance conveyance)</t>
  </si>
  <si>
    <t>Current VB08, 09, 11 not admitted</t>
  </si>
  <si>
    <t>No attendance avoided - Extended hours attendance additional to other attendance or in place of self care</t>
  </si>
  <si>
    <t>ED Attends</t>
  </si>
  <si>
    <t>Current VB08, 09, 11 not admitted, seen at Type 1 ED</t>
  </si>
  <si>
    <t>ED (Type 1) attendances which may potentially be better served by a UCC appointment</t>
  </si>
  <si>
    <t>Total Avoided Cost</t>
  </si>
  <si>
    <t>Annual number of ED attends</t>
  </si>
  <si>
    <t>% ED attends with summary care record accessed</t>
  </si>
  <si>
    <t>Total ED attends</t>
  </si>
  <si>
    <t>Percent ED attends where SCR accessed</t>
  </si>
  <si>
    <t>ED attends with SCR accessed</t>
  </si>
  <si>
    <t>Ambulance conveyances to ED</t>
  </si>
  <si>
    <t>Care homes - MiDoS Access per year</t>
  </si>
  <si>
    <t xml:space="preserve">Projected activity change </t>
  </si>
  <si>
    <t>Projected cost change (system view with thresholds without recurring costs)</t>
  </si>
  <si>
    <t>Total  saving (excl set up)</t>
  </si>
  <si>
    <t>Total saving (incl set up)</t>
  </si>
  <si>
    <t>TOTAL (Saving)</t>
  </si>
  <si>
    <t>Discharge to Assess</t>
  </si>
  <si>
    <t>Discharge to assess</t>
  </si>
  <si>
    <t>Projected cost saving - commissioner view</t>
  </si>
  <si>
    <t>Projected cost saving - system view (with thresholds and recurring cost)</t>
  </si>
  <si>
    <t>Total current admissions from care homes</t>
  </si>
  <si>
    <t>Total ED attendances</t>
  </si>
  <si>
    <t>% ED Attendances from care homes</t>
  </si>
  <si>
    <t>Target % reduction in ED attendances from care homes</t>
  </si>
  <si>
    <t>Total current ED attendances from care homes</t>
  </si>
  <si>
    <t>Average care homes covered per trainer</t>
  </si>
  <si>
    <t>Average care homes covered per support worker</t>
  </si>
  <si>
    <t>Whole popn, generally older frail cohort</t>
  </si>
  <si>
    <t>Commissioner Savings</t>
  </si>
  <si>
    <t>System Savings</t>
  </si>
  <si>
    <t>Displaced Activity</t>
  </si>
  <si>
    <t>Net Savings below include both displaced and displacing activity</t>
  </si>
  <si>
    <t>Other reduction</t>
  </si>
  <si>
    <t xml:space="preserve">Avoided ED attends </t>
  </si>
  <si>
    <t>See and Convey reduction</t>
  </si>
  <si>
    <t>Reduction in ED Minor attends targeted</t>
  </si>
  <si>
    <t>Total modelled reduction in ED Minor attends</t>
  </si>
  <si>
    <t>ED Minor Attends</t>
  </si>
  <si>
    <t>Additional attended appointments</t>
  </si>
  <si>
    <t>OOH clinic visit is avoided</t>
  </si>
  <si>
    <t>Channel shift - Avoided activity elsewhere per contact</t>
  </si>
  <si>
    <t>Stationery</t>
  </si>
  <si>
    <t>Average LOS for Care home admission</t>
  </si>
  <si>
    <t xml:space="preserve">Total current emergency care home admissions </t>
  </si>
  <si>
    <t>Bed days for emergency care home admissions</t>
  </si>
  <si>
    <t>Average number of patients covered by EWS per care home</t>
  </si>
  <si>
    <t>Intervention contribution exceeds target</t>
  </si>
  <si>
    <t>System Savings (multiple thresholds)</t>
  </si>
  <si>
    <t>System Savings (with thresholds across interventions)</t>
  </si>
  <si>
    <r>
      <t>Assumptions Channel Shift (</t>
    </r>
    <r>
      <rPr>
        <b/>
        <sz val="11"/>
        <color rgb="FFFF0000"/>
        <rFont val="Arial"/>
        <family val="2"/>
      </rPr>
      <t>Please note - the figures in this section are used for graphical purposes and the sign polarisation is reversed - please use the tables above if you require correct figures</t>
    </r>
    <r>
      <rPr>
        <b/>
        <sz val="11"/>
        <color theme="1"/>
        <rFont val="Arial"/>
        <family val="2"/>
      </rPr>
      <t xml:space="preserve">) </t>
    </r>
  </si>
  <si>
    <t>Projected cost change (before incuding displaced activity)- commissioner view</t>
  </si>
  <si>
    <t>Projected displaced activity</t>
  </si>
  <si>
    <t>Projected cost of displaced activity - commissioner view</t>
  </si>
  <si>
    <t>Non Channel Commissioner Costs</t>
  </si>
  <si>
    <t>Target % of emergency admissions to reconcile with SCR</t>
  </si>
  <si>
    <t>Recurrent Staff Costs</t>
  </si>
  <si>
    <t>AEC Contacts required to reduce activity in other channels by 1 unit</t>
  </si>
  <si>
    <t>Average capacity per WTE Case Manager</t>
  </si>
  <si>
    <t>Assumed number of WTE Case Managers</t>
  </si>
  <si>
    <t>The system impact of these patients is already calculated in the above</t>
  </si>
  <si>
    <t>Estimated Cost per Unit per year</t>
  </si>
  <si>
    <t>Units per year</t>
  </si>
  <si>
    <t>Extended Hours Attendances</t>
  </si>
  <si>
    <t>To Intervention Cost Template</t>
  </si>
  <si>
    <t>To Rota Working Template</t>
  </si>
  <si>
    <t>Total Clinical WTE with a Caseload</t>
  </si>
  <si>
    <t>Total Clinical WTE with a Caseload (Sum of WTE minus Admin Staff)</t>
  </si>
  <si>
    <t>Number Higher than Total WTE</t>
  </si>
  <si>
    <t>Total Set Up cost</t>
  </si>
  <si>
    <t>Target Reduction</t>
  </si>
  <si>
    <t>% Ambition</t>
  </si>
  <si>
    <t>Average LOS for Emergency Admissions from Care Home</t>
  </si>
  <si>
    <t xml:space="preserve">Total emergency admissions </t>
  </si>
  <si>
    <t>Co-location of UTC</t>
  </si>
  <si>
    <t>ED (Type 1) attendances which may potentially be better served by a UTC appointment</t>
  </si>
  <si>
    <t xml:space="preserve">OVERVIEW - Co-Location of Urgent Treatment Centres with Emergency Departments 
The co-location of UTC services with emergency departments provides opportunities for collaboration, routine two-way transfer of appropriate patients and can help decongest emergency departments. 
Urgent treatment centres co-located with an A&amp;E department- on a hospital site with access to diagnostics and a full range of clinical staff.  There will be different models in different areas and may encompass GP OOH.  They may have a shared 'streaming' or front door triage.
One rationale is that is that patients default is often to attend A&amp;E with often minor problem that could be treated elsewhere in the Urgent care system (UTC/ MIU/WIC/ OOH).  There are many reasons for this but include lack of awareness of location and opening hours of UTCs. Co-locating UTCs with A&amp;E will address some of these reasons.
The main channel shift considered is from reduced ED attendance. But a UTC may attract attendances from other channels too dependent on behavioural change, or possibly other changes such as closure of other WIC/ MIU/ OOH  facilities.
Quality benefits, such as improved patient flows through ED, are not considered.
</t>
  </si>
  <si>
    <t>Urgent and Emergency pathway interventions model  FINAL DRAFT</t>
  </si>
  <si>
    <t>Management determination. % semi fixed that is addressable</t>
  </si>
  <si>
    <t>FINAL v1.0</t>
  </si>
  <si>
    <t>NHS Gateway approval no. 06315</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</si>
</sst>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quot;£&quot;* #,##0_-;\-&quot;£&quot;* #,##0_-;_-&quot;£&quot;* &quot;-&quot;??_-;_-@_-"/>
    <numFmt numFmtId="166" formatCode="_-* #,##0_-;\-* #,##0_-;_-* &quot;-&quot;??_-;_-@_-"/>
    <numFmt numFmtId="167" formatCode="0.000"/>
    <numFmt numFmtId="168" formatCode="&quot;£&quot;#,##0"/>
    <numFmt numFmtId="169" formatCode="0.0%"/>
    <numFmt numFmtId="170" formatCode="#,##0_ ;[Red]\-#,##0\ "/>
    <numFmt numFmtId="171" formatCode="_(&quot;$&quot;#,##0.0_);\(&quot;$&quot;#,##0.0\);_(&quot;-&quot;_)"/>
    <numFmt numFmtId="172" formatCode="#,##0;\(#,##0\)"/>
    <numFmt numFmtId="173" formatCode="_(&quot;$&quot;* #,##0.00_);_(&quot;$&quot;* \(#,##0.00\);_(&quot;$&quot;* &quot;-&quot;??_);_(@_)"/>
    <numFmt numFmtId="174" formatCode="[Magenta]&quot;Err&quot;;[Magenta]&quot;Err&quot;;[Blue]&quot;OK&quot;;[Black]@"/>
    <numFmt numFmtId="175" formatCode="General\ &quot;.&quot;"/>
    <numFmt numFmtId="176" formatCode="#,##0_);[Red]\(#,##0\);\-_)"/>
    <numFmt numFmtId="177" formatCode="0.0_)%;[Red]\(0.0%\);0.0_)%"/>
    <numFmt numFmtId="178" formatCode="\+\ #,##0.0_);\-\ #,##0.0_)"/>
    <numFmt numFmtId="179" formatCode="_-[$£-809]* #,##0_-;\-[$£-809]* #,##0_-;_-[$£-809]* &quot;-&quot;??_-;_-@_-"/>
    <numFmt numFmtId="180" formatCode="#,##0_ ;\-#,##0\ "/>
    <numFmt numFmtId="181" formatCode="#,##0.0"/>
    <numFmt numFmtId="182" formatCode="0%;[Red]\-0%"/>
    <numFmt numFmtId="183" formatCode="&quot;£&quot;#,##0_);[Red]\(&quot;£&quot;#,##0\)"/>
    <numFmt numFmtId="184" formatCode="&quot;£&quot;#,##0.00"/>
    <numFmt numFmtId="185" formatCode="0.0000"/>
    <numFmt numFmtId="186" formatCode="#,##0.0_);\(#,##0.0\);0.0_);@_)"/>
    <numFmt numFmtId="187" formatCode="#,##0.0_-;\(#,##0.0\);_-* &quot;-&quot;??_-"/>
    <numFmt numFmtId="188" formatCode=";;;"/>
    <numFmt numFmtId="189" formatCode="#,##0\ ;\(#,##0\);\-\ "/>
    <numFmt numFmtId="190" formatCode="&quot;to &quot;0.0000;&quot;to &quot;\-0.0000;&quot;to 0&quot;"/>
    <numFmt numFmtId="191" formatCode="_(* #,##0.00_);_(* \(#,##0.00\);_(* &quot;-&quot;??_);_(@_)"/>
    <numFmt numFmtId="192" formatCode="dd\ mmm\ yyyy_)"/>
    <numFmt numFmtId="193" formatCode="dd\-mmm\-yy_)"/>
    <numFmt numFmtId="194" formatCode="_-[$€-2]* #,##0.00_-;\-[$€-2]* #,##0.00_-;_-[$€-2]* &quot;-&quot;??_-"/>
    <numFmt numFmtId="195" formatCode="#,##0;\-#,##0;\-"/>
    <numFmt numFmtId="196" formatCode="0.0%_);\(0.0%\)"/>
    <numFmt numFmtId="197" formatCode="[&lt;0.0001]&quot;&lt;0.0001&quot;;0.0000"/>
    <numFmt numFmtId="198" formatCode="##0.0"/>
    <numFmt numFmtId="199" formatCode="##0.0\ \e"/>
    <numFmt numFmtId="200" formatCode="#,##0.0,,;\-#,##0.0,,;\-"/>
    <numFmt numFmtId="201" formatCode="#,##0,;\-#,##0,;\-"/>
    <numFmt numFmtId="202" formatCode="0.0%;\-0.0%;\-"/>
    <numFmt numFmtId="203" formatCode="#,##0.0,,;\-#,##0.0,,"/>
    <numFmt numFmtId="204" formatCode="#,##0,;\-#,##0,"/>
    <numFmt numFmtId="205" formatCode="0.0%;\-0.0%"/>
    <numFmt numFmtId="206" formatCode="#,##0;[Red]\(#,##0\)"/>
    <numFmt numFmtId="207" formatCode="_-[$£-809]* #,##0.00_-;\-[$£-809]* #,##0.00_-;_-[$£-809]* &quot;-&quot;??_-;_-@_-"/>
    <numFmt numFmtId="208" formatCode="[Red]&quot;Error(s)&quot;;[Red]&quot;Error(s)&quot;;\ &quot;&quot;"/>
    <numFmt numFmtId="209" formatCode="#,##0.00_ ;\-#,##0.00\ "/>
    <numFmt numFmtId="210" formatCode="#,##0.0_ ;\-#,##0.0\ "/>
    <numFmt numFmtId="211" formatCode="[$£-809]#,##0;\-[$£-809]#,##0"/>
    <numFmt numFmtId="212" formatCode="dd/mm/yyyy;@"/>
    <numFmt numFmtId="213" formatCode="#,##0.0000_ ;\-#,##0.0000\ "/>
  </numFmts>
  <fonts count="178">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sz val="9"/>
      <color indexed="81"/>
      <name val="Tahoma"/>
      <family val="2"/>
    </font>
    <font>
      <sz val="11"/>
      <color theme="1"/>
      <name val="Calibri"/>
      <family val="2"/>
      <scheme val="minor"/>
    </font>
    <font>
      <b/>
      <sz val="11"/>
      <color theme="1"/>
      <name val="Calibri"/>
      <family val="2"/>
      <scheme val="minor"/>
    </font>
    <font>
      <sz val="11"/>
      <color theme="1"/>
      <name val="Calibri"/>
      <family val="2"/>
    </font>
    <font>
      <sz val="11"/>
      <color rgb="FF000000"/>
      <name val="Calibri"/>
      <family val="2"/>
    </font>
    <font>
      <sz val="10"/>
      <color indexed="8"/>
      <name val="MS Sans Serif"/>
      <family val="2"/>
    </font>
    <font>
      <sz val="12"/>
      <name val="Times New Roman"/>
      <family val="1"/>
    </font>
    <font>
      <sz val="11"/>
      <color indexed="8"/>
      <name val="Calibri"/>
      <family val="2"/>
    </font>
    <font>
      <sz val="11"/>
      <color indexed="9"/>
      <name val="Calibri"/>
      <family val="2"/>
    </font>
    <font>
      <sz val="8"/>
      <name val="Arial"/>
      <family val="2"/>
    </font>
    <font>
      <sz val="11"/>
      <color indexed="20"/>
      <name val="Calibri"/>
      <family val="2"/>
    </font>
    <font>
      <sz val="11"/>
      <name val="Arial"/>
      <family val="2"/>
    </font>
    <font>
      <b/>
      <sz val="11"/>
      <color indexed="10"/>
      <name val="Calibri"/>
      <family val="2"/>
    </font>
    <font>
      <b/>
      <sz val="11"/>
      <color indexed="9"/>
      <name val="Calibri"/>
      <family val="2"/>
    </font>
    <font>
      <b/>
      <sz val="10"/>
      <color indexed="18"/>
      <name val="MS Sans Serif"/>
      <family val="2"/>
    </font>
    <font>
      <sz val="10"/>
      <name val="Trebuchet MS"/>
      <family val="2"/>
    </font>
    <font>
      <sz val="10"/>
      <color indexed="22"/>
      <name val="Arial"/>
      <family val="2"/>
    </font>
    <font>
      <i/>
      <sz val="11"/>
      <color indexed="23"/>
      <name val="Calibri"/>
      <family val="2"/>
    </font>
    <font>
      <b/>
      <sz val="8"/>
      <color indexed="12"/>
      <name val="Arial"/>
      <family val="2"/>
    </font>
    <font>
      <sz val="10"/>
      <color indexed="8"/>
      <name val="Arial"/>
      <family val="2"/>
    </font>
    <font>
      <b/>
      <sz val="12"/>
      <color indexed="8"/>
      <name val="Arial"/>
      <family val="2"/>
    </font>
    <font>
      <b/>
      <sz val="10.5"/>
      <color indexed="8"/>
      <name val="Arial"/>
      <family val="2"/>
    </font>
    <font>
      <sz val="10"/>
      <color indexed="12"/>
      <name val="Arial"/>
      <family val="2"/>
    </font>
    <font>
      <sz val="11"/>
      <color indexed="17"/>
      <name val="Calibri"/>
      <family val="2"/>
    </font>
    <font>
      <b/>
      <sz val="8"/>
      <name val="Arial"/>
      <family val="2"/>
    </font>
    <font>
      <b/>
      <sz val="14"/>
      <color indexed="60"/>
      <name val="Arial"/>
      <family val="2"/>
    </font>
    <font>
      <b/>
      <sz val="12"/>
      <color indexed="60"/>
      <name val="Arial"/>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u/>
      <sz val="11"/>
      <color indexed="12"/>
      <name val="Arial MT"/>
    </font>
    <font>
      <u/>
      <sz val="8.5"/>
      <color indexed="12"/>
      <name val="Microsoft Sans Serif"/>
      <family val="2"/>
    </font>
    <font>
      <sz val="7"/>
      <color indexed="12"/>
      <name val="Arial"/>
      <family val="2"/>
    </font>
    <font>
      <sz val="11"/>
      <color indexed="10"/>
      <name val="Calibri"/>
      <family val="2"/>
    </font>
    <font>
      <sz val="8"/>
      <color indexed="40"/>
      <name val="Arial"/>
      <family val="2"/>
    </font>
    <font>
      <sz val="8"/>
      <color indexed="10"/>
      <name val="Arial"/>
      <family val="2"/>
    </font>
    <font>
      <sz val="11"/>
      <color indexed="19"/>
      <name val="Calibri"/>
      <family val="2"/>
    </font>
    <font>
      <sz val="12"/>
      <name val="Arial MT"/>
    </font>
    <font>
      <sz val="10"/>
      <name val="MS Sans Serif"/>
      <family val="2"/>
    </font>
    <font>
      <sz val="10"/>
      <color theme="1"/>
      <name val="Arial"/>
      <family val="2"/>
    </font>
    <font>
      <sz val="10"/>
      <name val="Verdana"/>
      <family val="2"/>
    </font>
    <font>
      <sz val="8.5"/>
      <name val="Microsoft Sans Serif"/>
      <family val="2"/>
    </font>
    <font>
      <sz val="11"/>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10"/>
      <name val="Geneva"/>
    </font>
    <font>
      <b/>
      <sz val="16"/>
      <color indexed="9"/>
      <name val="Arial"/>
      <family val="2"/>
    </font>
    <font>
      <b/>
      <sz val="10"/>
      <name val="Arial"/>
      <family val="2"/>
    </font>
    <font>
      <b/>
      <sz val="11"/>
      <color indexed="8"/>
      <name val="Calibri"/>
      <family val="2"/>
    </font>
    <font>
      <sz val="11"/>
      <color theme="1"/>
      <name val="Arial"/>
      <family val="2"/>
    </font>
    <font>
      <u/>
      <sz val="11"/>
      <color theme="10"/>
      <name val="Calibri"/>
      <family val="2"/>
      <scheme val="minor"/>
    </font>
    <font>
      <sz val="11"/>
      <name val="Calibri"/>
      <family val="2"/>
      <scheme val="minor"/>
    </font>
    <font>
      <b/>
      <sz val="18"/>
      <color theme="3"/>
      <name val="Calibri Light"/>
      <family val="2"/>
      <scheme val="major"/>
    </font>
    <font>
      <b/>
      <sz val="11"/>
      <color indexed="52"/>
      <name val="Calibri"/>
      <family val="2"/>
    </font>
    <font>
      <b/>
      <sz val="15"/>
      <color indexed="56"/>
      <name val="Calibri"/>
      <family val="2"/>
    </font>
    <font>
      <b/>
      <sz val="13"/>
      <color indexed="56"/>
      <name val="Calibri"/>
      <family val="2"/>
    </font>
    <font>
      <b/>
      <sz val="11"/>
      <color indexed="56"/>
      <name val="Calibri"/>
      <family val="2"/>
    </font>
    <font>
      <u/>
      <sz val="11"/>
      <color indexed="12"/>
      <name val="Times New Roman"/>
      <family val="2"/>
    </font>
    <font>
      <sz val="11"/>
      <color indexed="62"/>
      <name val="Calibri"/>
      <family val="2"/>
    </font>
    <font>
      <sz val="11"/>
      <color indexed="52"/>
      <name val="Calibri"/>
      <family val="2"/>
    </font>
    <font>
      <sz val="11"/>
      <color indexed="60"/>
      <name val="Calibri"/>
      <family val="2"/>
    </font>
    <font>
      <b/>
      <sz val="18"/>
      <color indexed="56"/>
      <name val="Cambria"/>
      <family val="2"/>
    </font>
    <font>
      <sz val="9"/>
      <name val="Arial"/>
      <family val="2"/>
    </font>
    <font>
      <b/>
      <sz val="10"/>
      <color indexed="18"/>
      <name val="Arial"/>
      <family val="2"/>
    </font>
    <font>
      <sz val="10"/>
      <color rgb="FF0000FF"/>
      <name val="Arial"/>
      <family val="2"/>
    </font>
    <font>
      <b/>
      <sz val="10"/>
      <color indexed="8"/>
      <name val="Arial"/>
      <family val="2"/>
    </font>
    <font>
      <sz val="10"/>
      <name val="Tahoma"/>
      <family val="2"/>
    </font>
    <font>
      <b/>
      <sz val="11"/>
      <color indexed="55"/>
      <name val="Arial"/>
      <family val="2"/>
    </font>
    <font>
      <sz val="11"/>
      <color indexed="10"/>
      <name val="Arial"/>
      <family val="2"/>
    </font>
    <font>
      <sz val="8"/>
      <name val="Times New Roman"/>
      <family val="1"/>
    </font>
    <font>
      <i/>
      <sz val="8"/>
      <name val="Times New Roman"/>
      <family val="1"/>
    </font>
    <font>
      <b/>
      <sz val="9"/>
      <color indexed="18"/>
      <name val="Arial"/>
      <family val="2"/>
    </font>
    <font>
      <b/>
      <sz val="9"/>
      <color indexed="8"/>
      <name val="Arial"/>
      <family val="2"/>
    </font>
    <font>
      <b/>
      <sz val="12"/>
      <color indexed="12"/>
      <name val="Arial"/>
      <family val="2"/>
    </font>
    <font>
      <b/>
      <i/>
      <sz val="10"/>
      <name val="Arial"/>
      <family val="2"/>
    </font>
    <font>
      <i/>
      <sz val="10"/>
      <name val="Arial"/>
      <family val="2"/>
    </font>
    <font>
      <u/>
      <sz val="10"/>
      <color theme="10"/>
      <name val="Arial"/>
      <family val="2"/>
    </font>
    <font>
      <sz val="10"/>
      <color indexed="24"/>
      <name val="Arial"/>
      <family val="2"/>
    </font>
    <font>
      <i/>
      <sz val="8"/>
      <color indexed="62"/>
      <name val="Arial"/>
      <family val="2"/>
    </font>
    <font>
      <sz val="12"/>
      <name val="Helv"/>
    </font>
    <font>
      <sz val="8"/>
      <color indexed="52"/>
      <name val="Arial"/>
      <family val="2"/>
    </font>
    <font>
      <sz val="8"/>
      <color indexed="51"/>
      <name val="Arial"/>
      <family val="2"/>
    </font>
    <font>
      <b/>
      <sz val="10"/>
      <color indexed="58"/>
      <name val="Arial"/>
      <family val="2"/>
    </font>
    <font>
      <sz val="10"/>
      <color indexed="39"/>
      <name val="Arial"/>
      <family val="2"/>
    </font>
    <font>
      <b/>
      <sz val="16"/>
      <color indexed="23"/>
      <name val="Arial"/>
      <family val="2"/>
    </font>
    <font>
      <sz val="10"/>
      <color indexed="10"/>
      <name val="Arial"/>
      <family val="2"/>
    </font>
    <font>
      <b/>
      <sz val="12"/>
      <name val="Arial"/>
      <family val="2"/>
    </font>
    <font>
      <b/>
      <sz val="10"/>
      <name val="Tahoma"/>
      <family val="2"/>
    </font>
    <font>
      <i/>
      <sz val="7"/>
      <name val="Arial"/>
      <family val="2"/>
    </font>
    <font>
      <i/>
      <sz val="8"/>
      <color indexed="12"/>
      <name val="Arial"/>
      <family val="2"/>
    </font>
    <font>
      <i/>
      <sz val="8"/>
      <name val="Arial"/>
      <family val="2"/>
    </font>
    <font>
      <b/>
      <sz val="11"/>
      <name val="Times New Roman"/>
      <family val="1"/>
    </font>
    <font>
      <sz val="10"/>
      <color rgb="FF000000"/>
      <name val="Arial"/>
      <family val="2"/>
    </font>
    <font>
      <sz val="10.5"/>
      <color rgb="FF000000"/>
      <name val="Arial"/>
      <family val="2"/>
    </font>
    <font>
      <sz val="11"/>
      <color rgb="FF000000"/>
      <name val="Arial"/>
      <family val="2"/>
    </font>
    <font>
      <b/>
      <sz val="11"/>
      <color indexed="8"/>
      <name val="Arial"/>
      <family val="2"/>
    </font>
    <font>
      <sz val="11"/>
      <color indexed="8"/>
      <name val="Arial"/>
      <family val="2"/>
    </font>
    <font>
      <i/>
      <sz val="11"/>
      <color indexed="10"/>
      <name val="Arial"/>
      <family val="2"/>
    </font>
    <font>
      <sz val="14"/>
      <color indexed="81"/>
      <name val="Tahoma"/>
      <family val="2"/>
    </font>
    <font>
      <sz val="16"/>
      <color indexed="81"/>
      <name val="Tahoma"/>
      <family val="2"/>
    </font>
    <font>
      <b/>
      <sz val="14"/>
      <color rgb="FF00B050"/>
      <name val="Calibri"/>
      <family val="2"/>
      <scheme val="minor"/>
    </font>
    <font>
      <b/>
      <sz val="20"/>
      <color theme="0"/>
      <name val="Arial"/>
      <family val="2"/>
    </font>
    <font>
      <sz val="12"/>
      <name val="Arial"/>
      <family val="2"/>
    </font>
    <font>
      <b/>
      <sz val="9"/>
      <color indexed="81"/>
      <name val="Tahoma"/>
      <family val="2"/>
    </font>
    <font>
      <b/>
      <sz val="12"/>
      <color theme="1"/>
      <name val="Arial"/>
      <family val="2"/>
    </font>
    <font>
      <sz val="12"/>
      <color theme="1"/>
      <name val="Arial"/>
      <family val="2"/>
    </font>
    <font>
      <i/>
      <sz val="12"/>
      <color indexed="8"/>
      <name val="Arial"/>
      <family val="2"/>
    </font>
    <font>
      <sz val="11"/>
      <color indexed="22"/>
      <name val="Arial"/>
      <family val="2"/>
    </font>
    <font>
      <b/>
      <sz val="11"/>
      <name val="Arial"/>
      <family val="2"/>
    </font>
    <font>
      <b/>
      <sz val="16"/>
      <color theme="1"/>
      <name val="Arial"/>
      <family val="2"/>
    </font>
    <font>
      <b/>
      <sz val="11"/>
      <color theme="0"/>
      <name val="Arial"/>
      <family val="2"/>
    </font>
    <font>
      <sz val="11"/>
      <color rgb="FFFF0000"/>
      <name val="Arial"/>
      <family val="2"/>
    </font>
    <font>
      <b/>
      <sz val="11"/>
      <color theme="1"/>
      <name val="Arial"/>
      <family val="2"/>
    </font>
    <font>
      <sz val="11"/>
      <color theme="0"/>
      <name val="Arial"/>
      <family val="2"/>
    </font>
    <font>
      <b/>
      <sz val="14"/>
      <color theme="1"/>
      <name val="Arial"/>
      <family val="2"/>
    </font>
    <font>
      <u/>
      <sz val="11"/>
      <color theme="10"/>
      <name val="Arial"/>
      <family val="2"/>
    </font>
    <font>
      <sz val="11"/>
      <color rgb="FF212121"/>
      <name val="Arial"/>
      <family val="2"/>
    </font>
    <font>
      <sz val="16"/>
      <color theme="1"/>
      <name val="Arial"/>
      <family val="2"/>
    </font>
    <font>
      <u/>
      <sz val="11"/>
      <color theme="1"/>
      <name val="Arial"/>
      <family val="2"/>
    </font>
    <font>
      <sz val="18"/>
      <color theme="1"/>
      <name val="Arial"/>
      <family val="2"/>
    </font>
    <font>
      <i/>
      <sz val="11"/>
      <color theme="1"/>
      <name val="Arial"/>
      <family val="2"/>
    </font>
    <font>
      <b/>
      <i/>
      <sz val="11"/>
      <color theme="1"/>
      <name val="Arial"/>
      <family val="2"/>
    </font>
    <font>
      <b/>
      <sz val="11"/>
      <color rgb="FFFF0000"/>
      <name val="Arial"/>
      <family val="2"/>
    </font>
    <font>
      <b/>
      <sz val="11"/>
      <color rgb="FF000000"/>
      <name val="Arial"/>
      <family val="2"/>
    </font>
    <font>
      <u/>
      <sz val="12"/>
      <color theme="10"/>
      <name val="Arial"/>
      <family val="2"/>
    </font>
    <font>
      <b/>
      <i/>
      <sz val="11"/>
      <name val="Arial"/>
      <family val="2"/>
    </font>
    <font>
      <sz val="11"/>
      <color theme="1"/>
      <name val="Aria"/>
    </font>
    <font>
      <u/>
      <sz val="11"/>
      <color theme="10"/>
      <name val="Aria"/>
    </font>
    <font>
      <b/>
      <sz val="11"/>
      <color theme="1"/>
      <name val="Aria"/>
    </font>
    <font>
      <b/>
      <sz val="11"/>
      <name val="Aria"/>
    </font>
    <font>
      <b/>
      <i/>
      <sz val="11"/>
      <name val="Aria"/>
    </font>
    <font>
      <b/>
      <sz val="11"/>
      <color theme="0"/>
      <name val="Aria"/>
    </font>
    <font>
      <sz val="11"/>
      <color rgb="FF000000"/>
      <name val="Aria"/>
    </font>
    <font>
      <i/>
      <sz val="11"/>
      <color theme="1"/>
      <name val="Aria"/>
    </font>
    <font>
      <sz val="11"/>
      <name val="Aria"/>
    </font>
    <font>
      <sz val="11"/>
      <color theme="0"/>
      <name val="Aria"/>
    </font>
    <font>
      <b/>
      <sz val="11"/>
      <color rgb="FFFF0000"/>
      <name val="Aria"/>
    </font>
    <font>
      <b/>
      <sz val="14"/>
      <color theme="4" tint="-0.499984740745262"/>
      <name val="Arial"/>
      <family val="2"/>
    </font>
    <font>
      <b/>
      <sz val="11"/>
      <color rgb="FFFFFFFF"/>
      <name val="Arial"/>
      <family val="2"/>
    </font>
    <font>
      <sz val="14"/>
      <color rgb="FF000000"/>
      <name val="Arial"/>
      <family val="2"/>
    </font>
    <font>
      <sz val="18"/>
      <color rgb="FF000000"/>
      <name val="Arial"/>
      <family val="2"/>
    </font>
    <font>
      <sz val="14"/>
      <color theme="0"/>
      <name val="Arial"/>
      <family val="2"/>
    </font>
    <font>
      <sz val="12"/>
      <color theme="0"/>
      <name val="Arial"/>
      <family val="2"/>
    </font>
    <font>
      <b/>
      <sz val="14"/>
      <color theme="0"/>
      <name val="Arial"/>
      <family val="2"/>
    </font>
    <font>
      <b/>
      <sz val="12"/>
      <color theme="0"/>
      <name val="Arial"/>
      <family val="2"/>
    </font>
    <font>
      <i/>
      <sz val="11"/>
      <color indexed="8"/>
      <name val="Arial"/>
      <family val="2"/>
    </font>
    <font>
      <i/>
      <sz val="11"/>
      <color indexed="63"/>
      <name val="Arial"/>
      <family val="2"/>
    </font>
    <font>
      <b/>
      <sz val="12"/>
      <color rgb="FFFFFFFF"/>
      <name val="Arial"/>
      <family val="2"/>
    </font>
    <font>
      <b/>
      <u/>
      <sz val="11"/>
      <color theme="1"/>
      <name val="Arial"/>
      <family val="2"/>
    </font>
    <font>
      <b/>
      <i/>
      <sz val="12"/>
      <name val="Arial"/>
      <family val="2"/>
    </font>
    <font>
      <u/>
      <sz val="11"/>
      <color rgb="FF0000FF"/>
      <name val="Arial"/>
      <family val="2"/>
    </font>
    <font>
      <b/>
      <u/>
      <sz val="12"/>
      <name val="Arial"/>
      <family val="2"/>
    </font>
    <font>
      <b/>
      <u/>
      <sz val="12"/>
      <color theme="1"/>
      <name val="Arial"/>
      <family val="2"/>
    </font>
    <font>
      <b/>
      <u val="singleAccounting"/>
      <sz val="11"/>
      <color theme="1"/>
      <name val="Arial"/>
      <family val="2"/>
    </font>
    <font>
      <sz val="10"/>
      <color rgb="FFFF0000"/>
      <name val="Arial"/>
      <family val="2"/>
    </font>
    <font>
      <b/>
      <i/>
      <sz val="11"/>
      <color rgb="FFFF0000"/>
      <name val="Calibri"/>
      <family val="2"/>
      <scheme val="minor"/>
    </font>
    <font>
      <b/>
      <sz val="10"/>
      <color theme="0"/>
      <name val="Arial"/>
      <family val="2"/>
    </font>
    <font>
      <b/>
      <sz val="11"/>
      <color theme="0"/>
      <name val="Calibri"/>
      <family val="2"/>
      <scheme val="minor"/>
    </font>
    <font>
      <sz val="11"/>
      <color theme="0"/>
      <name val="Calibri"/>
      <family val="2"/>
      <scheme val="minor"/>
    </font>
    <font>
      <b/>
      <u/>
      <sz val="16"/>
      <color theme="1"/>
      <name val="Calibri"/>
      <family val="2"/>
      <scheme val="minor"/>
    </font>
    <font>
      <b/>
      <u/>
      <sz val="11"/>
      <color theme="0"/>
      <name val="Calibri"/>
      <family val="2"/>
      <scheme val="minor"/>
    </font>
    <font>
      <i/>
      <u/>
      <sz val="11"/>
      <color theme="0"/>
      <name val="Calibri"/>
      <family val="2"/>
      <scheme val="minor"/>
    </font>
    <font>
      <u/>
      <sz val="11"/>
      <color rgb="FF0070C0"/>
      <name val="Arial"/>
      <family val="2"/>
    </font>
    <font>
      <b/>
      <sz val="11"/>
      <color theme="4" tint="-0.499984740745262"/>
      <name val="Arial"/>
      <family val="2"/>
    </font>
    <font>
      <sz val="11"/>
      <color rgb="FF0070C0"/>
      <name val="Arial"/>
      <family val="2"/>
    </font>
    <font>
      <sz val="28"/>
      <color theme="1"/>
      <name val="Arial"/>
      <family val="2"/>
    </font>
    <font>
      <sz val="22"/>
      <color theme="1"/>
      <name val="Arial"/>
      <family val="2"/>
    </font>
    <font>
      <u/>
      <sz val="11"/>
      <name val="Arial"/>
      <family val="2"/>
    </font>
  </fonts>
  <fills count="87">
    <fill>
      <patternFill patternType="none"/>
    </fill>
    <fill>
      <patternFill patternType="gray125"/>
    </fill>
    <fill>
      <patternFill patternType="solid">
        <fgColor rgb="FFFFFFFF"/>
        <bgColor rgb="FF000000"/>
      </patternFill>
    </fill>
    <fill>
      <patternFill patternType="solid">
        <fgColor theme="0"/>
        <bgColor rgb="FF000000"/>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4"/>
        <bgColor indexed="64"/>
      </patternFill>
    </fill>
    <fill>
      <patternFill patternType="solid">
        <fgColor rgb="FFFFC00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31"/>
        <bgColor indexed="64"/>
      </patternFill>
    </fill>
    <fill>
      <patternFill patternType="solid">
        <fgColor indexed="9"/>
      </patternFill>
    </fill>
    <fill>
      <patternFill patternType="solid">
        <fgColor indexed="55"/>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solid">
        <fgColor indexed="32"/>
        <bgColor indexed="64"/>
      </patternFill>
    </fill>
    <fill>
      <patternFill patternType="solid">
        <fgColor indexed="26"/>
        <bgColor indexed="64"/>
      </patternFill>
    </fill>
    <fill>
      <patternFill patternType="solid">
        <fgColor rgb="FFFFFF00"/>
        <bgColor indexed="64"/>
      </patternFill>
    </fill>
    <fill>
      <patternFill patternType="solid">
        <fgColor rgb="FF0070C0"/>
        <bgColor indexed="64"/>
      </patternFill>
    </fill>
    <fill>
      <patternFill patternType="solid">
        <fgColor theme="6" tint="0.59999389629810485"/>
        <bgColor indexed="64"/>
      </patternFill>
    </fill>
    <fill>
      <patternFill patternType="solid">
        <fgColor rgb="FFFFFFCC"/>
      </patternFill>
    </fill>
    <fill>
      <patternFill patternType="solid">
        <fgColor indexed="11"/>
        <bgColor indexed="64"/>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rgb="FFFFFF79"/>
        <bgColor indexed="64"/>
      </patternFill>
    </fill>
    <fill>
      <patternFill patternType="solid">
        <fgColor rgb="FFFFFFCC"/>
        <bgColor indexed="64"/>
      </patternFill>
    </fill>
    <fill>
      <patternFill patternType="solid">
        <fgColor indexed="27"/>
        <bgColor indexed="64"/>
      </patternFill>
    </fill>
    <fill>
      <patternFill patternType="solid">
        <fgColor indexed="47"/>
        <bgColor indexed="64"/>
      </patternFill>
    </fill>
    <fill>
      <patternFill patternType="solid">
        <fgColor indexed="17"/>
        <bgColor indexed="64"/>
      </patternFill>
    </fill>
    <fill>
      <patternFill patternType="solid">
        <fgColor rgb="FFFFFF66"/>
        <bgColor indexed="64"/>
      </patternFill>
    </fill>
    <fill>
      <patternFill patternType="solid">
        <fgColor theme="9" tint="-0.14996795556505021"/>
        <bgColor indexed="64"/>
      </patternFill>
    </fill>
    <fill>
      <patternFill patternType="solid">
        <fgColor indexed="43"/>
        <bgColor indexed="64"/>
      </patternFill>
    </fill>
    <fill>
      <patternFill patternType="solid">
        <fgColor indexed="55"/>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4"/>
        <bgColor indexed="64"/>
      </patternFill>
    </fill>
    <fill>
      <patternFill patternType="solid">
        <fgColor indexed="24"/>
        <bgColor indexed="64"/>
      </patternFill>
    </fill>
    <fill>
      <patternFill patternType="solid">
        <fgColor indexed="13"/>
        <bgColor indexed="64"/>
      </patternFill>
    </fill>
    <fill>
      <patternFill patternType="solid">
        <fgColor rgb="FF254061"/>
        <bgColor indexed="64"/>
      </patternFill>
    </fill>
    <fill>
      <patternFill patternType="solid">
        <fgColor rgb="FFFF0000"/>
        <bgColor indexed="64"/>
      </patternFill>
    </fill>
    <fill>
      <patternFill patternType="solid">
        <fgColor theme="3" tint="-0.249977111117893"/>
        <bgColor indexed="64"/>
      </patternFill>
    </fill>
    <fill>
      <patternFill patternType="solid">
        <fgColor theme="4" tint="0.59996337778862885"/>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rgb="FF000000"/>
      </patternFill>
    </fill>
    <fill>
      <patternFill patternType="solid">
        <fgColor theme="0" tint="-0.249977111117893"/>
        <bgColor indexed="64"/>
      </patternFill>
    </fill>
    <fill>
      <patternFill patternType="solid">
        <fgColor rgb="FF00F66F"/>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tint="0.39997558519241921"/>
        <bgColor rgb="FF000000"/>
      </patternFill>
    </fill>
    <fill>
      <patternFill patternType="solid">
        <fgColor rgb="FF31EF48"/>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1"/>
        <bgColor indexed="64"/>
      </patternFill>
    </fill>
  </fills>
  <borders count="17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bottom/>
      <diagonal/>
    </border>
    <border>
      <left style="medium">
        <color indexed="18"/>
      </left>
      <right style="medium">
        <color indexed="18"/>
      </right>
      <top style="medium">
        <color indexed="18"/>
      </top>
      <bottom style="medium">
        <color indexed="18"/>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double">
        <color auto="1"/>
      </left>
      <right/>
      <top/>
      <bottom style="double">
        <color auto="1"/>
      </bottom>
      <diagonal/>
    </border>
    <border>
      <left/>
      <right/>
      <top style="thin">
        <color indexed="56"/>
      </top>
      <bottom style="double">
        <color indexed="56"/>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medium">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bottom style="thin">
        <color auto="1"/>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top style="medium">
        <color auto="1"/>
      </top>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style="medium">
        <color indexed="8"/>
      </right>
      <top/>
      <bottom/>
      <diagonal/>
    </border>
    <border>
      <left style="dashed">
        <color indexed="28"/>
      </left>
      <right style="dashed">
        <color indexed="28"/>
      </right>
      <top style="dashed">
        <color indexed="28"/>
      </top>
      <bottom style="dashed">
        <color indexed="28"/>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auto="1"/>
      </top>
      <bottom style="thin">
        <color indexed="63"/>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theme="0" tint="-0.34998626667073579"/>
      </top>
      <bottom style="medium">
        <color theme="0" tint="-0.34998626667073579"/>
      </bottom>
      <diagonal/>
    </border>
    <border>
      <left/>
      <right/>
      <top style="thin">
        <color theme="0" tint="-0.34998626667073579"/>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auto="1"/>
      </left>
      <right style="medium">
        <color auto="1"/>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double">
        <color auto="1"/>
      </left>
      <right/>
      <top/>
      <bottom style="double">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theme="3" tint="0.59996337778862885"/>
      </left>
      <right style="thin">
        <color theme="3" tint="0.59996337778862885"/>
      </right>
      <top style="thin">
        <color theme="3" tint="0.59996337778862885"/>
      </top>
      <bottom/>
      <diagonal/>
    </border>
    <border>
      <left/>
      <right/>
      <top style="medium">
        <color auto="1"/>
      </top>
      <bottom/>
      <diagonal/>
    </border>
    <border>
      <left/>
      <right/>
      <top style="thin">
        <color auto="1"/>
      </top>
      <bottom/>
      <diagonal/>
    </border>
    <border>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auto="1"/>
      </top>
      <bottom style="thin">
        <color indexed="63"/>
      </bottom>
      <diagonal/>
    </border>
    <border>
      <left style="thin">
        <color auto="1"/>
      </left>
      <right style="thin">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right/>
      <top style="medium">
        <color auto="1"/>
      </top>
      <bottom/>
      <diagonal/>
    </border>
    <border>
      <left/>
      <right/>
      <top/>
      <bottom style="thin">
        <color theme="3" tint="0.59996337778862885"/>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style="thin">
        <color auto="1"/>
      </left>
      <right style="medium">
        <color auto="1"/>
      </right>
      <top/>
      <bottom style="thin">
        <color auto="1"/>
      </bottom>
      <diagonal/>
    </border>
    <border>
      <left style="medium">
        <color auto="1"/>
      </left>
      <right style="thin">
        <color auto="1"/>
      </right>
      <top/>
      <bottom/>
      <diagonal/>
    </border>
    <border>
      <left style="thin">
        <color auto="1"/>
      </left>
      <right style="medium">
        <color auto="1"/>
      </right>
      <top/>
      <bottom/>
      <diagonal/>
    </border>
    <border>
      <left/>
      <right/>
      <top style="thin">
        <color auto="1"/>
      </top>
      <bottom/>
      <diagonal/>
    </border>
    <border>
      <left/>
      <right/>
      <top style="thin">
        <color auto="1"/>
      </top>
      <bottom/>
      <diagonal/>
    </border>
    <border>
      <left/>
      <right style="thin">
        <color auto="1"/>
      </right>
      <top style="thin">
        <color auto="1"/>
      </top>
      <bottom/>
      <diagonal/>
    </border>
    <border>
      <left/>
      <right style="medium">
        <color auto="1"/>
      </right>
      <top style="medium">
        <color auto="1"/>
      </top>
      <bottom/>
      <diagonal/>
    </border>
    <border>
      <left/>
      <right/>
      <top style="thin">
        <color auto="1"/>
      </top>
      <bottom/>
      <diagonal/>
    </border>
    <border>
      <left/>
      <right style="medium">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right/>
      <top style="thin">
        <color auto="1"/>
      </top>
      <bottom/>
      <diagonal/>
    </border>
    <border>
      <left/>
      <right/>
      <top/>
      <bottom style="thin">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diagonal/>
    </border>
    <border>
      <left/>
      <right/>
      <top style="thin">
        <color auto="1"/>
      </top>
      <bottom/>
      <diagonal/>
    </border>
    <border>
      <left/>
      <right style="thin">
        <color auto="1"/>
      </right>
      <top/>
      <bottom style="thin">
        <color auto="1"/>
      </bottom>
      <diagonal/>
    </border>
    <border>
      <left/>
      <right style="medium">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medium">
        <color auto="1"/>
      </right>
      <top style="thin">
        <color auto="1"/>
      </top>
      <bottom/>
      <diagonal/>
    </border>
    <border>
      <left/>
      <right/>
      <top style="thin">
        <color auto="1"/>
      </top>
      <bottom/>
      <diagonal/>
    </border>
    <border>
      <left/>
      <right/>
      <top/>
      <bottom style="medium">
        <color auto="1"/>
      </bottom>
      <diagonal/>
    </border>
    <border>
      <left/>
      <right/>
      <top style="thin">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diagonal/>
    </border>
    <border>
      <left/>
      <right/>
      <top style="thin">
        <color auto="1"/>
      </top>
      <bottom/>
      <diagonal/>
    </border>
    <border>
      <left/>
      <right style="medium">
        <color indexed="64"/>
      </right>
      <top style="thin">
        <color auto="1"/>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right/>
      <top style="thin">
        <color indexed="64"/>
      </top>
      <bottom style="medium">
        <color indexed="64"/>
      </bottom>
      <diagonal/>
    </border>
    <border>
      <left/>
      <right style="medium">
        <color indexed="64"/>
      </right>
      <top/>
      <bottom/>
      <diagonal/>
    </border>
  </borders>
  <cellStyleXfs count="964">
    <xf numFmtId="0" fontId="0" fillId="0" borderId="0"/>
    <xf numFmtId="43" fontId="6" fillId="0" borderId="0" applyFont="0" applyFill="0" applyBorder="0" applyAlignment="0" applyProtection="0"/>
    <xf numFmtId="44" fontId="6" fillId="0" borderId="0" applyFont="0" applyFill="0" applyBorder="0" applyAlignment="0" applyProtection="0"/>
    <xf numFmtId="0" fontId="4" fillId="0" borderId="0"/>
    <xf numFmtId="9" fontId="6" fillId="0" borderId="0" applyFont="0" applyFill="0" applyBorder="0" applyAlignment="0" applyProtection="0"/>
    <xf numFmtId="9"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 fillId="0" borderId="0"/>
    <xf numFmtId="0" fontId="11" fillId="0" borderId="0"/>
    <xf numFmtId="0" fontId="4" fillId="0" borderId="0"/>
    <xf numFmtId="0" fontId="4" fillId="0" borderId="0"/>
    <xf numFmtId="0" fontId="11"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3" borderId="0" applyNumberFormat="0" applyBorder="0" applyAlignment="0" applyProtection="0"/>
    <xf numFmtId="0" fontId="12" fillId="11"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5"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8"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4" fillId="0" borderId="0"/>
    <xf numFmtId="0" fontId="14" fillId="0" borderId="11">
      <alignment vertical="center"/>
      <protection locked="0"/>
    </xf>
    <xf numFmtId="171" fontId="14" fillId="0" borderId="11">
      <alignment horizontal="right" vertical="center"/>
      <protection locked="0"/>
    </xf>
    <xf numFmtId="0" fontId="15" fillId="22" borderId="0" applyNumberFormat="0" applyBorder="0" applyAlignment="0" applyProtection="0"/>
    <xf numFmtId="172" fontId="16" fillId="23" borderId="12" applyNumberFormat="0">
      <alignment vertical="center"/>
    </xf>
    <xf numFmtId="0" fontId="17" fillId="24" borderId="13" applyNumberFormat="0" applyAlignment="0" applyProtection="0"/>
    <xf numFmtId="0" fontId="17" fillId="24" borderId="13" applyNumberFormat="0" applyAlignment="0" applyProtection="0"/>
    <xf numFmtId="0" fontId="18" fillId="25" borderId="14" applyNumberFormat="0" applyAlignment="0" applyProtection="0"/>
    <xf numFmtId="0" fontId="19" fillId="0" borderId="0"/>
    <xf numFmtId="41"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alignment wrapText="1"/>
    </xf>
    <xf numFmtId="43" fontId="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21" fillId="0" borderId="0" applyFont="0" applyFill="0" applyBorder="0" applyAlignment="0" applyProtection="0"/>
    <xf numFmtId="42" fontId="4" fillId="0" borderId="0"/>
    <xf numFmtId="44" fontId="4" fillId="0" borderId="0" applyFont="0" applyFill="0" applyBorder="0" applyAlignment="0" applyProtection="0"/>
    <xf numFmtId="173" fontId="4" fillId="0" borderId="0" applyFont="0" applyFill="0" applyBorder="0" applyAlignment="0" applyProtection="0">
      <alignment wrapText="1"/>
    </xf>
    <xf numFmtId="37" fontId="14" fillId="0" borderId="4" applyNumberFormat="0">
      <alignment horizontal="centerContinuous" vertical="top" wrapText="1"/>
    </xf>
    <xf numFmtId="37" fontId="14" fillId="0" borderId="4" applyNumberFormat="0">
      <alignment horizontal="centerContinuous" vertical="top" wrapText="1"/>
    </xf>
    <xf numFmtId="37" fontId="14" fillId="0" borderId="4" applyNumberFormat="0">
      <alignment horizontal="centerContinuous" vertical="top" wrapText="1"/>
    </xf>
    <xf numFmtId="0" fontId="22" fillId="0" borderId="0" applyNumberFormat="0" applyFill="0" applyBorder="0" applyAlignment="0" applyProtection="0"/>
    <xf numFmtId="0" fontId="11" fillId="25" borderId="0" applyNumberFormat="0" applyFont="0" applyBorder="0" applyAlignment="0" applyProtection="0"/>
    <xf numFmtId="174" fontId="23" fillId="0" borderId="0" applyFill="0" applyBorder="0"/>
    <xf numFmtId="15" fontId="24" fillId="0" borderId="0" applyFill="0" applyBorder="0" applyProtection="0">
      <alignment horizontal="center"/>
    </xf>
    <xf numFmtId="175" fontId="25" fillId="26" borderId="8" applyAlignment="0" applyProtection="0"/>
    <xf numFmtId="176" fontId="26" fillId="0" borderId="0" applyNumberFormat="0" applyFill="0" applyBorder="0" applyAlignment="0" applyProtection="0"/>
    <xf numFmtId="15" fontId="27" fillId="14" borderId="15">
      <alignment horizontal="center"/>
      <protection locked="0"/>
    </xf>
    <xf numFmtId="177" fontId="27" fillId="14" borderId="15" applyAlignment="0">
      <protection locked="0"/>
    </xf>
    <xf numFmtId="176" fontId="27" fillId="14" borderId="15" applyAlignment="0">
      <protection locked="0"/>
    </xf>
    <xf numFmtId="176" fontId="24" fillId="0" borderId="0" applyFill="0" applyBorder="0" applyAlignment="0" applyProtection="0"/>
    <xf numFmtId="177" fontId="24" fillId="0" borderId="0" applyFill="0" applyBorder="0" applyAlignment="0" applyProtection="0"/>
    <xf numFmtId="0" fontId="16" fillId="27" borderId="16" applyNumberFormat="0">
      <alignment vertical="center"/>
    </xf>
    <xf numFmtId="0" fontId="28" fillId="13" borderId="0" applyNumberFormat="0" applyBorder="0" applyAlignment="0" applyProtection="0"/>
    <xf numFmtId="37" fontId="29" fillId="27" borderId="5" applyBorder="0" applyAlignment="0"/>
    <xf numFmtId="37" fontId="29" fillId="27" borderId="5" applyBorder="0" applyAlignment="0"/>
    <xf numFmtId="37" fontId="29" fillId="27" borderId="5" applyBorder="0" applyAlignment="0"/>
    <xf numFmtId="0" fontId="30" fillId="0" borderId="0">
      <alignment horizontal="left"/>
    </xf>
    <xf numFmtId="0" fontId="31" fillId="0" borderId="0">
      <alignment horizontal="left" indent="1"/>
    </xf>
    <xf numFmtId="176" fontId="4" fillId="0" borderId="0" applyNumberFormat="0" applyFont="0" applyFill="0" applyBorder="0" applyAlignment="0" applyProtection="0"/>
    <xf numFmtId="0" fontId="32" fillId="0" borderId="17" applyNumberFormat="0" applyFill="0" applyAlignment="0" applyProtection="0"/>
    <xf numFmtId="0" fontId="33" fillId="0" borderId="18" applyNumberFormat="0" applyFill="0" applyAlignment="0" applyProtection="0"/>
    <xf numFmtId="0" fontId="34" fillId="0" borderId="19"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 fillId="0" borderId="0">
      <alignment horizontal="left" vertical="top" wrapText="1" indent="2"/>
    </xf>
    <xf numFmtId="0" fontId="4" fillId="0" borderId="0">
      <alignment horizontal="left" vertical="top" wrapText="1" indent="2"/>
    </xf>
    <xf numFmtId="0" fontId="4" fillId="0" borderId="0">
      <alignment horizontal="left" vertical="top" wrapText="1" indent="2"/>
    </xf>
    <xf numFmtId="0" fontId="4" fillId="0" borderId="0">
      <alignment horizontal="left" vertical="top" wrapText="1" indent="2"/>
    </xf>
    <xf numFmtId="0" fontId="4" fillId="0" borderId="0">
      <alignment horizontal="left" vertical="top" wrapText="1" indent="2"/>
    </xf>
    <xf numFmtId="0" fontId="4" fillId="0" borderId="0">
      <alignment horizontal="left" vertical="top" wrapText="1" indent="2"/>
    </xf>
    <xf numFmtId="37" fontId="38" fillId="0" borderId="2" applyNumberFormat="0" applyBorder="0" applyAlignment="0">
      <protection locked="0"/>
    </xf>
    <xf numFmtId="37" fontId="27" fillId="0" borderId="3" applyBorder="0">
      <alignment vertical="center"/>
      <protection locked="0"/>
    </xf>
    <xf numFmtId="37" fontId="4" fillId="0" borderId="0" applyBorder="0" applyAlignment="0">
      <alignment horizontal="left"/>
      <protection locked="0"/>
    </xf>
    <xf numFmtId="0" fontId="39" fillId="0" borderId="20" applyNumberFormat="0" applyFill="0" applyAlignment="0" applyProtection="0"/>
    <xf numFmtId="0" fontId="4" fillId="0" borderId="21" applyBorder="0">
      <alignment horizontal="center" vertical="center" wrapText="1"/>
    </xf>
    <xf numFmtId="0" fontId="40" fillId="0" borderId="0" applyNumberFormat="0" applyFill="0" applyBorder="0">
      <alignment vertical="center"/>
    </xf>
    <xf numFmtId="0" fontId="42" fillId="14" borderId="0" applyNumberFormat="0" applyBorder="0" applyAlignment="0" applyProtection="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14" fillId="0" borderId="0"/>
    <xf numFmtId="0" fontId="43" fillId="0" borderId="0"/>
    <xf numFmtId="0" fontId="6"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6" fillId="0" borderId="0"/>
    <xf numFmtId="0" fontId="46" fillId="0" borderId="0"/>
    <xf numFmtId="0" fontId="47" fillId="0" borderId="0">
      <protection locked="0"/>
    </xf>
    <xf numFmtId="0" fontId="45" fillId="0" borderId="0"/>
    <xf numFmtId="0" fontId="45" fillId="0" borderId="0"/>
    <xf numFmtId="0" fontId="45" fillId="0" borderId="0"/>
    <xf numFmtId="0" fontId="45" fillId="0" borderId="0"/>
    <xf numFmtId="0" fontId="4" fillId="0" borderId="0"/>
    <xf numFmtId="0" fontId="48" fillId="0" borderId="0"/>
    <xf numFmtId="0" fontId="48" fillId="0" borderId="0"/>
    <xf numFmtId="0" fontId="4" fillId="0" borderId="0">
      <alignment wrapText="1"/>
    </xf>
    <xf numFmtId="0" fontId="14" fillId="0" borderId="0"/>
    <xf numFmtId="0" fontId="12" fillId="0" borderId="0"/>
    <xf numFmtId="0" fontId="12" fillId="0" borderId="0"/>
    <xf numFmtId="0" fontId="14" fillId="0" borderId="0"/>
    <xf numFmtId="0" fontId="4" fillId="11" borderId="22" applyNumberFormat="0" applyFont="0" applyAlignment="0" applyProtection="0"/>
    <xf numFmtId="0" fontId="4" fillId="11" borderId="22" applyNumberFormat="0" applyFont="0" applyAlignment="0" applyProtection="0"/>
    <xf numFmtId="0" fontId="49" fillId="24" borderId="16" applyNumberFormat="0" applyAlignment="0" applyProtection="0"/>
    <xf numFmtId="0" fontId="49" fillId="24" borderId="16" applyNumberFormat="0" applyAlignment="0" applyProtection="0"/>
    <xf numFmtId="40" fontId="50" fillId="28" borderId="0">
      <alignment horizontal="right"/>
    </xf>
    <xf numFmtId="0" fontId="51" fillId="28" borderId="0">
      <alignment horizontal="right"/>
    </xf>
    <xf numFmtId="0" fontId="52" fillId="28" borderId="10"/>
    <xf numFmtId="0" fontId="52" fillId="0" borderId="0" applyBorder="0">
      <alignment horizontal="centerContinuous"/>
    </xf>
    <xf numFmtId="0" fontId="53" fillId="0" borderId="0" applyBorder="0">
      <alignment horizontal="centerContinuous"/>
    </xf>
    <xf numFmtId="178" fontId="54" fillId="0" borderId="0" applyFont="0" applyFill="0" applyBorder="0" applyProtection="0">
      <alignment horizontal="center"/>
      <protection locked="0"/>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alignment wrapText="1"/>
    </xf>
    <xf numFmtId="9" fontId="14"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 fillId="0" borderId="0" applyFont="0" applyFill="0" applyBorder="0" applyAlignment="0" applyProtection="0"/>
    <xf numFmtId="0" fontId="4" fillId="0" borderId="0">
      <alignment horizontal="left" wrapText="1" indent="1"/>
    </xf>
    <xf numFmtId="0" fontId="4" fillId="0" borderId="0">
      <alignment horizontal="left" wrapText="1" indent="1"/>
    </xf>
    <xf numFmtId="0" fontId="4" fillId="0" borderId="0">
      <alignment horizontal="left" wrapText="1" indent="1"/>
    </xf>
    <xf numFmtId="0" fontId="4" fillId="0" borderId="0">
      <alignment horizontal="left" wrapText="1" indent="1"/>
    </xf>
    <xf numFmtId="0" fontId="4" fillId="0" borderId="0">
      <alignment horizontal="left" wrapText="1" indent="1"/>
    </xf>
    <xf numFmtId="0" fontId="4" fillId="0" borderId="0">
      <alignment horizontal="left" wrapText="1" indent="1"/>
    </xf>
    <xf numFmtId="0" fontId="4" fillId="27" borderId="3" applyBorder="0" applyAlignment="0">
      <alignment horizontal="center" vertical="top"/>
    </xf>
    <xf numFmtId="0" fontId="55" fillId="0" borderId="0"/>
    <xf numFmtId="0" fontId="10" fillId="0" borderId="0"/>
    <xf numFmtId="172" fontId="56" fillId="29" borderId="0" applyNumberFormat="0">
      <alignment vertical="center"/>
    </xf>
    <xf numFmtId="49" fontId="57" fillId="30" borderId="23">
      <alignment horizontal="center" vertical="center" wrapText="1"/>
    </xf>
    <xf numFmtId="0" fontId="4" fillId="0" borderId="21" applyBorder="0">
      <alignment horizontal="center" vertical="top" wrapText="1"/>
    </xf>
    <xf numFmtId="0" fontId="58" fillId="0" borderId="24" applyNumberFormat="0" applyFill="0" applyAlignment="0" applyProtection="0"/>
    <xf numFmtId="0" fontId="58" fillId="0" borderId="24" applyNumberFormat="0" applyFill="0" applyAlignment="0" applyProtection="0"/>
    <xf numFmtId="0" fontId="39"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59" fillId="0" borderId="0"/>
    <xf numFmtId="0" fontId="60" fillId="0" borderId="0" applyNumberFormat="0" applyFill="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3" borderId="0" applyNumberFormat="0" applyBorder="0" applyAlignment="0" applyProtection="0"/>
    <xf numFmtId="0" fontId="12" fillId="11"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36" borderId="0" applyNumberFormat="0" applyBorder="0" applyAlignment="0" applyProtection="0"/>
    <xf numFmtId="0" fontId="12" fillId="15" borderId="0" applyNumberFormat="0" applyBorder="0" applyAlignment="0" applyProtection="0"/>
    <xf numFmtId="0" fontId="12" fillId="37" borderId="0" applyNumberFormat="0" applyBorder="0" applyAlignment="0" applyProtection="0"/>
    <xf numFmtId="0" fontId="12" fillId="2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38" borderId="0" applyNumberFormat="0" applyBorder="0" applyAlignment="0" applyProtection="0"/>
    <xf numFmtId="0" fontId="12" fillId="22" borderId="0" applyNumberFormat="0" applyBorder="0" applyAlignment="0" applyProtection="0"/>
    <xf numFmtId="0" fontId="12" fillId="9" borderId="0" applyNumberFormat="0" applyBorder="0" applyAlignment="0" applyProtection="0"/>
    <xf numFmtId="0" fontId="12" fillId="17"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63" fillId="26" borderId="38" applyNumberFormat="0" applyAlignment="0" applyProtection="0"/>
    <xf numFmtId="0" fontId="63" fillId="26" borderId="38" applyNumberFormat="0" applyAlignment="0" applyProtection="0"/>
    <xf numFmtId="0" fontId="18" fillId="25" borderId="14" applyNumberFormat="0" applyAlignment="0" applyProtection="0"/>
    <xf numFmtId="43" fontId="6" fillId="0" borderId="0" applyFont="0" applyFill="0" applyBorder="0" applyAlignment="0" applyProtection="0"/>
    <xf numFmtId="43" fontId="8" fillId="0" borderId="0" applyFont="0" applyFill="0" applyBorder="0" applyAlignment="0" applyProtection="0"/>
    <xf numFmtId="44" fontId="4" fillId="0" borderId="0" applyFont="0" applyFill="0" applyBorder="0" applyAlignment="0" applyProtection="0"/>
    <xf numFmtId="0" fontId="22" fillId="0" borderId="0" applyNumberFormat="0" applyFill="0" applyBorder="0" applyAlignment="0" applyProtection="0"/>
    <xf numFmtId="0" fontId="28" fillId="37" borderId="0" applyNumberFormat="0" applyBorder="0" applyAlignment="0" applyProtection="0"/>
    <xf numFmtId="0" fontId="28" fillId="37" borderId="0" applyNumberFormat="0" applyBorder="0" applyAlignment="0" applyProtection="0"/>
    <xf numFmtId="0" fontId="64" fillId="0" borderId="39" applyNumberFormat="0" applyFill="0" applyAlignment="0" applyProtection="0"/>
    <xf numFmtId="0" fontId="64" fillId="0" borderId="39" applyNumberFormat="0" applyFill="0" applyAlignment="0" applyProtection="0"/>
    <xf numFmtId="0" fontId="65" fillId="0" borderId="40" applyNumberFormat="0" applyFill="0" applyAlignment="0" applyProtection="0"/>
    <xf numFmtId="0" fontId="65" fillId="0" borderId="40"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68" fillId="12" borderId="38" applyNumberFormat="0" applyAlignment="0" applyProtection="0"/>
    <xf numFmtId="0" fontId="68" fillId="12" borderId="38" applyNumberFormat="0" applyAlignment="0" applyProtection="0"/>
    <xf numFmtId="0" fontId="69" fillId="0" borderId="42" applyNumberFormat="0" applyFill="0" applyAlignment="0" applyProtection="0"/>
    <xf numFmtId="0" fontId="69" fillId="0" borderId="42" applyNumberFormat="0" applyFill="0" applyAlignment="0" applyProtection="0"/>
    <xf numFmtId="0" fontId="70" fillId="14" borderId="0" applyNumberFormat="0" applyBorder="0" applyAlignment="0" applyProtection="0"/>
    <xf numFmtId="0" fontId="70" fillId="1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8" fillId="0" borderId="0"/>
    <xf numFmtId="0" fontId="8" fillId="0" borderId="0"/>
    <xf numFmtId="0" fontId="12" fillId="0" borderId="0"/>
    <xf numFmtId="0" fontId="6" fillId="0" borderId="0"/>
    <xf numFmtId="0" fontId="12" fillId="0" borderId="0"/>
    <xf numFmtId="0" fontId="12" fillId="0" borderId="0"/>
    <xf numFmtId="0" fontId="12" fillId="0" borderId="0"/>
    <xf numFmtId="0" fontId="8" fillId="0" borderId="0"/>
    <xf numFmtId="0" fontId="4" fillId="0" borderId="0"/>
    <xf numFmtId="0" fontId="9" fillId="0" borderId="0"/>
    <xf numFmtId="0" fontId="8" fillId="0" borderId="0"/>
    <xf numFmtId="0" fontId="4" fillId="0" borderId="0"/>
    <xf numFmtId="0" fontId="12" fillId="0" borderId="0"/>
    <xf numFmtId="0" fontId="12" fillId="0" borderId="0"/>
    <xf numFmtId="0" fontId="12" fillId="0" borderId="0"/>
    <xf numFmtId="0" fontId="12" fillId="0" borderId="0"/>
    <xf numFmtId="0" fontId="6" fillId="34" borderId="37" applyNumberFormat="0" applyFont="0" applyAlignment="0" applyProtection="0"/>
    <xf numFmtId="0" fontId="12" fillId="11" borderId="43" applyNumberFormat="0" applyFont="0" applyAlignment="0" applyProtection="0"/>
    <xf numFmtId="0" fontId="12" fillId="11" borderId="43" applyNumberFormat="0" applyFont="0" applyAlignment="0" applyProtection="0"/>
    <xf numFmtId="0" fontId="49" fillId="26" borderId="44" applyNumberFormat="0" applyAlignment="0" applyProtection="0"/>
    <xf numFmtId="0" fontId="49" fillId="26" borderId="44" applyNumberFormat="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2" fillId="0" borderId="0" applyNumberFormat="0" applyFill="0" applyBorder="0" applyAlignment="0" applyProtection="0"/>
    <xf numFmtId="0" fontId="58" fillId="0" borderId="45" applyNumberFormat="0" applyFill="0" applyAlignment="0" applyProtection="0"/>
    <xf numFmtId="0" fontId="58" fillId="0" borderId="45" applyNumberFormat="0" applyFill="0" applyAlignment="0" applyProtection="0"/>
    <xf numFmtId="0" fontId="3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lignment vertical="top"/>
    </xf>
    <xf numFmtId="0" fontId="24" fillId="0" borderId="0">
      <alignment vertical="top"/>
    </xf>
    <xf numFmtId="0" fontId="24" fillId="0" borderId="0">
      <alignment vertical="top"/>
    </xf>
    <xf numFmtId="0" fontId="4" fillId="0" borderId="0">
      <alignment horizontal="left" wrapText="1"/>
    </xf>
    <xf numFmtId="0" fontId="73" fillId="0" borderId="55" applyNumberFormat="0" applyFill="0" applyProtection="0">
      <alignment horizontal="center"/>
    </xf>
    <xf numFmtId="164" fontId="4" fillId="0" borderId="0" applyFont="0" applyFill="0" applyBorder="0" applyProtection="0">
      <alignment horizontal="right"/>
    </xf>
    <xf numFmtId="164" fontId="4" fillId="0" borderId="0" applyFont="0" applyFill="0" applyBorder="0" applyProtection="0">
      <alignment horizontal="right"/>
    </xf>
    <xf numFmtId="0" fontId="12" fillId="36" borderId="0" applyNumberFormat="0" applyBorder="0" applyAlignment="0" applyProtection="0"/>
    <xf numFmtId="0" fontId="12" fillId="15" borderId="0" applyNumberFormat="0" applyBorder="0" applyAlignment="0" applyProtection="0"/>
    <xf numFmtId="0" fontId="12" fillId="37" borderId="0" applyNumberFormat="0" applyBorder="0" applyAlignment="0" applyProtection="0"/>
    <xf numFmtId="0" fontId="12" fillId="2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167" fontId="4" fillId="0" borderId="0" applyFont="0" applyFill="0" applyBorder="0" applyProtection="0">
      <alignment horizontal="right"/>
    </xf>
    <xf numFmtId="167" fontId="4" fillId="0" borderId="0" applyFont="0" applyFill="0" applyBorder="0" applyProtection="0">
      <alignment horizontal="right"/>
    </xf>
    <xf numFmtId="0" fontId="12" fillId="9" borderId="0" applyNumberFormat="0" applyBorder="0" applyAlignment="0" applyProtection="0"/>
    <xf numFmtId="0" fontId="12" fillId="10" borderId="0" applyNumberFormat="0" applyBorder="0" applyAlignment="0" applyProtection="0"/>
    <xf numFmtId="0" fontId="12" fillId="38" borderId="0" applyNumberFormat="0" applyBorder="0" applyAlignment="0" applyProtection="0"/>
    <xf numFmtId="0" fontId="12" fillId="22" borderId="0" applyNumberFormat="0" applyBorder="0" applyAlignment="0" applyProtection="0"/>
    <xf numFmtId="0" fontId="12" fillId="9" borderId="0" applyNumberFormat="0" applyBorder="0" applyAlignment="0" applyProtection="0"/>
    <xf numFmtId="0" fontId="12" fillId="17" borderId="0" applyNumberFormat="0" applyBorder="0" applyAlignment="0" applyProtection="0"/>
    <xf numFmtId="185" fontId="4" fillId="0" borderId="0" applyFont="0" applyFill="0" applyBorder="0" applyProtection="0">
      <alignment horizontal="right"/>
    </xf>
    <xf numFmtId="185" fontId="4" fillId="0" borderId="0" applyFont="0" applyFill="0" applyBorder="0" applyProtection="0">
      <alignment horizontal="right"/>
    </xf>
    <xf numFmtId="0" fontId="4" fillId="0" borderId="0" applyNumberFormat="0" applyFill="0" applyBorder="0" applyAlignment="0" applyProtection="0"/>
    <xf numFmtId="186" fontId="74" fillId="45" borderId="1" applyNumberFormat="0" applyAlignment="0" applyProtection="0"/>
    <xf numFmtId="186" fontId="74" fillId="45" borderId="1" applyNumberFormat="0" applyAlignment="0" applyProtection="0"/>
    <xf numFmtId="186" fontId="74" fillId="45" borderId="1" applyNumberFormat="0" applyAlignment="0" applyProtection="0"/>
    <xf numFmtId="186" fontId="74" fillId="45" borderId="1" applyNumberFormat="0" applyAlignment="0" applyProtection="0"/>
    <xf numFmtId="186" fontId="74" fillId="45" borderId="1" applyNumberFormat="0" applyAlignment="0" applyProtection="0"/>
    <xf numFmtId="186" fontId="74" fillId="45" borderId="1" applyNumberFormat="0" applyAlignment="0" applyProtection="0"/>
    <xf numFmtId="186" fontId="74" fillId="45" borderId="1" applyNumberFormat="0" applyAlignment="0" applyProtection="0"/>
    <xf numFmtId="186" fontId="74" fillId="45" borderId="1" applyNumberFormat="0" applyAlignment="0" applyProtection="0"/>
    <xf numFmtId="186" fontId="74" fillId="45" borderId="1" applyNumberFormat="0" applyAlignment="0" applyProtection="0"/>
    <xf numFmtId="187" fontId="4" fillId="0" borderId="0" applyBorder="0"/>
    <xf numFmtId="188" fontId="4" fillId="0" borderId="0"/>
    <xf numFmtId="189" fontId="16" fillId="0" borderId="0"/>
    <xf numFmtId="0" fontId="4" fillId="46" borderId="12" applyNumberFormat="0">
      <alignment vertical="center"/>
    </xf>
    <xf numFmtId="0" fontId="63" fillId="26" borderId="56" applyNumberFormat="0" applyAlignment="0" applyProtection="0"/>
    <xf numFmtId="0" fontId="63" fillId="26" borderId="56" applyNumberFormat="0" applyAlignment="0" applyProtection="0"/>
    <xf numFmtId="185" fontId="72" fillId="0" borderId="0" applyFont="0" applyFill="0" applyBorder="0" applyProtection="0">
      <alignment horizontal="right"/>
    </xf>
    <xf numFmtId="190" fontId="72" fillId="0" borderId="0" applyFont="0" applyFill="0" applyBorder="0" applyProtection="0">
      <alignment horizontal="left"/>
    </xf>
    <xf numFmtId="0" fontId="75" fillId="35" borderId="1"/>
    <xf numFmtId="41" fontId="4" fillId="0" borderId="0"/>
    <xf numFmtId="41"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1" fontId="76" fillId="0" borderId="0" applyFont="0" applyFill="0" applyBorder="0" applyAlignment="0" applyProtection="0"/>
    <xf numFmtId="43" fontId="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alignmen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xf numFmtId="42" fontId="4" fillId="0" borderId="0"/>
    <xf numFmtId="44" fontId="4" fillId="0" borderId="0" applyFont="0" applyFill="0" applyBorder="0" applyAlignment="0" applyProtection="0"/>
    <xf numFmtId="173" fontId="7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92" fontId="72" fillId="47" borderId="15">
      <alignment horizontal="right"/>
      <protection locked="0"/>
    </xf>
    <xf numFmtId="0" fontId="57" fillId="0" borderId="0"/>
    <xf numFmtId="193" fontId="4" fillId="0" borderId="0" applyFont="0" applyFill="0" applyBorder="0" applyAlignment="0" applyProtection="0"/>
    <xf numFmtId="0" fontId="77" fillId="0" borderId="9" applyNumberFormat="0" applyBorder="0" applyAlignment="0" applyProtection="0">
      <alignment horizontal="right" vertical="center"/>
    </xf>
    <xf numFmtId="194" fontId="4" fillId="0" borderId="0" applyFont="0" applyFill="0" applyBorder="0" applyAlignment="0" applyProtection="0"/>
    <xf numFmtId="0" fontId="4" fillId="0" borderId="0" applyFill="0" applyProtection="0"/>
    <xf numFmtId="0" fontId="4" fillId="0" borderId="0" applyFill="0" applyProtection="0"/>
    <xf numFmtId="0" fontId="24" fillId="0" borderId="0" applyNumberFormat="0" applyFont="0" applyBorder="0" applyAlignment="0" applyProtection="0"/>
    <xf numFmtId="0" fontId="78" fillId="0" borderId="0">
      <alignment horizontal="right"/>
      <protection locked="0"/>
    </xf>
    <xf numFmtId="0" fontId="79" fillId="0" borderId="0">
      <alignment horizontal="left"/>
    </xf>
    <xf numFmtId="0" fontId="80" fillId="0" borderId="0">
      <alignment horizontal="left"/>
    </xf>
    <xf numFmtId="0" fontId="4" fillId="0" borderId="0" applyFont="0" applyFill="0" applyBorder="0" applyProtection="0">
      <alignment horizontal="right"/>
    </xf>
    <xf numFmtId="0" fontId="4" fillId="0" borderId="0" applyFont="0" applyFill="0" applyBorder="0" applyProtection="0">
      <alignment horizontal="right"/>
    </xf>
    <xf numFmtId="38" fontId="14" fillId="27" borderId="0" applyNumberFormat="0" applyBorder="0" applyAlignment="0" applyProtection="0"/>
    <xf numFmtId="0" fontId="81" fillId="48" borderId="57" applyProtection="0">
      <alignment horizontal="right"/>
    </xf>
    <xf numFmtId="0" fontId="82" fillId="48" borderId="0" applyProtection="0">
      <alignment horizontal="left"/>
    </xf>
    <xf numFmtId="0" fontId="83" fillId="0" borderId="0">
      <alignment vertical="top" wrapText="1"/>
    </xf>
    <xf numFmtId="0" fontId="83" fillId="0" borderId="0">
      <alignment vertical="top" wrapText="1"/>
    </xf>
    <xf numFmtId="195" fontId="84" fillId="0" borderId="0" applyNumberFormat="0" applyFill="0" applyAlignment="0" applyProtection="0"/>
    <xf numFmtId="195" fontId="85" fillId="0" borderId="0" applyNumberFormat="0" applyFill="0" applyAlignment="0" applyProtection="0"/>
    <xf numFmtId="195" fontId="85" fillId="0" borderId="0" applyNumberFormat="0" applyFont="0" applyFill="0" applyBorder="0" applyAlignment="0" applyProtection="0"/>
    <xf numFmtId="195" fontId="85" fillId="0" borderId="0" applyNumberFormat="0" applyFont="0" applyFill="0" applyBorder="0" applyAlignment="0" applyProtection="0"/>
    <xf numFmtId="0" fontId="57" fillId="0" borderId="0"/>
    <xf numFmtId="196" fontId="74" fillId="49" borderId="1" applyNumberFormat="0" applyFill="0" applyBorder="0" applyAlignment="0" applyProtection="0"/>
    <xf numFmtId="196" fontId="74" fillId="49" borderId="1" applyNumberFormat="0" applyFill="0" applyBorder="0" applyAlignment="0" applyProtection="0"/>
    <xf numFmtId="196" fontId="74" fillId="49" borderId="1" applyNumberFormat="0" applyFill="0" applyBorder="0" applyAlignment="0" applyProtection="0"/>
    <xf numFmtId="196" fontId="74" fillId="49" borderId="1" applyNumberFormat="0" applyFill="0" applyBorder="0" applyAlignment="0" applyProtection="0"/>
    <xf numFmtId="196" fontId="74" fillId="49" borderId="1" applyNumberFormat="0" applyFill="0" applyBorder="0" applyAlignment="0" applyProtection="0"/>
    <xf numFmtId="196" fontId="74" fillId="49" borderId="1" applyNumberFormat="0" applyFill="0" applyBorder="0" applyAlignment="0" applyProtection="0"/>
    <xf numFmtId="196" fontId="74" fillId="49" borderId="1" applyNumberFormat="0" applyFill="0" applyBorder="0" applyAlignment="0" applyProtection="0"/>
    <xf numFmtId="196" fontId="74" fillId="49" borderId="1" applyNumberFormat="0" applyFill="0" applyBorder="0" applyAlignment="0" applyProtection="0"/>
    <xf numFmtId="196" fontId="74" fillId="49" borderId="1" applyNumberFormat="0" applyFill="0" applyBorder="0" applyAlignment="0" applyProtection="0"/>
    <xf numFmtId="0" fontId="86" fillId="0" borderId="0" applyNumberFormat="0" applyFill="0" applyBorder="0" applyAlignment="0" applyProtection="0"/>
    <xf numFmtId="186" fontId="4" fillId="50" borderId="1"/>
    <xf numFmtId="186" fontId="4" fillId="50" borderId="1"/>
    <xf numFmtId="186" fontId="4" fillId="50" borderId="1"/>
    <xf numFmtId="186" fontId="4" fillId="50" borderId="1"/>
    <xf numFmtId="186" fontId="4" fillId="50" borderId="1"/>
    <xf numFmtId="186" fontId="4" fillId="50" borderId="1"/>
    <xf numFmtId="186" fontId="4" fillId="50" borderId="1"/>
    <xf numFmtId="186" fontId="4" fillId="50" borderId="1"/>
    <xf numFmtId="186" fontId="4" fillId="50" borderId="1"/>
    <xf numFmtId="0" fontId="54" fillId="0" borderId="0" applyFill="0" applyBorder="0" applyProtection="0">
      <alignment horizontal="left"/>
    </xf>
    <xf numFmtId="10" fontId="14" fillId="30" borderId="1" applyNumberFormat="0" applyBorder="0" applyAlignment="0" applyProtection="0"/>
    <xf numFmtId="172" fontId="87" fillId="51" borderId="58" applyNumberFormat="0">
      <alignment vertical="center"/>
    </xf>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68" fillId="12" borderId="56" applyNumberFormat="0" applyAlignment="0" applyProtection="0"/>
    <xf numFmtId="0" fontId="87" fillId="51" borderId="58" applyNumberFormat="0">
      <alignment vertical="center"/>
    </xf>
    <xf numFmtId="0" fontId="88" fillId="0" borderId="0"/>
    <xf numFmtId="0" fontId="81" fillId="0" borderId="59" applyProtection="0">
      <alignment horizontal="right"/>
    </xf>
    <xf numFmtId="0" fontId="81" fillId="0" borderId="57" applyProtection="0">
      <alignment horizontal="right"/>
    </xf>
    <xf numFmtId="0" fontId="81" fillId="0" borderId="60" applyProtection="0">
      <alignment horizontal="center"/>
      <protection locked="0"/>
    </xf>
    <xf numFmtId="0" fontId="4" fillId="0" borderId="0"/>
    <xf numFmtId="0" fontId="4" fillId="0" borderId="0"/>
    <xf numFmtId="0" fontId="4" fillId="0" borderId="0"/>
    <xf numFmtId="1" fontId="4" fillId="0" borderId="0" applyFont="0" applyFill="0" applyBorder="0" applyProtection="0">
      <alignment horizontal="right"/>
    </xf>
    <xf numFmtId="1" fontId="4" fillId="0" borderId="0" applyFont="0" applyFill="0" applyBorder="0" applyProtection="0">
      <alignment horizontal="right"/>
    </xf>
    <xf numFmtId="0" fontId="41" fillId="0" borderId="0" applyBorder="0">
      <alignment horizontal="left" vertical="top"/>
    </xf>
    <xf numFmtId="0" fontId="89" fillId="0" borderId="0"/>
    <xf numFmtId="0" fontId="89" fillId="0" borderId="0"/>
    <xf numFmtId="0" fontId="89" fillId="0" borderId="0"/>
    <xf numFmtId="0" fontId="89" fillId="0" borderId="0"/>
    <xf numFmtId="0" fontId="8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6"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12" fillId="0" borderId="0"/>
    <xf numFmtId="186" fontId="4" fillId="0" borderId="0"/>
    <xf numFmtId="0" fontId="6" fillId="0" borderId="0"/>
    <xf numFmtId="0" fontId="6" fillId="0" borderId="0"/>
    <xf numFmtId="186" fontId="4" fillId="0" borderId="0"/>
    <xf numFmtId="0" fontId="4" fillId="0" borderId="0"/>
    <xf numFmtId="0" fontId="4" fillId="0" borderId="0"/>
    <xf numFmtId="0" fontId="4" fillId="0" borderId="0"/>
    <xf numFmtId="0" fontId="6" fillId="0" borderId="0"/>
    <xf numFmtId="186" fontId="4" fillId="0" borderId="0"/>
    <xf numFmtId="186" fontId="4" fillId="0" borderId="0"/>
    <xf numFmtId="186" fontId="4" fillId="0" borderId="0"/>
    <xf numFmtId="186" fontId="4" fillId="0" borderId="0"/>
    <xf numFmtId="186" fontId="4" fillId="0" borderId="0"/>
    <xf numFmtId="0" fontId="6" fillId="0" borderId="0"/>
    <xf numFmtId="0" fontId="6" fillId="0" borderId="0"/>
    <xf numFmtId="0" fontId="6" fillId="0" borderId="0"/>
    <xf numFmtId="0" fontId="6" fillId="0" borderId="0"/>
    <xf numFmtId="0" fontId="4" fillId="0" borderId="0">
      <alignment vertical="center"/>
    </xf>
    <xf numFmtId="0" fontId="45" fillId="0" borderId="0"/>
    <xf numFmtId="0" fontId="6" fillId="0" borderId="0"/>
    <xf numFmtId="0" fontId="48" fillId="0" borderId="0"/>
    <xf numFmtId="0" fontId="4" fillId="0" borderId="0"/>
    <xf numFmtId="0" fontId="12" fillId="0" borderId="0"/>
    <xf numFmtId="186" fontId="4"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11" borderId="61" applyNumberFormat="0" applyFont="0" applyAlignment="0" applyProtection="0"/>
    <xf numFmtId="0" fontId="12" fillId="11" borderId="61" applyNumberFormat="0" applyFont="0" applyAlignment="0" applyProtection="0"/>
    <xf numFmtId="0" fontId="12" fillId="11" borderId="61" applyNumberFormat="0" applyFont="0" applyAlignment="0" applyProtection="0"/>
    <xf numFmtId="0" fontId="12" fillId="11" borderId="61" applyNumberFormat="0" applyFont="0" applyAlignment="0" applyProtection="0"/>
    <xf numFmtId="0" fontId="12" fillId="11" borderId="61" applyNumberFormat="0" applyFont="0" applyAlignment="0" applyProtection="0"/>
    <xf numFmtId="0" fontId="12" fillId="11" borderId="61" applyNumberFormat="0" applyFont="0" applyAlignment="0" applyProtection="0"/>
    <xf numFmtId="0" fontId="49" fillId="26" borderId="62" applyNumberFormat="0" applyAlignment="0" applyProtection="0"/>
    <xf numFmtId="0" fontId="49" fillId="26" borderId="62" applyNumberFormat="0" applyAlignment="0" applyProtection="0"/>
    <xf numFmtId="197" fontId="4" fillId="0" borderId="0" applyFont="0" applyFill="0" applyBorder="0" applyProtection="0">
      <alignment horizontal="right"/>
    </xf>
    <xf numFmtId="197" fontId="4" fillId="0" borderId="0" applyFont="0" applyFill="0" applyBorder="0" applyProtection="0">
      <alignment horizontal="right"/>
    </xf>
    <xf numFmtId="10"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 fillId="0" borderId="0"/>
    <xf numFmtId="2" fontId="90" fillId="47" borderId="5" applyAlignment="0" applyProtection="0">
      <protection locked="0"/>
    </xf>
    <xf numFmtId="0" fontId="91" fillId="30" borderId="5" applyNumberFormat="0" applyAlignment="0" applyProtection="0"/>
    <xf numFmtId="0" fontId="92" fillId="52" borderId="1" applyNumberFormat="0" applyAlignment="0" applyProtection="0">
      <alignment horizontal="center" vertical="center"/>
    </xf>
    <xf numFmtId="0" fontId="4" fillId="0" borderId="0">
      <alignment textRotation="90"/>
    </xf>
    <xf numFmtId="4" fontId="24" fillId="51" borderId="62" applyNumberFormat="0" applyProtection="0">
      <alignment vertical="center"/>
    </xf>
    <xf numFmtId="4" fontId="93" fillId="51" borderId="62" applyNumberFormat="0" applyProtection="0">
      <alignment vertical="center"/>
    </xf>
    <xf numFmtId="4" fontId="24" fillId="51" borderId="62" applyNumberFormat="0" applyProtection="0">
      <alignment horizontal="left" vertical="center" indent="1"/>
    </xf>
    <xf numFmtId="4" fontId="24" fillId="51" borderId="62" applyNumberFormat="0" applyProtection="0">
      <alignment horizontal="left" vertical="center" indent="1"/>
    </xf>
    <xf numFmtId="0" fontId="4" fillId="23" borderId="62" applyNumberFormat="0" applyProtection="0">
      <alignment horizontal="left" vertical="center" indent="1"/>
    </xf>
    <xf numFmtId="4" fontId="24" fillId="53" borderId="62" applyNumberFormat="0" applyProtection="0">
      <alignment horizontal="right" vertical="center"/>
    </xf>
    <xf numFmtId="4" fontId="24" fillId="54" borderId="62" applyNumberFormat="0" applyProtection="0">
      <alignment horizontal="right" vertical="center"/>
    </xf>
    <xf numFmtId="4" fontId="24" fillId="55" borderId="62" applyNumberFormat="0" applyProtection="0">
      <alignment horizontal="right" vertical="center"/>
    </xf>
    <xf numFmtId="4" fontId="24" fillId="56" borderId="62" applyNumberFormat="0" applyProtection="0">
      <alignment horizontal="right" vertical="center"/>
    </xf>
    <xf numFmtId="4" fontId="24" fillId="57" borderId="62" applyNumberFormat="0" applyProtection="0">
      <alignment horizontal="right" vertical="center"/>
    </xf>
    <xf numFmtId="4" fontId="24" fillId="58" borderId="62" applyNumberFormat="0" applyProtection="0">
      <alignment horizontal="right" vertical="center"/>
    </xf>
    <xf numFmtId="4" fontId="24" fillId="59" borderId="62" applyNumberFormat="0" applyProtection="0">
      <alignment horizontal="right" vertical="center"/>
    </xf>
    <xf numFmtId="4" fontId="24" fillId="60" borderId="62" applyNumberFormat="0" applyProtection="0">
      <alignment horizontal="right" vertical="center"/>
    </xf>
    <xf numFmtId="4" fontId="24" fillId="35" borderId="62" applyNumberFormat="0" applyProtection="0">
      <alignment horizontal="right" vertical="center"/>
    </xf>
    <xf numFmtId="4" fontId="75" fillId="61" borderId="62" applyNumberFormat="0" applyProtection="0">
      <alignment horizontal="left" vertical="center" indent="1"/>
    </xf>
    <xf numFmtId="4" fontId="24" fillId="62" borderId="63" applyNumberFormat="0" applyProtection="0">
      <alignment horizontal="left" vertical="center" indent="1"/>
    </xf>
    <xf numFmtId="4" fontId="25" fillId="63" borderId="0" applyNumberFormat="0" applyProtection="0">
      <alignment horizontal="left" vertical="center" indent="1"/>
    </xf>
    <xf numFmtId="0" fontId="4" fillId="23" borderId="62" applyNumberFormat="0" applyProtection="0">
      <alignment horizontal="left" vertical="center" indent="1"/>
    </xf>
    <xf numFmtId="4" fontId="24" fillId="62" borderId="62" applyNumberFormat="0" applyProtection="0">
      <alignment horizontal="left" vertical="center" indent="1"/>
    </xf>
    <xf numFmtId="4" fontId="24" fillId="64" borderId="62" applyNumberFormat="0" applyProtection="0">
      <alignment horizontal="left" vertical="center" indent="1"/>
    </xf>
    <xf numFmtId="0" fontId="4" fillId="64" borderId="62" applyNumberFormat="0" applyProtection="0">
      <alignment horizontal="left" vertical="center" indent="1"/>
    </xf>
    <xf numFmtId="0" fontId="4" fillId="64" borderId="62" applyNumberFormat="0" applyProtection="0">
      <alignment horizontal="left" vertical="center" indent="1"/>
    </xf>
    <xf numFmtId="0" fontId="4" fillId="52" borderId="62" applyNumberFormat="0" applyProtection="0">
      <alignment horizontal="left" vertical="center" indent="1"/>
    </xf>
    <xf numFmtId="0" fontId="4" fillId="52" borderId="62" applyNumberFormat="0" applyProtection="0">
      <alignment horizontal="left" vertical="center" indent="1"/>
    </xf>
    <xf numFmtId="0" fontId="4" fillId="27" borderId="62" applyNumberFormat="0" applyProtection="0">
      <alignment horizontal="left" vertical="center" indent="1"/>
    </xf>
    <xf numFmtId="0" fontId="4" fillId="27" borderId="62" applyNumberFormat="0" applyProtection="0">
      <alignment horizontal="left" vertical="center" indent="1"/>
    </xf>
    <xf numFmtId="0" fontId="4" fillId="23" borderId="62" applyNumberFormat="0" applyProtection="0">
      <alignment horizontal="left" vertical="center" indent="1"/>
    </xf>
    <xf numFmtId="0" fontId="4" fillId="23" borderId="62" applyNumberFormat="0" applyProtection="0">
      <alignment horizontal="left" vertical="center" indent="1"/>
    </xf>
    <xf numFmtId="4" fontId="24" fillId="30" borderId="62" applyNumberFormat="0" applyProtection="0">
      <alignment vertical="center"/>
    </xf>
    <xf numFmtId="4" fontId="93" fillId="30" borderId="62" applyNumberFormat="0" applyProtection="0">
      <alignment vertical="center"/>
    </xf>
    <xf numFmtId="4" fontId="24" fillId="30" borderId="62" applyNumberFormat="0" applyProtection="0">
      <alignment horizontal="left" vertical="center" indent="1"/>
    </xf>
    <xf numFmtId="4" fontId="24" fillId="30" borderId="62" applyNumberFormat="0" applyProtection="0">
      <alignment horizontal="left" vertical="center" indent="1"/>
    </xf>
    <xf numFmtId="4" fontId="24" fillId="62" borderId="62" applyNumberFormat="0" applyProtection="0">
      <alignment horizontal="right" vertical="center"/>
    </xf>
    <xf numFmtId="4" fontId="93" fillId="62" borderId="62" applyNumberFormat="0" applyProtection="0">
      <alignment horizontal="right" vertical="center"/>
    </xf>
    <xf numFmtId="0" fontId="4" fillId="23" borderId="62" applyNumberFormat="0" applyProtection="0">
      <alignment horizontal="left" vertical="center" indent="1"/>
    </xf>
    <xf numFmtId="0" fontId="4" fillId="23" borderId="62" applyNumberFormat="0" applyProtection="0">
      <alignment horizontal="left" vertical="center" indent="1"/>
    </xf>
    <xf numFmtId="0" fontId="94" fillId="0" borderId="0"/>
    <xf numFmtId="4" fontId="95" fillId="62" borderId="62" applyNumberFormat="0" applyProtection="0">
      <alignment horizontal="right" vertical="center"/>
    </xf>
    <xf numFmtId="0" fontId="4" fillId="0" borderId="0"/>
    <xf numFmtId="0" fontId="4" fillId="65" borderId="0" applyNumberFormat="0" applyFont="0" applyBorder="0" applyProtection="0">
      <alignment horizontal="left" vertical="center"/>
    </xf>
    <xf numFmtId="0" fontId="4" fillId="0" borderId="64" applyNumberFormat="0" applyFill="0" applyProtection="0">
      <alignment horizontal="left" vertical="center" wrapText="1" indent="1"/>
    </xf>
    <xf numFmtId="198" fontId="4" fillId="0" borderId="64" applyFill="0" applyProtection="0">
      <alignment horizontal="right" vertical="center" wrapText="1"/>
    </xf>
    <xf numFmtId="199" fontId="4" fillId="0" borderId="64" applyFill="0" applyProtection="0">
      <alignment horizontal="right" vertical="center" wrapText="1"/>
    </xf>
    <xf numFmtId="0" fontId="4" fillId="0" borderId="0" applyNumberFormat="0" applyFill="0" applyBorder="0" applyProtection="0">
      <alignment horizontal="left" vertical="center" wrapText="1"/>
    </xf>
    <xf numFmtId="0" fontId="4" fillId="0" borderId="0" applyNumberFormat="0" applyFill="0" applyBorder="0" applyProtection="0">
      <alignment horizontal="left" vertical="center" wrapText="1" indent="1"/>
    </xf>
    <xf numFmtId="198" fontId="4" fillId="0" borderId="0" applyFill="0" applyBorder="0" applyProtection="0">
      <alignment horizontal="right" vertical="center" wrapText="1"/>
    </xf>
    <xf numFmtId="199" fontId="4" fillId="0" borderId="0" applyFill="0" applyBorder="0" applyProtection="0">
      <alignment horizontal="right" vertical="center" wrapText="1"/>
    </xf>
    <xf numFmtId="0" fontId="4" fillId="0" borderId="65" applyNumberFormat="0" applyFill="0" applyProtection="0">
      <alignment horizontal="left" vertical="center" wrapText="1"/>
    </xf>
    <xf numFmtId="0" fontId="4" fillId="0" borderId="65" applyNumberFormat="0" applyFill="0" applyProtection="0">
      <alignment horizontal="left" vertical="center" wrapText="1" indent="1"/>
    </xf>
    <xf numFmtId="198" fontId="4" fillId="0" borderId="65" applyFill="0" applyProtection="0">
      <alignment horizontal="right" vertical="center" wrapText="1"/>
    </xf>
    <xf numFmtId="0" fontId="4" fillId="0" borderId="0" applyNumberFormat="0" applyFill="0" applyBorder="0" applyAlignment="0" applyProtection="0"/>
    <xf numFmtId="0" fontId="4" fillId="0" borderId="0" applyNumberFormat="0" applyFill="0" applyBorder="0" applyProtection="0">
      <alignment vertical="center" wrapText="1"/>
    </xf>
    <xf numFmtId="0" fontId="4" fillId="0" borderId="0" applyNumberFormat="0" applyFill="0" applyBorder="0" applyProtection="0">
      <alignment vertical="center" wrapText="1"/>
    </xf>
    <xf numFmtId="0" fontId="57" fillId="0" borderId="0" applyNumberFormat="0" applyFill="0" applyBorder="0" applyProtection="0">
      <alignment horizontal="left" vertical="center" wrapText="1"/>
    </xf>
    <xf numFmtId="0" fontId="4" fillId="0" borderId="0" applyNumberFormat="0" applyFill="0" applyBorder="0" applyProtection="0">
      <alignment vertical="center" wrapText="1"/>
    </xf>
    <xf numFmtId="0" fontId="4" fillId="0" borderId="0" applyNumberFormat="0" applyFill="0" applyBorder="0" applyProtection="0">
      <alignment vertical="center" wrapText="1"/>
    </xf>
    <xf numFmtId="0" fontId="4" fillId="0" borderId="0" applyNumberFormat="0" applyFont="0" applyFill="0" applyBorder="0" applyProtection="0">
      <alignment horizontal="left" vertical="center"/>
    </xf>
    <xf numFmtId="0" fontId="96" fillId="0" borderId="0" applyNumberFormat="0" applyFill="0" applyBorder="0" applyProtection="0">
      <alignment horizontal="left" vertical="center" wrapText="1"/>
    </xf>
    <xf numFmtId="0" fontId="96" fillId="0" borderId="0" applyNumberFormat="0" applyFill="0" applyBorder="0" applyProtection="0">
      <alignment horizontal="left" vertical="center" wrapText="1"/>
    </xf>
    <xf numFmtId="0" fontId="85" fillId="0" borderId="0" applyNumberFormat="0" applyFill="0" applyBorder="0" applyProtection="0">
      <alignment vertical="center" wrapText="1"/>
    </xf>
    <xf numFmtId="0" fontId="4" fillId="0" borderId="66" applyNumberFormat="0" applyFont="0" applyFill="0" applyProtection="0">
      <alignment horizontal="center" vertical="center" wrapText="1"/>
    </xf>
    <xf numFmtId="0" fontId="96" fillId="0" borderId="66" applyNumberFormat="0" applyFill="0" applyProtection="0">
      <alignment horizontal="center" vertical="center" wrapText="1"/>
    </xf>
    <xf numFmtId="0" fontId="96" fillId="0" borderId="66" applyNumberFormat="0" applyFill="0" applyProtection="0">
      <alignment horizontal="center" vertical="center" wrapText="1"/>
    </xf>
    <xf numFmtId="0" fontId="4" fillId="0" borderId="64" applyNumberFormat="0" applyFill="0" applyProtection="0">
      <alignment horizontal="left" vertical="center" wrapText="1"/>
    </xf>
    <xf numFmtId="0" fontId="97" fillId="28" borderId="26">
      <alignment horizontal="center"/>
    </xf>
    <xf numFmtId="3" fontId="76" fillId="28" borderId="0"/>
    <xf numFmtId="3" fontId="97" fillId="28" borderId="0"/>
    <xf numFmtId="0" fontId="76" fillId="28" borderId="0"/>
    <xf numFmtId="0" fontId="97" fillId="28" borderId="0"/>
    <xf numFmtId="0" fontId="76" fillId="28" borderId="0">
      <alignment horizontal="center"/>
    </xf>
    <xf numFmtId="0" fontId="98" fillId="0" borderId="0">
      <alignment wrapText="1"/>
    </xf>
    <xf numFmtId="0" fontId="98" fillId="0" borderId="0">
      <alignment wrapText="1"/>
    </xf>
    <xf numFmtId="0" fontId="98" fillId="0" borderId="0">
      <alignment wrapText="1"/>
    </xf>
    <xf numFmtId="0" fontId="98" fillId="0" borderId="0">
      <alignment wrapText="1"/>
    </xf>
    <xf numFmtId="0" fontId="29" fillId="66" borderId="0">
      <alignment horizontal="right" vertical="top" wrapText="1"/>
    </xf>
    <xf numFmtId="0" fontId="29" fillId="66" borderId="0">
      <alignment horizontal="right" vertical="top" wrapText="1"/>
    </xf>
    <xf numFmtId="0" fontId="29" fillId="66" borderId="0">
      <alignment horizontal="right" vertical="top" wrapText="1"/>
    </xf>
    <xf numFmtId="0" fontId="29" fillId="66" borderId="0">
      <alignment horizontal="right" vertical="top" wrapText="1"/>
    </xf>
    <xf numFmtId="0" fontId="23" fillId="0" borderId="0"/>
    <xf numFmtId="0" fontId="23" fillId="0" borderId="0"/>
    <xf numFmtId="0" fontId="23" fillId="0" borderId="0"/>
    <xf numFmtId="0" fontId="23" fillId="0" borderId="0"/>
    <xf numFmtId="0" fontId="99" fillId="0" borderId="0"/>
    <xf numFmtId="0" fontId="99" fillId="0" borderId="0"/>
    <xf numFmtId="0" fontId="99" fillId="0" borderId="0"/>
    <xf numFmtId="0" fontId="100" fillId="0" borderId="0"/>
    <xf numFmtId="0" fontId="100" fillId="0" borderId="0"/>
    <xf numFmtId="0" fontId="100" fillId="0" borderId="0"/>
    <xf numFmtId="200" fontId="14" fillId="0" borderId="0">
      <alignment wrapText="1"/>
      <protection locked="0"/>
    </xf>
    <xf numFmtId="200" fontId="14" fillId="0" borderId="0">
      <alignment wrapText="1"/>
      <protection locked="0"/>
    </xf>
    <xf numFmtId="200" fontId="29" fillId="67" borderId="0">
      <alignment wrapText="1"/>
      <protection locked="0"/>
    </xf>
    <xf numFmtId="200" fontId="29" fillId="67" borderId="0">
      <alignment wrapText="1"/>
      <protection locked="0"/>
    </xf>
    <xf numFmtId="200" fontId="29" fillId="67" borderId="0">
      <alignment wrapText="1"/>
      <protection locked="0"/>
    </xf>
    <xf numFmtId="200" fontId="29" fillId="67" borderId="0">
      <alignment wrapText="1"/>
      <protection locked="0"/>
    </xf>
    <xf numFmtId="200" fontId="14" fillId="0" borderId="0">
      <alignment wrapText="1"/>
      <protection locked="0"/>
    </xf>
    <xf numFmtId="201" fontId="14" fillId="0" borderId="0">
      <alignment wrapText="1"/>
      <protection locked="0"/>
    </xf>
    <xf numFmtId="201" fontId="14" fillId="0" borderId="0">
      <alignment wrapText="1"/>
      <protection locked="0"/>
    </xf>
    <xf numFmtId="201" fontId="14" fillId="0" borderId="0">
      <alignment wrapText="1"/>
      <protection locked="0"/>
    </xf>
    <xf numFmtId="201" fontId="29" fillId="67" borderId="0">
      <alignment wrapText="1"/>
      <protection locked="0"/>
    </xf>
    <xf numFmtId="201" fontId="29" fillId="67" borderId="0">
      <alignment wrapText="1"/>
      <protection locked="0"/>
    </xf>
    <xf numFmtId="201" fontId="29" fillId="67" borderId="0">
      <alignment wrapText="1"/>
      <protection locked="0"/>
    </xf>
    <xf numFmtId="201" fontId="29" fillId="67" borderId="0">
      <alignment wrapText="1"/>
      <protection locked="0"/>
    </xf>
    <xf numFmtId="201" fontId="29" fillId="67" borderId="0">
      <alignment wrapText="1"/>
      <protection locked="0"/>
    </xf>
    <xf numFmtId="201" fontId="14" fillId="0" borderId="0">
      <alignment wrapText="1"/>
      <protection locked="0"/>
    </xf>
    <xf numFmtId="202" fontId="14" fillId="0" borderId="0">
      <alignment wrapText="1"/>
      <protection locked="0"/>
    </xf>
    <xf numFmtId="202" fontId="14" fillId="0" borderId="0">
      <alignment wrapText="1"/>
      <protection locked="0"/>
    </xf>
    <xf numFmtId="202" fontId="29" fillId="67" borderId="0">
      <alignment wrapText="1"/>
      <protection locked="0"/>
    </xf>
    <xf numFmtId="202" fontId="29" fillId="67" borderId="0">
      <alignment wrapText="1"/>
      <protection locked="0"/>
    </xf>
    <xf numFmtId="202" fontId="29" fillId="67" borderId="0">
      <alignment wrapText="1"/>
      <protection locked="0"/>
    </xf>
    <xf numFmtId="202" fontId="29" fillId="67" borderId="0">
      <alignment wrapText="1"/>
      <protection locked="0"/>
    </xf>
    <xf numFmtId="202" fontId="14" fillId="0" borderId="0">
      <alignment wrapText="1"/>
      <protection locked="0"/>
    </xf>
    <xf numFmtId="203" fontId="29" fillId="66" borderId="67">
      <alignment wrapText="1"/>
    </xf>
    <xf numFmtId="203" fontId="29" fillId="66" borderId="67">
      <alignment wrapText="1"/>
    </xf>
    <xf numFmtId="203" fontId="29" fillId="66" borderId="67">
      <alignment wrapText="1"/>
    </xf>
    <xf numFmtId="204" fontId="29" fillId="66" borderId="67">
      <alignment wrapText="1"/>
    </xf>
    <xf numFmtId="204" fontId="29" fillId="66" borderId="67">
      <alignment wrapText="1"/>
    </xf>
    <xf numFmtId="204" fontId="29" fillId="66" borderId="67">
      <alignment wrapText="1"/>
    </xf>
    <xf numFmtId="204" fontId="29" fillId="66" borderId="67">
      <alignment wrapText="1"/>
    </xf>
    <xf numFmtId="205" fontId="29" fillId="66" borderId="67">
      <alignment wrapText="1"/>
    </xf>
    <xf numFmtId="205" fontId="29" fillId="66" borderId="67">
      <alignment wrapText="1"/>
    </xf>
    <xf numFmtId="205" fontId="29" fillId="66" borderId="67">
      <alignment wrapText="1"/>
    </xf>
    <xf numFmtId="0" fontId="23" fillId="0" borderId="68">
      <alignment horizontal="right"/>
    </xf>
    <xf numFmtId="0" fontId="23" fillId="0" borderId="68">
      <alignment horizontal="right"/>
    </xf>
    <xf numFmtId="0" fontId="23" fillId="0" borderId="68">
      <alignment horizontal="right"/>
    </xf>
    <xf numFmtId="0" fontId="23" fillId="0" borderId="68">
      <alignment horizontal="right"/>
    </xf>
    <xf numFmtId="0" fontId="96" fillId="0" borderId="0"/>
    <xf numFmtId="40" fontId="101" fillId="0" borderId="0"/>
    <xf numFmtId="0" fontId="58" fillId="0" borderId="69" applyNumberFormat="0" applyFill="0" applyAlignment="0" applyProtection="0"/>
    <xf numFmtId="0" fontId="58" fillId="0" borderId="69" applyNumberFormat="0" applyFill="0" applyAlignment="0" applyProtection="0"/>
    <xf numFmtId="0" fontId="58" fillId="0" borderId="69" applyNumberFormat="0" applyFill="0" applyAlignment="0" applyProtection="0"/>
    <xf numFmtId="0" fontId="58" fillId="0" borderId="69" applyNumberFormat="0" applyFill="0" applyAlignment="0" applyProtection="0"/>
    <xf numFmtId="0" fontId="58" fillId="0" borderId="69" applyNumberFormat="0" applyFill="0" applyAlignment="0" applyProtection="0"/>
    <xf numFmtId="0" fontId="58" fillId="0" borderId="69" applyNumberFormat="0" applyFill="0" applyAlignment="0" applyProtection="0"/>
    <xf numFmtId="0" fontId="58" fillId="0" borderId="69" applyNumberFormat="0" applyFill="0" applyAlignment="0" applyProtection="0"/>
    <xf numFmtId="0" fontId="58" fillId="0" borderId="69" applyNumberFormat="0" applyFill="0" applyAlignment="0" applyProtection="0"/>
    <xf numFmtId="206" fontId="7" fillId="0" borderId="70"/>
    <xf numFmtId="206" fontId="6" fillId="0" borderId="71"/>
    <xf numFmtId="0" fontId="39" fillId="0" borderId="0" applyNumberFormat="0" applyFill="0" applyBorder="0" applyAlignment="0" applyProtection="0"/>
    <xf numFmtId="0" fontId="39" fillId="0" borderId="0" applyNumberFormat="0" applyFill="0" applyBorder="0" applyAlignment="0" applyProtection="0"/>
    <xf numFmtId="0" fontId="4" fillId="0" borderId="0"/>
    <xf numFmtId="0" fontId="14" fillId="0" borderId="0"/>
    <xf numFmtId="0" fontId="17" fillId="24" borderId="56" applyNumberFormat="0" applyAlignment="0" applyProtection="0"/>
    <xf numFmtId="0" fontId="17" fillId="24" borderId="56" applyNumberFormat="0" applyAlignment="0" applyProtection="0"/>
    <xf numFmtId="191" fontId="4" fillId="0" borderId="0" applyFont="0" applyFill="0" applyBorder="0" applyAlignment="0" applyProtection="0">
      <alignment wrapText="1"/>
    </xf>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75" fontId="25" fillId="26" borderId="72" applyAlignment="0" applyProtection="0"/>
    <xf numFmtId="0" fontId="16" fillId="27" borderId="62" applyNumberFormat="0">
      <alignment vertical="center"/>
    </xf>
    <xf numFmtId="0" fontId="4" fillId="11" borderId="61" applyNumberFormat="0" applyFont="0" applyAlignment="0" applyProtection="0"/>
    <xf numFmtId="0" fontId="4" fillId="11" borderId="61" applyNumberFormat="0" applyFont="0" applyAlignment="0" applyProtection="0"/>
    <xf numFmtId="0" fontId="49" fillId="24" borderId="62" applyNumberFormat="0" applyAlignment="0" applyProtection="0"/>
    <xf numFmtId="0" fontId="49" fillId="24" borderId="62" applyNumberFormat="0" applyAlignment="0" applyProtection="0"/>
    <xf numFmtId="49" fontId="57" fillId="30" borderId="79">
      <alignment horizontal="center" vertical="center" wrapText="1"/>
    </xf>
    <xf numFmtId="0" fontId="4" fillId="0" borderId="0"/>
    <xf numFmtId="0" fontId="60" fillId="0" borderId="0" applyNumberFormat="0" applyFill="0" applyBorder="0" applyAlignment="0" applyProtection="0"/>
    <xf numFmtId="0" fontId="58" fillId="0" borderId="116" applyNumberFormat="0" applyFill="0" applyAlignment="0" applyProtection="0"/>
    <xf numFmtId="0" fontId="4" fillId="23" borderId="109" applyNumberFormat="0" applyProtection="0">
      <alignment horizontal="left" vertical="center" indent="1"/>
    </xf>
    <xf numFmtId="4" fontId="24" fillId="30" borderId="109" applyNumberFormat="0" applyProtection="0">
      <alignment horizontal="left" vertical="center" indent="1"/>
    </xf>
    <xf numFmtId="0" fontId="4" fillId="23" borderId="109" applyNumberFormat="0" applyProtection="0">
      <alignment horizontal="left" vertical="center" indent="1"/>
    </xf>
    <xf numFmtId="0" fontId="4" fillId="52" borderId="109" applyNumberFormat="0" applyProtection="0">
      <alignment horizontal="left" vertical="center" indent="1"/>
    </xf>
    <xf numFmtId="4" fontId="24" fillId="62" borderId="109" applyNumberFormat="0" applyProtection="0">
      <alignment horizontal="left" vertical="center" indent="1"/>
    </xf>
    <xf numFmtId="4" fontId="75" fillId="61" borderId="109" applyNumberFormat="0" applyProtection="0">
      <alignment horizontal="left" vertical="center" indent="1"/>
    </xf>
    <xf numFmtId="4" fontId="24" fillId="56" borderId="109" applyNumberFormat="0" applyProtection="0">
      <alignment horizontal="right" vertical="center"/>
    </xf>
    <xf numFmtId="4" fontId="24" fillId="53" borderId="109" applyNumberFormat="0" applyProtection="0">
      <alignment horizontal="right" vertical="center"/>
    </xf>
    <xf numFmtId="4" fontId="24" fillId="51" borderId="109" applyNumberFormat="0" applyProtection="0">
      <alignment horizontal="left" vertical="center" indent="1"/>
    </xf>
    <xf numFmtId="0" fontId="17" fillId="24" borderId="108" applyNumberFormat="0" applyAlignment="0" applyProtection="0"/>
    <xf numFmtId="0" fontId="17" fillId="24" borderId="108" applyNumberFormat="0" applyAlignment="0" applyProtection="0"/>
    <xf numFmtId="175" fontId="25" fillId="26" borderId="95" applyAlignment="0" applyProtection="0"/>
    <xf numFmtId="0" fontId="16" fillId="27" borderId="109" applyNumberFormat="0">
      <alignment vertical="center"/>
    </xf>
    <xf numFmtId="0" fontId="63" fillId="26" borderId="56" applyNumberFormat="0" applyAlignment="0" applyProtection="0"/>
    <xf numFmtId="0" fontId="4" fillId="11" borderId="110" applyNumberFormat="0" applyFont="0" applyAlignment="0" applyProtection="0"/>
    <xf numFmtId="0" fontId="4" fillId="11" borderId="110" applyNumberFormat="0" applyFont="0" applyAlignment="0" applyProtection="0"/>
    <xf numFmtId="0" fontId="49" fillId="24" borderId="109" applyNumberFormat="0" applyAlignment="0" applyProtection="0"/>
    <xf numFmtId="0" fontId="49" fillId="24" borderId="109" applyNumberFormat="0" applyAlignment="0" applyProtection="0"/>
    <xf numFmtId="0" fontId="58" fillId="0" borderId="111" applyNumberFormat="0" applyFill="0" applyAlignment="0" applyProtection="0"/>
    <xf numFmtId="0" fontId="58" fillId="0" borderId="111" applyNumberFormat="0" applyFill="0" applyAlignment="0" applyProtection="0"/>
    <xf numFmtId="0" fontId="2" fillId="0" borderId="0"/>
    <xf numFmtId="4" fontId="93" fillId="62" borderId="109" applyNumberFormat="0" applyProtection="0">
      <alignment horizontal="right" vertical="center"/>
    </xf>
    <xf numFmtId="4" fontId="93" fillId="30" borderId="109" applyNumberFormat="0" applyProtection="0">
      <alignment vertical="center"/>
    </xf>
    <xf numFmtId="0" fontId="4" fillId="27" borderId="109" applyNumberFormat="0" applyProtection="0">
      <alignment horizontal="left" vertical="center" indent="1"/>
    </xf>
    <xf numFmtId="0" fontId="4" fillId="64" borderId="109" applyNumberFormat="0" applyProtection="0">
      <alignment horizontal="left" vertical="center" indent="1"/>
    </xf>
    <xf numFmtId="0" fontId="4" fillId="23" borderId="109" applyNumberFormat="0" applyProtection="0">
      <alignment horizontal="left" vertical="center" indent="1"/>
    </xf>
    <xf numFmtId="4" fontId="24" fillId="35" borderId="109" applyNumberFormat="0" applyProtection="0">
      <alignment horizontal="right" vertical="center"/>
    </xf>
    <xf numFmtId="4" fontId="24" fillId="62" borderId="109" applyNumberFormat="0" applyProtection="0">
      <alignment horizontal="right" vertical="center"/>
    </xf>
    <xf numFmtId="4" fontId="24" fillId="30" borderId="109" applyNumberFormat="0" applyProtection="0">
      <alignment vertical="center"/>
    </xf>
    <xf numFmtId="0" fontId="4" fillId="27" borderId="109" applyNumberFormat="0" applyProtection="0">
      <alignment horizontal="left" vertical="center" indent="1"/>
    </xf>
    <xf numFmtId="0" fontId="4" fillId="64" borderId="109" applyNumberFormat="0" applyProtection="0">
      <alignment horizontal="left" vertical="center" indent="1"/>
    </xf>
    <xf numFmtId="4" fontId="24" fillId="60" borderId="109" applyNumberFormat="0" applyProtection="0">
      <alignment horizontal="right" vertical="center"/>
    </xf>
    <xf numFmtId="4" fontId="24" fillId="55" borderId="109" applyNumberFormat="0" applyProtection="0">
      <alignment horizontal="right" vertical="center"/>
    </xf>
    <xf numFmtId="4" fontId="24" fillId="54" borderId="109" applyNumberFormat="0" applyProtection="0">
      <alignment horizontal="right" vertical="center"/>
    </xf>
    <xf numFmtId="0" fontId="4" fillId="23" borderId="109" applyNumberFormat="0" applyProtection="0">
      <alignment horizontal="left" vertical="center" indent="1"/>
    </xf>
    <xf numFmtId="4" fontId="24" fillId="51" borderId="109" applyNumberFormat="0" applyProtection="0">
      <alignment horizontal="left" vertical="center" indent="1"/>
    </xf>
    <xf numFmtId="4" fontId="93" fillId="51" borderId="109" applyNumberFormat="0" applyProtection="0">
      <alignment vertical="center"/>
    </xf>
    <xf numFmtId="4" fontId="24" fillId="51" borderId="109" applyNumberFormat="0" applyProtection="0">
      <alignment vertical="center"/>
    </xf>
    <xf numFmtId="0" fontId="63" fillId="26" borderId="108" applyNumberFormat="0" applyAlignment="0" applyProtection="0"/>
    <xf numFmtId="0" fontId="63" fillId="26" borderId="108" applyNumberFormat="0" applyAlignment="0" applyProtection="0"/>
    <xf numFmtId="0" fontId="68" fillId="12" borderId="108" applyNumberFormat="0" applyAlignment="0" applyProtection="0"/>
    <xf numFmtId="0" fontId="68" fillId="12" borderId="108" applyNumberFormat="0" applyAlignment="0" applyProtection="0"/>
    <xf numFmtId="0" fontId="12" fillId="11" borderId="110" applyNumberFormat="0" applyFont="0" applyAlignment="0" applyProtection="0"/>
    <xf numFmtId="0" fontId="12" fillId="11" borderId="110" applyNumberFormat="0" applyFont="0" applyAlignment="0" applyProtection="0"/>
    <xf numFmtId="0" fontId="49" fillId="26" borderId="109" applyNumberFormat="0" applyAlignment="0" applyProtection="0"/>
    <xf numFmtId="0" fontId="49" fillId="26" borderId="109" applyNumberFormat="0" applyAlignment="0" applyProtection="0"/>
    <xf numFmtId="0" fontId="58" fillId="0" borderId="116" applyNumberFormat="0" applyFill="0" applyAlignment="0" applyProtection="0"/>
    <xf numFmtId="0" fontId="58" fillId="0" borderId="116" applyNumberFormat="0" applyFill="0" applyAlignment="0" applyProtection="0"/>
    <xf numFmtId="0" fontId="58" fillId="0" borderId="116" applyNumberFormat="0" applyFill="0" applyAlignment="0" applyProtection="0"/>
    <xf numFmtId="0" fontId="58" fillId="0" borderId="116" applyNumberFormat="0" applyFill="0" applyAlignment="0" applyProtection="0"/>
    <xf numFmtId="0" fontId="58" fillId="0" borderId="116" applyNumberFormat="0" applyFill="0" applyAlignment="0" applyProtection="0"/>
    <xf numFmtId="0" fontId="58" fillId="0" borderId="116" applyNumberFormat="0" applyFill="0" applyAlignment="0" applyProtection="0"/>
    <xf numFmtId="4" fontId="95" fillId="62" borderId="109" applyNumberFormat="0" applyProtection="0">
      <alignment horizontal="right" vertical="center"/>
    </xf>
    <xf numFmtId="0" fontId="4" fillId="23" borderId="109" applyNumberFormat="0" applyProtection="0">
      <alignment horizontal="left" vertical="center" indent="1"/>
    </xf>
    <xf numFmtId="4" fontId="24" fillId="30" borderId="109" applyNumberFormat="0" applyProtection="0">
      <alignment horizontal="left" vertical="center" indent="1"/>
    </xf>
    <xf numFmtId="0" fontId="4" fillId="23" borderId="109" applyNumberFormat="0" applyProtection="0">
      <alignment horizontal="left" vertical="center" indent="1"/>
    </xf>
    <xf numFmtId="0" fontId="4" fillId="52" borderId="109" applyNumberFormat="0" applyProtection="0">
      <alignment horizontal="left" vertical="center" indent="1"/>
    </xf>
    <xf numFmtId="4" fontId="24" fillId="64" borderId="109" applyNumberFormat="0" applyProtection="0">
      <alignment horizontal="left" vertical="center" indent="1"/>
    </xf>
    <xf numFmtId="4" fontId="24" fillId="59" borderId="109" applyNumberFormat="0" applyProtection="0">
      <alignment horizontal="right" vertical="center"/>
    </xf>
    <xf numFmtId="4" fontId="24" fillId="58" borderId="109" applyNumberFormat="0" applyProtection="0">
      <alignment horizontal="right" vertical="center"/>
    </xf>
    <xf numFmtId="4" fontId="24" fillId="57" borderId="109" applyNumberFormat="0" applyProtection="0">
      <alignment horizontal="right" vertical="center"/>
    </xf>
    <xf numFmtId="0" fontId="49" fillId="26" borderId="109" applyNumberFormat="0" applyAlignment="0" applyProtection="0"/>
    <xf numFmtId="0" fontId="49" fillId="26" borderId="109" applyNumberFormat="0" applyAlignment="0" applyProtection="0"/>
    <xf numFmtId="0" fontId="68" fillId="12" borderId="56" applyNumberFormat="0" applyAlignment="0" applyProtection="0"/>
    <xf numFmtId="0" fontId="68" fillId="12" borderId="56" applyNumberFormat="0" applyAlignment="0" applyProtection="0"/>
    <xf numFmtId="4" fontId="24" fillId="62" borderId="117" applyNumberFormat="0" applyProtection="0">
      <alignment horizontal="left" vertical="center" indent="1"/>
    </xf>
    <xf numFmtId="175" fontId="25" fillId="26" borderId="115" applyAlignment="0" applyProtection="0"/>
    <xf numFmtId="0" fontId="58" fillId="0" borderId="116" applyNumberFormat="0" applyFill="0" applyAlignment="0" applyProtection="0"/>
    <xf numFmtId="0" fontId="58" fillId="0" borderId="116" applyNumberFormat="0" applyFill="0" applyAlignment="0" applyProtection="0"/>
    <xf numFmtId="0" fontId="58" fillId="0" borderId="116" applyNumberFormat="0" applyFill="0" applyAlignment="0" applyProtection="0"/>
    <xf numFmtId="0" fontId="16" fillId="27" borderId="109" applyNumberFormat="0">
      <alignment vertical="center"/>
    </xf>
    <xf numFmtId="0" fontId="49" fillId="24" borderId="109" applyNumberFormat="0" applyAlignment="0" applyProtection="0"/>
    <xf numFmtId="0" fontId="49" fillId="24" borderId="109" applyNumberFormat="0" applyAlignment="0" applyProtection="0"/>
  </cellStyleXfs>
  <cellXfs count="2698">
    <xf numFmtId="0" fontId="0" fillId="0" borderId="0" xfId="0"/>
    <xf numFmtId="0" fontId="0" fillId="5" borderId="0" xfId="0" applyFill="1"/>
    <xf numFmtId="0" fontId="16" fillId="5" borderId="0" xfId="0" applyFont="1" applyFill="1" applyAlignment="1" applyProtection="1">
      <alignment vertical="center"/>
      <protection hidden="1"/>
    </xf>
    <xf numFmtId="0" fontId="16" fillId="0" borderId="0" xfId="0" applyFont="1" applyFill="1" applyAlignment="1" applyProtection="1">
      <alignment vertical="center"/>
      <protection hidden="1"/>
    </xf>
    <xf numFmtId="0" fontId="16" fillId="5" borderId="0" xfId="0" applyFont="1" applyFill="1" applyProtection="1">
      <protection hidden="1"/>
    </xf>
    <xf numFmtId="0" fontId="16" fillId="0" borderId="0" xfId="0" applyFont="1" applyFill="1" applyProtection="1">
      <protection hidden="1"/>
    </xf>
    <xf numFmtId="0" fontId="0" fillId="0" borderId="0" xfId="0" applyAlignment="1">
      <alignment vertical="center"/>
    </xf>
    <xf numFmtId="169" fontId="0" fillId="0" borderId="0" xfId="0" applyNumberFormat="1"/>
    <xf numFmtId="0" fontId="4" fillId="0" borderId="0" xfId="157"/>
    <xf numFmtId="0" fontId="4" fillId="0" borderId="0" xfId="157" applyBorder="1"/>
    <xf numFmtId="0" fontId="117" fillId="0" borderId="0" xfId="0" applyFont="1" applyFill="1" applyProtection="1">
      <protection hidden="1"/>
    </xf>
    <xf numFmtId="0" fontId="118" fillId="0" borderId="0" xfId="0" applyFont="1" applyBorder="1" applyAlignment="1" applyProtection="1">
      <alignment horizontal="right"/>
      <protection hidden="1"/>
    </xf>
    <xf numFmtId="0" fontId="16" fillId="0" borderId="7" xfId="0" applyFont="1" applyBorder="1" applyProtection="1">
      <protection hidden="1"/>
    </xf>
    <xf numFmtId="0" fontId="118" fillId="0" borderId="5" xfId="0" applyFont="1" applyFill="1" applyBorder="1" applyProtection="1">
      <protection hidden="1"/>
    </xf>
    <xf numFmtId="0" fontId="16" fillId="0" borderId="5" xfId="0" applyFont="1" applyBorder="1" applyProtection="1">
      <protection hidden="1"/>
    </xf>
    <xf numFmtId="0" fontId="118" fillId="0" borderId="5" xfId="0" applyFont="1" applyBorder="1" applyProtection="1">
      <protection hidden="1"/>
    </xf>
    <xf numFmtId="0" fontId="118" fillId="0" borderId="52" xfId="0" applyFont="1" applyBorder="1" applyProtection="1">
      <protection hidden="1"/>
    </xf>
    <xf numFmtId="0" fontId="118" fillId="0" borderId="53" xfId="0" applyFont="1" applyBorder="1" applyProtection="1">
      <protection hidden="1"/>
    </xf>
    <xf numFmtId="0" fontId="102" fillId="0" borderId="5" xfId="0" applyFont="1" applyFill="1" applyBorder="1" applyAlignment="1">
      <alignment vertical="top" wrapText="1"/>
    </xf>
    <xf numFmtId="0" fontId="16" fillId="0" borderId="0" xfId="0" applyFont="1" applyFill="1" applyBorder="1" applyAlignment="1" applyProtection="1">
      <alignment vertical="center"/>
      <protection hidden="1"/>
    </xf>
    <xf numFmtId="0" fontId="118" fillId="0" borderId="51" xfId="0" applyFont="1" applyBorder="1" applyProtection="1">
      <protection hidden="1"/>
    </xf>
    <xf numFmtId="0" fontId="118" fillId="0" borderId="51" xfId="0" applyFont="1" applyBorder="1" applyAlignment="1" applyProtection="1">
      <alignment vertical="top"/>
      <protection hidden="1"/>
    </xf>
    <xf numFmtId="0" fontId="118" fillId="0" borderId="54" xfId="0" applyFont="1" applyFill="1" applyBorder="1" applyProtection="1">
      <protection hidden="1"/>
    </xf>
    <xf numFmtId="0" fontId="118" fillId="0" borderId="47" xfId="0" applyFont="1" applyBorder="1" applyAlignment="1" applyProtection="1">
      <alignment horizontal="right"/>
      <protection hidden="1"/>
    </xf>
    <xf numFmtId="0" fontId="16" fillId="5" borderId="0" xfId="0" applyFont="1" applyFill="1" applyBorder="1" applyAlignment="1" applyProtection="1">
      <alignment vertical="center"/>
      <protection hidden="1"/>
    </xf>
    <xf numFmtId="0" fontId="4" fillId="5" borderId="0" xfId="157" applyFill="1"/>
    <xf numFmtId="208" fontId="110" fillId="5" borderId="0" xfId="0" applyNumberFormat="1" applyFont="1" applyFill="1" applyAlignment="1">
      <alignment horizontal="center"/>
    </xf>
    <xf numFmtId="0" fontId="4" fillId="5" borderId="0" xfId="157" applyFill="1" applyBorder="1"/>
    <xf numFmtId="0" fontId="4" fillId="5" borderId="0" xfId="888" applyFill="1" applyBorder="1"/>
    <xf numFmtId="14" fontId="57" fillId="5" borderId="0" xfId="888" applyNumberFormat="1" applyFont="1" applyFill="1" applyBorder="1"/>
    <xf numFmtId="0" fontId="4" fillId="5" borderId="0" xfId="888" applyFill="1" applyBorder="1" applyAlignment="1">
      <alignment horizontal="center"/>
    </xf>
    <xf numFmtId="0" fontId="111" fillId="5" borderId="0" xfId="888" applyFont="1" applyFill="1" applyBorder="1" applyAlignment="1" applyProtection="1">
      <alignment horizontal="center"/>
      <protection locked="0"/>
    </xf>
    <xf numFmtId="0" fontId="112" fillId="5" borderId="0" xfId="888" applyFont="1" applyFill="1" applyBorder="1" applyAlignment="1">
      <alignment horizontal="left" vertical="center" wrapText="1"/>
    </xf>
    <xf numFmtId="0" fontId="4" fillId="5" borderId="0" xfId="888" applyFill="1" applyBorder="1" applyAlignment="1">
      <alignment horizontal="left" vertical="center" wrapText="1"/>
    </xf>
    <xf numFmtId="0" fontId="4" fillId="5" borderId="0" xfId="888" applyFill="1" applyBorder="1" applyAlignment="1">
      <alignment horizontal="left" vertical="top" wrapText="1"/>
    </xf>
    <xf numFmtId="0" fontId="3" fillId="5" borderId="0" xfId="0" applyFont="1" applyFill="1"/>
    <xf numFmtId="0" fontId="3" fillId="5" borderId="0" xfId="0" applyFont="1" applyFill="1" applyBorder="1"/>
    <xf numFmtId="0" fontId="3" fillId="5" borderId="0" xfId="0" applyFont="1" applyFill="1" applyBorder="1" applyAlignment="1">
      <alignment horizontal="center"/>
    </xf>
    <xf numFmtId="0" fontId="3" fillId="0" borderId="0" xfId="0" applyFont="1"/>
    <xf numFmtId="0" fontId="3" fillId="5" borderId="0" xfId="0" applyFont="1" applyFill="1" applyAlignment="1">
      <alignment vertical="center"/>
    </xf>
    <xf numFmtId="0" fontId="3" fillId="5" borderId="0" xfId="0" applyFont="1" applyFill="1" applyBorder="1" applyAlignment="1">
      <alignment vertical="center"/>
    </xf>
    <xf numFmtId="0" fontId="122" fillId="5" borderId="0" xfId="0" applyFont="1" applyFill="1" applyBorder="1" applyAlignment="1">
      <alignment horizontal="left" vertical="center"/>
    </xf>
    <xf numFmtId="0" fontId="3" fillId="0" borderId="0" xfId="0" applyFont="1" applyAlignment="1">
      <alignment vertical="center"/>
    </xf>
    <xf numFmtId="0" fontId="3" fillId="5" borderId="0" xfId="0" applyFont="1" applyFill="1" applyBorder="1" applyAlignment="1">
      <alignment horizontal="center" vertical="center"/>
    </xf>
    <xf numFmtId="0" fontId="122" fillId="5" borderId="0" xfId="0" applyFont="1" applyFill="1" applyBorder="1" applyAlignment="1">
      <alignment vertical="center"/>
    </xf>
    <xf numFmtId="0" fontId="122" fillId="5" borderId="0" xfId="0" applyFont="1" applyFill="1" applyBorder="1" applyAlignment="1">
      <alignment horizontal="center" vertical="center"/>
    </xf>
    <xf numFmtId="0" fontId="125" fillId="5" borderId="0" xfId="286" applyFont="1" applyFill="1" applyBorder="1" applyAlignment="1">
      <alignment vertical="center"/>
    </xf>
    <xf numFmtId="0" fontId="122" fillId="5" borderId="0" xfId="0" applyFont="1" applyFill="1" applyBorder="1" applyAlignment="1">
      <alignment horizontal="center" vertical="center" wrapText="1"/>
    </xf>
    <xf numFmtId="0" fontId="118" fillId="5" borderId="0" xfId="0" applyFont="1" applyFill="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xf>
    <xf numFmtId="0" fontId="3" fillId="5" borderId="0" xfId="0" applyFont="1" applyFill="1" applyBorder="1" applyAlignment="1">
      <alignment horizontal="left" vertical="center"/>
    </xf>
    <xf numFmtId="164" fontId="122" fillId="5" borderId="0" xfId="0" applyNumberFormat="1" applyFont="1" applyFill="1" applyBorder="1" applyAlignment="1">
      <alignment horizontal="left" vertical="center"/>
    </xf>
    <xf numFmtId="0" fontId="122" fillId="5" borderId="0" xfId="0" applyFont="1" applyFill="1" applyBorder="1" applyAlignment="1">
      <alignment horizontal="center" vertical="top"/>
    </xf>
    <xf numFmtId="0" fontId="3" fillId="5" borderId="5" xfId="0" applyFont="1" applyFill="1" applyBorder="1"/>
    <xf numFmtId="0" fontId="131" fillId="5" borderId="0" xfId="0" applyFont="1" applyFill="1" applyBorder="1" applyAlignment="1">
      <alignment horizontal="center" vertical="top"/>
    </xf>
    <xf numFmtId="0" fontId="122" fillId="5" borderId="0" xfId="0" applyFont="1" applyFill="1" applyBorder="1" applyAlignment="1">
      <alignment vertical="top"/>
    </xf>
    <xf numFmtId="0" fontId="123" fillId="5" borderId="0" xfId="0" applyFont="1" applyFill="1"/>
    <xf numFmtId="0" fontId="3" fillId="5" borderId="4" xfId="0" applyFont="1" applyFill="1" applyBorder="1"/>
    <xf numFmtId="0" fontId="3" fillId="5" borderId="4" xfId="0" applyFont="1" applyFill="1" applyBorder="1" applyAlignment="1">
      <alignment vertical="top"/>
    </xf>
    <xf numFmtId="0" fontId="122" fillId="5" borderId="0" xfId="0" applyFont="1" applyFill="1" applyBorder="1"/>
    <xf numFmtId="0" fontId="122" fillId="5" borderId="0" xfId="0" applyFont="1" applyFill="1" applyBorder="1" applyAlignment="1">
      <alignment horizontal="center" vertical="top" wrapText="1"/>
    </xf>
    <xf numFmtId="0" fontId="3" fillId="5" borderId="0" xfId="0" applyFont="1" applyFill="1" applyBorder="1" applyAlignment="1">
      <alignment vertical="top"/>
    </xf>
    <xf numFmtId="0" fontId="3" fillId="0" borderId="1" xfId="0" applyFont="1" applyBorder="1"/>
    <xf numFmtId="0" fontId="3" fillId="0" borderId="0" xfId="0" applyFont="1" applyFill="1" applyBorder="1"/>
    <xf numFmtId="0" fontId="3" fillId="0" borderId="0" xfId="0" applyFont="1" applyFill="1"/>
    <xf numFmtId="0" fontId="122" fillId="0" borderId="0" xfId="0" applyFont="1"/>
    <xf numFmtId="0" fontId="3" fillId="0" borderId="0" xfId="0" applyFont="1" applyBorder="1"/>
    <xf numFmtId="0" fontId="3" fillId="5" borderId="0" xfId="0" applyFont="1" applyFill="1" applyAlignment="1"/>
    <xf numFmtId="0" fontId="3" fillId="0" borderId="0" xfId="0" applyFont="1" applyBorder="1" applyAlignment="1"/>
    <xf numFmtId="0" fontId="3" fillId="0" borderId="0" xfId="0" applyFont="1" applyAlignment="1"/>
    <xf numFmtId="0" fontId="135" fillId="5" borderId="0" xfId="0" applyFont="1" applyFill="1" applyBorder="1" applyAlignment="1">
      <alignment horizontal="left" wrapText="1"/>
    </xf>
    <xf numFmtId="0" fontId="3" fillId="5" borderId="0" xfId="0" applyFont="1" applyFill="1" applyBorder="1" applyAlignment="1"/>
    <xf numFmtId="0" fontId="3" fillId="0" borderId="0" xfId="0" applyFont="1" applyBorder="1" applyAlignment="1">
      <alignment vertical="center"/>
    </xf>
    <xf numFmtId="0" fontId="104" fillId="0" borderId="0" xfId="0" applyFont="1" applyBorder="1" applyAlignment="1">
      <alignment vertical="center"/>
    </xf>
    <xf numFmtId="0" fontId="122" fillId="8" borderId="21" xfId="0" applyFont="1" applyFill="1" applyBorder="1" applyAlignment="1">
      <alignment horizontal="left" vertical="center"/>
    </xf>
    <xf numFmtId="0" fontId="122" fillId="5" borderId="29" xfId="0" applyFont="1" applyFill="1" applyBorder="1" applyAlignment="1">
      <alignment horizontal="center" vertical="center"/>
    </xf>
    <xf numFmtId="166" fontId="104" fillId="6" borderId="1" xfId="1" applyNumberFormat="1" applyFont="1" applyFill="1" applyBorder="1" applyAlignment="1">
      <alignment horizontal="center" vertical="center"/>
    </xf>
    <xf numFmtId="0" fontId="16" fillId="0" borderId="28" xfId="0" applyFont="1" applyBorder="1"/>
    <xf numFmtId="0" fontId="132" fillId="5" borderId="0" xfId="0" applyFont="1" applyFill="1" applyBorder="1" applyAlignment="1">
      <alignment horizontal="center" vertical="center"/>
    </xf>
    <xf numFmtId="0" fontId="123" fillId="73" borderId="1" xfId="0" applyFont="1" applyFill="1" applyBorder="1" applyAlignment="1">
      <alignment horizontal="center" vertical="center"/>
    </xf>
    <xf numFmtId="180" fontId="120" fillId="73" borderId="1" xfId="0" applyNumberFormat="1" applyFont="1" applyFill="1" applyBorder="1" applyAlignment="1">
      <alignment horizontal="center" vertical="center"/>
    </xf>
    <xf numFmtId="0" fontId="16" fillId="5" borderId="28" xfId="0" applyFont="1" applyFill="1" applyBorder="1" applyAlignment="1">
      <alignment vertical="center"/>
    </xf>
    <xf numFmtId="0" fontId="3" fillId="5" borderId="28" xfId="0" applyFont="1" applyFill="1" applyBorder="1" applyAlignment="1">
      <alignment vertical="center"/>
    </xf>
    <xf numFmtId="0" fontId="3" fillId="5" borderId="29" xfId="0" applyFont="1" applyFill="1" applyBorder="1" applyAlignment="1">
      <alignment vertical="center"/>
    </xf>
    <xf numFmtId="0" fontId="122" fillId="5" borderId="0" xfId="0" applyFont="1" applyFill="1" applyBorder="1" applyAlignment="1">
      <alignment vertical="center" wrapText="1"/>
    </xf>
    <xf numFmtId="0" fontId="122" fillId="5" borderId="1" xfId="0" applyFont="1" applyFill="1" applyBorder="1" applyAlignment="1">
      <alignment horizontal="left" vertical="center" wrapText="1"/>
    </xf>
    <xf numFmtId="0" fontId="122" fillId="5" borderId="1" xfId="0" applyFont="1" applyFill="1" applyBorder="1" applyAlignment="1">
      <alignment horizontal="center" vertical="center" wrapText="1"/>
    </xf>
    <xf numFmtId="0" fontId="122" fillId="6" borderId="1" xfId="0" applyFont="1" applyFill="1" applyBorder="1" applyAlignment="1">
      <alignment horizontal="left" vertical="center" wrapText="1"/>
    </xf>
    <xf numFmtId="181" fontId="122" fillId="6" borderId="1" xfId="0" applyNumberFormat="1" applyFont="1" applyFill="1" applyBorder="1" applyAlignment="1">
      <alignment horizontal="center" vertical="center"/>
    </xf>
    <xf numFmtId="9" fontId="122" fillId="6" borderId="1" xfId="4" applyFont="1" applyFill="1" applyBorder="1" applyAlignment="1">
      <alignment horizontal="center" vertical="center"/>
    </xf>
    <xf numFmtId="0" fontId="118" fillId="5" borderId="1" xfId="0" applyFont="1" applyFill="1" applyBorder="1" applyAlignment="1">
      <alignment horizontal="left" vertical="center" wrapText="1"/>
    </xf>
    <xf numFmtId="0" fontId="122" fillId="6" borderId="1" xfId="0" applyFont="1" applyFill="1" applyBorder="1" applyAlignment="1">
      <alignment horizontal="center" vertical="center"/>
    </xf>
    <xf numFmtId="0" fontId="122" fillId="0" borderId="1" xfId="0" applyFont="1" applyFill="1" applyBorder="1" applyAlignment="1">
      <alignment horizontal="left" vertical="center" wrapText="1"/>
    </xf>
    <xf numFmtId="3" fontId="122" fillId="6" borderId="1" xfId="0" applyNumberFormat="1" applyFont="1" applyFill="1" applyBorder="1" applyAlignment="1">
      <alignment horizontal="center" vertical="center"/>
    </xf>
    <xf numFmtId="0" fontId="16" fillId="0" borderId="0" xfId="0" applyFont="1" applyFill="1" applyBorder="1" applyAlignment="1">
      <alignment vertical="center"/>
    </xf>
    <xf numFmtId="0" fontId="122" fillId="5" borderId="1" xfId="0" applyFont="1" applyFill="1" applyBorder="1" applyAlignment="1">
      <alignment horizontal="left" vertical="center"/>
    </xf>
    <xf numFmtId="0" fontId="118" fillId="5" borderId="0" xfId="0" applyFont="1" applyFill="1" applyBorder="1" applyAlignment="1">
      <alignment vertical="center"/>
    </xf>
    <xf numFmtId="0" fontId="132" fillId="5" borderId="0" xfId="0" applyFont="1" applyFill="1" applyBorder="1" applyAlignment="1">
      <alignment horizontal="center" vertical="center" wrapText="1"/>
    </xf>
    <xf numFmtId="0" fontId="122" fillId="5" borderId="1" xfId="0" applyFont="1" applyFill="1" applyBorder="1" applyAlignment="1">
      <alignment vertical="center" wrapText="1"/>
    </xf>
    <xf numFmtId="0" fontId="16" fillId="5" borderId="0" xfId="0" applyFont="1" applyFill="1" applyBorder="1" applyAlignment="1">
      <alignment vertical="center"/>
    </xf>
    <xf numFmtId="0" fontId="118" fillId="5" borderId="1" xfId="0" applyFont="1" applyFill="1" applyBorder="1" applyAlignment="1">
      <alignment vertical="center" wrapText="1"/>
    </xf>
    <xf numFmtId="2" fontId="122" fillId="5" borderId="1" xfId="4" applyNumberFormat="1" applyFont="1" applyFill="1" applyBorder="1" applyAlignment="1">
      <alignment horizontal="center" vertical="center"/>
    </xf>
    <xf numFmtId="2" fontId="122" fillId="6" borderId="1" xfId="4" applyNumberFormat="1" applyFont="1" applyFill="1" applyBorder="1" applyAlignment="1">
      <alignment horizontal="center" vertical="center"/>
    </xf>
    <xf numFmtId="166" fontId="118" fillId="5" borderId="81" xfId="1" applyNumberFormat="1" applyFont="1" applyFill="1" applyBorder="1" applyAlignment="1">
      <alignment horizontal="center" vertical="center"/>
    </xf>
    <xf numFmtId="0" fontId="118" fillId="0" borderId="1" xfId="0" applyFont="1" applyFill="1" applyBorder="1" applyAlignment="1">
      <alignment horizontal="left" vertical="center" wrapText="1"/>
    </xf>
    <xf numFmtId="0" fontId="3" fillId="0" borderId="28" xfId="0" applyFont="1" applyBorder="1" applyAlignment="1">
      <alignment vertical="center"/>
    </xf>
    <xf numFmtId="0" fontId="122" fillId="5" borderId="28" xfId="0" applyFont="1" applyFill="1" applyBorder="1" applyAlignment="1">
      <alignment horizontal="center" vertical="center"/>
    </xf>
    <xf numFmtId="0" fontId="3" fillId="5" borderId="27" xfId="0" applyFont="1" applyFill="1" applyBorder="1" applyAlignment="1">
      <alignment vertical="center"/>
    </xf>
    <xf numFmtId="0" fontId="3" fillId="5" borderId="26" xfId="0" applyFont="1" applyFill="1" applyBorder="1" applyAlignment="1">
      <alignment vertical="center"/>
    </xf>
    <xf numFmtId="0" fontId="3" fillId="5" borderId="25" xfId="0" applyFont="1" applyFill="1" applyBorder="1" applyAlignment="1">
      <alignment vertical="center"/>
    </xf>
    <xf numFmtId="3" fontId="3" fillId="5" borderId="0" xfId="0" applyNumberFormat="1" applyFont="1" applyFill="1" applyBorder="1" applyAlignment="1">
      <alignment vertical="top"/>
    </xf>
    <xf numFmtId="0" fontId="3" fillId="5" borderId="0" xfId="0" applyFont="1" applyFill="1" applyBorder="1" applyAlignment="1">
      <alignment vertical="top" wrapText="1"/>
    </xf>
    <xf numFmtId="168" fontId="3" fillId="5" borderId="0" xfId="0" applyNumberFormat="1" applyFont="1" applyFill="1" applyBorder="1" applyAlignment="1">
      <alignment vertical="top"/>
    </xf>
    <xf numFmtId="0" fontId="3" fillId="5" borderId="2" xfId="0" applyFont="1" applyFill="1" applyBorder="1" applyAlignment="1">
      <alignment vertical="center"/>
    </xf>
    <xf numFmtId="0" fontId="135" fillId="5" borderId="0" xfId="0" applyFont="1" applyFill="1" applyBorder="1" applyAlignment="1">
      <alignment horizontal="left" vertical="center" wrapText="1"/>
    </xf>
    <xf numFmtId="0" fontId="135" fillId="5" borderId="0" xfId="0" applyFont="1" applyFill="1" applyBorder="1" applyAlignment="1">
      <alignment vertical="center"/>
    </xf>
    <xf numFmtId="0" fontId="132" fillId="5" borderId="0" xfId="0" applyFont="1" applyFill="1" applyBorder="1" applyAlignment="1">
      <alignment vertical="center"/>
    </xf>
    <xf numFmtId="0" fontId="118" fillId="5" borderId="26" xfId="0" applyFont="1" applyFill="1" applyBorder="1" applyAlignment="1">
      <alignment vertical="center"/>
    </xf>
    <xf numFmtId="3" fontId="122" fillId="0" borderId="1" xfId="0" applyNumberFormat="1" applyFont="1" applyFill="1" applyBorder="1" applyAlignment="1">
      <alignment horizontal="center" vertical="center"/>
    </xf>
    <xf numFmtId="0" fontId="118" fillId="0" borderId="0" xfId="0" applyFont="1" applyFill="1" applyBorder="1" applyAlignment="1">
      <alignment horizontal="center" vertical="center" wrapText="1"/>
    </xf>
    <xf numFmtId="0" fontId="122" fillId="0" borderId="1" xfId="0" applyFont="1" applyFill="1" applyBorder="1" applyAlignment="1">
      <alignment horizontal="left" vertical="center"/>
    </xf>
    <xf numFmtId="166" fontId="118" fillId="0" borderId="1" xfId="1" applyNumberFormat="1" applyFont="1" applyFill="1" applyBorder="1" applyAlignment="1">
      <alignment horizontal="center" vertical="center"/>
    </xf>
    <xf numFmtId="0" fontId="118" fillId="0" borderId="0" xfId="0" applyFont="1" applyFill="1" applyBorder="1" applyAlignment="1">
      <alignment vertical="center"/>
    </xf>
    <xf numFmtId="0" fontId="122" fillId="0" borderId="0" xfId="0" applyFont="1" applyFill="1" applyBorder="1" applyAlignment="1">
      <alignment vertical="center"/>
    </xf>
    <xf numFmtId="0" fontId="118" fillId="5" borderId="0" xfId="0" applyFont="1" applyFill="1" applyBorder="1" applyAlignment="1">
      <alignment vertical="center" wrapText="1"/>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122" fillId="0" borderId="0" xfId="0" applyFont="1" applyFill="1" applyBorder="1" applyAlignment="1">
      <alignment horizontal="left" vertical="center" wrapText="1"/>
    </xf>
    <xf numFmtId="0" fontId="121" fillId="0" borderId="0" xfId="0" applyFont="1" applyBorder="1" applyAlignment="1">
      <alignment vertical="center"/>
    </xf>
    <xf numFmtId="0" fontId="3" fillId="5" borderId="36" xfId="0" applyFont="1" applyFill="1" applyBorder="1" applyAlignment="1">
      <alignment vertical="center"/>
    </xf>
    <xf numFmtId="0" fontId="3" fillId="0" borderId="4" xfId="0" applyFont="1" applyBorder="1" applyAlignment="1">
      <alignment vertical="center"/>
    </xf>
    <xf numFmtId="0" fontId="3" fillId="5" borderId="4" xfId="0" applyFont="1" applyFill="1" applyBorder="1" applyAlignment="1">
      <alignment horizontal="center" vertical="center"/>
    </xf>
    <xf numFmtId="0" fontId="3" fillId="5" borderId="35" xfId="0" applyFont="1" applyFill="1" applyBorder="1" applyAlignment="1">
      <alignment vertical="center"/>
    </xf>
    <xf numFmtId="0" fontId="122" fillId="5" borderId="26" xfId="0" applyFont="1" applyFill="1" applyBorder="1" applyAlignment="1">
      <alignment vertical="center"/>
    </xf>
    <xf numFmtId="0" fontId="122" fillId="0" borderId="26" xfId="0" applyFont="1" applyBorder="1" applyAlignment="1">
      <alignment horizontal="center" vertical="center" wrapText="1"/>
    </xf>
    <xf numFmtId="0" fontId="122" fillId="5" borderId="0" xfId="0" applyFont="1" applyFill="1" applyBorder="1" applyAlignment="1">
      <alignment horizontal="left" vertical="top"/>
    </xf>
    <xf numFmtId="0" fontId="104" fillId="0" borderId="0" xfId="0" applyFont="1" applyBorder="1"/>
    <xf numFmtId="0" fontId="3" fillId="5" borderId="29" xfId="0" applyFont="1" applyFill="1" applyBorder="1"/>
    <xf numFmtId="0" fontId="118" fillId="5" borderId="0" xfId="0" applyFont="1" applyFill="1" applyBorder="1"/>
    <xf numFmtId="0" fontId="135" fillId="5" borderId="0" xfId="0" applyFont="1" applyFill="1" applyBorder="1"/>
    <xf numFmtId="0" fontId="122" fillId="8" borderId="21" xfId="0" applyFont="1" applyFill="1" applyBorder="1" applyAlignment="1">
      <alignment horizontal="left" vertical="top"/>
    </xf>
    <xf numFmtId="0" fontId="3" fillId="5" borderId="27" xfId="0" applyFont="1" applyFill="1" applyBorder="1"/>
    <xf numFmtId="9" fontId="122" fillId="5" borderId="0" xfId="4" applyFont="1" applyFill="1" applyBorder="1" applyAlignment="1">
      <alignment vertical="top"/>
    </xf>
    <xf numFmtId="182" fontId="120" fillId="0" borderId="0" xfId="4" applyNumberFormat="1" applyFont="1" applyFill="1" applyBorder="1" applyAlignment="1">
      <alignment horizontal="center"/>
    </xf>
    <xf numFmtId="0" fontId="122" fillId="5" borderId="28" xfId="0" applyFont="1" applyFill="1" applyBorder="1" applyAlignment="1">
      <alignment vertical="center"/>
    </xf>
    <xf numFmtId="0" fontId="130" fillId="5" borderId="2" xfId="0" applyFont="1" applyFill="1" applyBorder="1" applyAlignment="1">
      <alignment horizontal="left" vertical="center" wrapText="1"/>
    </xf>
    <xf numFmtId="180" fontId="118" fillId="4" borderId="1" xfId="0" applyNumberFormat="1" applyFont="1" applyFill="1" applyBorder="1" applyAlignment="1">
      <alignment horizontal="center" vertical="center"/>
    </xf>
    <xf numFmtId="0" fontId="121" fillId="5" borderId="0" xfId="0" applyFont="1" applyFill="1" applyBorder="1" applyAlignment="1">
      <alignment vertical="center"/>
    </xf>
    <xf numFmtId="0" fontId="132" fillId="5" borderId="0" xfId="0" applyFont="1" applyFill="1" applyBorder="1" applyAlignment="1">
      <alignment vertical="center" wrapText="1"/>
    </xf>
    <xf numFmtId="0" fontId="122" fillId="5" borderId="0" xfId="0" applyFont="1" applyFill="1" applyBorder="1" applyAlignment="1">
      <alignment horizontal="left" vertical="center" wrapText="1"/>
    </xf>
    <xf numFmtId="165" fontId="3" fillId="5" borderId="0" xfId="0" applyNumberFormat="1" applyFont="1" applyFill="1" applyAlignment="1">
      <alignment vertical="center"/>
    </xf>
    <xf numFmtId="0" fontId="3" fillId="5" borderId="32" xfId="0" applyFont="1" applyFill="1" applyBorder="1"/>
    <xf numFmtId="0" fontId="3" fillId="5" borderId="28" xfId="0" applyFont="1" applyFill="1" applyBorder="1"/>
    <xf numFmtId="0" fontId="130" fillId="5" borderId="2" xfId="0" applyFont="1" applyFill="1" applyBorder="1" applyAlignment="1">
      <alignment horizontal="left" vertical="top" wrapText="1"/>
    </xf>
    <xf numFmtId="0" fontId="132" fillId="5" borderId="0" xfId="0" applyFont="1" applyFill="1" applyBorder="1" applyAlignment="1">
      <alignment horizontal="left" vertical="center"/>
    </xf>
    <xf numFmtId="49" fontId="104" fillId="0" borderId="0" xfId="0" applyNumberFormat="1" applyFont="1" applyBorder="1" applyAlignment="1">
      <alignment vertical="center" wrapText="1"/>
    </xf>
    <xf numFmtId="0" fontId="122" fillId="5" borderId="28" xfId="0" applyFont="1" applyFill="1" applyBorder="1" applyAlignment="1">
      <alignment horizontal="center" vertical="center" wrapText="1"/>
    </xf>
    <xf numFmtId="9" fontId="122" fillId="6" borderId="1" xfId="4" applyFont="1" applyFill="1" applyBorder="1" applyAlignment="1">
      <alignment horizontal="center" vertical="top"/>
    </xf>
    <xf numFmtId="0" fontId="122" fillId="0" borderId="1" xfId="0" applyFont="1" applyFill="1" applyBorder="1" applyAlignment="1">
      <alignment horizontal="left" vertical="top" wrapText="1"/>
    </xf>
    <xf numFmtId="0" fontId="122" fillId="0" borderId="1" xfId="0" applyFont="1" applyFill="1" applyBorder="1" applyAlignment="1">
      <alignment horizontal="left" vertical="top"/>
    </xf>
    <xf numFmtId="0" fontId="3" fillId="0" borderId="0" xfId="0" applyFont="1" applyAlignment="1">
      <alignment wrapText="1"/>
    </xf>
    <xf numFmtId="0" fontId="122" fillId="5" borderId="0" xfId="0" applyFont="1" applyFill="1" applyBorder="1" applyAlignment="1">
      <alignment horizontal="left" vertical="top" wrapText="1"/>
    </xf>
    <xf numFmtId="0" fontId="122" fillId="0" borderId="1" xfId="0" applyFont="1" applyFill="1" applyBorder="1" applyAlignment="1">
      <alignment vertical="center" wrapText="1"/>
    </xf>
    <xf numFmtId="0" fontId="122" fillId="5" borderId="0" xfId="0" applyFont="1" applyFill="1" applyBorder="1" applyAlignment="1">
      <alignment vertical="top" wrapText="1"/>
    </xf>
    <xf numFmtId="0" fontId="3" fillId="5" borderId="0" xfId="0" applyFont="1" applyFill="1" applyAlignment="1">
      <alignment wrapText="1"/>
    </xf>
    <xf numFmtId="2" fontId="118" fillId="0" borderId="1" xfId="4" applyNumberFormat="1" applyFont="1" applyFill="1" applyBorder="1" applyAlignment="1">
      <alignment horizontal="center" vertical="center"/>
    </xf>
    <xf numFmtId="164" fontId="122" fillId="6" borderId="1" xfId="4" applyNumberFormat="1" applyFont="1" applyFill="1" applyBorder="1" applyAlignment="1">
      <alignment horizontal="center" vertical="center"/>
    </xf>
    <xf numFmtId="0" fontId="3" fillId="0" borderId="0" xfId="0" applyFont="1" applyBorder="1" applyAlignment="1">
      <alignment horizontal="center" vertical="center"/>
    </xf>
    <xf numFmtId="0" fontId="3" fillId="5" borderId="36" xfId="0" applyFont="1" applyFill="1" applyBorder="1"/>
    <xf numFmtId="0" fontId="3" fillId="5" borderId="0" xfId="0" applyFont="1" applyFill="1" applyBorder="1" applyAlignment="1">
      <alignment horizontal="center" vertical="top"/>
    </xf>
    <xf numFmtId="1" fontId="118" fillId="0" borderId="1" xfId="1" applyNumberFormat="1" applyFont="1" applyFill="1" applyBorder="1" applyAlignment="1">
      <alignment horizontal="right" vertical="center"/>
    </xf>
    <xf numFmtId="0" fontId="122" fillId="5" borderId="26" xfId="0" applyFont="1" applyFill="1" applyBorder="1" applyAlignment="1">
      <alignment vertical="top"/>
    </xf>
    <xf numFmtId="0" fontId="3" fillId="5" borderId="26" xfId="0" applyFont="1" applyFill="1" applyBorder="1"/>
    <xf numFmtId="0" fontId="3" fillId="5" borderId="26" xfId="0" applyFont="1" applyFill="1" applyBorder="1" applyAlignment="1">
      <alignment vertical="top"/>
    </xf>
    <xf numFmtId="0" fontId="3" fillId="5" borderId="25" xfId="0" applyFont="1" applyFill="1" applyBorder="1" applyAlignment="1">
      <alignment vertical="top"/>
    </xf>
    <xf numFmtId="0" fontId="3" fillId="0" borderId="0" xfId="0" applyFont="1" applyBorder="1" applyAlignment="1">
      <alignment horizontal="center"/>
    </xf>
    <xf numFmtId="168" fontId="122" fillId="5" borderId="0" xfId="0" applyNumberFormat="1" applyFont="1" applyFill="1" applyBorder="1" applyAlignment="1">
      <alignment vertical="top"/>
    </xf>
    <xf numFmtId="3" fontId="120" fillId="32" borderId="1" xfId="0" applyNumberFormat="1" applyFont="1" applyFill="1" applyBorder="1" applyAlignment="1">
      <alignment horizontal="center" vertical="center"/>
    </xf>
    <xf numFmtId="9" fontId="120" fillId="32" borderId="1" xfId="4" applyFont="1" applyFill="1" applyBorder="1" applyAlignment="1">
      <alignment horizontal="center" vertical="center"/>
    </xf>
    <xf numFmtId="0" fontId="3" fillId="5" borderId="0" xfId="0" quotePrefix="1" applyFont="1" applyFill="1" applyBorder="1" applyAlignment="1">
      <alignment vertical="center"/>
    </xf>
    <xf numFmtId="166" fontId="122" fillId="5" borderId="0" xfId="1" applyNumberFormat="1" applyFont="1" applyFill="1" applyBorder="1" applyAlignment="1">
      <alignment horizontal="center" vertical="center"/>
    </xf>
    <xf numFmtId="0" fontId="118" fillId="0" borderId="1" xfId="0" applyFont="1" applyFill="1" applyBorder="1" applyAlignment="1">
      <alignment horizontal="left" vertical="center"/>
    </xf>
    <xf numFmtId="3" fontId="122" fillId="5" borderId="0" xfId="0" applyNumberFormat="1" applyFont="1" applyFill="1" applyBorder="1" applyAlignment="1">
      <alignment horizontal="center" vertical="center"/>
    </xf>
    <xf numFmtId="164" fontId="122" fillId="0" borderId="1" xfId="4" applyNumberFormat="1" applyFont="1" applyFill="1" applyBorder="1" applyAlignment="1">
      <alignment horizontal="center" vertical="center"/>
    </xf>
    <xf numFmtId="0" fontId="3" fillId="0" borderId="2" xfId="0" applyFont="1" applyBorder="1" applyAlignment="1">
      <alignment vertical="center"/>
    </xf>
    <xf numFmtId="166" fontId="122" fillId="5" borderId="0" xfId="0" applyNumberFormat="1" applyFont="1" applyFill="1" applyBorder="1" applyAlignment="1">
      <alignment horizontal="center" vertical="center"/>
    </xf>
    <xf numFmtId="0" fontId="3" fillId="5" borderId="4" xfId="0" applyFont="1" applyFill="1" applyBorder="1" applyAlignment="1">
      <alignment vertical="center"/>
    </xf>
    <xf numFmtId="37" fontId="122" fillId="5" borderId="0" xfId="0" applyNumberFormat="1" applyFont="1" applyFill="1" applyBorder="1" applyAlignment="1">
      <alignment horizontal="center" vertical="center"/>
    </xf>
    <xf numFmtId="37" fontId="122" fillId="5" borderId="0" xfId="0" applyNumberFormat="1" applyFont="1" applyFill="1" applyBorder="1" applyAlignment="1">
      <alignment horizontal="left" vertical="center"/>
    </xf>
    <xf numFmtId="0" fontId="3" fillId="5" borderId="2" xfId="0" applyFont="1" applyFill="1" applyBorder="1"/>
    <xf numFmtId="0" fontId="122" fillId="5" borderId="29" xfId="0" applyFont="1" applyFill="1" applyBorder="1" applyAlignment="1">
      <alignment vertical="top"/>
    </xf>
    <xf numFmtId="0" fontId="3" fillId="0" borderId="29" xfId="0" applyFont="1" applyBorder="1"/>
    <xf numFmtId="0" fontId="125" fillId="5" borderId="0" xfId="286" applyFont="1" applyFill="1" applyBorder="1" applyAlignment="1">
      <alignment vertical="top"/>
    </xf>
    <xf numFmtId="0" fontId="3" fillId="0" borderId="29" xfId="0" applyFont="1" applyBorder="1" applyAlignment="1">
      <alignment vertical="center"/>
    </xf>
    <xf numFmtId="0" fontId="122" fillId="5" borderId="0" xfId="0" applyFont="1" applyFill="1" applyBorder="1" applyAlignment="1">
      <alignment horizontal="center" wrapText="1"/>
    </xf>
    <xf numFmtId="0" fontId="122" fillId="6" borderId="1" xfId="0" applyFont="1" applyFill="1" applyBorder="1" applyAlignment="1">
      <alignment horizontal="left" vertical="top" wrapText="1"/>
    </xf>
    <xf numFmtId="166" fontId="122" fillId="5" borderId="0" xfId="1" applyNumberFormat="1" applyFont="1" applyFill="1" applyBorder="1" applyAlignment="1">
      <alignment vertical="top"/>
    </xf>
    <xf numFmtId="3" fontId="122" fillId="0" borderId="1" xfId="0" applyNumberFormat="1" applyFont="1" applyFill="1" applyBorder="1" applyAlignment="1">
      <alignment horizontal="center" vertical="top"/>
    </xf>
    <xf numFmtId="0" fontId="3" fillId="0" borderId="0" xfId="0" applyFont="1" applyFill="1" applyBorder="1" applyAlignment="1">
      <alignment vertical="top"/>
    </xf>
    <xf numFmtId="0" fontId="122" fillId="5" borderId="0" xfId="0" applyFont="1" applyFill="1" applyBorder="1" applyAlignment="1"/>
    <xf numFmtId="0" fontId="3" fillId="5" borderId="29" xfId="0" applyFont="1" applyFill="1" applyBorder="1" applyAlignment="1">
      <alignment vertical="top"/>
    </xf>
    <xf numFmtId="0" fontId="3" fillId="5" borderId="25" xfId="0" applyFont="1" applyFill="1" applyBorder="1"/>
    <xf numFmtId="0" fontId="3" fillId="5" borderId="0" xfId="0" applyFont="1" applyFill="1" applyAlignment="1">
      <alignment vertical="top"/>
    </xf>
    <xf numFmtId="164" fontId="3" fillId="5" borderId="0" xfId="0" applyNumberFormat="1" applyFont="1" applyFill="1" applyBorder="1" applyAlignment="1">
      <alignment vertical="center"/>
    </xf>
    <xf numFmtId="0" fontId="118" fillId="5" borderId="0" xfId="0" applyFont="1" applyFill="1" applyBorder="1" applyAlignment="1">
      <alignment horizontal="left" vertical="center" wrapText="1"/>
    </xf>
    <xf numFmtId="165" fontId="118" fillId="5" borderId="0" xfId="2" applyNumberFormat="1" applyFont="1" applyFill="1" applyBorder="1" applyAlignment="1">
      <alignment horizontal="center" vertical="center"/>
    </xf>
    <xf numFmtId="0" fontId="3" fillId="0" borderId="26" xfId="0" applyFont="1" applyBorder="1" applyAlignment="1">
      <alignment vertical="center"/>
    </xf>
    <xf numFmtId="3" fontId="3" fillId="5" borderId="0" xfId="0" applyNumberFormat="1" applyFont="1" applyFill="1" applyBorder="1" applyAlignment="1">
      <alignment vertical="center"/>
    </xf>
    <xf numFmtId="0" fontId="3" fillId="5" borderId="0" xfId="0" applyFont="1" applyFill="1" applyBorder="1" applyAlignment="1">
      <alignment vertical="center" wrapText="1"/>
    </xf>
    <xf numFmtId="168" fontId="3" fillId="5" borderId="0" xfId="0" applyNumberFormat="1" applyFont="1" applyFill="1" applyBorder="1" applyAlignment="1">
      <alignment vertical="center"/>
    </xf>
    <xf numFmtId="168" fontId="122" fillId="5" borderId="0" xfId="0" applyNumberFormat="1" applyFont="1" applyFill="1" applyBorder="1" applyAlignment="1">
      <alignment vertical="center"/>
    </xf>
    <xf numFmtId="0" fontId="122" fillId="5" borderId="0" xfId="0" applyFont="1" applyFill="1" applyAlignment="1">
      <alignment vertical="center"/>
    </xf>
    <xf numFmtId="0" fontId="120" fillId="5" borderId="0" xfId="0" applyFont="1" applyFill="1" applyBorder="1" applyAlignment="1">
      <alignment vertical="center"/>
    </xf>
    <xf numFmtId="49" fontId="104" fillId="5" borderId="0" xfId="0" applyNumberFormat="1" applyFont="1" applyFill="1" applyBorder="1" applyAlignment="1">
      <alignment vertical="center" wrapText="1"/>
    </xf>
    <xf numFmtId="165" fontId="122" fillId="0" borderId="0" xfId="2" applyNumberFormat="1" applyFont="1" applyFill="1" applyBorder="1" applyAlignment="1">
      <alignment horizontal="center" vertical="center"/>
    </xf>
    <xf numFmtId="181" fontId="118" fillId="0" borderId="1" xfId="0" applyNumberFormat="1" applyFont="1" applyFill="1" applyBorder="1" applyAlignment="1">
      <alignment horizontal="center" vertical="center"/>
    </xf>
    <xf numFmtId="0" fontId="122" fillId="5" borderId="1" xfId="0" applyFont="1" applyFill="1" applyBorder="1" applyAlignment="1">
      <alignment horizontal="center" vertical="center"/>
    </xf>
    <xf numFmtId="0" fontId="132" fillId="5" borderId="28" xfId="0" applyFont="1" applyFill="1" applyBorder="1" applyAlignment="1">
      <alignment horizontal="center" vertical="center" wrapText="1"/>
    </xf>
    <xf numFmtId="0" fontId="118" fillId="5" borderId="28" xfId="0" applyFont="1" applyFill="1" applyBorder="1" applyAlignment="1">
      <alignment horizontal="center" vertical="center" wrapText="1"/>
    </xf>
    <xf numFmtId="0" fontId="16" fillId="5" borderId="0" xfId="0" applyFont="1" applyFill="1" applyBorder="1" applyAlignment="1">
      <alignment horizontal="left" vertical="center"/>
    </xf>
    <xf numFmtId="165" fontId="3" fillId="5" borderId="0" xfId="0" applyNumberFormat="1" applyFont="1" applyFill="1" applyBorder="1" applyAlignment="1">
      <alignment vertical="center"/>
    </xf>
    <xf numFmtId="165" fontId="3" fillId="5" borderId="28" xfId="0" applyNumberFormat="1" applyFont="1" applyFill="1" applyBorder="1" applyAlignment="1">
      <alignment vertical="center"/>
    </xf>
    <xf numFmtId="0" fontId="3" fillId="0" borderId="0" xfId="0" applyFont="1" applyFill="1" applyAlignment="1">
      <alignment vertical="center"/>
    </xf>
    <xf numFmtId="0" fontId="122" fillId="0" borderId="29" xfId="0" applyFont="1" applyFill="1" applyBorder="1" applyAlignment="1">
      <alignment horizontal="center" vertical="center" wrapText="1"/>
    </xf>
    <xf numFmtId="0" fontId="122" fillId="0" borderId="0" xfId="0" applyFont="1" applyFill="1" applyBorder="1" applyAlignment="1">
      <alignment horizontal="center" vertical="center"/>
    </xf>
    <xf numFmtId="0" fontId="122" fillId="0" borderId="28" xfId="0" applyFont="1" applyFill="1" applyBorder="1" applyAlignment="1">
      <alignment horizontal="center" vertical="center"/>
    </xf>
    <xf numFmtId="0" fontId="122" fillId="5" borderId="28" xfId="0" applyFont="1" applyFill="1" applyBorder="1" applyAlignment="1">
      <alignment horizontal="left" vertical="center" wrapText="1"/>
    </xf>
    <xf numFmtId="3" fontId="118" fillId="0" borderId="81" xfId="0" applyNumberFormat="1" applyFont="1" applyFill="1" applyBorder="1" applyAlignment="1">
      <alignment horizontal="right" vertical="center"/>
    </xf>
    <xf numFmtId="0" fontId="122" fillId="0" borderId="25" xfId="0" applyFont="1" applyBorder="1" applyAlignment="1">
      <alignment horizontal="center" vertical="center" wrapText="1"/>
    </xf>
    <xf numFmtId="0" fontId="122" fillId="5" borderId="47" xfId="0" applyFont="1" applyFill="1" applyBorder="1" applyAlignment="1">
      <alignment wrapText="1"/>
    </xf>
    <xf numFmtId="0" fontId="122" fillId="5" borderId="50" xfId="0" applyFont="1" applyFill="1" applyBorder="1" applyAlignment="1">
      <alignment wrapText="1"/>
    </xf>
    <xf numFmtId="3" fontId="122" fillId="5" borderId="50" xfId="0" applyNumberFormat="1" applyFont="1" applyFill="1" applyBorder="1" applyAlignment="1">
      <alignment wrapText="1"/>
    </xf>
    <xf numFmtId="0" fontId="132" fillId="5" borderId="47" xfId="0" applyFont="1" applyFill="1" applyBorder="1" applyAlignment="1">
      <alignment wrapText="1"/>
    </xf>
    <xf numFmtId="0" fontId="132" fillId="5" borderId="50" xfId="0" applyFont="1" applyFill="1" applyBorder="1" applyAlignment="1">
      <alignment wrapText="1"/>
    </xf>
    <xf numFmtId="0" fontId="118" fillId="5" borderId="47" xfId="0" applyFont="1" applyFill="1" applyBorder="1" applyAlignment="1">
      <alignment wrapText="1"/>
    </xf>
    <xf numFmtId="0" fontId="118" fillId="5" borderId="50" xfId="0" applyFont="1" applyFill="1" applyBorder="1" applyAlignment="1">
      <alignment wrapText="1"/>
    </xf>
    <xf numFmtId="0" fontId="3" fillId="0" borderId="5" xfId="0" applyFont="1" applyBorder="1"/>
    <xf numFmtId="0" fontId="122" fillId="44" borderId="49" xfId="0" applyFont="1" applyFill="1" applyBorder="1" applyAlignment="1">
      <alignment wrapText="1"/>
    </xf>
    <xf numFmtId="0" fontId="122" fillId="44" borderId="48" xfId="0" applyFont="1" applyFill="1" applyBorder="1" applyAlignment="1">
      <alignment wrapText="1"/>
    </xf>
    <xf numFmtId="0" fontId="118" fillId="5" borderId="29" xfId="0" applyFont="1" applyFill="1" applyBorder="1" applyAlignment="1">
      <alignment vertical="center"/>
    </xf>
    <xf numFmtId="0" fontId="122" fillId="5" borderId="82" xfId="0" applyFont="1" applyFill="1" applyBorder="1" applyAlignment="1">
      <alignment vertical="center" wrapText="1"/>
    </xf>
    <xf numFmtId="0" fontId="3" fillId="0" borderId="0" xfId="0" applyFont="1" applyBorder="1" applyAlignment="1">
      <alignment vertical="center" wrapText="1"/>
    </xf>
    <xf numFmtId="0" fontId="3" fillId="5" borderId="0" xfId="0" applyFont="1" applyFill="1" applyBorder="1" applyAlignment="1">
      <alignment horizontal="right" vertical="center"/>
    </xf>
    <xf numFmtId="9" fontId="120" fillId="32" borderId="1" xfId="4" applyFont="1" applyFill="1" applyBorder="1" applyAlignment="1">
      <alignment horizontal="center" vertical="center" wrapText="1"/>
    </xf>
    <xf numFmtId="0" fontId="122" fillId="5" borderId="29" xfId="0" applyFont="1" applyFill="1" applyBorder="1" applyAlignment="1">
      <alignment horizontal="right" vertical="center"/>
    </xf>
    <xf numFmtId="0" fontId="3" fillId="0" borderId="2" xfId="0" applyFont="1" applyBorder="1" applyAlignment="1">
      <alignment vertical="center" wrapText="1"/>
    </xf>
    <xf numFmtId="0" fontId="122" fillId="0" borderId="0" xfId="0" applyFont="1" applyBorder="1" applyAlignment="1">
      <alignment vertical="center" wrapText="1"/>
    </xf>
    <xf numFmtId="0" fontId="3" fillId="0" borderId="0" xfId="0" applyFont="1" applyAlignment="1">
      <alignment vertical="center" wrapText="1"/>
    </xf>
    <xf numFmtId="0" fontId="3" fillId="0" borderId="29" xfId="0" applyFont="1" applyBorder="1" applyAlignment="1">
      <alignment vertical="center" wrapText="1"/>
    </xf>
    <xf numFmtId="0" fontId="3" fillId="5" borderId="28" xfId="0" applyFont="1" applyFill="1" applyBorder="1" applyAlignment="1">
      <alignment vertical="center" wrapText="1"/>
    </xf>
    <xf numFmtId="0" fontId="3" fillId="5" borderId="0" xfId="0" applyFont="1" applyFill="1" applyAlignment="1">
      <alignment vertical="center" wrapText="1"/>
    </xf>
    <xf numFmtId="169" fontId="118" fillId="5" borderId="1" xfId="4" applyNumberFormat="1" applyFont="1" applyFill="1" applyBorder="1" applyAlignment="1">
      <alignment horizontal="center" vertical="center"/>
    </xf>
    <xf numFmtId="3" fontId="122" fillId="5" borderId="1" xfId="0" applyNumberFormat="1" applyFont="1" applyFill="1" applyBorder="1" applyAlignment="1">
      <alignment horizontal="center" vertical="center"/>
    </xf>
    <xf numFmtId="0" fontId="3" fillId="5" borderId="29" xfId="0" applyFont="1" applyFill="1" applyBorder="1" applyAlignment="1">
      <alignment vertical="center" wrapText="1"/>
    </xf>
    <xf numFmtId="2" fontId="118" fillId="5" borderId="1" xfId="4" applyNumberFormat="1" applyFont="1" applyFill="1" applyBorder="1" applyAlignment="1">
      <alignment horizontal="center" vertical="center"/>
    </xf>
    <xf numFmtId="9" fontId="122" fillId="5" borderId="1" xfId="4" applyFont="1" applyFill="1" applyBorder="1" applyAlignment="1">
      <alignment horizontal="center" vertical="center"/>
    </xf>
    <xf numFmtId="0" fontId="118" fillId="5" borderId="28" xfId="0" applyFont="1" applyFill="1" applyBorder="1" applyAlignment="1">
      <alignment vertical="center"/>
    </xf>
    <xf numFmtId="0" fontId="3" fillId="5" borderId="0" xfId="0" applyFont="1" applyFill="1" applyBorder="1" applyAlignment="1">
      <alignment horizontal="center" vertical="center"/>
    </xf>
    <xf numFmtId="0" fontId="121" fillId="5" borderId="0" xfId="0" applyFont="1" applyFill="1" applyBorder="1" applyAlignment="1">
      <alignment horizontal="center" vertical="center"/>
    </xf>
    <xf numFmtId="0" fontId="3" fillId="5" borderId="29" xfId="0" applyFont="1" applyFill="1" applyBorder="1" applyAlignment="1">
      <alignment horizontal="left" vertical="center"/>
    </xf>
    <xf numFmtId="0" fontId="122" fillId="0" borderId="29" xfId="0" applyFont="1" applyFill="1" applyBorder="1" applyAlignment="1">
      <alignment horizontal="left" vertical="center"/>
    </xf>
    <xf numFmtId="9" fontId="122" fillId="5" borderId="0" xfId="4" applyFont="1" applyFill="1" applyBorder="1" applyAlignment="1" applyProtection="1">
      <alignment horizontal="center" vertical="center"/>
      <protection locked="0"/>
    </xf>
    <xf numFmtId="166" fontId="122" fillId="5" borderId="0" xfId="1" applyNumberFormat="1" applyFont="1" applyFill="1" applyBorder="1" applyAlignment="1">
      <alignment horizontal="right" vertical="center"/>
    </xf>
    <xf numFmtId="9" fontId="122" fillId="5" borderId="28" xfId="4" applyFont="1" applyFill="1" applyBorder="1" applyAlignment="1" applyProtection="1">
      <alignment horizontal="center" vertical="center"/>
      <protection locked="0"/>
    </xf>
    <xf numFmtId="9" fontId="122" fillId="5" borderId="1" xfId="4" applyFont="1" applyFill="1" applyBorder="1" applyAlignment="1">
      <alignment horizontal="right" vertical="center"/>
    </xf>
    <xf numFmtId="9" fontId="122" fillId="0" borderId="0" xfId="0" applyNumberFormat="1" applyFont="1" applyFill="1" applyBorder="1" applyAlignment="1">
      <alignment horizontal="right" vertical="center"/>
    </xf>
    <xf numFmtId="9" fontId="122" fillId="5" borderId="0" xfId="4" applyFont="1" applyFill="1" applyBorder="1" applyAlignment="1">
      <alignment horizontal="right" vertical="center"/>
    </xf>
    <xf numFmtId="9" fontId="122" fillId="0" borderId="0" xfId="4" applyFont="1" applyFill="1" applyBorder="1" applyAlignment="1" applyProtection="1">
      <alignment horizontal="center" vertical="center"/>
      <protection locked="0"/>
    </xf>
    <xf numFmtId="0" fontId="16" fillId="5" borderId="0" xfId="0" applyFont="1" applyFill="1" applyBorder="1" applyAlignment="1" applyProtection="1">
      <alignment vertical="center"/>
      <protection locked="0"/>
    </xf>
    <xf numFmtId="43" fontId="16" fillId="5" borderId="0" xfId="0" applyNumberFormat="1" applyFont="1" applyFill="1" applyBorder="1" applyAlignment="1" applyProtection="1">
      <alignment vertical="center"/>
      <protection locked="0"/>
    </xf>
    <xf numFmtId="0" fontId="16" fillId="5" borderId="28" xfId="0" applyFont="1" applyFill="1" applyBorder="1" applyAlignment="1" applyProtection="1">
      <alignment vertical="center"/>
      <protection locked="0"/>
    </xf>
    <xf numFmtId="0" fontId="3" fillId="5" borderId="0" xfId="0" applyFont="1" applyFill="1" applyBorder="1" applyAlignment="1" applyProtection="1">
      <alignment vertical="center"/>
      <protection locked="0"/>
    </xf>
    <xf numFmtId="164" fontId="122" fillId="5" borderId="1" xfId="0" applyNumberFormat="1" applyFont="1" applyFill="1" applyBorder="1" applyAlignment="1">
      <alignment horizontal="center" vertical="center"/>
    </xf>
    <xf numFmtId="1" fontId="122" fillId="0" borderId="0" xfId="0" applyNumberFormat="1" applyFont="1" applyFill="1" applyBorder="1" applyAlignment="1">
      <alignment horizontal="center" vertical="center"/>
    </xf>
    <xf numFmtId="9" fontId="118" fillId="5" borderId="0" xfId="4" applyFont="1" applyFill="1" applyBorder="1" applyAlignment="1" applyProtection="1">
      <alignment horizontal="center" vertical="center"/>
      <protection locked="0"/>
    </xf>
    <xf numFmtId="2" fontId="122" fillId="5" borderId="0" xfId="4" applyNumberFormat="1" applyFont="1" applyFill="1" applyBorder="1" applyAlignment="1">
      <alignment horizontal="center" vertical="center"/>
    </xf>
    <xf numFmtId="0" fontId="3" fillId="0" borderId="29" xfId="0" applyFont="1" applyBorder="1" applyAlignment="1">
      <alignment horizontal="left" vertical="center"/>
    </xf>
    <xf numFmtId="43" fontId="3" fillId="5" borderId="28" xfId="0" applyNumberFormat="1" applyFont="1" applyFill="1" applyBorder="1" applyAlignment="1" applyProtection="1">
      <alignment vertical="center"/>
      <protection locked="0"/>
    </xf>
    <xf numFmtId="0" fontId="122" fillId="0" borderId="0" xfId="0" applyFont="1" applyBorder="1" applyAlignment="1">
      <alignment vertical="center"/>
    </xf>
    <xf numFmtId="1" fontId="122" fillId="6" borderId="1" xfId="4" applyNumberFormat="1" applyFont="1" applyFill="1" applyBorder="1" applyAlignment="1">
      <alignment horizontal="center" vertical="center"/>
    </xf>
    <xf numFmtId="164" fontId="122" fillId="0" borderId="1" xfId="0" applyNumberFormat="1" applyFont="1" applyFill="1" applyBorder="1" applyAlignment="1">
      <alignment vertical="center" wrapText="1"/>
    </xf>
    <xf numFmtId="0" fontId="3" fillId="5" borderId="27" xfId="0" applyFont="1" applyFill="1" applyBorder="1" applyAlignment="1">
      <alignment horizontal="left" vertical="center"/>
    </xf>
    <xf numFmtId="0" fontId="3" fillId="5" borderId="0" xfId="0" applyFont="1" applyFill="1" applyBorder="1" applyAlignment="1">
      <alignment horizontal="left" vertical="top"/>
    </xf>
    <xf numFmtId="0" fontId="3" fillId="0" borderId="0" xfId="0" applyFont="1" applyAlignment="1">
      <alignment horizontal="left"/>
    </xf>
    <xf numFmtId="0" fontId="3" fillId="0" borderId="0" xfId="0" applyFont="1" applyAlignment="1">
      <alignment vertical="top"/>
    </xf>
    <xf numFmtId="3" fontId="122" fillId="4" borderId="1" xfId="0" applyNumberFormat="1" applyFont="1" applyFill="1" applyBorder="1" applyAlignment="1">
      <alignment horizontal="center" vertical="center"/>
    </xf>
    <xf numFmtId="9" fontId="122" fillId="4" borderId="1" xfId="4" applyFont="1" applyFill="1" applyBorder="1" applyAlignment="1">
      <alignment horizontal="center" vertical="center"/>
    </xf>
    <xf numFmtId="0" fontId="121" fillId="0" borderId="28" xfId="0" applyFont="1" applyBorder="1" applyAlignment="1">
      <alignment vertical="center"/>
    </xf>
    <xf numFmtId="0" fontId="3" fillId="5" borderId="28" xfId="0" applyFont="1" applyFill="1" applyBorder="1" applyAlignment="1" applyProtection="1">
      <alignment vertical="center"/>
      <protection locked="0"/>
    </xf>
    <xf numFmtId="166" fontId="122" fillId="0" borderId="1" xfId="1" applyNumberFormat="1" applyFont="1" applyFill="1" applyBorder="1" applyAlignment="1">
      <alignment horizontal="center" vertical="center"/>
    </xf>
    <xf numFmtId="0" fontId="123" fillId="5" borderId="28" xfId="0" applyFont="1" applyFill="1" applyBorder="1" applyAlignment="1" applyProtection="1">
      <alignment vertical="center" wrapText="1"/>
      <protection locked="0"/>
    </xf>
    <xf numFmtId="0" fontId="122" fillId="0" borderId="80" xfId="0" applyFont="1" applyFill="1" applyBorder="1" applyAlignment="1">
      <alignment vertical="center"/>
    </xf>
    <xf numFmtId="164" fontId="3" fillId="5" borderId="28" xfId="4" applyNumberFormat="1" applyFont="1" applyFill="1" applyBorder="1" applyAlignment="1" applyProtection="1">
      <alignment vertical="center"/>
      <protection locked="0"/>
    </xf>
    <xf numFmtId="0" fontId="16" fillId="5" borderId="29" xfId="0" applyFont="1" applyFill="1" applyBorder="1" applyAlignment="1">
      <alignment vertical="center"/>
    </xf>
    <xf numFmtId="0" fontId="118" fillId="0" borderId="1" xfId="0" applyFont="1" applyFill="1" applyBorder="1" applyAlignment="1">
      <alignment vertical="center" wrapText="1"/>
    </xf>
    <xf numFmtId="9" fontId="118" fillId="5" borderId="0" xfId="4" applyFont="1" applyFill="1" applyBorder="1" applyAlignment="1">
      <alignment horizontal="center" vertical="center"/>
    </xf>
    <xf numFmtId="166" fontId="118" fillId="0" borderId="1" xfId="1" applyNumberFormat="1" applyFont="1" applyFill="1" applyBorder="1" applyAlignment="1">
      <alignment vertical="center"/>
    </xf>
    <xf numFmtId="43" fontId="118" fillId="0" borderId="81" xfId="1" applyNumberFormat="1" applyFont="1" applyFill="1" applyBorder="1" applyAlignment="1">
      <alignment horizontal="center" vertical="center"/>
    </xf>
    <xf numFmtId="0" fontId="16" fillId="0" borderId="0" xfId="0" applyFont="1" applyFill="1" applyBorder="1" applyAlignment="1" applyProtection="1">
      <alignment vertical="center"/>
      <protection locked="0"/>
    </xf>
    <xf numFmtId="43" fontId="16" fillId="0" borderId="0" xfId="0" applyNumberFormat="1" applyFont="1" applyFill="1" applyBorder="1" applyAlignment="1" applyProtection="1">
      <alignment vertical="center"/>
      <protection locked="0"/>
    </xf>
    <xf numFmtId="0" fontId="16" fillId="0" borderId="28" xfId="0" applyFont="1" applyFill="1" applyBorder="1" applyAlignment="1" applyProtection="1">
      <alignment vertical="center"/>
      <protection locked="0"/>
    </xf>
    <xf numFmtId="9" fontId="118" fillId="0" borderId="0" xfId="4" applyFont="1" applyFill="1" applyBorder="1" applyAlignment="1" applyProtection="1">
      <alignment horizontal="center" vertical="center"/>
      <protection locked="0"/>
    </xf>
    <xf numFmtId="0" fontId="16" fillId="0" borderId="0" xfId="0" applyFont="1" applyBorder="1" applyAlignment="1">
      <alignment vertical="center"/>
    </xf>
    <xf numFmtId="0" fontId="16" fillId="0" borderId="28" xfId="0" applyFont="1" applyBorder="1" applyAlignment="1">
      <alignment vertical="center"/>
    </xf>
    <xf numFmtId="0" fontId="16" fillId="5" borderId="27" xfId="0" applyFont="1" applyFill="1" applyBorder="1" applyAlignment="1">
      <alignment vertical="center"/>
    </xf>
    <xf numFmtId="0" fontId="16" fillId="5" borderId="26" xfId="0" applyFont="1" applyFill="1" applyBorder="1" applyAlignment="1">
      <alignment vertical="center"/>
    </xf>
    <xf numFmtId="0" fontId="16" fillId="5" borderId="25" xfId="0" applyFont="1" applyFill="1" applyBorder="1" applyAlignment="1">
      <alignment vertical="center"/>
    </xf>
    <xf numFmtId="0" fontId="3" fillId="5" borderId="3" xfId="0" applyFont="1" applyFill="1" applyBorder="1"/>
    <xf numFmtId="0" fontId="122" fillId="5" borderId="4" xfId="0" applyFont="1" applyFill="1" applyBorder="1" applyAlignment="1">
      <alignment vertical="top"/>
    </xf>
    <xf numFmtId="0" fontId="136" fillId="5" borderId="0" xfId="0" applyFont="1" applyFill="1" applyBorder="1" applyAlignment="1">
      <alignment horizontal="left" vertical="center"/>
    </xf>
    <xf numFmtId="164" fontId="138" fillId="5" borderId="0" xfId="0" applyNumberFormat="1" applyFont="1" applyFill="1" applyBorder="1" applyAlignment="1">
      <alignment horizontal="left" vertical="center"/>
    </xf>
    <xf numFmtId="0" fontId="138" fillId="5" borderId="0" xfId="0" applyFont="1" applyFill="1" applyBorder="1" applyAlignment="1">
      <alignment horizontal="left" vertical="top"/>
    </xf>
    <xf numFmtId="0" fontId="136" fillId="5" borderId="0" xfId="0" applyFont="1" applyFill="1"/>
    <xf numFmtId="168" fontId="141" fillId="0" borderId="0" xfId="0" applyNumberFormat="1" applyFont="1" applyFill="1" applyBorder="1" applyAlignment="1">
      <alignment horizontal="center" vertical="center" wrapText="1"/>
    </xf>
    <xf numFmtId="0" fontId="136" fillId="0" borderId="0" xfId="0" applyFont="1"/>
    <xf numFmtId="0" fontId="142" fillId="0" borderId="0" xfId="0" applyFont="1" applyBorder="1"/>
    <xf numFmtId="168" fontId="141" fillId="0" borderId="0" xfId="4" applyNumberFormat="1" applyFont="1" applyFill="1" applyBorder="1" applyAlignment="1">
      <alignment horizontal="center" vertical="center"/>
    </xf>
    <xf numFmtId="182" fontId="141" fillId="0" borderId="0" xfId="4" applyNumberFormat="1" applyFont="1" applyFill="1" applyBorder="1" applyAlignment="1">
      <alignment horizontal="center" vertical="center"/>
    </xf>
    <xf numFmtId="9" fontId="141" fillId="0" borderId="0" xfId="4" applyNumberFormat="1" applyFont="1" applyFill="1" applyBorder="1" applyAlignment="1">
      <alignment horizontal="center" vertical="center"/>
    </xf>
    <xf numFmtId="6" fontId="141" fillId="0" borderId="0" xfId="2" applyNumberFormat="1" applyFont="1" applyFill="1" applyBorder="1" applyAlignment="1">
      <alignment horizontal="center" vertical="center"/>
    </xf>
    <xf numFmtId="0" fontId="138" fillId="8" borderId="6" xfId="0" applyFont="1" applyFill="1" applyBorder="1" applyAlignment="1">
      <alignment horizontal="left" vertical="top"/>
    </xf>
    <xf numFmtId="0" fontId="136" fillId="5" borderId="0" xfId="0" applyFont="1" applyFill="1" applyBorder="1"/>
    <xf numFmtId="0" fontId="143" fillId="5" borderId="2" xfId="0" applyFont="1" applyFill="1" applyBorder="1" applyAlignment="1">
      <alignment horizontal="left" vertical="top" wrapText="1"/>
    </xf>
    <xf numFmtId="165" fontId="136" fillId="5" borderId="0" xfId="0" applyNumberFormat="1" applyFont="1" applyFill="1"/>
    <xf numFmtId="0" fontId="138" fillId="5" borderId="0" xfId="0" applyFont="1" applyFill="1" applyBorder="1" applyAlignment="1">
      <alignment vertical="top"/>
    </xf>
    <xf numFmtId="0" fontId="136" fillId="0" borderId="0" xfId="0" applyFont="1" applyBorder="1"/>
    <xf numFmtId="0" fontId="136" fillId="5" borderId="0" xfId="0" applyFont="1" applyFill="1" applyBorder="1" applyAlignment="1">
      <alignment vertical="top"/>
    </xf>
    <xf numFmtId="0" fontId="136" fillId="0" borderId="0" xfId="0" applyFont="1" applyAlignment="1"/>
    <xf numFmtId="0" fontId="136" fillId="5" borderId="0" xfId="0" applyFont="1" applyFill="1" applyAlignment="1"/>
    <xf numFmtId="0" fontId="144" fillId="5" borderId="0" xfId="0" applyFont="1" applyFill="1" applyProtection="1">
      <protection hidden="1"/>
    </xf>
    <xf numFmtId="0" fontId="144" fillId="0" borderId="0" xfId="0" applyFont="1" applyFill="1" applyProtection="1">
      <protection hidden="1"/>
    </xf>
    <xf numFmtId="3" fontId="136" fillId="5" borderId="0" xfId="0" applyNumberFormat="1" applyFont="1" applyFill="1" applyBorder="1" applyAlignment="1">
      <alignment vertical="top"/>
    </xf>
    <xf numFmtId="0" fontId="136" fillId="5" borderId="0" xfId="0" applyFont="1" applyFill="1" applyBorder="1" applyAlignment="1">
      <alignment vertical="top" wrapText="1"/>
    </xf>
    <xf numFmtId="168" fontId="136" fillId="5" borderId="0" xfId="0" applyNumberFormat="1" applyFont="1" applyFill="1" applyBorder="1" applyAlignment="1">
      <alignment vertical="top"/>
    </xf>
    <xf numFmtId="168" fontId="120" fillId="0" borderId="0" xfId="0" applyNumberFormat="1" applyFont="1" applyFill="1" applyBorder="1" applyAlignment="1">
      <alignment horizontal="center" vertical="center" wrapText="1"/>
    </xf>
    <xf numFmtId="0" fontId="120" fillId="0" borderId="0" xfId="0" applyFont="1" applyFill="1" applyBorder="1" applyAlignment="1">
      <alignment horizontal="right" wrapText="1"/>
    </xf>
    <xf numFmtId="168" fontId="120" fillId="0" borderId="0" xfId="4" applyNumberFormat="1" applyFont="1" applyFill="1" applyBorder="1" applyAlignment="1">
      <alignment horizontal="center" vertical="center"/>
    </xf>
    <xf numFmtId="182" fontId="120" fillId="0" borderId="0" xfId="4" applyNumberFormat="1" applyFont="1" applyFill="1" applyBorder="1" applyAlignment="1">
      <alignment horizontal="center" vertical="center"/>
    </xf>
    <xf numFmtId="168" fontId="120" fillId="0" borderId="0" xfId="2" applyNumberFormat="1" applyFont="1" applyFill="1" applyBorder="1" applyAlignment="1">
      <alignment horizontal="right" wrapText="1"/>
    </xf>
    <xf numFmtId="9" fontId="120" fillId="0" borderId="0" xfId="4" applyNumberFormat="1" applyFont="1" applyFill="1" applyBorder="1" applyAlignment="1">
      <alignment horizontal="center" vertical="center"/>
    </xf>
    <xf numFmtId="6" fontId="120" fillId="0" borderId="0" xfId="2" applyNumberFormat="1" applyFont="1" applyFill="1" applyBorder="1" applyAlignment="1">
      <alignment horizontal="center" vertical="center"/>
    </xf>
    <xf numFmtId="9" fontId="120" fillId="0" borderId="0" xfId="4" applyFont="1" applyFill="1" applyBorder="1" applyAlignment="1">
      <alignment horizontal="right" wrapText="1"/>
    </xf>
    <xf numFmtId="0" fontId="122" fillId="8" borderId="6" xfId="0" applyFont="1" applyFill="1" applyBorder="1" applyAlignment="1">
      <alignment horizontal="left" vertical="top"/>
    </xf>
    <xf numFmtId="0" fontId="130" fillId="5" borderId="0" xfId="0" applyFont="1" applyFill="1" applyBorder="1" applyAlignment="1">
      <alignment horizontal="left" vertical="top"/>
    </xf>
    <xf numFmtId="0" fontId="123" fillId="73" borderId="94" xfId="0" applyFont="1" applyFill="1" applyBorder="1" applyAlignment="1">
      <alignment horizontal="center" vertical="center"/>
    </xf>
    <xf numFmtId="3" fontId="122" fillId="6" borderId="1" xfId="0" applyNumberFormat="1" applyFont="1" applyFill="1" applyBorder="1" applyAlignment="1">
      <alignment horizontal="center" vertical="top"/>
    </xf>
    <xf numFmtId="0" fontId="122" fillId="0" borderId="0" xfId="0" applyFont="1" applyFill="1" applyBorder="1" applyAlignment="1">
      <alignment vertical="top"/>
    </xf>
    <xf numFmtId="0" fontId="122" fillId="5" borderId="0" xfId="0" applyFont="1" applyFill="1" applyBorder="1" applyAlignment="1">
      <alignment horizontal="center"/>
    </xf>
    <xf numFmtId="0" fontId="3" fillId="5" borderId="0" xfId="0" applyFont="1" applyFill="1" applyBorder="1" applyAlignment="1">
      <alignment horizontal="left"/>
    </xf>
    <xf numFmtId="0" fontId="132" fillId="5" borderId="0" xfId="0" applyFont="1" applyFill="1" applyBorder="1" applyAlignment="1">
      <alignment horizontal="center" wrapText="1"/>
    </xf>
    <xf numFmtId="0" fontId="122" fillId="5" borderId="0" xfId="0" applyFont="1" applyFill="1" applyBorder="1" applyAlignment="1">
      <alignment wrapText="1"/>
    </xf>
    <xf numFmtId="3" fontId="122" fillId="0" borderId="1" xfId="0" applyNumberFormat="1" applyFont="1" applyFill="1" applyBorder="1" applyAlignment="1">
      <alignment horizontal="right" vertical="top" wrapText="1"/>
    </xf>
    <xf numFmtId="0" fontId="122" fillId="0" borderId="0" xfId="0" applyFont="1" applyFill="1" applyBorder="1" applyAlignment="1">
      <alignment vertical="top" wrapText="1"/>
    </xf>
    <xf numFmtId="2" fontId="122" fillId="6" borderId="1" xfId="4" applyNumberFormat="1" applyFont="1" applyFill="1" applyBorder="1" applyAlignment="1">
      <alignment horizontal="center" vertical="top"/>
    </xf>
    <xf numFmtId="2" fontId="122" fillId="0" borderId="1" xfId="0" applyNumberFormat="1" applyFont="1" applyFill="1" applyBorder="1" applyAlignment="1">
      <alignment horizontal="left" vertical="top" wrapText="1"/>
    </xf>
    <xf numFmtId="0" fontId="3" fillId="0" borderId="0" xfId="0" applyFont="1" applyFill="1" applyBorder="1" applyAlignment="1">
      <alignment horizontal="center" vertical="top"/>
    </xf>
    <xf numFmtId="0" fontId="120" fillId="0" borderId="0" xfId="0" applyFont="1" applyFill="1" applyBorder="1" applyAlignment="1">
      <alignment vertical="center" wrapText="1"/>
    </xf>
    <xf numFmtId="168" fontId="120" fillId="0" borderId="0" xfId="2" applyNumberFormat="1" applyFont="1" applyFill="1" applyBorder="1" applyAlignment="1">
      <alignment horizontal="center" vertical="center"/>
    </xf>
    <xf numFmtId="0" fontId="3" fillId="5" borderId="10" xfId="0" applyFont="1" applyFill="1" applyBorder="1"/>
    <xf numFmtId="0" fontId="3" fillId="5" borderId="0" xfId="0" applyFont="1" applyFill="1" applyBorder="1" applyAlignment="1">
      <alignment wrapText="1"/>
    </xf>
    <xf numFmtId="166" fontId="133" fillId="6" borderId="1" xfId="1" applyNumberFormat="1" applyFont="1" applyFill="1" applyBorder="1" applyAlignment="1">
      <alignment horizontal="center" vertical="center"/>
    </xf>
    <xf numFmtId="0" fontId="3" fillId="0" borderId="5" xfId="0" applyFont="1" applyFill="1" applyBorder="1" applyAlignment="1">
      <alignment vertical="top"/>
    </xf>
    <xf numFmtId="3" fontId="122" fillId="0" borderId="1" xfId="0" applyNumberFormat="1" applyFont="1" applyFill="1" applyBorder="1" applyAlignment="1">
      <alignment horizontal="right" vertical="top"/>
    </xf>
    <xf numFmtId="181" fontId="122" fillId="0" borderId="1" xfId="0" applyNumberFormat="1" applyFont="1" applyFill="1" applyBorder="1" applyAlignment="1">
      <alignment horizontal="right" vertical="top"/>
    </xf>
    <xf numFmtId="0" fontId="122" fillId="0" borderId="0" xfId="0" applyFont="1" applyFill="1" applyBorder="1" applyAlignment="1">
      <alignment horizontal="center" vertical="top" wrapText="1"/>
    </xf>
    <xf numFmtId="0" fontId="122" fillId="0" borderId="0" xfId="0" applyFont="1" applyFill="1" applyBorder="1" applyAlignment="1">
      <alignment horizontal="right" vertical="top" wrapText="1"/>
    </xf>
    <xf numFmtId="0" fontId="122" fillId="0" borderId="0" xfId="0" applyFont="1" applyBorder="1"/>
    <xf numFmtId="0" fontId="122" fillId="0" borderId="0" xfId="0" applyFont="1" applyBorder="1" applyAlignment="1">
      <alignment horizontal="center" wrapText="1"/>
    </xf>
    <xf numFmtId="0" fontId="122" fillId="0" borderId="1" xfId="0" applyFont="1" applyFill="1" applyBorder="1" applyAlignment="1">
      <alignment vertical="top" wrapText="1"/>
    </xf>
    <xf numFmtId="0" fontId="122" fillId="0" borderId="0" xfId="0" applyFont="1" applyFill="1" applyBorder="1" applyAlignment="1"/>
    <xf numFmtId="0" fontId="16" fillId="5" borderId="0" xfId="0" applyFont="1" applyFill="1" applyAlignment="1" applyProtection="1">
      <alignment horizontal="center"/>
      <protection hidden="1"/>
    </xf>
    <xf numFmtId="0" fontId="16" fillId="0" borderId="0" xfId="0" applyFont="1" applyFill="1" applyAlignment="1" applyProtection="1">
      <alignment horizontal="center"/>
      <protection hidden="1"/>
    </xf>
    <xf numFmtId="165" fontId="3" fillId="0" borderId="0" xfId="2" applyNumberFormat="1" applyFont="1" applyBorder="1"/>
    <xf numFmtId="0" fontId="132" fillId="5" borderId="0" xfId="0" applyFont="1" applyFill="1" applyBorder="1" applyAlignment="1">
      <alignment wrapText="1"/>
    </xf>
    <xf numFmtId="0" fontId="122" fillId="5" borderId="46" xfId="0" applyFont="1" applyFill="1" applyBorder="1" applyAlignment="1">
      <alignment horizontal="center" vertical="top"/>
    </xf>
    <xf numFmtId="0" fontId="3" fillId="5" borderId="9" xfId="0" applyFont="1" applyFill="1" applyBorder="1"/>
    <xf numFmtId="9" fontId="120" fillId="0" borderId="0" xfId="4" applyFont="1" applyFill="1" applyBorder="1" applyAlignment="1">
      <alignment horizontal="center" vertical="center"/>
    </xf>
    <xf numFmtId="179" fontId="118" fillId="5" borderId="1" xfId="0" applyNumberFormat="1" applyFont="1" applyFill="1" applyBorder="1" applyAlignment="1">
      <alignment horizontal="center" vertical="center"/>
    </xf>
    <xf numFmtId="168" fontId="120" fillId="0" borderId="0" xfId="0" applyNumberFormat="1" applyFont="1" applyFill="1" applyBorder="1" applyAlignment="1">
      <alignment horizontal="center"/>
    </xf>
    <xf numFmtId="166" fontId="122" fillId="0" borderId="1" xfId="1" applyNumberFormat="1" applyFont="1" applyFill="1" applyBorder="1" applyAlignment="1">
      <alignment horizontal="center" vertical="top"/>
    </xf>
    <xf numFmtId="166" fontId="3" fillId="0" borderId="0" xfId="0" applyNumberFormat="1" applyFont="1" applyBorder="1"/>
    <xf numFmtId="2" fontId="122" fillId="71" borderId="1" xfId="0" applyNumberFormat="1" applyFont="1" applyFill="1" applyBorder="1" applyAlignment="1">
      <alignment horizontal="center" vertical="center"/>
    </xf>
    <xf numFmtId="0" fontId="122" fillId="4" borderId="1" xfId="0" applyFont="1" applyFill="1" applyBorder="1" applyAlignment="1">
      <alignment horizontal="left" vertical="center" wrapText="1"/>
    </xf>
    <xf numFmtId="0" fontId="122" fillId="4" borderId="1" xfId="0" applyFont="1" applyFill="1" applyBorder="1" applyAlignment="1">
      <alignment horizontal="center" vertical="center"/>
    </xf>
    <xf numFmtId="183" fontId="3" fillId="6" borderId="1" xfId="0" applyNumberFormat="1" applyFont="1" applyFill="1" applyBorder="1"/>
    <xf numFmtId="183" fontId="3" fillId="0" borderId="0" xfId="0" applyNumberFormat="1" applyFont="1"/>
    <xf numFmtId="0" fontId="3" fillId="5" borderId="31" xfId="0" applyFont="1" applyFill="1" applyBorder="1"/>
    <xf numFmtId="0" fontId="3" fillId="5" borderId="30" xfId="0" applyFont="1" applyFill="1" applyBorder="1"/>
    <xf numFmtId="0" fontId="3" fillId="5" borderId="0" xfId="0" applyFont="1" applyFill="1" applyBorder="1" applyAlignment="1">
      <alignment vertical="top" wrapText="1"/>
    </xf>
    <xf numFmtId="0" fontId="3" fillId="5" borderId="0" xfId="0" applyFont="1" applyFill="1" applyBorder="1" applyAlignment="1"/>
    <xf numFmtId="0" fontId="3" fillId="5" borderId="0" xfId="0" applyFont="1" applyFill="1" applyBorder="1" applyAlignment="1">
      <alignment wrapText="1"/>
    </xf>
    <xf numFmtId="168" fontId="3" fillId="5" borderId="4" xfId="0" applyNumberFormat="1" applyFont="1" applyFill="1" applyBorder="1" applyAlignment="1">
      <alignment vertical="top"/>
    </xf>
    <xf numFmtId="0" fontId="3" fillId="0" borderId="0" xfId="0" applyFont="1" applyFill="1" applyBorder="1" applyAlignment="1">
      <alignment horizontal="center"/>
    </xf>
    <xf numFmtId="0" fontId="3" fillId="5" borderId="31" xfId="0" applyFont="1" applyFill="1" applyBorder="1" applyAlignment="1">
      <alignment horizontal="center"/>
    </xf>
    <xf numFmtId="6" fontId="3" fillId="5" borderId="0" xfId="0" applyNumberFormat="1" applyFont="1" applyFill="1" applyBorder="1"/>
    <xf numFmtId="9" fontId="3" fillId="5" borderId="0" xfId="0" applyNumberFormat="1" applyFont="1" applyFill="1" applyBorder="1"/>
    <xf numFmtId="0" fontId="3" fillId="33" borderId="32" xfId="0" applyFont="1" applyFill="1" applyBorder="1"/>
    <xf numFmtId="0" fontId="3" fillId="33" borderId="31" xfId="0" applyFont="1" applyFill="1" applyBorder="1"/>
    <xf numFmtId="0" fontId="3" fillId="33" borderId="30" xfId="0" applyFont="1" applyFill="1" applyBorder="1"/>
    <xf numFmtId="0" fontId="3" fillId="33" borderId="29" xfId="0" applyFont="1" applyFill="1" applyBorder="1"/>
    <xf numFmtId="0" fontId="124" fillId="33" borderId="0" xfId="0" applyFont="1" applyFill="1" applyBorder="1" applyAlignment="1">
      <alignment vertical="top" wrapText="1"/>
    </xf>
    <xf numFmtId="0" fontId="3" fillId="33" borderId="28" xfId="0" applyFont="1" applyFill="1" applyBorder="1"/>
    <xf numFmtId="0" fontId="114" fillId="33" borderId="0" xfId="0" applyFont="1" applyFill="1" applyBorder="1" applyAlignment="1">
      <alignment vertical="top" wrapText="1"/>
    </xf>
    <xf numFmtId="0" fontId="3" fillId="33" borderId="36" xfId="0" applyFont="1" applyFill="1" applyBorder="1"/>
    <xf numFmtId="0" fontId="3" fillId="33" borderId="4" xfId="0" applyFont="1" applyFill="1" applyBorder="1"/>
    <xf numFmtId="0" fontId="3" fillId="33" borderId="35" xfId="0" applyFont="1" applyFill="1" applyBorder="1"/>
    <xf numFmtId="0" fontId="122" fillId="5" borderId="34" xfId="0" applyFont="1" applyFill="1" applyBorder="1"/>
    <xf numFmtId="0" fontId="105" fillId="0" borderId="0" xfId="0" applyFont="1"/>
    <xf numFmtId="183" fontId="121" fillId="0" borderId="0" xfId="0" applyNumberFormat="1" applyFont="1"/>
    <xf numFmtId="0" fontId="121" fillId="0" borderId="0" xfId="0" applyFont="1"/>
    <xf numFmtId="0" fontId="128" fillId="0" borderId="0" xfId="0" applyFont="1"/>
    <xf numFmtId="0" fontId="123" fillId="81" borderId="1" xfId="0" applyFont="1" applyFill="1" applyBorder="1" applyAlignment="1">
      <alignment vertical="top"/>
    </xf>
    <xf numFmtId="3" fontId="3" fillId="0" borderId="0" xfId="0" applyNumberFormat="1" applyFont="1" applyAlignment="1">
      <alignment vertical="top" wrapText="1"/>
    </xf>
    <xf numFmtId="0" fontId="3" fillId="0" borderId="1" xfId="0" applyFont="1" applyBorder="1" applyAlignment="1">
      <alignment vertical="top"/>
    </xf>
    <xf numFmtId="0" fontId="3" fillId="0" borderId="0" xfId="0" applyFont="1" applyAlignment="1">
      <alignment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0" borderId="1" xfId="0" applyFont="1" applyBorder="1" applyAlignment="1">
      <alignment vertical="center"/>
    </xf>
    <xf numFmtId="0" fontId="3" fillId="0" borderId="1" xfId="0" applyFont="1" applyBorder="1" applyAlignment="1">
      <alignment wrapText="1"/>
    </xf>
    <xf numFmtId="0" fontId="151" fillId="70" borderId="0" xfId="0" applyFont="1" applyFill="1"/>
    <xf numFmtId="0" fontId="123" fillId="70" borderId="0" xfId="0" applyFont="1" applyFill="1"/>
    <xf numFmtId="0" fontId="152" fillId="70" borderId="0" xfId="0" applyFont="1" applyFill="1"/>
    <xf numFmtId="0" fontId="3" fillId="5" borderId="7" xfId="0" applyFont="1" applyFill="1" applyBorder="1"/>
    <xf numFmtId="10" fontId="3" fillId="5" borderId="0" xfId="0" applyNumberFormat="1" applyFont="1" applyFill="1" applyBorder="1" applyAlignment="1">
      <alignment vertical="top"/>
    </xf>
    <xf numFmtId="0" fontId="3" fillId="5" borderId="0" xfId="0" applyFont="1" applyFill="1" applyBorder="1" applyAlignment="1">
      <alignment horizontal="left" vertical="top" wrapText="1"/>
    </xf>
    <xf numFmtId="0" fontId="3" fillId="0" borderId="0" xfId="0" applyFont="1" applyBorder="1" applyAlignment="1">
      <alignment vertical="top" wrapText="1"/>
    </xf>
    <xf numFmtId="0" fontId="153" fillId="70" borderId="0" xfId="0" applyFont="1" applyFill="1"/>
    <xf numFmtId="0" fontId="3" fillId="0" borderId="0" xfId="0" applyFont="1" applyAlignment="1">
      <alignment horizontal="left" vertical="center"/>
    </xf>
    <xf numFmtId="0" fontId="3" fillId="0" borderId="0" xfId="0" applyFont="1" applyAlignment="1">
      <alignment wrapText="1"/>
    </xf>
    <xf numFmtId="0" fontId="3" fillId="31" borderId="0" xfId="0" applyFont="1" applyFill="1" applyAlignment="1">
      <alignment horizontal="left" vertical="top" wrapText="1"/>
    </xf>
    <xf numFmtId="0" fontId="16" fillId="0" borderId="0" xfId="0" applyFont="1"/>
    <xf numFmtId="0" fontId="3" fillId="5" borderId="0" xfId="0" applyFont="1" applyFill="1" applyAlignment="1">
      <alignment horizontal="center" vertical="center"/>
    </xf>
    <xf numFmtId="0" fontId="154" fillId="73"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3" fillId="5" borderId="0" xfId="0" applyFont="1" applyFill="1" applyAlignment="1">
      <alignment horizontal="center" vertical="center" wrapText="1"/>
    </xf>
    <xf numFmtId="0" fontId="3" fillId="0" borderId="0" xfId="0" applyFont="1" applyAlignment="1">
      <alignment horizontal="center" vertical="center" wrapText="1"/>
    </xf>
    <xf numFmtId="0" fontId="3" fillId="5" borderId="5" xfId="0" applyFont="1" applyFill="1" applyBorder="1" applyAlignment="1">
      <alignment horizontal="right" vertical="center"/>
    </xf>
    <xf numFmtId="0" fontId="3" fillId="5" borderId="0" xfId="0" applyFont="1" applyFill="1" applyBorder="1" applyAlignment="1">
      <alignment horizontal="center" vertical="center"/>
    </xf>
    <xf numFmtId="0" fontId="125" fillId="5" borderId="0" xfId="286" applyFont="1" applyFill="1" applyBorder="1" applyAlignment="1">
      <alignment vertical="center" wrapText="1"/>
    </xf>
    <xf numFmtId="164" fontId="122" fillId="5" borderId="0" xfId="0" applyNumberFormat="1" applyFont="1" applyFill="1" applyBorder="1" applyAlignment="1">
      <alignment horizontal="left" vertical="center" wrapText="1"/>
    </xf>
    <xf numFmtId="0" fontId="3" fillId="5" borderId="0" xfId="0" applyFont="1" applyFill="1" applyBorder="1" applyAlignment="1">
      <alignment horizontal="left" vertical="center" wrapText="1"/>
    </xf>
    <xf numFmtId="0" fontId="131" fillId="5" borderId="0" xfId="0" applyFont="1" applyFill="1" applyBorder="1" applyAlignment="1">
      <alignment horizontal="center" vertical="center" wrapText="1"/>
    </xf>
    <xf numFmtId="166" fontId="122" fillId="5" borderId="0" xfId="1" applyNumberFormat="1" applyFont="1" applyFill="1" applyBorder="1" applyAlignment="1">
      <alignment vertical="center" wrapText="1"/>
    </xf>
    <xf numFmtId="166" fontId="122" fillId="5" borderId="1" xfId="1"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0" fontId="118" fillId="5" borderId="6" xfId="0" applyFont="1" applyFill="1" applyBorder="1" applyAlignment="1">
      <alignment horizontal="center" vertical="center" wrapText="1"/>
    </xf>
    <xf numFmtId="0" fontId="122" fillId="5" borderId="6" xfId="0" applyFont="1" applyFill="1" applyBorder="1" applyAlignment="1">
      <alignment horizontal="center" vertical="center" wrapText="1"/>
    </xf>
    <xf numFmtId="0" fontId="122" fillId="5" borderId="6" xfId="0" applyFont="1" applyFill="1" applyBorder="1" applyAlignment="1">
      <alignment vertical="center"/>
    </xf>
    <xf numFmtId="0" fontId="3" fillId="5" borderId="1" xfId="0" applyFont="1" applyFill="1" applyBorder="1" applyAlignment="1">
      <alignment horizontal="left" vertical="center"/>
    </xf>
    <xf numFmtId="0" fontId="3" fillId="5" borderId="1" xfId="0" applyFont="1" applyFill="1" applyBorder="1" applyAlignment="1">
      <alignment vertical="center"/>
    </xf>
    <xf numFmtId="1" fontId="3" fillId="5" borderId="0" xfId="0" applyNumberFormat="1" applyFont="1" applyFill="1" applyBorder="1" applyAlignment="1">
      <alignment horizontal="right" vertical="center"/>
    </xf>
    <xf numFmtId="0" fontId="0" fillId="0" borderId="0" xfId="0" applyBorder="1" applyAlignment="1">
      <alignment horizontal="center" vertical="center"/>
    </xf>
    <xf numFmtId="0" fontId="122" fillId="0" borderId="0" xfId="0" applyFont="1" applyFill="1" applyAlignment="1">
      <alignment vertical="center"/>
    </xf>
    <xf numFmtId="166" fontId="122" fillId="0" borderId="0" xfId="1" applyNumberFormat="1" applyFont="1" applyFill="1" applyAlignment="1">
      <alignment vertical="center"/>
    </xf>
    <xf numFmtId="0" fontId="122" fillId="0" borderId="0" xfId="0" applyFont="1" applyAlignment="1">
      <alignment vertical="center"/>
    </xf>
    <xf numFmtId="168" fontId="122" fillId="0" borderId="0" xfId="0" applyNumberFormat="1" applyFont="1" applyAlignment="1">
      <alignment vertical="center"/>
    </xf>
    <xf numFmtId="0" fontId="16" fillId="0" borderId="0" xfId="0" applyFont="1" applyFill="1" applyAlignment="1" applyProtection="1">
      <alignment vertical="center" wrapText="1"/>
      <protection hidden="1"/>
    </xf>
    <xf numFmtId="0" fontId="118" fillId="5" borderId="94" xfId="0" applyFont="1" applyFill="1" applyBorder="1" applyAlignment="1">
      <alignment vertical="center" wrapText="1"/>
    </xf>
    <xf numFmtId="0" fontId="122" fillId="5" borderId="89" xfId="0" applyFont="1" applyFill="1" applyBorder="1" applyAlignment="1">
      <alignment horizontal="center" vertical="center" wrapText="1"/>
    </xf>
    <xf numFmtId="0" fontId="122" fillId="5" borderId="90" xfId="0" applyFont="1" applyFill="1" applyBorder="1" applyAlignment="1">
      <alignment horizontal="center" vertical="center" wrapText="1"/>
    </xf>
    <xf numFmtId="0" fontId="104" fillId="0" borderId="0" xfId="0" applyFont="1" applyBorder="1" applyAlignment="1">
      <alignment wrapText="1"/>
    </xf>
    <xf numFmtId="0" fontId="3" fillId="5" borderId="91" xfId="0" applyFont="1" applyFill="1" applyBorder="1" applyAlignment="1">
      <alignment vertical="center" wrapText="1"/>
    </xf>
    <xf numFmtId="0" fontId="3" fillId="0" borderId="28" xfId="0" applyFont="1" applyBorder="1" applyAlignment="1">
      <alignment vertical="center" wrapText="1"/>
    </xf>
    <xf numFmtId="0" fontId="3" fillId="5" borderId="29" xfId="0" applyFont="1" applyFill="1" applyBorder="1" applyAlignment="1">
      <alignment horizontal="center" vertical="center" wrapText="1"/>
    </xf>
    <xf numFmtId="0" fontId="122" fillId="5" borderId="36" xfId="0" applyFont="1" applyFill="1" applyBorder="1" applyAlignment="1">
      <alignment horizontal="center" vertical="center" wrapText="1"/>
    </xf>
    <xf numFmtId="0" fontId="122" fillId="6" borderId="1" xfId="0" applyFont="1" applyFill="1" applyBorder="1" applyAlignment="1">
      <alignment horizontal="center" vertical="center" wrapText="1"/>
    </xf>
    <xf numFmtId="0" fontId="16" fillId="5" borderId="0" xfId="0" applyFont="1" applyFill="1" applyAlignment="1" applyProtection="1">
      <alignment wrapText="1"/>
      <protection hidden="1"/>
    </xf>
    <xf numFmtId="0" fontId="104" fillId="0" borderId="0" xfId="0" applyFont="1" applyBorder="1" applyAlignment="1">
      <alignment vertical="center" wrapText="1"/>
    </xf>
    <xf numFmtId="0" fontId="118" fillId="5" borderId="94" xfId="0" applyFont="1" applyFill="1" applyBorder="1" applyAlignment="1">
      <alignment horizontal="center" vertical="center" wrapText="1"/>
    </xf>
    <xf numFmtId="168" fontId="118" fillId="5" borderId="0" xfId="4" applyNumberFormat="1" applyFont="1" applyFill="1" applyBorder="1" applyAlignment="1">
      <alignment horizontal="right" vertical="center" wrapText="1"/>
    </xf>
    <xf numFmtId="0" fontId="16" fillId="0" borderId="0" xfId="0" applyFont="1" applyFill="1" applyBorder="1" applyAlignment="1">
      <alignment vertical="center" wrapText="1"/>
    </xf>
    <xf numFmtId="0" fontId="3" fillId="5" borderId="27" xfId="0" applyFont="1" applyFill="1" applyBorder="1" applyAlignment="1">
      <alignment vertical="center" wrapText="1"/>
    </xf>
    <xf numFmtId="0" fontId="16" fillId="0" borderId="28" xfId="0" applyFont="1" applyBorder="1" applyAlignment="1">
      <alignment wrapText="1"/>
    </xf>
    <xf numFmtId="3" fontId="118" fillId="5" borderId="97" xfId="0" applyNumberFormat="1" applyFont="1" applyFill="1" applyBorder="1" applyAlignment="1">
      <alignment horizontal="center" vertical="center" wrapText="1"/>
    </xf>
    <xf numFmtId="3" fontId="118" fillId="6" borderId="97" xfId="0" applyNumberFormat="1" applyFont="1" applyFill="1" applyBorder="1" applyAlignment="1">
      <alignment horizontal="center" vertical="center" wrapText="1"/>
    </xf>
    <xf numFmtId="0" fontId="122" fillId="5" borderId="6" xfId="0" applyFont="1" applyFill="1" applyBorder="1" applyAlignment="1">
      <alignment horizontal="center" vertical="center" wrapText="1"/>
    </xf>
    <xf numFmtId="168" fontId="118" fillId="5" borderId="0" xfId="2" applyNumberFormat="1" applyFont="1" applyFill="1" applyBorder="1" applyAlignment="1">
      <alignment horizontal="right" vertical="center" wrapText="1"/>
    </xf>
    <xf numFmtId="0" fontId="125" fillId="0" borderId="0" xfId="286" applyFont="1" applyBorder="1" applyAlignment="1">
      <alignment vertical="center" wrapText="1"/>
    </xf>
    <xf numFmtId="0" fontId="16" fillId="5" borderId="0" xfId="0" applyFont="1" applyFill="1" applyAlignment="1" applyProtection="1">
      <alignment vertical="center" wrapText="1"/>
      <protection hidden="1"/>
    </xf>
    <xf numFmtId="0" fontId="122" fillId="5" borderId="112" xfId="0" applyFont="1" applyFill="1" applyBorder="1" applyAlignment="1">
      <alignment horizontal="left" vertical="center" wrapText="1"/>
    </xf>
    <xf numFmtId="6" fontId="118" fillId="5" borderId="0" xfId="2" applyNumberFormat="1" applyFont="1" applyFill="1" applyBorder="1" applyAlignment="1">
      <alignment horizontal="right" vertical="center" wrapText="1"/>
    </xf>
    <xf numFmtId="0" fontId="0" fillId="0" borderId="29" xfId="0" applyBorder="1"/>
    <xf numFmtId="0" fontId="3" fillId="0" borderId="28" xfId="0" applyFont="1" applyBorder="1" applyAlignment="1">
      <alignment wrapText="1"/>
    </xf>
    <xf numFmtId="0" fontId="118" fillId="5" borderId="7" xfId="0" applyFont="1" applyFill="1" applyBorder="1" applyAlignment="1">
      <alignment horizontal="left" vertical="center" wrapText="1"/>
    </xf>
    <xf numFmtId="0" fontId="122" fillId="0" borderId="0" xfId="0" applyFont="1" applyAlignment="1">
      <alignment horizontal="center" vertical="center"/>
    </xf>
    <xf numFmtId="0" fontId="123" fillId="73" borderId="1" xfId="0" applyFont="1" applyFill="1" applyBorder="1" applyAlignment="1">
      <alignment horizontal="center" vertical="center" wrapText="1"/>
    </xf>
    <xf numFmtId="3" fontId="122" fillId="6" borderId="1" xfId="0" applyNumberFormat="1" applyFont="1" applyFill="1" applyBorder="1" applyAlignment="1">
      <alignment horizontal="center" vertical="center" wrapText="1"/>
    </xf>
    <xf numFmtId="166" fontId="118" fillId="5" borderId="1" xfId="1" applyNumberFormat="1" applyFont="1" applyFill="1" applyBorder="1" applyAlignment="1">
      <alignment horizontal="center" vertical="center" wrapText="1"/>
    </xf>
    <xf numFmtId="7" fontId="118" fillId="5" borderId="1" xfId="2" applyNumberFormat="1" applyFont="1" applyFill="1" applyBorder="1" applyAlignment="1">
      <alignment horizontal="right" vertical="center" wrapText="1"/>
    </xf>
    <xf numFmtId="0" fontId="16" fillId="5" borderId="28" xfId="0" applyFont="1" applyFill="1" applyBorder="1" applyAlignment="1">
      <alignment horizontal="center" vertical="center" wrapText="1"/>
    </xf>
    <xf numFmtId="0" fontId="3" fillId="5" borderId="26" xfId="0" applyFont="1" applyFill="1" applyBorder="1" applyAlignment="1">
      <alignment vertical="center" wrapText="1"/>
    </xf>
    <xf numFmtId="0" fontId="3" fillId="5" borderId="28" xfId="0" applyFont="1" applyFill="1" applyBorder="1" applyAlignment="1">
      <alignment horizontal="center" vertical="center" wrapText="1"/>
    </xf>
    <xf numFmtId="0" fontId="3" fillId="5" borderId="90" xfId="0" applyFont="1" applyFill="1" applyBorder="1" applyAlignment="1">
      <alignment vertical="center" wrapText="1"/>
    </xf>
    <xf numFmtId="166" fontId="118" fillId="5" borderId="81" xfId="1" applyNumberFormat="1" applyFont="1" applyFill="1" applyBorder="1" applyAlignment="1">
      <alignment horizontal="center" vertical="center" wrapText="1"/>
    </xf>
    <xf numFmtId="0" fontId="16" fillId="0" borderId="0" xfId="0" applyFont="1" applyFill="1" applyAlignment="1" applyProtection="1">
      <alignment wrapText="1"/>
      <protection hidden="1"/>
    </xf>
    <xf numFmtId="0" fontId="0" fillId="0" borderId="0" xfId="0" applyBorder="1"/>
    <xf numFmtId="0" fontId="16" fillId="5" borderId="0" xfId="0" applyFont="1" applyFill="1" applyBorder="1" applyAlignment="1">
      <alignment vertical="center" wrapText="1"/>
    </xf>
    <xf numFmtId="0" fontId="163" fillId="0" borderId="1" xfId="0" applyFont="1" applyBorder="1" applyAlignment="1">
      <alignment horizontal="center" vertical="center"/>
    </xf>
    <xf numFmtId="0" fontId="122" fillId="8" borderId="21" xfId="0" applyFont="1" applyFill="1" applyBorder="1" applyAlignment="1">
      <alignment horizontal="left" vertical="center" wrapText="1"/>
    </xf>
    <xf numFmtId="182" fontId="118" fillId="5" borderId="0" xfId="4" applyNumberFormat="1" applyFont="1" applyFill="1" applyBorder="1" applyAlignment="1">
      <alignment horizontal="right" vertical="center" wrapText="1"/>
    </xf>
    <xf numFmtId="0" fontId="122" fillId="5" borderId="7" xfId="0" applyFont="1" applyFill="1" applyBorder="1" applyAlignment="1">
      <alignment horizontal="left" vertical="center" wrapText="1"/>
    </xf>
    <xf numFmtId="0" fontId="3" fillId="0" borderId="29" xfId="0" applyFont="1" applyBorder="1" applyAlignment="1">
      <alignment wrapText="1"/>
    </xf>
    <xf numFmtId="0" fontId="3" fillId="0" borderId="0" xfId="0" applyFont="1" applyBorder="1" applyAlignment="1">
      <alignment wrapText="1"/>
    </xf>
    <xf numFmtId="0" fontId="122" fillId="5" borderId="29" xfId="0" applyFont="1" applyFill="1" applyBorder="1" applyAlignment="1">
      <alignment horizontal="center" vertical="center" wrapText="1"/>
    </xf>
    <xf numFmtId="5" fontId="118" fillId="5" borderId="1" xfId="2" applyNumberFormat="1" applyFont="1" applyFill="1" applyBorder="1" applyAlignment="1">
      <alignment horizontal="right" vertical="center" wrapText="1"/>
    </xf>
    <xf numFmtId="0" fontId="3" fillId="5" borderId="25" xfId="0" applyFont="1" applyFill="1" applyBorder="1" applyAlignment="1">
      <alignment vertical="center" wrapText="1"/>
    </xf>
    <xf numFmtId="0" fontId="16" fillId="5" borderId="28" xfId="0" applyFont="1" applyFill="1" applyBorder="1" applyAlignment="1">
      <alignment vertical="center" wrapText="1"/>
    </xf>
    <xf numFmtId="0" fontId="16" fillId="5" borderId="0" xfId="0" applyFont="1" applyFill="1" applyBorder="1" applyAlignment="1">
      <alignment horizontal="center" vertical="center" wrapText="1"/>
    </xf>
    <xf numFmtId="0" fontId="118" fillId="5" borderId="6" xfId="0" applyFont="1" applyFill="1" applyBorder="1" applyAlignment="1">
      <alignment horizontal="left" vertical="center" wrapText="1"/>
    </xf>
    <xf numFmtId="168" fontId="3" fillId="5" borderId="0" xfId="0" applyNumberFormat="1" applyFont="1" applyFill="1" applyBorder="1" applyAlignment="1">
      <alignment vertical="top" wrapText="1"/>
    </xf>
    <xf numFmtId="0" fontId="122" fillId="6" borderId="7" xfId="0" applyFont="1" applyFill="1" applyBorder="1" applyAlignment="1">
      <alignment horizontal="center" vertical="center" wrapText="1"/>
    </xf>
    <xf numFmtId="166" fontId="104" fillId="6" borderId="1" xfId="1" applyNumberFormat="1" applyFont="1" applyFill="1" applyBorder="1" applyAlignment="1">
      <alignment horizontal="center" vertical="center" wrapText="1"/>
    </xf>
    <xf numFmtId="0" fontId="122" fillId="5" borderId="0" xfId="0" applyFont="1" applyFill="1" applyBorder="1" applyAlignment="1">
      <alignment horizontal="left" wrapText="1"/>
    </xf>
    <xf numFmtId="3" fontId="3" fillId="5" borderId="0" xfId="0" applyNumberFormat="1" applyFont="1" applyFill="1" applyBorder="1" applyAlignment="1">
      <alignment vertical="top" wrapText="1"/>
    </xf>
    <xf numFmtId="166" fontId="118" fillId="5" borderId="7" xfId="1" applyNumberFormat="1" applyFont="1" applyFill="1" applyBorder="1" applyAlignment="1">
      <alignment horizontal="center" vertical="center" wrapText="1"/>
    </xf>
    <xf numFmtId="0" fontId="0" fillId="0" borderId="0" xfId="0"/>
    <xf numFmtId="0" fontId="16" fillId="5" borderId="0" xfId="0" applyFont="1" applyFill="1" applyAlignment="1" applyProtection="1">
      <alignment vertical="center"/>
      <protection hidden="1"/>
    </xf>
    <xf numFmtId="0" fontId="16" fillId="0" borderId="0" xfId="0" applyFont="1" applyFill="1" applyAlignment="1" applyProtection="1">
      <alignment vertical="center"/>
      <protection hidden="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14" fillId="77" borderId="94" xfId="0" applyFont="1" applyFill="1" applyBorder="1" applyAlignment="1">
      <alignment horizontal="center" vertical="center"/>
    </xf>
    <xf numFmtId="0" fontId="114" fillId="77" borderId="6" xfId="0" applyFont="1" applyFill="1" applyBorder="1" applyAlignment="1">
      <alignment horizontal="center" vertical="center"/>
    </xf>
    <xf numFmtId="0" fontId="16" fillId="5" borderId="0" xfId="0" applyFont="1" applyFill="1" applyBorder="1" applyAlignment="1" applyProtection="1">
      <alignment vertical="center"/>
      <protection hidden="1"/>
    </xf>
    <xf numFmtId="0" fontId="2" fillId="5" borderId="0" xfId="0" applyFont="1" applyFill="1" applyBorder="1" applyAlignment="1">
      <alignment vertical="center"/>
    </xf>
    <xf numFmtId="0" fontId="122" fillId="5" borderId="0" xfId="0" applyFont="1" applyFill="1" applyBorder="1" applyAlignment="1">
      <alignment horizontal="left" vertical="center"/>
    </xf>
    <xf numFmtId="0" fontId="122" fillId="5" borderId="0" xfId="0" applyFont="1" applyFill="1" applyBorder="1" applyAlignment="1">
      <alignment vertical="center"/>
    </xf>
    <xf numFmtId="0" fontId="122" fillId="5" borderId="0" xfId="0" applyFont="1" applyFill="1" applyBorder="1" applyAlignment="1">
      <alignment horizontal="center" vertical="center"/>
    </xf>
    <xf numFmtId="0" fontId="125" fillId="5" borderId="0" xfId="286" applyFont="1" applyFill="1" applyBorder="1" applyAlignment="1">
      <alignment vertical="center"/>
    </xf>
    <xf numFmtId="0" fontId="122" fillId="5" borderId="0" xfId="0" applyFont="1" applyFill="1" applyBorder="1" applyAlignment="1">
      <alignment horizontal="center" vertical="center" wrapText="1"/>
    </xf>
    <xf numFmtId="0" fontId="118" fillId="5" borderId="0" xfId="0" applyFont="1" applyFill="1" applyBorder="1" applyAlignment="1">
      <alignment horizontal="center" vertical="center" wrapText="1"/>
    </xf>
    <xf numFmtId="0" fontId="125" fillId="5" borderId="26" xfId="286" applyFont="1" applyFill="1" applyBorder="1" applyAlignment="1">
      <alignment vertical="center"/>
    </xf>
    <xf numFmtId="164" fontId="122" fillId="5" borderId="0" xfId="0" applyNumberFormat="1" applyFont="1" applyFill="1" applyBorder="1" applyAlignment="1">
      <alignment horizontal="left" vertical="center"/>
    </xf>
    <xf numFmtId="0" fontId="122" fillId="5" borderId="0" xfId="0" applyFont="1" applyFill="1" applyBorder="1" applyAlignment="1">
      <alignment horizontal="center" vertical="top"/>
    </xf>
    <xf numFmtId="0" fontId="2" fillId="0" borderId="0" xfId="0" applyFont="1" applyAlignment="1">
      <alignment horizontal="left" vertical="center"/>
    </xf>
    <xf numFmtId="0" fontId="120" fillId="5" borderId="0" xfId="0" applyFont="1" applyFill="1" applyBorder="1"/>
    <xf numFmtId="0" fontId="122" fillId="5" borderId="2" xfId="0" applyFont="1" applyFill="1" applyBorder="1" applyAlignment="1">
      <alignment horizontal="center" vertical="top"/>
    </xf>
    <xf numFmtId="0" fontId="122" fillId="5" borderId="0" xfId="0" applyFont="1" applyFill="1" applyBorder="1" applyAlignment="1">
      <alignment vertical="top"/>
    </xf>
    <xf numFmtId="0" fontId="123" fillId="5" borderId="0" xfId="0" applyFont="1" applyFill="1"/>
    <xf numFmtId="0" fontId="122" fillId="5" borderId="0" xfId="0" applyFont="1" applyFill="1" applyBorder="1"/>
    <xf numFmtId="0" fontId="122" fillId="5" borderId="0" xfId="0" applyFont="1" applyFill="1" applyBorder="1" applyAlignment="1">
      <alignment horizontal="center" vertical="top" wrapText="1"/>
    </xf>
    <xf numFmtId="0" fontId="2" fillId="0" borderId="0" xfId="0" applyFont="1" applyBorder="1"/>
    <xf numFmtId="0" fontId="135" fillId="5" borderId="0" xfId="0" applyFont="1" applyFill="1" applyBorder="1" applyAlignment="1">
      <alignment horizontal="left" wrapText="1"/>
    </xf>
    <xf numFmtId="0" fontId="135" fillId="5" borderId="0" xfId="0" applyFont="1" applyFill="1" applyBorder="1" applyAlignment="1">
      <alignment wrapText="1"/>
    </xf>
    <xf numFmtId="0" fontId="122" fillId="5" borderId="121" xfId="0" applyFont="1" applyFill="1" applyBorder="1" applyAlignment="1">
      <alignment vertical="center"/>
    </xf>
    <xf numFmtId="0" fontId="104" fillId="0" borderId="0" xfId="0" applyFont="1" applyBorder="1" applyAlignment="1">
      <alignment vertical="center"/>
    </xf>
    <xf numFmtId="0" fontId="122" fillId="5" borderId="119" xfId="0" applyFont="1" applyFill="1" applyBorder="1" applyAlignment="1">
      <alignment horizontal="center" vertical="center"/>
    </xf>
    <xf numFmtId="0" fontId="122" fillId="5" borderId="112" xfId="0" applyFont="1" applyFill="1" applyBorder="1" applyAlignment="1">
      <alignment horizontal="center" vertical="center"/>
    </xf>
    <xf numFmtId="0" fontId="122" fillId="5" borderId="29" xfId="0" applyFont="1" applyFill="1" applyBorder="1" applyAlignment="1">
      <alignment horizontal="center" vertical="center"/>
    </xf>
    <xf numFmtId="180" fontId="118" fillId="6" borderId="1" xfId="0" applyNumberFormat="1" applyFont="1" applyFill="1" applyBorder="1" applyAlignment="1">
      <alignment horizontal="center" vertical="center"/>
    </xf>
    <xf numFmtId="0" fontId="131" fillId="5" borderId="0" xfId="0" applyFont="1" applyFill="1" applyBorder="1" applyAlignment="1">
      <alignment horizontal="center" vertical="center"/>
    </xf>
    <xf numFmtId="166" fontId="104" fillId="6" borderId="1" xfId="1" applyNumberFormat="1" applyFont="1" applyFill="1" applyBorder="1" applyAlignment="1">
      <alignment horizontal="center" vertical="center"/>
    </xf>
    <xf numFmtId="0" fontId="16" fillId="0" borderId="28" xfId="0" applyFont="1" applyBorder="1"/>
    <xf numFmtId="0" fontId="132" fillId="5" borderId="0" xfId="0" applyFont="1" applyFill="1" applyBorder="1" applyAlignment="1">
      <alignment horizontal="center" vertical="center"/>
    </xf>
    <xf numFmtId="0" fontId="123" fillId="73" borderId="1" xfId="0" applyFont="1" applyFill="1" applyBorder="1" applyAlignment="1">
      <alignment horizontal="center" vertical="center"/>
    </xf>
    <xf numFmtId="0" fontId="16" fillId="5" borderId="28" xfId="0" applyFont="1" applyFill="1" applyBorder="1" applyAlignment="1">
      <alignment vertical="center"/>
    </xf>
    <xf numFmtId="0" fontId="122" fillId="5" borderId="36" xfId="0" applyFont="1" applyFill="1" applyBorder="1" applyAlignment="1">
      <alignment horizontal="center" vertical="center"/>
    </xf>
    <xf numFmtId="0" fontId="122" fillId="5" borderId="4" xfId="0" applyFont="1" applyFill="1" applyBorder="1" applyAlignment="1">
      <alignment horizontal="left" vertical="center"/>
    </xf>
    <xf numFmtId="0" fontId="122" fillId="5" borderId="4" xfId="0" applyFont="1" applyFill="1" applyBorder="1" applyAlignment="1">
      <alignment horizontal="center" vertical="center"/>
    </xf>
    <xf numFmtId="166" fontId="122" fillId="5" borderId="0" xfId="1" applyNumberFormat="1" applyFont="1" applyFill="1" applyBorder="1" applyAlignment="1">
      <alignment vertical="center"/>
    </xf>
    <xf numFmtId="0" fontId="122" fillId="5" borderId="0" xfId="0" applyFont="1" applyFill="1" applyBorder="1" applyAlignment="1">
      <alignment vertical="center" wrapText="1"/>
    </xf>
    <xf numFmtId="0" fontId="122" fillId="5" borderId="1" xfId="0" applyFont="1" applyFill="1" applyBorder="1" applyAlignment="1">
      <alignment horizontal="left" vertical="center" wrapText="1"/>
    </xf>
    <xf numFmtId="0" fontId="122" fillId="5" borderId="1" xfId="0" applyFont="1" applyFill="1" applyBorder="1" applyAlignment="1">
      <alignment vertical="center"/>
    </xf>
    <xf numFmtId="0" fontId="122" fillId="5" borderId="1" xfId="0" applyFont="1" applyFill="1" applyBorder="1" applyAlignment="1">
      <alignment horizontal="center" vertical="center" wrapText="1"/>
    </xf>
    <xf numFmtId="0" fontId="118" fillId="5" borderId="1" xfId="0" applyFont="1" applyFill="1" applyBorder="1" applyAlignment="1">
      <alignment horizontal="center" vertical="center" wrapText="1"/>
    </xf>
    <xf numFmtId="0" fontId="122" fillId="6" borderId="1" xfId="0" applyFont="1" applyFill="1" applyBorder="1" applyAlignment="1">
      <alignment horizontal="left" vertical="center" wrapText="1"/>
    </xf>
    <xf numFmtId="0" fontId="122" fillId="6" borderId="1" xfId="4" applyNumberFormat="1" applyFont="1" applyFill="1" applyBorder="1" applyAlignment="1">
      <alignment horizontal="center" vertical="center"/>
    </xf>
    <xf numFmtId="181" fontId="122" fillId="6" borderId="1" xfId="0" applyNumberFormat="1" applyFont="1" applyFill="1" applyBorder="1" applyAlignment="1">
      <alignment horizontal="center" vertical="center"/>
    </xf>
    <xf numFmtId="9" fontId="122" fillId="6" borderId="1" xfId="4" applyFont="1" applyFill="1" applyBorder="1" applyAlignment="1">
      <alignment horizontal="center" vertical="center"/>
    </xf>
    <xf numFmtId="0" fontId="118" fillId="5" borderId="1" xfId="0" applyFont="1" applyFill="1" applyBorder="1" applyAlignment="1">
      <alignment horizontal="left" vertical="center" wrapText="1"/>
    </xf>
    <xf numFmtId="0" fontId="122" fillId="6" borderId="1" xfId="0" applyFont="1" applyFill="1" applyBorder="1" applyAlignment="1">
      <alignment horizontal="center" vertical="center"/>
    </xf>
    <xf numFmtId="5" fontId="118" fillId="6" borderId="1" xfId="2" applyNumberFormat="1" applyFont="1" applyFill="1" applyBorder="1" applyAlignment="1">
      <alignment horizontal="right" vertical="center" indent="1"/>
    </xf>
    <xf numFmtId="0" fontId="122" fillId="0" borderId="1" xfId="0" applyFont="1" applyFill="1" applyBorder="1" applyAlignment="1">
      <alignment horizontal="left" vertical="center" wrapText="1"/>
    </xf>
    <xf numFmtId="3" fontId="122" fillId="6" borderId="1" xfId="0" applyNumberFormat="1" applyFont="1" applyFill="1" applyBorder="1" applyAlignment="1">
      <alignment horizontal="center" vertical="center"/>
    </xf>
    <xf numFmtId="0" fontId="122" fillId="0" borderId="0" xfId="0" applyFont="1" applyFill="1" applyBorder="1" applyAlignment="1">
      <alignment vertical="center" wrapText="1"/>
    </xf>
    <xf numFmtId="0" fontId="16" fillId="0" borderId="0" xfId="0" applyFont="1" applyFill="1" applyBorder="1" applyAlignment="1">
      <alignment vertical="center"/>
    </xf>
    <xf numFmtId="1" fontId="118" fillId="6" borderId="1" xfId="2" applyNumberFormat="1" applyFont="1" applyFill="1" applyBorder="1" applyAlignment="1">
      <alignment horizontal="center" vertical="center"/>
    </xf>
    <xf numFmtId="166" fontId="118" fillId="5" borderId="1" xfId="1" applyNumberFormat="1" applyFont="1" applyFill="1" applyBorder="1" applyAlignment="1">
      <alignment horizontal="center" vertical="center"/>
    </xf>
    <xf numFmtId="0" fontId="122" fillId="5" borderId="1" xfId="0" applyFont="1" applyFill="1" applyBorder="1" applyAlignment="1">
      <alignment horizontal="left" vertical="center"/>
    </xf>
    <xf numFmtId="164" fontId="122" fillId="6" borderId="1" xfId="0" applyNumberFormat="1" applyFont="1" applyFill="1" applyBorder="1" applyAlignment="1">
      <alignment horizontal="center" vertical="center"/>
    </xf>
    <xf numFmtId="0" fontId="118" fillId="5" borderId="0" xfId="0" applyFont="1" applyFill="1" applyBorder="1" applyAlignment="1">
      <alignment vertical="center"/>
    </xf>
    <xf numFmtId="0" fontId="132" fillId="5" borderId="0" xfId="0" applyFont="1" applyFill="1" applyBorder="1" applyAlignment="1">
      <alignment horizontal="center" vertical="center" wrapText="1"/>
    </xf>
    <xf numFmtId="0" fontId="122" fillId="5" borderId="1" xfId="0" applyFont="1" applyFill="1" applyBorder="1" applyAlignment="1">
      <alignment vertical="center" wrapText="1"/>
    </xf>
    <xf numFmtId="0" fontId="16" fillId="5" borderId="0" xfId="0" applyFont="1" applyFill="1" applyBorder="1" applyAlignment="1">
      <alignment horizontal="center" vertical="center"/>
    </xf>
    <xf numFmtId="0" fontId="16" fillId="5" borderId="0" xfId="0" applyFont="1" applyFill="1" applyBorder="1" applyAlignment="1">
      <alignment vertical="center"/>
    </xf>
    <xf numFmtId="0" fontId="118" fillId="5" borderId="1" xfId="0" applyFont="1" applyFill="1" applyBorder="1" applyAlignment="1">
      <alignment vertical="center" wrapText="1"/>
    </xf>
    <xf numFmtId="0" fontId="118" fillId="5" borderId="81" xfId="0" applyFont="1" applyFill="1" applyBorder="1" applyAlignment="1">
      <alignment horizontal="center" vertical="center" wrapText="1"/>
    </xf>
    <xf numFmtId="2" fontId="122" fillId="6" borderId="1" xfId="4" applyNumberFormat="1" applyFont="1" applyFill="1" applyBorder="1" applyAlignment="1">
      <alignment horizontal="center" vertical="center"/>
    </xf>
    <xf numFmtId="0" fontId="118" fillId="0" borderId="1" xfId="0" applyFont="1" applyFill="1" applyBorder="1" applyAlignment="1">
      <alignment horizontal="left" vertical="center" wrapText="1"/>
    </xf>
    <xf numFmtId="2" fontId="122" fillId="5" borderId="1" xfId="0" applyNumberFormat="1" applyFont="1" applyFill="1" applyBorder="1" applyAlignment="1">
      <alignment horizontal="center" vertical="center" wrapText="1"/>
    </xf>
    <xf numFmtId="168" fontId="118" fillId="5" borderId="1" xfId="0" applyNumberFormat="1" applyFont="1" applyFill="1" applyBorder="1" applyAlignment="1">
      <alignment horizontal="center" vertical="center" wrapText="1"/>
    </xf>
    <xf numFmtId="0" fontId="122" fillId="5" borderId="28" xfId="0" applyFont="1" applyFill="1" applyBorder="1" applyAlignment="1">
      <alignment horizontal="center" vertical="center"/>
    </xf>
    <xf numFmtId="0" fontId="135" fillId="5" borderId="0" xfId="0" applyFont="1" applyFill="1" applyBorder="1" applyAlignment="1">
      <alignment horizontal="left" vertical="center" wrapText="1"/>
    </xf>
    <xf numFmtId="0" fontId="135" fillId="5" borderId="0" xfId="0" applyFont="1" applyFill="1" applyBorder="1" applyAlignment="1">
      <alignment vertical="center" wrapText="1"/>
    </xf>
    <xf numFmtId="0" fontId="135" fillId="5" borderId="0" xfId="0" applyFont="1" applyFill="1" applyBorder="1" applyAlignment="1">
      <alignment vertical="center"/>
    </xf>
    <xf numFmtId="3" fontId="122" fillId="0" borderId="1" xfId="0" applyNumberFormat="1" applyFont="1" applyFill="1" applyBorder="1" applyAlignment="1">
      <alignment horizontal="center" vertical="center"/>
    </xf>
    <xf numFmtId="0" fontId="118" fillId="0" borderId="0" xfId="0" applyFont="1" applyFill="1" applyBorder="1" applyAlignment="1">
      <alignment horizontal="center" vertical="center" wrapText="1"/>
    </xf>
    <xf numFmtId="0" fontId="122" fillId="0" borderId="1" xfId="0" applyFont="1" applyFill="1" applyBorder="1" applyAlignment="1">
      <alignment horizontal="left" vertical="center"/>
    </xf>
    <xf numFmtId="166" fontId="118" fillId="0" borderId="1" xfId="1" applyNumberFormat="1" applyFont="1" applyFill="1" applyBorder="1" applyAlignment="1">
      <alignment horizontal="center" vertical="center"/>
    </xf>
    <xf numFmtId="0" fontId="122" fillId="0" borderId="0" xfId="0" applyFont="1" applyFill="1" applyBorder="1" applyAlignment="1">
      <alignment horizontal="left" vertical="center"/>
    </xf>
    <xf numFmtId="0" fontId="118" fillId="0" borderId="0" xfId="0" applyFont="1" applyFill="1" applyBorder="1" applyAlignment="1">
      <alignment vertical="center"/>
    </xf>
    <xf numFmtId="0" fontId="132" fillId="5" borderId="112" xfId="0" applyFont="1" applyFill="1" applyBorder="1" applyAlignment="1">
      <alignment horizontal="center" vertical="center" wrapText="1"/>
    </xf>
    <xf numFmtId="0" fontId="122" fillId="5" borderId="29" xfId="0" applyFont="1" applyFill="1" applyBorder="1" applyAlignment="1">
      <alignment vertical="center"/>
    </xf>
    <xf numFmtId="0" fontId="118" fillId="5" borderId="0" xfId="0" applyFont="1" applyFill="1" applyBorder="1" applyAlignment="1">
      <alignment vertical="center" wrapText="1"/>
    </xf>
    <xf numFmtId="2" fontId="122" fillId="0" borderId="1" xfId="4" applyNumberFormat="1" applyFont="1" applyFill="1" applyBorder="1" applyAlignment="1">
      <alignment horizontal="center" vertical="center"/>
    </xf>
    <xf numFmtId="9" fontId="122" fillId="0" borderId="0" xfId="4" applyFont="1" applyFill="1" applyBorder="1" applyAlignment="1">
      <alignment horizontal="center" vertical="center"/>
    </xf>
    <xf numFmtId="0" fontId="122" fillId="0" borderId="0" xfId="0" applyFont="1" applyFill="1" applyBorder="1" applyAlignment="1">
      <alignment horizontal="left" vertical="center" wrapText="1"/>
    </xf>
    <xf numFmtId="166" fontId="118" fillId="0" borderId="0" xfId="1" applyNumberFormat="1" applyFont="1" applyFill="1" applyBorder="1" applyAlignment="1">
      <alignment horizontal="center" vertical="center"/>
    </xf>
    <xf numFmtId="0" fontId="121" fillId="0" borderId="0" xfId="0" applyFont="1" applyBorder="1" applyAlignment="1">
      <alignment vertical="center"/>
    </xf>
    <xf numFmtId="0" fontId="16" fillId="0" borderId="0" xfId="0" applyFont="1" applyFill="1" applyBorder="1" applyAlignment="1">
      <alignment horizontal="center" vertical="center"/>
    </xf>
    <xf numFmtId="0" fontId="122" fillId="5" borderId="26" xfId="0" applyFont="1" applyFill="1" applyBorder="1" applyAlignment="1">
      <alignment vertical="center"/>
    </xf>
    <xf numFmtId="0" fontId="122" fillId="0" borderId="26" xfId="0" applyFont="1" applyBorder="1" applyAlignment="1">
      <alignment horizontal="center" vertical="center" wrapText="1"/>
    </xf>
    <xf numFmtId="0" fontId="122" fillId="5" borderId="0" xfId="0" applyFont="1" applyFill="1" applyBorder="1" applyAlignment="1">
      <alignment horizontal="left" vertical="top"/>
    </xf>
    <xf numFmtId="0" fontId="118" fillId="5" borderId="0" xfId="0" applyFont="1" applyFill="1" applyBorder="1"/>
    <xf numFmtId="0" fontId="135" fillId="5" borderId="0" xfId="0" applyFont="1" applyFill="1" applyBorder="1"/>
    <xf numFmtId="0" fontId="122" fillId="5" borderId="28" xfId="0" applyFont="1" applyFill="1" applyBorder="1" applyAlignment="1">
      <alignment vertical="center"/>
    </xf>
    <xf numFmtId="0" fontId="130" fillId="5" borderId="2" xfId="0" applyFont="1" applyFill="1" applyBorder="1" applyAlignment="1">
      <alignment horizontal="left" vertical="center" wrapText="1"/>
    </xf>
    <xf numFmtId="0" fontId="122" fillId="5" borderId="0" xfId="0" applyFont="1" applyFill="1" applyBorder="1" applyAlignment="1">
      <alignment horizontal="left" vertical="center" wrapText="1"/>
    </xf>
    <xf numFmtId="0" fontId="132" fillId="5" borderId="0" xfId="0" applyFont="1" applyFill="1" applyBorder="1" applyAlignment="1">
      <alignment horizontal="left" vertical="center"/>
    </xf>
    <xf numFmtId="49" fontId="104" fillId="0" borderId="0" xfId="0" applyNumberFormat="1" applyFont="1" applyBorder="1" applyAlignment="1">
      <alignment vertical="center" wrapText="1"/>
    </xf>
    <xf numFmtId="0" fontId="122" fillId="5" borderId="28" xfId="0" applyFont="1" applyFill="1" applyBorder="1" applyAlignment="1">
      <alignment horizontal="center" vertical="center" wrapText="1"/>
    </xf>
    <xf numFmtId="0" fontId="122" fillId="6" borderId="1" xfId="0" applyFont="1" applyFill="1" applyBorder="1" applyAlignment="1">
      <alignment horizontal="center" vertical="top"/>
    </xf>
    <xf numFmtId="9" fontId="122" fillId="6" borderId="1" xfId="4" applyFont="1" applyFill="1" applyBorder="1" applyAlignment="1">
      <alignment horizontal="center" vertical="top"/>
    </xf>
    <xf numFmtId="0" fontId="122" fillId="0" borderId="1" xfId="0" applyFont="1" applyFill="1" applyBorder="1" applyAlignment="1">
      <alignment horizontal="left" vertical="top" wrapText="1"/>
    </xf>
    <xf numFmtId="0" fontId="122" fillId="0" borderId="1" xfId="0" applyFont="1" applyFill="1" applyBorder="1" applyAlignment="1">
      <alignment horizontal="left" vertical="top"/>
    </xf>
    <xf numFmtId="0" fontId="118" fillId="0" borderId="0" xfId="0" applyFont="1" applyFill="1" applyBorder="1" applyAlignment="1">
      <alignment vertical="center" wrapText="1"/>
    </xf>
    <xf numFmtId="166" fontId="122" fillId="0" borderId="1" xfId="4" applyNumberFormat="1" applyFont="1" applyFill="1" applyBorder="1" applyAlignment="1">
      <alignment vertical="center"/>
    </xf>
    <xf numFmtId="166" fontId="122" fillId="0" borderId="0" xfId="4" applyNumberFormat="1" applyFont="1" applyFill="1" applyBorder="1" applyAlignment="1">
      <alignment vertical="center"/>
    </xf>
    <xf numFmtId="0" fontId="122" fillId="5" borderId="0" xfId="0" applyFont="1" applyFill="1" applyBorder="1" applyAlignment="1">
      <alignment vertical="top" wrapText="1"/>
    </xf>
    <xf numFmtId="0" fontId="122" fillId="5" borderId="85" xfId="0" applyFont="1" applyFill="1" applyBorder="1" applyAlignment="1">
      <alignment horizontal="left" vertical="center"/>
    </xf>
    <xf numFmtId="2" fontId="118" fillId="0" borderId="1" xfId="4" applyNumberFormat="1" applyFont="1" applyFill="1" applyBorder="1" applyAlignment="1">
      <alignment horizontal="center" vertical="center"/>
    </xf>
    <xf numFmtId="166" fontId="118" fillId="0" borderId="81" xfId="1" applyNumberFormat="1" applyFont="1" applyFill="1" applyBorder="1" applyAlignment="1">
      <alignment horizontal="center" vertical="center"/>
    </xf>
    <xf numFmtId="0" fontId="118" fillId="0" borderId="1" xfId="4" applyNumberFormat="1" applyFont="1" applyFill="1" applyBorder="1" applyAlignment="1">
      <alignment horizontal="center" vertical="center"/>
    </xf>
    <xf numFmtId="0" fontId="118" fillId="0" borderId="0" xfId="0" applyFont="1" applyFill="1" applyBorder="1" applyAlignment="1">
      <alignment horizontal="right" vertical="center" wrapText="1"/>
    </xf>
    <xf numFmtId="0" fontId="122" fillId="5" borderId="86" xfId="0" applyFont="1" applyFill="1" applyBorder="1" applyAlignment="1">
      <alignment horizontal="left" vertical="center"/>
    </xf>
    <xf numFmtId="0" fontId="118" fillId="0" borderId="0" xfId="0" applyFont="1" applyFill="1" applyBorder="1" applyAlignment="1">
      <alignment horizontal="left" vertical="center" wrapText="1"/>
    </xf>
    <xf numFmtId="0" fontId="16" fillId="0" borderId="28" xfId="0" applyFont="1" applyFill="1" applyBorder="1" applyAlignment="1">
      <alignment vertical="center"/>
    </xf>
    <xf numFmtId="2" fontId="118" fillId="0" borderId="1" xfId="1" applyNumberFormat="1" applyFont="1" applyFill="1" applyBorder="1" applyAlignment="1">
      <alignment horizontal="right" vertical="center"/>
    </xf>
    <xf numFmtId="1" fontId="118" fillId="0" borderId="1" xfId="1" applyNumberFormat="1" applyFont="1" applyFill="1" applyBorder="1" applyAlignment="1">
      <alignment horizontal="right" vertical="center"/>
    </xf>
    <xf numFmtId="0" fontId="122" fillId="0" borderId="1" xfId="0" applyFont="1" applyFill="1" applyBorder="1" applyAlignment="1">
      <alignment horizontal="center" vertical="center" wrapText="1"/>
    </xf>
    <xf numFmtId="3" fontId="120" fillId="32" borderId="1" xfId="0" applyNumberFormat="1" applyFont="1" applyFill="1" applyBorder="1" applyAlignment="1">
      <alignment horizontal="center" vertical="center"/>
    </xf>
    <xf numFmtId="9" fontId="120" fillId="32" borderId="1" xfId="4" applyFont="1" applyFill="1" applyBorder="1" applyAlignment="1">
      <alignment horizontal="center" vertical="center"/>
    </xf>
    <xf numFmtId="164" fontId="122" fillId="0" borderId="1" xfId="4" applyNumberFormat="1" applyFont="1" applyFill="1" applyBorder="1" applyAlignment="1">
      <alignment horizontal="center" vertical="center"/>
    </xf>
    <xf numFmtId="0" fontId="16" fillId="0" borderId="10" xfId="0" applyFont="1" applyFill="1" applyBorder="1" applyAlignment="1">
      <alignment vertical="center"/>
    </xf>
    <xf numFmtId="0" fontId="122" fillId="5" borderId="4" xfId="0" applyFont="1" applyFill="1" applyBorder="1" applyAlignment="1">
      <alignment vertical="center" wrapText="1"/>
    </xf>
    <xf numFmtId="0" fontId="122" fillId="5" borderId="4" xfId="0" applyFont="1" applyFill="1" applyBorder="1" applyAlignment="1">
      <alignment horizontal="center" vertical="center" wrapText="1"/>
    </xf>
    <xf numFmtId="0" fontId="118" fillId="5" borderId="29" xfId="0" applyFont="1" applyFill="1" applyBorder="1" applyAlignment="1">
      <alignment horizontal="left" vertical="center"/>
    </xf>
    <xf numFmtId="0" fontId="118" fillId="5" borderId="0" xfId="0" applyFont="1" applyFill="1" applyBorder="1" applyAlignment="1">
      <alignment horizontal="left" vertical="center"/>
    </xf>
    <xf numFmtId="0" fontId="135" fillId="5" borderId="0" xfId="0" applyFont="1" applyFill="1" applyBorder="1" applyAlignment="1">
      <alignment horizontal="left" vertical="center"/>
    </xf>
    <xf numFmtId="0" fontId="122" fillId="5" borderId="29" xfId="0" applyFont="1" applyFill="1" applyBorder="1" applyAlignment="1">
      <alignment horizontal="left" vertical="center"/>
    </xf>
    <xf numFmtId="0" fontId="122" fillId="0" borderId="112" xfId="0" applyFont="1" applyFill="1" applyBorder="1" applyAlignment="1">
      <alignment horizontal="center" vertical="top"/>
    </xf>
    <xf numFmtId="0" fontId="131" fillId="5" borderId="0" xfId="0" applyFont="1" applyFill="1" applyBorder="1" applyAlignment="1">
      <alignment horizontal="left" vertical="center"/>
    </xf>
    <xf numFmtId="9" fontId="105" fillId="6" borderId="1" xfId="4" applyFont="1" applyFill="1" applyBorder="1" applyAlignment="1">
      <alignment horizontal="center" vertical="center"/>
    </xf>
    <xf numFmtId="0" fontId="122" fillId="5" borderId="36" xfId="0" applyFont="1" applyFill="1" applyBorder="1" applyAlignment="1">
      <alignment horizontal="left" vertical="center"/>
    </xf>
    <xf numFmtId="0" fontId="122" fillId="5" borderId="35" xfId="0" applyFont="1" applyFill="1" applyBorder="1" applyAlignment="1">
      <alignment horizontal="center" vertical="center"/>
    </xf>
    <xf numFmtId="0" fontId="125" fillId="5" borderId="0" xfId="286" applyFont="1" applyFill="1" applyBorder="1" applyAlignment="1">
      <alignment vertical="top"/>
    </xf>
    <xf numFmtId="0" fontId="122" fillId="5" borderId="0" xfId="0" applyFont="1" applyFill="1" applyBorder="1" applyAlignment="1">
      <alignment horizontal="center" wrapText="1"/>
    </xf>
    <xf numFmtId="0" fontId="122" fillId="6" borderId="1" xfId="0" applyFont="1" applyFill="1" applyBorder="1" applyAlignment="1">
      <alignment horizontal="left" vertical="top" wrapText="1"/>
    </xf>
    <xf numFmtId="166" fontId="122" fillId="5" borderId="0" xfId="1" applyNumberFormat="1" applyFont="1" applyFill="1" applyBorder="1" applyAlignment="1">
      <alignment vertical="top"/>
    </xf>
    <xf numFmtId="3" fontId="122" fillId="0" borderId="1" xfId="0" applyNumberFormat="1" applyFont="1" applyFill="1" applyBorder="1" applyAlignment="1">
      <alignment horizontal="center" vertical="top"/>
    </xf>
    <xf numFmtId="179" fontId="118" fillId="0" borderId="0" xfId="0" applyNumberFormat="1" applyFont="1" applyFill="1" applyBorder="1" applyAlignment="1">
      <alignment horizontal="center" vertical="center"/>
    </xf>
    <xf numFmtId="0" fontId="122" fillId="0" borderId="119" xfId="0" applyFont="1" applyFill="1" applyBorder="1" applyAlignment="1">
      <alignment horizontal="center" vertical="top"/>
    </xf>
    <xf numFmtId="0" fontId="122" fillId="0" borderId="120" xfId="0" applyFont="1" applyFill="1" applyBorder="1" applyAlignment="1">
      <alignment horizontal="center" vertical="top"/>
    </xf>
    <xf numFmtId="3" fontId="122" fillId="0" borderId="0" xfId="0" applyNumberFormat="1" applyFont="1" applyFill="1" applyBorder="1" applyAlignment="1">
      <alignment horizontal="center" vertical="center"/>
    </xf>
    <xf numFmtId="9" fontId="122" fillId="5" borderId="0" xfId="4" applyFont="1" applyFill="1" applyBorder="1" applyAlignment="1">
      <alignment horizontal="center" vertical="center"/>
    </xf>
    <xf numFmtId="0" fontId="122" fillId="71" borderId="1" xfId="4" applyNumberFormat="1" applyFont="1" applyFill="1" applyBorder="1" applyAlignment="1">
      <alignment horizontal="center" vertical="center"/>
    </xf>
    <xf numFmtId="164" fontId="122" fillId="71" borderId="1" xfId="0" applyNumberFormat="1" applyFont="1" applyFill="1" applyBorder="1" applyAlignment="1">
      <alignment horizontal="center" vertical="center"/>
    </xf>
    <xf numFmtId="164" fontId="122" fillId="0" borderId="1" xfId="0" applyNumberFormat="1" applyFont="1" applyFill="1" applyBorder="1" applyAlignment="1">
      <alignment horizontal="center" vertical="center"/>
    </xf>
    <xf numFmtId="166" fontId="122" fillId="5" borderId="29" xfId="1" applyNumberFormat="1" applyFont="1" applyFill="1" applyBorder="1" applyAlignment="1">
      <alignment vertical="center"/>
    </xf>
    <xf numFmtId="164" fontId="122" fillId="5" borderId="1" xfId="0" applyNumberFormat="1" applyFont="1" applyFill="1" applyBorder="1" applyAlignment="1">
      <alignment horizontal="center" vertical="center" wrapText="1"/>
    </xf>
    <xf numFmtId="3" fontId="118" fillId="0" borderId="1" xfId="0" applyNumberFormat="1" applyFont="1" applyFill="1" applyBorder="1" applyAlignment="1">
      <alignment horizontal="right" vertical="center"/>
    </xf>
    <xf numFmtId="166" fontId="118" fillId="5" borderId="1" xfId="1" applyNumberFormat="1" applyFont="1" applyFill="1" applyBorder="1" applyAlignment="1">
      <alignment vertical="center"/>
    </xf>
    <xf numFmtId="0" fontId="118" fillId="5" borderId="0" xfId="0" applyFont="1" applyFill="1" applyBorder="1" applyAlignment="1">
      <alignment horizontal="left" vertical="center" wrapText="1"/>
    </xf>
    <xf numFmtId="180" fontId="120" fillId="5" borderId="0" xfId="2" applyNumberFormat="1" applyFont="1" applyFill="1" applyBorder="1" applyAlignment="1">
      <alignment horizontal="center" vertical="center"/>
    </xf>
    <xf numFmtId="0" fontId="122" fillId="5" borderId="112" xfId="0" applyFont="1" applyFill="1" applyBorder="1" applyAlignment="1">
      <alignment horizontal="center" vertical="center" wrapText="1"/>
    </xf>
    <xf numFmtId="1" fontId="122" fillId="0" borderId="1" xfId="0" applyNumberFormat="1" applyFont="1" applyFill="1" applyBorder="1" applyAlignment="1">
      <alignment horizontal="center" vertical="center"/>
    </xf>
    <xf numFmtId="0" fontId="122" fillId="5" borderId="29" xfId="0" applyFont="1" applyFill="1" applyBorder="1" applyAlignment="1">
      <alignment vertical="center" wrapText="1"/>
    </xf>
    <xf numFmtId="179" fontId="118" fillId="5" borderId="0" xfId="0" applyNumberFormat="1" applyFont="1" applyFill="1" applyBorder="1" applyAlignment="1">
      <alignment horizontal="center" vertical="center"/>
    </xf>
    <xf numFmtId="166" fontId="118" fillId="5" borderId="0" xfId="1" applyNumberFormat="1" applyFont="1" applyFill="1" applyBorder="1" applyAlignment="1">
      <alignment horizontal="center" vertical="center"/>
    </xf>
    <xf numFmtId="168" fontId="122" fillId="5" borderId="0" xfId="0" applyNumberFormat="1" applyFont="1" applyFill="1" applyBorder="1" applyAlignment="1">
      <alignment horizontal="right" vertical="center"/>
    </xf>
    <xf numFmtId="165" fontId="118" fillId="5" borderId="0" xfId="2" applyNumberFormat="1" applyFont="1" applyFill="1" applyBorder="1" applyAlignment="1">
      <alignment horizontal="center" vertical="center"/>
    </xf>
    <xf numFmtId="0" fontId="2" fillId="5" borderId="0" xfId="0" applyFont="1" applyFill="1" applyBorder="1" applyAlignment="1">
      <alignment vertical="center" wrapText="1"/>
    </xf>
    <xf numFmtId="168" fontId="122" fillId="5" borderId="0" xfId="0" applyNumberFormat="1" applyFont="1" applyFill="1" applyBorder="1" applyAlignment="1">
      <alignment vertical="center"/>
    </xf>
    <xf numFmtId="0" fontId="120" fillId="5" borderId="0" xfId="0" applyFont="1" applyFill="1" applyBorder="1" applyAlignment="1">
      <alignment vertical="center"/>
    </xf>
    <xf numFmtId="0" fontId="122" fillId="5" borderId="1" xfId="0" applyFont="1" applyFill="1" applyBorder="1" applyAlignment="1">
      <alignment horizontal="center" vertical="center"/>
    </xf>
    <xf numFmtId="0" fontId="122" fillId="0" borderId="0" xfId="0" applyFont="1" applyFill="1" applyBorder="1" applyAlignment="1">
      <alignment horizontal="center" vertical="center"/>
    </xf>
    <xf numFmtId="0" fontId="122" fillId="0" borderId="28" xfId="0" applyFont="1" applyFill="1" applyBorder="1" applyAlignment="1">
      <alignment horizontal="center" vertical="center"/>
    </xf>
    <xf numFmtId="0" fontId="122" fillId="5" borderId="0" xfId="0" applyFont="1" applyFill="1" applyBorder="1" applyAlignment="1">
      <alignment horizontal="right" vertical="center"/>
    </xf>
    <xf numFmtId="0" fontId="122" fillId="5" borderId="7" xfId="0" applyFont="1" applyFill="1" applyBorder="1" applyAlignment="1">
      <alignment vertical="center" wrapText="1"/>
    </xf>
    <xf numFmtId="3" fontId="118" fillId="5" borderId="0" xfId="0" applyNumberFormat="1" applyFont="1" applyFill="1" applyBorder="1" applyAlignment="1">
      <alignment horizontal="center" vertical="center" wrapText="1"/>
    </xf>
    <xf numFmtId="0" fontId="122" fillId="5" borderId="4" xfId="0" applyFont="1" applyFill="1" applyBorder="1" applyAlignment="1">
      <alignment vertical="center"/>
    </xf>
    <xf numFmtId="0" fontId="118" fillId="0" borderId="1" xfId="0" applyFont="1" applyFill="1" applyBorder="1" applyAlignment="1">
      <alignment horizontal="center" vertical="center" wrapText="1"/>
    </xf>
    <xf numFmtId="0" fontId="16" fillId="0" borderId="0" xfId="0" applyFont="1" applyBorder="1" applyAlignment="1">
      <alignment vertical="center"/>
    </xf>
    <xf numFmtId="0" fontId="16" fillId="0" borderId="28" xfId="0" applyFont="1" applyBorder="1" applyAlignment="1">
      <alignment vertical="center"/>
    </xf>
    <xf numFmtId="0" fontId="138" fillId="5" borderId="0" xfId="0" applyFont="1" applyFill="1" applyBorder="1" applyAlignment="1">
      <alignment horizontal="left" vertical="top"/>
    </xf>
    <xf numFmtId="0" fontId="139" fillId="5" borderId="0" xfId="0" applyFont="1" applyFill="1" applyBorder="1"/>
    <xf numFmtId="0" fontId="140" fillId="5" borderId="0" xfId="0" applyFont="1" applyFill="1" applyBorder="1" applyAlignment="1">
      <alignment wrapText="1"/>
    </xf>
    <xf numFmtId="0" fontId="140" fillId="5" borderId="0" xfId="0" applyFont="1" applyFill="1" applyBorder="1"/>
    <xf numFmtId="0" fontId="141" fillId="5" borderId="0" xfId="0" applyFont="1" applyFill="1" applyBorder="1"/>
    <xf numFmtId="0" fontId="136" fillId="5" borderId="0" xfId="0" applyFont="1" applyFill="1" applyBorder="1"/>
    <xf numFmtId="0" fontId="138" fillId="5" borderId="0" xfId="0" applyFont="1" applyFill="1" applyBorder="1" applyAlignment="1">
      <alignment horizontal="center" vertical="top"/>
    </xf>
    <xf numFmtId="0" fontId="143" fillId="5" borderId="0" xfId="0" applyFont="1" applyFill="1" applyBorder="1" applyAlignment="1">
      <alignment horizontal="left" vertical="top"/>
    </xf>
    <xf numFmtId="166" fontId="142" fillId="6" borderId="1" xfId="1" applyNumberFormat="1" applyFont="1" applyFill="1" applyBorder="1" applyAlignment="1">
      <alignment horizontal="center" vertical="center"/>
    </xf>
    <xf numFmtId="0" fontId="136" fillId="0" borderId="1" xfId="0" applyFont="1" applyBorder="1"/>
    <xf numFmtId="3" fontId="138" fillId="6" borderId="1" xfId="0" applyNumberFormat="1" applyFont="1" applyFill="1" applyBorder="1" applyAlignment="1">
      <alignment horizontal="center" vertical="top"/>
    </xf>
    <xf numFmtId="9" fontId="138" fillId="6" borderId="1" xfId="4" applyFont="1" applyFill="1" applyBorder="1" applyAlignment="1">
      <alignment horizontal="center" vertical="top"/>
    </xf>
    <xf numFmtId="3" fontId="138" fillId="0" borderId="1" xfId="0" applyNumberFormat="1" applyFont="1" applyFill="1" applyBorder="1" applyAlignment="1">
      <alignment horizontal="center" vertical="top"/>
    </xf>
    <xf numFmtId="0" fontId="138" fillId="5" borderId="0" xfId="0" applyFont="1" applyFill="1" applyBorder="1" applyAlignment="1">
      <alignment vertical="top"/>
    </xf>
    <xf numFmtId="166" fontId="138" fillId="5" borderId="0" xfId="1" applyNumberFormat="1" applyFont="1" applyFill="1" applyBorder="1" applyAlignment="1">
      <alignment vertical="top"/>
    </xf>
    <xf numFmtId="0" fontId="138" fillId="5" borderId="0" xfId="0" applyFont="1" applyFill="1" applyBorder="1" applyAlignment="1">
      <alignment horizontal="center" vertical="top" wrapText="1"/>
    </xf>
    <xf numFmtId="0" fontId="138" fillId="5" borderId="0" xfId="0" applyFont="1" applyFill="1" applyBorder="1" applyAlignment="1">
      <alignment vertical="top" wrapText="1"/>
    </xf>
    <xf numFmtId="0" fontId="138" fillId="0" borderId="1" xfId="0" applyFont="1" applyFill="1" applyBorder="1" applyAlignment="1">
      <alignment horizontal="left" vertical="top" wrapText="1"/>
    </xf>
    <xf numFmtId="0" fontId="136" fillId="0" borderId="0" xfId="0" applyFont="1" applyBorder="1"/>
    <xf numFmtId="0" fontId="137" fillId="5" borderId="0" xfId="286" applyFont="1" applyFill="1" applyBorder="1" applyAlignment="1">
      <alignment vertical="top"/>
    </xf>
    <xf numFmtId="0" fontId="138" fillId="5" borderId="0" xfId="0" applyFont="1" applyFill="1" applyBorder="1" applyAlignment="1">
      <alignment horizontal="center"/>
    </xf>
    <xf numFmtId="0" fontId="136" fillId="5" borderId="0" xfId="0" applyFont="1" applyFill="1" applyBorder="1" applyAlignment="1">
      <alignment horizontal="left"/>
    </xf>
    <xf numFmtId="0" fontId="136" fillId="5" borderId="0" xfId="0" applyFont="1" applyFill="1" applyBorder="1" applyAlignment="1">
      <alignment vertical="top"/>
    </xf>
    <xf numFmtId="0" fontId="136" fillId="5" borderId="0" xfId="0" applyFont="1" applyFill="1" applyBorder="1" applyAlignment="1">
      <alignment horizontal="center" vertical="top"/>
    </xf>
    <xf numFmtId="0" fontId="136" fillId="0" borderId="0" xfId="0" applyFont="1" applyBorder="1" applyAlignment="1"/>
    <xf numFmtId="0" fontId="138" fillId="5" borderId="0" xfId="0" applyFont="1" applyFill="1" applyBorder="1" applyAlignment="1">
      <alignment horizontal="center" wrapText="1"/>
    </xf>
    <xf numFmtId="0" fontId="138" fillId="0" borderId="0" xfId="0" applyFont="1" applyFill="1" applyBorder="1" applyAlignment="1">
      <alignment vertical="top"/>
    </xf>
    <xf numFmtId="0" fontId="136" fillId="5" borderId="0" xfId="0" applyFont="1" applyFill="1" applyBorder="1" applyAlignment="1">
      <alignment horizontal="center"/>
    </xf>
    <xf numFmtId="0" fontId="138" fillId="0" borderId="1" xfId="0" applyFont="1" applyFill="1" applyBorder="1" applyAlignment="1">
      <alignment horizontal="left" vertical="top"/>
    </xf>
    <xf numFmtId="207" fontId="138" fillId="5" borderId="0" xfId="0" applyNumberFormat="1" applyFont="1" applyFill="1" applyBorder="1" applyAlignment="1">
      <alignment horizontal="center" vertical="top"/>
    </xf>
    <xf numFmtId="168" fontId="120" fillId="0" borderId="0" xfId="0" applyNumberFormat="1" applyFont="1" applyFill="1" applyBorder="1" applyAlignment="1">
      <alignment horizontal="center" vertical="center" wrapText="1"/>
    </xf>
    <xf numFmtId="6" fontId="120" fillId="0" borderId="0" xfId="2" applyNumberFormat="1" applyFont="1" applyFill="1" applyBorder="1" applyAlignment="1">
      <alignment horizontal="center" vertical="center"/>
    </xf>
    <xf numFmtId="0" fontId="122" fillId="8" borderId="6" xfId="0" applyFont="1" applyFill="1" applyBorder="1" applyAlignment="1">
      <alignment horizontal="left" vertical="top"/>
    </xf>
    <xf numFmtId="0" fontId="130" fillId="5" borderId="0" xfId="0" applyFont="1" applyFill="1" applyBorder="1" applyAlignment="1">
      <alignment horizontal="left" vertical="top"/>
    </xf>
    <xf numFmtId="0" fontId="123" fillId="73" borderId="94" xfId="0" applyFont="1" applyFill="1" applyBorder="1" applyAlignment="1">
      <alignment horizontal="center" vertical="center"/>
    </xf>
    <xf numFmtId="3" fontId="122" fillId="6" borderId="1" xfId="0" applyNumberFormat="1" applyFont="1" applyFill="1" applyBorder="1" applyAlignment="1">
      <alignment horizontal="center" vertical="top"/>
    </xf>
    <xf numFmtId="0" fontId="122" fillId="0" borderId="0" xfId="0" applyFont="1" applyFill="1" applyBorder="1" applyAlignment="1">
      <alignment vertical="top"/>
    </xf>
    <xf numFmtId="0" fontId="122" fillId="5" borderId="0" xfId="0" applyFont="1" applyFill="1" applyBorder="1" applyAlignment="1">
      <alignment horizontal="center"/>
    </xf>
    <xf numFmtId="0" fontId="132" fillId="5" borderId="0" xfId="0" applyFont="1" applyFill="1" applyBorder="1" applyAlignment="1">
      <alignment horizontal="center" wrapText="1"/>
    </xf>
    <xf numFmtId="0" fontId="122" fillId="5" borderId="0" xfId="0" applyFont="1" applyFill="1" applyBorder="1" applyAlignment="1">
      <alignment wrapText="1"/>
    </xf>
    <xf numFmtId="0" fontId="122" fillId="5" borderId="2" xfId="0" applyFont="1" applyFill="1" applyBorder="1" applyAlignment="1">
      <alignment vertical="top"/>
    </xf>
    <xf numFmtId="0" fontId="122" fillId="0" borderId="0" xfId="0" applyFont="1" applyFill="1" applyBorder="1" applyAlignment="1">
      <alignment vertical="top" wrapText="1"/>
    </xf>
    <xf numFmtId="2" fontId="122" fillId="6" borderId="1" xfId="4" applyNumberFormat="1" applyFont="1" applyFill="1" applyBorder="1" applyAlignment="1">
      <alignment horizontal="center" vertical="top"/>
    </xf>
    <xf numFmtId="2" fontId="122" fillId="0" borderId="1" xfId="0" applyNumberFormat="1" applyFont="1" applyFill="1" applyBorder="1" applyAlignment="1">
      <alignment horizontal="left" vertical="top" wrapText="1"/>
    </xf>
    <xf numFmtId="180" fontId="118" fillId="6" borderId="1" xfId="0" applyNumberFormat="1" applyFont="1" applyFill="1" applyBorder="1" applyAlignment="1">
      <alignment horizontal="center" vertical="top"/>
    </xf>
    <xf numFmtId="168" fontId="120" fillId="0" borderId="0" xfId="2" applyNumberFormat="1" applyFont="1" applyFill="1" applyBorder="1" applyAlignment="1">
      <alignment horizontal="center" vertical="center"/>
    </xf>
    <xf numFmtId="0" fontId="122" fillId="6" borderId="1" xfId="4" applyNumberFormat="1" applyFont="1" applyFill="1" applyBorder="1" applyAlignment="1">
      <alignment horizontal="center" vertical="top"/>
    </xf>
    <xf numFmtId="0" fontId="122" fillId="0" borderId="0" xfId="0" applyFont="1" applyFill="1" applyBorder="1" applyAlignment="1">
      <alignment horizontal="center" vertical="top" wrapText="1"/>
    </xf>
    <xf numFmtId="0" fontId="122" fillId="0" borderId="0" xfId="0" applyFont="1" applyBorder="1"/>
    <xf numFmtId="0" fontId="122" fillId="5" borderId="115" xfId="0" applyFont="1" applyFill="1" applyBorder="1" applyAlignment="1">
      <alignment horizontal="left" vertical="top"/>
    </xf>
    <xf numFmtId="9" fontId="122" fillId="6" borderId="1" xfId="0" applyNumberFormat="1" applyFont="1" applyFill="1" applyBorder="1" applyAlignment="1">
      <alignment horizontal="center" vertical="top"/>
    </xf>
    <xf numFmtId="180" fontId="118" fillId="0" borderId="1" xfId="0" applyNumberFormat="1" applyFont="1" applyFill="1" applyBorder="1" applyAlignment="1">
      <alignment horizontal="center" vertical="top"/>
    </xf>
    <xf numFmtId="9" fontId="122" fillId="0" borderId="1" xfId="0" applyNumberFormat="1" applyFont="1" applyFill="1" applyBorder="1" applyAlignment="1">
      <alignment horizontal="center" vertical="top"/>
    </xf>
    <xf numFmtId="0" fontId="122" fillId="5" borderId="3" xfId="0" applyFont="1" applyFill="1" applyBorder="1" applyAlignment="1">
      <alignment horizontal="center" vertical="top"/>
    </xf>
    <xf numFmtId="0" fontId="122" fillId="5" borderId="4" xfId="0" applyFont="1" applyFill="1" applyBorder="1" applyAlignment="1">
      <alignment horizontal="left" vertical="top"/>
    </xf>
    <xf numFmtId="0" fontId="122" fillId="5" borderId="4" xfId="0" applyFont="1" applyFill="1" applyBorder="1" applyAlignment="1">
      <alignment horizontal="center" vertical="top"/>
    </xf>
    <xf numFmtId="181" fontId="122" fillId="6" borderId="1" xfId="0" applyNumberFormat="1" applyFont="1" applyFill="1" applyBorder="1" applyAlignment="1">
      <alignment horizontal="center" vertical="top"/>
    </xf>
    <xf numFmtId="180" fontId="122" fillId="6" borderId="1" xfId="0" applyNumberFormat="1" applyFont="1" applyFill="1" applyBorder="1" applyAlignment="1">
      <alignment horizontal="center" vertical="top"/>
    </xf>
    <xf numFmtId="179" fontId="118" fillId="6" borderId="1" xfId="0" applyNumberFormat="1" applyFont="1" applyFill="1" applyBorder="1" applyAlignment="1">
      <alignment horizontal="center" vertical="top"/>
    </xf>
    <xf numFmtId="4" fontId="122" fillId="6" borderId="1" xfId="0" applyNumberFormat="1" applyFont="1" applyFill="1" applyBorder="1" applyAlignment="1">
      <alignment horizontal="center" vertical="top" wrapText="1"/>
    </xf>
    <xf numFmtId="0" fontId="122" fillId="0" borderId="1" xfId="0" applyFont="1" applyFill="1" applyBorder="1" applyAlignment="1">
      <alignment vertical="top"/>
    </xf>
    <xf numFmtId="9" fontId="120" fillId="0" borderId="0" xfId="4" applyFont="1" applyFill="1" applyBorder="1" applyAlignment="1">
      <alignment horizontal="center" vertical="center"/>
    </xf>
    <xf numFmtId="0" fontId="118" fillId="5" borderId="0" xfId="0" applyFont="1" applyFill="1" applyBorder="1" applyAlignment="1">
      <alignment wrapText="1"/>
    </xf>
    <xf numFmtId="0" fontId="118" fillId="5" borderId="0" xfId="0" applyFont="1" applyFill="1" applyBorder="1" applyAlignment="1">
      <alignment horizontal="right" vertical="center" wrapText="1"/>
    </xf>
    <xf numFmtId="0" fontId="121" fillId="0" borderId="0" xfId="0" applyFont="1" applyAlignment="1">
      <alignment vertical="center"/>
    </xf>
    <xf numFmtId="0" fontId="120" fillId="79" borderId="104" xfId="0" applyFont="1" applyFill="1" applyBorder="1" applyAlignment="1">
      <alignment horizontal="center" vertical="center"/>
    </xf>
    <xf numFmtId="0" fontId="120" fillId="79" borderId="104" xfId="0" applyFont="1" applyFill="1" applyBorder="1" applyAlignment="1">
      <alignment horizontal="center" vertical="center" wrapText="1"/>
    </xf>
    <xf numFmtId="166" fontId="120" fillId="79" borderId="104" xfId="1"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153" fillId="5" borderId="0" xfId="0" applyFont="1" applyFill="1"/>
    <xf numFmtId="0" fontId="2" fillId="0" borderId="1" xfId="0" applyFont="1" applyBorder="1" applyAlignment="1">
      <alignment vertical="center" wrapText="1"/>
    </xf>
    <xf numFmtId="0" fontId="125" fillId="0" borderId="1" xfId="286" applyFont="1" applyBorder="1" applyAlignment="1">
      <alignment vertical="center" wrapText="1"/>
    </xf>
    <xf numFmtId="0" fontId="125" fillId="5" borderId="0" xfId="286" applyFont="1" applyFill="1" applyBorder="1" applyAlignment="1">
      <alignment horizontal="center" vertical="center" wrapText="1"/>
    </xf>
    <xf numFmtId="0" fontId="122" fillId="5" borderId="0" xfId="0" applyFont="1" applyFill="1" applyBorder="1" applyAlignment="1">
      <alignment horizontal="right" vertical="center" wrapText="1"/>
    </xf>
    <xf numFmtId="0" fontId="16" fillId="5" borderId="0" xfId="0" applyFont="1" applyFill="1" applyBorder="1" applyAlignment="1">
      <alignment horizontal="right" vertical="center"/>
    </xf>
    <xf numFmtId="0" fontId="122" fillId="5" borderId="4" xfId="0" applyFont="1" applyFill="1" applyBorder="1" applyAlignment="1">
      <alignment horizontal="left" vertical="center" wrapText="1"/>
    </xf>
    <xf numFmtId="180" fontId="118" fillId="5" borderId="7" xfId="0" applyNumberFormat="1" applyFont="1" applyFill="1" applyBorder="1" applyAlignment="1">
      <alignment horizontal="right" vertical="center" wrapText="1"/>
    </xf>
    <xf numFmtId="0" fontId="118" fillId="5" borderId="0" xfId="0" applyFont="1" applyFill="1" applyBorder="1" applyAlignment="1">
      <alignment horizontal="center" vertical="center"/>
    </xf>
    <xf numFmtId="5" fontId="118" fillId="6" borderId="1" xfId="2" applyNumberFormat="1" applyFont="1" applyFill="1" applyBorder="1" applyAlignment="1">
      <alignment horizontal="right" vertical="center"/>
    </xf>
    <xf numFmtId="5" fontId="118" fillId="5" borderId="1" xfId="2" applyNumberFormat="1" applyFont="1" applyFill="1" applyBorder="1" applyAlignment="1">
      <alignment horizontal="right" vertical="center"/>
    </xf>
    <xf numFmtId="0" fontId="122" fillId="5" borderId="26" xfId="0" applyFont="1" applyFill="1" applyBorder="1" applyAlignment="1">
      <alignment horizontal="center" vertical="center" wrapText="1"/>
    </xf>
    <xf numFmtId="0" fontId="122" fillId="5" borderId="21" xfId="0" applyFont="1" applyFill="1" applyBorder="1" applyAlignment="1">
      <alignment horizontal="center" vertical="center" wrapText="1"/>
    </xf>
    <xf numFmtId="0" fontId="3" fillId="5" borderId="28" xfId="0" applyFont="1" applyFill="1" applyBorder="1" applyAlignment="1">
      <alignment horizontal="center" vertical="center"/>
    </xf>
    <xf numFmtId="0" fontId="3" fillId="5" borderId="121" xfId="0" applyFont="1" applyFill="1" applyBorder="1" applyAlignment="1">
      <alignment vertical="center"/>
    </xf>
    <xf numFmtId="0" fontId="3" fillId="5" borderId="112" xfId="0" applyFont="1" applyFill="1" applyBorder="1" applyAlignment="1">
      <alignment vertical="center"/>
    </xf>
    <xf numFmtId="0" fontId="3" fillId="5" borderId="94" xfId="0" applyFont="1" applyFill="1" applyBorder="1" applyAlignment="1">
      <alignment horizontal="right" vertical="center" wrapText="1"/>
    </xf>
    <xf numFmtId="0" fontId="3" fillId="5" borderId="119" xfId="0" applyFont="1" applyFill="1" applyBorder="1" applyAlignment="1">
      <alignment vertical="center"/>
    </xf>
    <xf numFmtId="0" fontId="3" fillId="5" borderId="112" xfId="0" applyFont="1" applyFill="1" applyBorder="1" applyAlignment="1">
      <alignment horizontal="left" vertical="center"/>
    </xf>
    <xf numFmtId="0" fontId="3" fillId="5" borderId="112" xfId="0" applyFont="1" applyFill="1" applyBorder="1" applyAlignment="1">
      <alignment horizontal="center" vertical="center"/>
    </xf>
    <xf numFmtId="0" fontId="3" fillId="5" borderId="120" xfId="0" applyFont="1" applyFill="1" applyBorder="1" applyAlignment="1">
      <alignment vertical="center"/>
    </xf>
    <xf numFmtId="0" fontId="3" fillId="0" borderId="28" xfId="0" applyFont="1" applyFill="1" applyBorder="1" applyAlignment="1">
      <alignment horizontal="center" vertical="center"/>
    </xf>
    <xf numFmtId="5" fontId="118" fillId="5" borderId="81" xfId="2" applyNumberFormat="1" applyFont="1" applyFill="1" applyBorder="1" applyAlignment="1">
      <alignment horizontal="right" vertical="center"/>
    </xf>
    <xf numFmtId="0" fontId="16" fillId="0" borderId="28" xfId="0" applyFont="1" applyFill="1" applyBorder="1" applyAlignment="1">
      <alignment horizontal="center" vertical="center"/>
    </xf>
    <xf numFmtId="44" fontId="16" fillId="0" borderId="0" xfId="0" applyNumberFormat="1" applyFont="1" applyFill="1" applyBorder="1" applyAlignment="1">
      <alignment vertical="center" wrapText="1"/>
    </xf>
    <xf numFmtId="44" fontId="3" fillId="5" borderId="0" xfId="0" applyNumberFormat="1" applyFont="1" applyFill="1" applyBorder="1" applyAlignment="1">
      <alignment vertical="center" wrapText="1"/>
    </xf>
    <xf numFmtId="44" fontId="118" fillId="5" borderId="94" xfId="0" applyNumberFormat="1" applyFont="1" applyFill="1" applyBorder="1" applyAlignment="1">
      <alignment horizontal="center" vertical="center" wrapText="1"/>
    </xf>
    <xf numFmtId="0" fontId="2" fillId="5" borderId="0" xfId="0" applyFont="1" applyFill="1" applyBorder="1" applyAlignment="1">
      <alignment horizontal="left" vertical="center" wrapText="1"/>
    </xf>
    <xf numFmtId="5" fontId="118" fillId="5" borderId="0" xfId="2" applyNumberFormat="1" applyFont="1" applyFill="1" applyBorder="1" applyAlignment="1">
      <alignment horizontal="right" vertical="center"/>
    </xf>
    <xf numFmtId="0" fontId="126" fillId="0" borderId="0" xfId="0" applyFont="1" applyBorder="1" applyAlignment="1">
      <alignment vertical="center"/>
    </xf>
    <xf numFmtId="0" fontId="125" fillId="0" borderId="0" xfId="286" applyFont="1" applyBorder="1" applyAlignment="1">
      <alignment vertical="center"/>
    </xf>
    <xf numFmtId="0" fontId="122" fillId="5" borderId="4" xfId="0" applyFont="1" applyFill="1" applyBorder="1" applyAlignment="1">
      <alignment horizontal="right" vertical="center"/>
    </xf>
    <xf numFmtId="3" fontId="118" fillId="6" borderId="97" xfId="0" applyNumberFormat="1" applyFont="1" applyFill="1" applyBorder="1" applyAlignment="1">
      <alignment horizontal="center" vertical="center"/>
    </xf>
    <xf numFmtId="3" fontId="118" fillId="5" borderId="97" xfId="0" applyNumberFormat="1" applyFont="1" applyFill="1" applyBorder="1" applyAlignment="1">
      <alignment vertical="center" wrapText="1"/>
    </xf>
    <xf numFmtId="49" fontId="122" fillId="6" borderId="1" xfId="0" applyNumberFormat="1" applyFont="1" applyFill="1" applyBorder="1" applyAlignment="1">
      <alignment horizontal="left" vertical="center" wrapText="1"/>
    </xf>
    <xf numFmtId="49" fontId="122" fillId="0" borderId="1" xfId="0" applyNumberFormat="1" applyFont="1" applyFill="1" applyBorder="1" applyAlignment="1">
      <alignment horizontal="left" vertical="center" wrapText="1"/>
    </xf>
    <xf numFmtId="0" fontId="122" fillId="6" borderId="1" xfId="0" applyFont="1" applyFill="1" applyBorder="1" applyAlignment="1">
      <alignment horizontal="left" vertical="center"/>
    </xf>
    <xf numFmtId="3" fontId="3" fillId="5" borderId="0" xfId="0" applyNumberFormat="1" applyFont="1" applyFill="1" applyBorder="1" applyAlignment="1">
      <alignment horizontal="center" vertical="center"/>
    </xf>
    <xf numFmtId="0" fontId="122" fillId="0" borderId="1" xfId="0" applyFont="1" applyFill="1" applyBorder="1" applyAlignment="1">
      <alignment vertical="center"/>
    </xf>
    <xf numFmtId="0" fontId="122" fillId="6" borderId="1" xfId="0" applyFont="1" applyFill="1" applyBorder="1" applyAlignment="1">
      <alignment horizontal="right" vertical="center"/>
    </xf>
    <xf numFmtId="0" fontId="122" fillId="5" borderId="6" xfId="0" applyFont="1" applyFill="1" applyBorder="1" applyAlignment="1">
      <alignment vertical="center" wrapText="1"/>
    </xf>
    <xf numFmtId="3" fontId="122" fillId="6" borderId="1" xfId="0" applyNumberFormat="1" applyFont="1" applyFill="1" applyBorder="1" applyAlignment="1">
      <alignment horizontal="right" vertical="center"/>
    </xf>
    <xf numFmtId="3" fontId="118" fillId="6" borderId="98" xfId="0" applyNumberFormat="1" applyFont="1" applyFill="1" applyBorder="1" applyAlignment="1">
      <alignment horizontal="center" vertical="center"/>
    </xf>
    <xf numFmtId="5" fontId="118" fillId="5" borderId="7" xfId="2" applyNumberFormat="1" applyFont="1" applyFill="1" applyBorder="1" applyAlignment="1">
      <alignment horizontal="right" vertical="center" indent="1"/>
    </xf>
    <xf numFmtId="0" fontId="118" fillId="0" borderId="6" xfId="0" applyFont="1" applyFill="1" applyBorder="1" applyAlignment="1">
      <alignment horizontal="center" vertical="center" wrapText="1"/>
    </xf>
    <xf numFmtId="2" fontId="122" fillId="0" borderId="1" xfId="4" applyNumberFormat="1" applyFont="1" applyFill="1" applyBorder="1" applyAlignment="1">
      <alignment horizontal="right" vertical="center"/>
    </xf>
    <xf numFmtId="166" fontId="118" fillId="0" borderId="1" xfId="1" applyNumberFormat="1" applyFont="1" applyFill="1" applyBorder="1" applyAlignment="1">
      <alignment horizontal="right" vertical="center"/>
    </xf>
    <xf numFmtId="3" fontId="122" fillId="0" borderId="1" xfId="0" applyNumberFormat="1" applyFont="1" applyFill="1" applyBorder="1" applyAlignment="1">
      <alignment horizontal="right" vertical="center"/>
    </xf>
    <xf numFmtId="5" fontId="118" fillId="5" borderId="1" xfId="2" applyNumberFormat="1" applyFont="1" applyFill="1" applyBorder="1" applyAlignment="1">
      <alignment vertical="center"/>
    </xf>
    <xf numFmtId="0" fontId="122" fillId="0" borderId="29" xfId="0" applyFont="1" applyFill="1" applyBorder="1" applyAlignment="1">
      <alignment horizontal="center" vertical="center"/>
    </xf>
    <xf numFmtId="0" fontId="122" fillId="0" borderId="82" xfId="0" applyFont="1" applyFill="1" applyBorder="1" applyAlignment="1">
      <alignment horizontal="center" vertical="center"/>
    </xf>
    <xf numFmtId="7" fontId="118" fillId="5" borderId="1" xfId="2" applyNumberFormat="1" applyFont="1" applyFill="1" applyBorder="1" applyAlignment="1">
      <alignment horizontal="right" vertical="center"/>
    </xf>
    <xf numFmtId="180" fontId="118" fillId="5" borderId="0" xfId="2" applyNumberFormat="1" applyFont="1" applyFill="1" applyBorder="1" applyAlignment="1">
      <alignment horizontal="center" vertical="center"/>
    </xf>
    <xf numFmtId="165" fontId="118" fillId="0" borderId="0" xfId="2" applyNumberFormat="1" applyFont="1" applyFill="1" applyBorder="1" applyAlignment="1">
      <alignment horizontal="center" vertical="center"/>
    </xf>
    <xf numFmtId="0" fontId="117" fillId="0" borderId="0" xfId="0" applyFont="1" applyFill="1" applyAlignment="1" applyProtection="1">
      <alignment vertical="center"/>
      <protection hidden="1"/>
    </xf>
    <xf numFmtId="0" fontId="122" fillId="5" borderId="6" xfId="0" applyFont="1" applyFill="1" applyBorder="1" applyAlignment="1">
      <alignment horizontal="center" vertical="center"/>
    </xf>
    <xf numFmtId="0" fontId="157" fillId="68" borderId="28" xfId="0" applyFont="1" applyFill="1" applyBorder="1" applyAlignment="1">
      <alignment horizontal="center" vertical="center" wrapText="1"/>
    </xf>
    <xf numFmtId="0" fontId="157" fillId="68" borderId="28" xfId="0" applyFont="1" applyFill="1" applyBorder="1" applyAlignment="1">
      <alignment horizontal="center" vertical="top" wrapText="1"/>
    </xf>
    <xf numFmtId="0" fontId="157" fillId="68" borderId="1" xfId="0" applyFont="1" applyFill="1" applyBorder="1" applyAlignment="1">
      <alignment horizontal="center" vertical="center" wrapText="1"/>
    </xf>
    <xf numFmtId="0" fontId="153" fillId="70" borderId="0" xfId="0" applyFont="1" applyFill="1" applyAlignment="1">
      <alignment vertical="center"/>
    </xf>
    <xf numFmtId="0" fontId="123" fillId="70" borderId="0" xfId="0" applyFont="1" applyFill="1" applyAlignment="1">
      <alignment vertical="center"/>
    </xf>
    <xf numFmtId="0" fontId="125" fillId="0" borderId="1" xfId="286" applyFont="1" applyBorder="1" applyAlignment="1">
      <alignment horizontal="left" vertical="center" wrapText="1"/>
    </xf>
    <xf numFmtId="0" fontId="102" fillId="0" borderId="5" xfId="0" applyFont="1" applyFill="1" applyBorder="1" applyAlignment="1">
      <alignment horizontal="left" vertical="center" wrapText="1"/>
    </xf>
    <xf numFmtId="0" fontId="125" fillId="0" borderId="1" xfId="286" applyFont="1" applyBorder="1" applyAlignment="1">
      <alignment horizontal="left" vertical="top" wrapText="1"/>
    </xf>
    <xf numFmtId="0" fontId="160" fillId="0" borderId="1" xfId="889" applyFont="1" applyFill="1" applyBorder="1" applyAlignment="1">
      <alignment horizontal="left" vertical="center" wrapText="1"/>
    </xf>
    <xf numFmtId="0" fontId="157" fillId="68" borderId="76" xfId="0" applyFont="1" applyFill="1" applyBorder="1" applyAlignment="1">
      <alignment horizontal="center" vertical="center" wrapText="1"/>
    </xf>
    <xf numFmtId="0" fontId="115" fillId="5" borderId="0" xfId="0" applyFont="1" applyFill="1" applyBorder="1" applyAlignment="1">
      <alignment horizontal="left" vertical="top" wrapText="1"/>
    </xf>
    <xf numFmtId="0" fontId="102" fillId="0" borderId="0" xfId="0" applyFont="1" applyBorder="1" applyAlignment="1">
      <alignment horizontal="center" vertical="center" wrapText="1"/>
    </xf>
    <xf numFmtId="3" fontId="3" fillId="0" borderId="0" xfId="0" applyNumberFormat="1" applyFont="1" applyBorder="1" applyAlignment="1">
      <alignment vertical="top"/>
    </xf>
    <xf numFmtId="0" fontId="3" fillId="0" borderId="0" xfId="0" applyFont="1" applyBorder="1" applyAlignment="1">
      <alignment vertical="top"/>
    </xf>
    <xf numFmtId="0" fontId="128" fillId="0" borderId="0" xfId="0" applyFont="1" applyBorder="1"/>
    <xf numFmtId="9" fontId="3" fillId="0" borderId="0" xfId="0" applyNumberFormat="1" applyFont="1" applyBorder="1" applyAlignment="1">
      <alignment vertical="top"/>
    </xf>
    <xf numFmtId="9" fontId="3" fillId="0" borderId="0" xfId="4" applyFont="1" applyBorder="1" applyAlignment="1">
      <alignment vertical="top"/>
    </xf>
    <xf numFmtId="0" fontId="3" fillId="0" borderId="0" xfId="0" applyFont="1" applyBorder="1" applyAlignment="1">
      <alignment horizontal="right" vertical="top"/>
    </xf>
    <xf numFmtId="1" fontId="3" fillId="0" borderId="0" xfId="0" applyNumberFormat="1" applyFont="1" applyBorder="1"/>
    <xf numFmtId="0" fontId="114" fillId="0" borderId="0" xfId="0" applyFont="1" applyBorder="1"/>
    <xf numFmtId="0" fontId="122" fillId="0" borderId="0" xfId="0" applyFont="1" applyBorder="1" applyAlignment="1">
      <alignment vertical="top"/>
    </xf>
    <xf numFmtId="0" fontId="122" fillId="0" borderId="0" xfId="0" applyFont="1" applyBorder="1" applyAlignment="1">
      <alignment vertical="top" wrapText="1"/>
    </xf>
    <xf numFmtId="0" fontId="158" fillId="0" borderId="0" xfId="0" applyFont="1" applyBorder="1"/>
    <xf numFmtId="6" fontId="3" fillId="31" borderId="0" xfId="0" applyNumberFormat="1" applyFont="1" applyFill="1" applyBorder="1" applyAlignment="1">
      <alignment vertical="top"/>
    </xf>
    <xf numFmtId="6" fontId="3" fillId="0" borderId="0" xfId="0" applyNumberFormat="1" applyFont="1" applyBorder="1" applyAlignment="1">
      <alignment vertical="top"/>
    </xf>
    <xf numFmtId="6" fontId="3" fillId="0" borderId="0" xfId="0" applyNumberFormat="1" applyFont="1" applyBorder="1"/>
    <xf numFmtId="6" fontId="3" fillId="31" borderId="0" xfId="0" applyNumberFormat="1" applyFont="1" applyFill="1" applyBorder="1"/>
    <xf numFmtId="8" fontId="3" fillId="31" borderId="0" xfId="0" applyNumberFormat="1" applyFont="1" applyFill="1" applyBorder="1" applyAlignment="1">
      <alignment vertical="top"/>
    </xf>
    <xf numFmtId="0" fontId="3" fillId="31" borderId="0" xfId="0" applyFont="1" applyFill="1" applyBorder="1" applyAlignment="1">
      <alignment horizontal="left" vertical="top" wrapText="1"/>
    </xf>
    <xf numFmtId="0" fontId="2" fillId="5" borderId="1" xfId="0" applyFont="1" applyFill="1" applyBorder="1" applyAlignment="1">
      <alignment vertical="center" wrapText="1"/>
    </xf>
    <xf numFmtId="0" fontId="104" fillId="0" borderId="1" xfId="0" applyFont="1" applyBorder="1" applyAlignment="1">
      <alignment horizontal="left" vertical="center" wrapText="1"/>
    </xf>
    <xf numFmtId="0" fontId="104" fillId="0" borderId="1" xfId="0" applyFont="1" applyFill="1" applyBorder="1" applyAlignment="1">
      <alignment horizontal="left" vertical="center" wrapText="1"/>
    </xf>
    <xf numFmtId="0" fontId="3" fillId="5" borderId="113" xfId="0" applyFont="1" applyFill="1" applyBorder="1"/>
    <xf numFmtId="0" fontId="3" fillId="5" borderId="112" xfId="0" applyFont="1" applyFill="1" applyBorder="1" applyAlignment="1">
      <alignment wrapText="1"/>
    </xf>
    <xf numFmtId="0" fontId="3" fillId="5" borderId="114" xfId="0" applyFont="1" applyFill="1" applyBorder="1" applyAlignment="1">
      <alignment wrapText="1"/>
    </xf>
    <xf numFmtId="2" fontId="3" fillId="5" borderId="0" xfId="0" applyNumberFormat="1" applyFont="1" applyFill="1" applyBorder="1"/>
    <xf numFmtId="44" fontId="3" fillId="5" borderId="10" xfId="2" applyFont="1" applyFill="1" applyBorder="1"/>
    <xf numFmtId="2" fontId="3" fillId="5" borderId="4" xfId="0" applyNumberFormat="1" applyFont="1" applyFill="1" applyBorder="1"/>
    <xf numFmtId="44" fontId="3" fillId="5" borderId="9" xfId="2" applyFont="1" applyFill="1" applyBorder="1"/>
    <xf numFmtId="0" fontId="128" fillId="5" borderId="0" xfId="0" applyFont="1" applyFill="1"/>
    <xf numFmtId="3" fontId="3" fillId="5" borderId="0" xfId="0" applyNumberFormat="1" applyFont="1" applyFill="1" applyAlignment="1">
      <alignment vertical="top"/>
    </xf>
    <xf numFmtId="9" fontId="3" fillId="5" borderId="0" xfId="0" applyNumberFormat="1" applyFont="1" applyFill="1" applyAlignment="1">
      <alignment vertical="top"/>
    </xf>
    <xf numFmtId="9" fontId="3" fillId="5" borderId="0" xfId="4" applyFont="1" applyFill="1" applyAlignment="1">
      <alignment vertical="top"/>
    </xf>
    <xf numFmtId="0" fontId="3" fillId="5" borderId="0" xfId="0" applyFont="1" applyFill="1" applyAlignment="1">
      <alignment horizontal="right" vertical="top"/>
    </xf>
    <xf numFmtId="1" fontId="3" fillId="5" borderId="0" xfId="0" applyNumberFormat="1" applyFont="1" applyFill="1"/>
    <xf numFmtId="0" fontId="122" fillId="5" borderId="0" xfId="0" applyFont="1" applyFill="1"/>
    <xf numFmtId="0" fontId="122" fillId="5" borderId="0" xfId="0" applyFont="1" applyFill="1" applyAlignment="1">
      <alignment vertical="top"/>
    </xf>
    <xf numFmtId="0" fontId="122" fillId="5" borderId="0" xfId="0" applyFont="1" applyFill="1" applyAlignment="1">
      <alignment vertical="top" wrapText="1"/>
    </xf>
    <xf numFmtId="0" fontId="3" fillId="5" borderId="0" xfId="0" applyFont="1" applyFill="1" applyAlignment="1">
      <alignment vertical="top" wrapText="1"/>
    </xf>
    <xf numFmtId="0" fontId="148" fillId="68" borderId="28" xfId="0" applyFont="1" applyFill="1" applyBorder="1" applyAlignment="1">
      <alignment horizontal="center" vertical="center" wrapText="1"/>
    </xf>
    <xf numFmtId="0" fontId="150" fillId="5" borderId="0" xfId="0" applyFont="1" applyFill="1"/>
    <xf numFmtId="0" fontId="154" fillId="7" borderId="74" xfId="0" applyFont="1" applyFill="1" applyBorder="1" applyAlignment="1">
      <alignment horizontal="center" vertical="center"/>
    </xf>
    <xf numFmtId="0" fontId="154" fillId="7" borderId="77" xfId="0" applyFont="1" applyFill="1" applyBorder="1" applyAlignment="1">
      <alignment horizontal="center" vertical="center" wrapText="1"/>
    </xf>
    <xf numFmtId="0" fontId="154" fillId="7" borderId="3" xfId="0" applyFont="1" applyFill="1" applyBorder="1" applyAlignment="1">
      <alignment horizontal="center" vertical="center"/>
    </xf>
    <xf numFmtId="0" fontId="154" fillId="7" borderId="1" xfId="0" applyFont="1" applyFill="1" applyBorder="1" applyAlignment="1">
      <alignment horizontal="center" vertical="center"/>
    </xf>
    <xf numFmtId="0" fontId="152" fillId="7" borderId="7" xfId="0" applyFont="1" applyFill="1" applyBorder="1" applyAlignment="1">
      <alignment horizontal="center" vertical="center"/>
    </xf>
    <xf numFmtId="0" fontId="154" fillId="7" borderId="5" xfId="0" applyFont="1" applyFill="1" applyBorder="1" applyAlignment="1">
      <alignment horizontal="center" vertical="center" wrapText="1"/>
    </xf>
    <xf numFmtId="0" fontId="154" fillId="7" borderId="7" xfId="0" applyFont="1" applyFill="1" applyBorder="1" applyAlignment="1">
      <alignment horizontal="center" vertical="center"/>
    </xf>
    <xf numFmtId="0" fontId="3" fillId="5" borderId="1" xfId="0" applyFont="1" applyFill="1" applyBorder="1" applyAlignment="1">
      <alignment vertical="center" wrapText="1"/>
    </xf>
    <xf numFmtId="9" fontId="3" fillId="5" borderId="1" xfId="4" applyFont="1" applyFill="1" applyBorder="1" applyAlignment="1">
      <alignment horizontal="right" vertical="center"/>
    </xf>
    <xf numFmtId="10" fontId="3" fillId="5" borderId="1" xfId="0" applyNumberFormat="1" applyFont="1" applyFill="1" applyBorder="1" applyAlignment="1">
      <alignment horizontal="right" vertical="center"/>
    </xf>
    <xf numFmtId="2" fontId="3" fillId="5" borderId="1" xfId="0" applyNumberFormat="1" applyFont="1" applyFill="1" applyBorder="1" applyAlignment="1">
      <alignment vertical="center"/>
    </xf>
    <xf numFmtId="0" fontId="3" fillId="0" borderId="5" xfId="0" applyFont="1" applyBorder="1" applyAlignment="1">
      <alignment horizontal="center" vertical="center"/>
    </xf>
    <xf numFmtId="0" fontId="120" fillId="70" borderId="1" xfId="0" applyFont="1" applyFill="1" applyBorder="1" applyAlignment="1">
      <alignment horizontal="center" vertical="center"/>
    </xf>
    <xf numFmtId="0" fontId="104" fillId="5" borderId="1" xfId="0" applyFont="1" applyFill="1" applyBorder="1" applyAlignment="1">
      <alignment vertical="center" wrapText="1"/>
    </xf>
    <xf numFmtId="0" fontId="3" fillId="5" borderId="0" xfId="0" applyFont="1" applyFill="1" applyAlignment="1">
      <alignment horizontal="left" vertical="center"/>
    </xf>
    <xf numFmtId="0" fontId="125" fillId="5" borderId="0" xfId="286" applyFont="1" applyFill="1" applyAlignment="1">
      <alignment vertical="center"/>
    </xf>
    <xf numFmtId="166" fontId="3" fillId="0" borderId="1" xfId="1" applyNumberFormat="1" applyFont="1" applyBorder="1" applyAlignment="1">
      <alignment horizontal="center" vertical="center"/>
    </xf>
    <xf numFmtId="166" fontId="3" fillId="80" borderId="1" xfId="1" applyNumberFormat="1" applyFont="1" applyFill="1" applyBorder="1" applyAlignment="1">
      <alignment horizontal="center" vertical="center"/>
    </xf>
    <xf numFmtId="0" fontId="131" fillId="78" borderId="6" xfId="0" applyFont="1" applyFill="1" applyBorder="1" applyAlignment="1">
      <alignment vertical="center"/>
    </xf>
    <xf numFmtId="0" fontId="131" fillId="78" borderId="95" xfId="0" applyFont="1" applyFill="1" applyBorder="1" applyAlignment="1">
      <alignment vertical="center" wrapText="1"/>
    </xf>
    <xf numFmtId="166" fontId="3" fillId="78" borderId="95" xfId="1" applyNumberFormat="1" applyFont="1" applyFill="1" applyBorder="1" applyAlignment="1">
      <alignment vertical="center"/>
    </xf>
    <xf numFmtId="166" fontId="3" fillId="78" borderId="94" xfId="1" applyNumberFormat="1" applyFont="1" applyFill="1" applyBorder="1" applyAlignment="1">
      <alignment vertical="center"/>
    </xf>
    <xf numFmtId="0" fontId="114" fillId="77" borderId="94" xfId="0" applyFont="1" applyFill="1" applyBorder="1" applyAlignment="1">
      <alignment horizontal="center" vertical="center" wrapText="1"/>
    </xf>
    <xf numFmtId="43" fontId="114" fillId="77" borderId="94" xfId="1" applyFont="1" applyFill="1" applyBorder="1" applyAlignment="1">
      <alignment vertical="center"/>
    </xf>
    <xf numFmtId="43" fontId="114" fillId="77" borderId="95" xfId="1" applyFont="1" applyFill="1" applyBorder="1" applyAlignment="1">
      <alignment vertical="center"/>
    </xf>
    <xf numFmtId="0" fontId="3" fillId="5" borderId="2" xfId="0" applyFont="1" applyFill="1" applyBorder="1" applyAlignment="1">
      <alignment horizontal="center" vertical="center"/>
    </xf>
    <xf numFmtId="43" fontId="3" fillId="5" borderId="10" xfId="1" applyFont="1" applyFill="1" applyBorder="1" applyAlignment="1">
      <alignment vertical="center"/>
    </xf>
    <xf numFmtId="43" fontId="3" fillId="5" borderId="0" xfId="1" applyFont="1" applyFill="1" applyBorder="1" applyAlignment="1">
      <alignment vertical="center"/>
    </xf>
    <xf numFmtId="0" fontId="115" fillId="5" borderId="2" xfId="0" applyFont="1" applyFill="1" applyBorder="1" applyAlignment="1">
      <alignment vertical="center" wrapText="1"/>
    </xf>
    <xf numFmtId="43" fontId="3" fillId="5" borderId="10" xfId="1" applyFont="1" applyFill="1" applyBorder="1" applyAlignment="1">
      <alignment horizontal="right" vertical="center"/>
    </xf>
    <xf numFmtId="0" fontId="3" fillId="5" borderId="2" xfId="0" applyFont="1" applyFill="1" applyBorder="1" applyAlignment="1">
      <alignment horizontal="right" vertical="center"/>
    </xf>
    <xf numFmtId="0" fontId="114" fillId="5" borderId="2" xfId="0" applyFont="1" applyFill="1" applyBorder="1" applyAlignment="1">
      <alignment horizontal="center" vertical="center" wrapText="1"/>
    </xf>
    <xf numFmtId="0" fontId="134" fillId="5" borderId="0" xfId="286" applyFont="1" applyFill="1" applyBorder="1" applyAlignment="1">
      <alignment horizontal="center" vertical="center"/>
    </xf>
    <xf numFmtId="4" fontId="3" fillId="5" borderId="0" xfId="0" applyNumberFormat="1" applyFont="1" applyFill="1" applyAlignment="1">
      <alignment vertical="center"/>
    </xf>
    <xf numFmtId="3" fontId="3" fillId="0" borderId="0" xfId="0" applyNumberFormat="1" applyFont="1" applyAlignment="1">
      <alignment horizontal="right" vertical="top" wrapText="1"/>
    </xf>
    <xf numFmtId="3" fontId="122" fillId="76" borderId="1" xfId="0" applyNumberFormat="1" applyFont="1" applyFill="1" applyBorder="1" applyAlignment="1">
      <alignment horizontal="right" vertical="top"/>
    </xf>
    <xf numFmtId="9" fontId="122" fillId="76" borderId="1" xfId="0" applyNumberFormat="1" applyFont="1" applyFill="1" applyBorder="1" applyAlignment="1">
      <alignment horizontal="right" vertical="top"/>
    </xf>
    <xf numFmtId="3" fontId="122" fillId="75" borderId="1" xfId="0" applyNumberFormat="1" applyFont="1" applyFill="1" applyBorder="1" applyAlignment="1">
      <alignment horizontal="right" vertical="top"/>
    </xf>
    <xf numFmtId="4" fontId="122" fillId="75" borderId="1" xfId="0" applyNumberFormat="1" applyFont="1" applyFill="1" applyBorder="1" applyAlignment="1">
      <alignment horizontal="right" vertical="top"/>
    </xf>
    <xf numFmtId="0" fontId="16" fillId="0" borderId="0" xfId="0" applyFont="1" applyBorder="1" applyAlignment="1">
      <alignment horizontal="center" vertical="center"/>
    </xf>
    <xf numFmtId="183" fontId="16" fillId="5" borderId="0" xfId="0" applyNumberFormat="1" applyFont="1" applyFill="1" applyBorder="1" applyAlignment="1">
      <alignment horizontal="right" vertical="center"/>
    </xf>
    <xf numFmtId="6" fontId="16" fillId="5" borderId="0" xfId="0" applyNumberFormat="1" applyFont="1" applyFill="1" applyBorder="1" applyAlignment="1">
      <alignment horizontal="right" vertical="center" wrapText="1"/>
    </xf>
    <xf numFmtId="0" fontId="16" fillId="5" borderId="0" xfId="0" applyFont="1" applyFill="1" applyBorder="1" applyAlignment="1">
      <alignment horizontal="right" vertical="center" wrapText="1"/>
    </xf>
    <xf numFmtId="0" fontId="16" fillId="5" borderId="112" xfId="0" applyFont="1" applyFill="1" applyBorder="1" applyAlignment="1">
      <alignment horizontal="center" vertical="center"/>
    </xf>
    <xf numFmtId="6" fontId="16" fillId="5" borderId="112" xfId="0" applyNumberFormat="1" applyFont="1" applyFill="1" applyBorder="1" applyAlignment="1">
      <alignment horizontal="right" vertical="center" wrapText="1"/>
    </xf>
    <xf numFmtId="0" fontId="16" fillId="5" borderId="114"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5" borderId="4" xfId="0" applyFont="1" applyFill="1" applyBorder="1" applyAlignment="1">
      <alignment horizontal="center" vertical="center"/>
    </xf>
    <xf numFmtId="0" fontId="16" fillId="5" borderId="4" xfId="0" applyFont="1" applyFill="1" applyBorder="1" applyAlignment="1">
      <alignment horizontal="right" vertical="center" wrapText="1"/>
    </xf>
    <xf numFmtId="0" fontId="16" fillId="5" borderId="9" xfId="0" applyFont="1" applyFill="1" applyBorder="1" applyAlignment="1">
      <alignment horizontal="center" vertical="center" wrapText="1"/>
    </xf>
    <xf numFmtId="0" fontId="0" fillId="5" borderId="0" xfId="0" applyFill="1" applyBorder="1"/>
    <xf numFmtId="184" fontId="3" fillId="0" borderId="0" xfId="0" applyNumberFormat="1" applyFont="1" applyAlignment="1">
      <alignment horizontal="center" vertical="center"/>
    </xf>
    <xf numFmtId="168" fontId="3" fillId="0" borderId="0" xfId="0" applyNumberFormat="1" applyFont="1" applyAlignment="1">
      <alignment horizontal="center" vertical="center"/>
    </xf>
    <xf numFmtId="168" fontId="3" fillId="5" borderId="0" xfId="0" applyNumberFormat="1" applyFont="1" applyFill="1" applyBorder="1" applyAlignment="1">
      <alignment horizontal="right" vertical="center"/>
    </xf>
    <xf numFmtId="43" fontId="3" fillId="5" borderId="0" xfId="1" applyFont="1" applyFill="1" applyBorder="1"/>
    <xf numFmtId="183" fontId="121" fillId="0" borderId="0" xfId="0" applyNumberFormat="1" applyFont="1" applyAlignment="1">
      <alignment horizontal="right" vertical="center"/>
    </xf>
    <xf numFmtId="0" fontId="3" fillId="0" borderId="0" xfId="0" applyFont="1" applyAlignment="1">
      <alignment horizontal="right"/>
    </xf>
    <xf numFmtId="183" fontId="3" fillId="0" borderId="0" xfId="0" applyNumberFormat="1" applyFont="1" applyAlignment="1">
      <alignment horizontal="right" vertical="center"/>
    </xf>
    <xf numFmtId="0" fontId="122" fillId="5" borderId="100" xfId="0" applyFont="1" applyFill="1" applyBorder="1"/>
    <xf numFmtId="0" fontId="122" fillId="5" borderId="121" xfId="0" applyFont="1" applyFill="1" applyBorder="1" applyAlignment="1"/>
    <xf numFmtId="0" fontId="122" fillId="5" borderId="121" xfId="0" applyFont="1" applyFill="1" applyBorder="1" applyAlignment="1">
      <alignment horizontal="right" vertical="center"/>
    </xf>
    <xf numFmtId="0" fontId="3" fillId="5" borderId="101" xfId="0" applyFont="1" applyFill="1" applyBorder="1"/>
    <xf numFmtId="0" fontId="3" fillId="5" borderId="29" xfId="0" applyFont="1" applyFill="1" applyBorder="1" applyAlignment="1">
      <alignment horizontal="center"/>
    </xf>
    <xf numFmtId="168" fontId="3" fillId="5" borderId="97" xfId="0" applyNumberFormat="1" applyFont="1" applyFill="1" applyBorder="1" applyAlignment="1">
      <alignment horizontal="right" vertical="center"/>
    </xf>
    <xf numFmtId="0" fontId="3" fillId="5" borderId="101" xfId="0" applyFont="1" applyFill="1" applyBorder="1" applyAlignment="1">
      <alignment vertical="center"/>
    </xf>
    <xf numFmtId="0" fontId="122" fillId="71" borderId="118" xfId="4" applyNumberFormat="1" applyFont="1" applyFill="1" applyBorder="1" applyAlignment="1">
      <alignment horizontal="center" vertical="center"/>
    </xf>
    <xf numFmtId="164" fontId="122" fillId="71" borderId="118" xfId="0" applyNumberFormat="1" applyFont="1" applyFill="1" applyBorder="1" applyAlignment="1">
      <alignment horizontal="center" vertical="center"/>
    </xf>
    <xf numFmtId="2" fontId="122" fillId="0" borderId="7" xfId="4" applyNumberFormat="1" applyFont="1" applyFill="1" applyBorder="1" applyAlignment="1">
      <alignment horizontal="center" vertical="center"/>
    </xf>
    <xf numFmtId="2" fontId="122" fillId="6" borderId="7" xfId="4" applyNumberFormat="1" applyFont="1" applyFill="1" applyBorder="1" applyAlignment="1">
      <alignment horizontal="center" vertical="center"/>
    </xf>
    <xf numFmtId="0" fontId="118" fillId="0" borderId="7" xfId="0" applyFont="1" applyFill="1" applyBorder="1" applyAlignment="1">
      <alignment horizontal="left" vertical="center" wrapText="1"/>
    </xf>
    <xf numFmtId="0" fontId="118" fillId="5" borderId="29" xfId="0" applyFont="1" applyFill="1" applyBorder="1"/>
    <xf numFmtId="0" fontId="16" fillId="5" borderId="28" xfId="0" applyFont="1" applyFill="1" applyBorder="1" applyAlignment="1" applyProtection="1">
      <alignment vertical="center"/>
      <protection hidden="1"/>
    </xf>
    <xf numFmtId="166" fontId="118" fillId="0" borderId="125" xfId="1" applyNumberFormat="1" applyFont="1" applyFill="1" applyBorder="1" applyAlignment="1">
      <alignment horizontal="center" vertical="center"/>
    </xf>
    <xf numFmtId="0" fontId="122" fillId="6" borderId="7" xfId="4" applyNumberFormat="1" applyFont="1" applyFill="1" applyBorder="1" applyAlignment="1">
      <alignment horizontal="center" vertical="center"/>
    </xf>
    <xf numFmtId="0" fontId="118" fillId="6" borderId="1" xfId="0" applyFont="1" applyFill="1" applyBorder="1" applyAlignment="1">
      <alignment horizontal="right" vertical="center"/>
    </xf>
    <xf numFmtId="0" fontId="122" fillId="0" borderId="7" xfId="0" applyFont="1" applyFill="1" applyBorder="1" applyAlignment="1">
      <alignment horizontal="left" vertical="center" wrapText="1"/>
    </xf>
    <xf numFmtId="3" fontId="122" fillId="6" borderId="7" xfId="0" applyNumberFormat="1" applyFont="1" applyFill="1" applyBorder="1" applyAlignment="1">
      <alignment horizontal="center" vertical="center"/>
    </xf>
    <xf numFmtId="0" fontId="122" fillId="5" borderId="7" xfId="0" applyFont="1" applyFill="1" applyBorder="1" applyAlignment="1">
      <alignment horizontal="left" vertical="center"/>
    </xf>
    <xf numFmtId="1" fontId="118" fillId="5" borderId="7" xfId="1" applyNumberFormat="1" applyFont="1" applyFill="1" applyBorder="1" applyAlignment="1">
      <alignment horizontal="right" vertical="center"/>
    </xf>
    <xf numFmtId="3" fontId="118" fillId="0" borderId="0" xfId="0" applyNumberFormat="1" applyFont="1" applyFill="1" applyBorder="1" applyAlignment="1">
      <alignment horizontal="center" vertical="center" wrapText="1"/>
    </xf>
    <xf numFmtId="3" fontId="118" fillId="0" borderId="0" xfId="0" applyNumberFormat="1" applyFont="1" applyFill="1" applyBorder="1" applyAlignment="1">
      <alignment vertical="center" wrapText="1"/>
    </xf>
    <xf numFmtId="2" fontId="3" fillId="0" borderId="0" xfId="0" applyNumberFormat="1" applyFont="1" applyFill="1" applyBorder="1" applyAlignment="1">
      <alignment horizontal="right" vertical="center"/>
    </xf>
    <xf numFmtId="2" fontId="3" fillId="5" borderId="0" xfId="0" applyNumberFormat="1" applyFont="1" applyFill="1" applyBorder="1" applyAlignment="1">
      <alignment horizontal="right" vertical="center"/>
    </xf>
    <xf numFmtId="9" fontId="118" fillId="5" borderId="0" xfId="4" applyFont="1" applyFill="1" applyBorder="1" applyAlignment="1">
      <alignment horizontal="right" vertical="center"/>
    </xf>
    <xf numFmtId="0" fontId="118" fillId="5" borderId="0" xfId="0" applyFont="1" applyFill="1" applyBorder="1" applyAlignment="1">
      <alignment horizontal="right" vertical="center"/>
    </xf>
    <xf numFmtId="3" fontId="139" fillId="5" borderId="0" xfId="0" applyNumberFormat="1" applyFont="1" applyFill="1" applyBorder="1" applyAlignment="1">
      <alignment vertical="center" wrapText="1"/>
    </xf>
    <xf numFmtId="3" fontId="139" fillId="5" borderId="97" xfId="0" applyNumberFormat="1" applyFont="1" applyFill="1" applyBorder="1" applyAlignment="1">
      <alignment vertical="center" wrapText="1"/>
    </xf>
    <xf numFmtId="0" fontId="139" fillId="5" borderId="0" xfId="0" applyFont="1" applyFill="1" applyBorder="1" applyAlignment="1">
      <alignment horizontal="center" vertical="center"/>
    </xf>
    <xf numFmtId="0" fontId="139" fillId="5" borderId="0" xfId="0" applyFont="1" applyFill="1" applyBorder="1" applyAlignment="1">
      <alignment horizontal="center" vertical="center" wrapText="1"/>
    </xf>
    <xf numFmtId="3" fontId="138" fillId="0" borderId="7" xfId="0" applyNumberFormat="1" applyFont="1" applyFill="1" applyBorder="1" applyAlignment="1">
      <alignment horizontal="right" vertical="top" wrapText="1"/>
    </xf>
    <xf numFmtId="2" fontId="138" fillId="0" borderId="3" xfId="0" applyNumberFormat="1" applyFont="1" applyFill="1" applyBorder="1" applyAlignment="1">
      <alignment horizontal="left" vertical="top" wrapText="1"/>
    </xf>
    <xf numFmtId="0" fontId="136" fillId="5" borderId="0" xfId="0" applyFont="1" applyFill="1" applyBorder="1" applyAlignment="1"/>
    <xf numFmtId="0" fontId="122" fillId="0" borderId="7" xfId="0" applyFont="1" applyFill="1" applyBorder="1" applyAlignment="1">
      <alignment horizontal="left" vertical="top" wrapText="1"/>
    </xf>
    <xf numFmtId="165" fontId="3" fillId="5" borderId="0" xfId="0" applyNumberFormat="1" applyFont="1" applyFill="1" applyBorder="1"/>
    <xf numFmtId="0" fontId="3" fillId="5" borderId="119" xfId="0" applyFont="1" applyFill="1" applyBorder="1"/>
    <xf numFmtId="0" fontId="122" fillId="8" borderId="6" xfId="0" applyFont="1" applyFill="1" applyBorder="1" applyAlignment="1">
      <alignment horizontal="left" vertical="center"/>
    </xf>
    <xf numFmtId="210" fontId="118" fillId="0" borderId="1" xfId="0" applyNumberFormat="1" applyFont="1" applyFill="1" applyBorder="1" applyAlignment="1">
      <alignment horizontal="center" vertical="center"/>
    </xf>
    <xf numFmtId="9" fontId="118" fillId="6" borderId="1" xfId="4" applyFont="1" applyFill="1" applyBorder="1" applyAlignment="1">
      <alignment horizontal="center" vertical="center"/>
    </xf>
    <xf numFmtId="180" fontId="118" fillId="0" borderId="1" xfId="0" applyNumberFormat="1" applyFont="1" applyFill="1" applyBorder="1" applyAlignment="1">
      <alignment horizontal="center" vertical="center"/>
    </xf>
    <xf numFmtId="181" fontId="122" fillId="0" borderId="1" xfId="0" applyNumberFormat="1" applyFont="1" applyFill="1" applyBorder="1" applyAlignment="1">
      <alignment horizontal="center" vertical="center"/>
    </xf>
    <xf numFmtId="180" fontId="122" fillId="6" borderId="1" xfId="0" applyNumberFormat="1" applyFont="1" applyFill="1" applyBorder="1" applyAlignment="1">
      <alignment horizontal="center" vertical="center"/>
    </xf>
    <xf numFmtId="0" fontId="122" fillId="0" borderId="1" xfId="0" applyFont="1" applyFill="1" applyBorder="1" applyAlignment="1">
      <alignment horizontal="center" vertical="center"/>
    </xf>
    <xf numFmtId="0" fontId="122" fillId="5" borderId="6" xfId="0" applyFont="1" applyFill="1" applyBorder="1" applyAlignment="1">
      <alignment horizontal="center" vertical="center" wrapText="1"/>
    </xf>
    <xf numFmtId="0" fontId="132" fillId="5" borderId="0" xfId="0" applyFont="1" applyFill="1" applyBorder="1" applyAlignment="1">
      <alignment horizontal="center" wrapText="1"/>
    </xf>
    <xf numFmtId="0" fontId="122" fillId="5" borderId="0" xfId="0" applyFont="1" applyFill="1" applyBorder="1" applyAlignment="1">
      <alignment horizontal="center" vertical="top" wrapText="1"/>
    </xf>
    <xf numFmtId="0" fontId="122" fillId="0" borderId="6" xfId="0" applyFont="1" applyFill="1" applyBorder="1" applyAlignment="1">
      <alignment horizontal="center" vertical="center" wrapText="1"/>
    </xf>
    <xf numFmtId="0" fontId="135" fillId="5" borderId="0" xfId="0" applyFont="1" applyFill="1" applyBorder="1" applyAlignment="1">
      <alignment horizontal="left" wrapText="1"/>
    </xf>
    <xf numFmtId="0" fontId="122" fillId="5" borderId="1" xfId="0" applyFont="1" applyFill="1" applyBorder="1" applyAlignment="1">
      <alignment horizontal="left" vertical="top"/>
    </xf>
    <xf numFmtId="0" fontId="3" fillId="5" borderId="0" xfId="0" applyFont="1" applyFill="1" applyBorder="1" applyAlignment="1"/>
    <xf numFmtId="164" fontId="122" fillId="0" borderId="7" xfId="4" applyNumberFormat="1" applyFont="1" applyFill="1" applyBorder="1" applyAlignment="1">
      <alignment horizontal="center" vertical="center"/>
    </xf>
    <xf numFmtId="0" fontId="118" fillId="0" borderId="1" xfId="0" applyFont="1" applyFill="1" applyBorder="1" applyAlignment="1">
      <alignment horizontal="center" vertical="center"/>
    </xf>
    <xf numFmtId="0" fontId="122" fillId="0" borderId="7" xfId="0" applyFont="1" applyFill="1" applyBorder="1" applyAlignment="1">
      <alignment horizontal="left" vertical="center"/>
    </xf>
    <xf numFmtId="0" fontId="122" fillId="0" borderId="1" xfId="0" applyFont="1" applyBorder="1" applyAlignment="1">
      <alignment horizontal="center" vertical="center"/>
    </xf>
    <xf numFmtId="0" fontId="118" fillId="6" borderId="7" xfId="0" applyFont="1" applyFill="1" applyBorder="1" applyAlignment="1">
      <alignment horizontal="right" vertical="center"/>
    </xf>
    <xf numFmtId="0" fontId="122" fillId="6" borderId="7" xfId="0" applyFont="1" applyFill="1" applyBorder="1" applyAlignment="1">
      <alignment horizontal="right" vertical="center"/>
    </xf>
    <xf numFmtId="0" fontId="118" fillId="0" borderId="118" xfId="0" applyFont="1" applyFill="1" applyBorder="1" applyAlignment="1">
      <alignment horizontal="left" vertical="center" wrapText="1"/>
    </xf>
    <xf numFmtId="3" fontId="118" fillId="0" borderId="128" xfId="0" applyNumberFormat="1" applyFont="1" applyFill="1" applyBorder="1" applyAlignment="1">
      <alignment horizontal="left" vertical="center" wrapText="1"/>
    </xf>
    <xf numFmtId="0" fontId="118" fillId="0" borderId="7" xfId="0" applyFont="1" applyFill="1" applyBorder="1" applyAlignment="1">
      <alignment horizontal="left" vertical="center"/>
    </xf>
    <xf numFmtId="0" fontId="118" fillId="0" borderId="53" xfId="0" applyFont="1" applyBorder="1" applyAlignment="1" applyProtection="1">
      <alignment vertical="center"/>
      <protection hidden="1"/>
    </xf>
    <xf numFmtId="0" fontId="118" fillId="0" borderId="52" xfId="0" applyFont="1" applyBorder="1" applyAlignment="1" applyProtection="1">
      <alignment vertical="center"/>
      <protection hidden="1"/>
    </xf>
    <xf numFmtId="0" fontId="118" fillId="0" borderId="105" xfId="0" applyFont="1" applyBorder="1" applyAlignment="1" applyProtection="1">
      <alignment vertical="center"/>
      <protection hidden="1"/>
    </xf>
    <xf numFmtId="0" fontId="118" fillId="0" borderId="93" xfId="0" applyFont="1" applyFill="1" applyBorder="1" applyAlignment="1" applyProtection="1">
      <alignment vertical="center"/>
      <protection hidden="1"/>
    </xf>
    <xf numFmtId="0" fontId="118" fillId="0" borderId="5" xfId="0" applyFont="1" applyFill="1" applyBorder="1" applyAlignment="1" applyProtection="1">
      <alignment vertical="center"/>
      <protection hidden="1"/>
    </xf>
    <xf numFmtId="0" fontId="118" fillId="0" borderId="5" xfId="0" applyFont="1" applyBorder="1" applyAlignment="1" applyProtection="1">
      <alignment vertical="center"/>
      <protection hidden="1"/>
    </xf>
    <xf numFmtId="0" fontId="16" fillId="0" borderId="5" xfId="0" applyFont="1" applyBorder="1" applyAlignment="1" applyProtection="1">
      <alignment vertical="center"/>
      <protection hidden="1"/>
    </xf>
    <xf numFmtId="0" fontId="16" fillId="0" borderId="7" xfId="0" applyFont="1" applyBorder="1" applyAlignment="1" applyProtection="1">
      <alignment vertical="center"/>
      <protection hidden="1"/>
    </xf>
    <xf numFmtId="0" fontId="118" fillId="0" borderId="96" xfId="0" applyFont="1" applyBorder="1" applyAlignment="1" applyProtection="1">
      <alignment horizontal="right" vertical="center"/>
      <protection hidden="1"/>
    </xf>
    <xf numFmtId="0" fontId="118" fillId="0" borderId="0" xfId="0" applyFont="1" applyBorder="1" applyAlignment="1" applyProtection="1">
      <alignment horizontal="right" vertical="center"/>
      <protection hidden="1"/>
    </xf>
    <xf numFmtId="0" fontId="118" fillId="5" borderId="1" xfId="0" applyFont="1" applyFill="1" applyBorder="1" applyAlignment="1">
      <alignment horizontal="left" vertical="center" wrapText="1"/>
    </xf>
    <xf numFmtId="9" fontId="118" fillId="5" borderId="0" xfId="4" applyNumberFormat="1" applyFont="1" applyFill="1" applyBorder="1" applyAlignment="1">
      <alignment horizontal="right" vertical="center" wrapText="1"/>
    </xf>
    <xf numFmtId="5" fontId="118" fillId="5" borderId="1" xfId="2" applyNumberFormat="1" applyFont="1" applyFill="1" applyBorder="1" applyAlignment="1">
      <alignment horizontal="right" vertical="center" wrapText="1"/>
    </xf>
    <xf numFmtId="0" fontId="3" fillId="5" borderId="5" xfId="0" applyFont="1" applyFill="1" applyBorder="1" applyAlignment="1">
      <alignment horizontal="right" vertical="center" wrapText="1"/>
    </xf>
    <xf numFmtId="0" fontId="3" fillId="0" borderId="0" xfId="0" applyFont="1" applyBorder="1" applyAlignment="1">
      <alignment wrapText="1"/>
    </xf>
    <xf numFmtId="0" fontId="8" fillId="5" borderId="46" xfId="0" applyFont="1" applyFill="1" applyBorder="1"/>
    <xf numFmtId="0" fontId="8" fillId="5" borderId="2" xfId="0" applyFont="1" applyFill="1" applyBorder="1"/>
    <xf numFmtId="0" fontId="0" fillId="5" borderId="129" xfId="0" applyFill="1" applyBorder="1"/>
    <xf numFmtId="9" fontId="0" fillId="5" borderId="130" xfId="0" applyNumberFormat="1" applyFill="1" applyBorder="1"/>
    <xf numFmtId="9" fontId="0" fillId="5" borderId="10" xfId="0" applyNumberFormat="1" applyFill="1" applyBorder="1"/>
    <xf numFmtId="0" fontId="0" fillId="5" borderId="2" xfId="0" applyFill="1" applyBorder="1"/>
    <xf numFmtId="0" fontId="0" fillId="5" borderId="3" xfId="0" applyFill="1" applyBorder="1"/>
    <xf numFmtId="0" fontId="0" fillId="5" borderId="4" xfId="0" applyFill="1" applyBorder="1"/>
    <xf numFmtId="9" fontId="0" fillId="5" borderId="9" xfId="0" applyNumberFormat="1" applyFill="1" applyBorder="1"/>
    <xf numFmtId="0" fontId="3" fillId="0" borderId="0" xfId="0" applyFont="1" applyAlignment="1">
      <alignment horizontal="left" wrapText="1"/>
    </xf>
    <xf numFmtId="0" fontId="3" fillId="0" borderId="0" xfId="0" applyFont="1" applyAlignment="1">
      <alignment horizontal="center" wrapText="1"/>
    </xf>
    <xf numFmtId="166" fontId="154" fillId="73" borderId="129" xfId="1" applyNumberFormat="1" applyFont="1" applyFill="1" applyBorder="1" applyAlignment="1">
      <alignment horizontal="center" vertical="center"/>
    </xf>
    <xf numFmtId="166" fontId="154" fillId="73" borderId="1" xfId="1" applyNumberFormat="1" applyFont="1" applyFill="1" applyBorder="1" applyAlignment="1">
      <alignment horizontal="center" vertical="center"/>
    </xf>
    <xf numFmtId="0" fontId="1" fillId="0" borderId="3" xfId="0" applyFont="1" applyBorder="1" applyAlignment="1">
      <alignment horizontal="center" vertical="center"/>
    </xf>
    <xf numFmtId="0" fontId="122" fillId="0" borderId="2" xfId="0" applyFont="1" applyBorder="1" applyAlignment="1">
      <alignment horizontal="center" vertical="center"/>
    </xf>
    <xf numFmtId="165" fontId="120" fillId="73" borderId="94" xfId="2" applyNumberFormat="1" applyFont="1" applyFill="1" applyBorder="1" applyAlignment="1">
      <alignment horizontal="center" vertical="center"/>
    </xf>
    <xf numFmtId="0" fontId="163" fillId="0" borderId="0" xfId="0" applyFont="1" applyBorder="1" applyAlignment="1">
      <alignment vertical="center"/>
    </xf>
    <xf numFmtId="166" fontId="154" fillId="73" borderId="46" xfId="1" applyNumberFormat="1" applyFont="1" applyFill="1" applyBorder="1" applyAlignment="1">
      <alignment horizontal="center" vertical="center"/>
    </xf>
    <xf numFmtId="166" fontId="120" fillId="73" borderId="115" xfId="1" applyNumberFormat="1" applyFont="1" applyFill="1" applyBorder="1" applyAlignment="1">
      <alignment horizontal="center" vertical="center"/>
    </xf>
    <xf numFmtId="166" fontId="120" fillId="73" borderId="1" xfId="1" applyNumberFormat="1" applyFont="1" applyFill="1" applyBorder="1" applyAlignment="1">
      <alignment horizontal="center" vertical="center"/>
    </xf>
    <xf numFmtId="0" fontId="122" fillId="0" borderId="6" xfId="0" applyFont="1" applyFill="1" applyBorder="1" applyAlignment="1">
      <alignment vertical="center"/>
    </xf>
    <xf numFmtId="170" fontId="0" fillId="0" borderId="0" xfId="0" applyNumberFormat="1" applyAlignment="1">
      <alignment vertical="center"/>
    </xf>
    <xf numFmtId="3" fontId="0" fillId="0" borderId="0" xfId="0" applyNumberFormat="1" applyAlignment="1">
      <alignment vertical="center"/>
    </xf>
    <xf numFmtId="1" fontId="0" fillId="0" borderId="0" xfId="0" applyNumberFormat="1" applyAlignment="1">
      <alignment vertical="center"/>
    </xf>
    <xf numFmtId="0" fontId="7" fillId="0" borderId="0" xfId="0" applyFont="1" applyFill="1" applyBorder="1" applyAlignment="1">
      <alignment vertical="center"/>
    </xf>
    <xf numFmtId="166" fontId="7" fillId="0" borderId="0" xfId="1" applyNumberFormat="1" applyFont="1" applyFill="1" applyBorder="1" applyAlignment="1">
      <alignment horizontal="center" vertical="center"/>
    </xf>
    <xf numFmtId="166" fontId="0" fillId="0" borderId="0" xfId="0" applyNumberFormat="1" applyAlignment="1">
      <alignment vertical="center"/>
    </xf>
    <xf numFmtId="0" fontId="0" fillId="0" borderId="0" xfId="0" applyBorder="1" applyAlignment="1">
      <alignment vertical="center"/>
    </xf>
    <xf numFmtId="6" fontId="0" fillId="0" borderId="0" xfId="0" applyNumberFormat="1" applyAlignment="1">
      <alignment vertical="center"/>
    </xf>
    <xf numFmtId="165" fontId="0" fillId="0" borderId="0" xfId="2" applyNumberFormat="1" applyFont="1" applyAlignment="1">
      <alignment vertical="center"/>
    </xf>
    <xf numFmtId="165" fontId="0" fillId="0" borderId="0" xfId="0" applyNumberFormat="1" applyAlignment="1">
      <alignment vertical="center"/>
    </xf>
    <xf numFmtId="0" fontId="3" fillId="5" borderId="129" xfId="0" applyFont="1" applyFill="1" applyBorder="1"/>
    <xf numFmtId="0" fontId="122" fillId="5" borderId="129" xfId="0" applyFont="1" applyFill="1" applyBorder="1" applyAlignment="1">
      <alignment horizontal="center" vertical="top"/>
    </xf>
    <xf numFmtId="0" fontId="122" fillId="5" borderId="7" xfId="0" applyFont="1" applyFill="1" applyBorder="1" applyAlignment="1">
      <alignment horizontal="center" vertical="center" wrapText="1"/>
    </xf>
    <xf numFmtId="0" fontId="122" fillId="5" borderId="0" xfId="0" applyFont="1" applyFill="1" applyBorder="1" applyAlignment="1">
      <alignment horizontal="center" vertical="center"/>
    </xf>
    <xf numFmtId="0" fontId="122" fillId="5" borderId="6" xfId="0" applyFont="1" applyFill="1" applyBorder="1" applyAlignment="1">
      <alignment horizontal="center" vertical="center" wrapText="1"/>
    </xf>
    <xf numFmtId="0" fontId="118" fillId="5" borderId="1" xfId="0" applyFont="1" applyFill="1" applyBorder="1" applyAlignment="1">
      <alignment horizontal="left" vertical="center" wrapText="1"/>
    </xf>
    <xf numFmtId="0" fontId="122" fillId="5" borderId="0" xfId="0" applyFont="1" applyFill="1" applyBorder="1" applyAlignment="1">
      <alignment horizontal="center" vertical="center" wrapText="1"/>
    </xf>
    <xf numFmtId="0" fontId="132" fillId="5" borderId="0" xfId="0" applyFont="1" applyFill="1" applyBorder="1" applyAlignment="1">
      <alignment horizontal="center" vertical="center" wrapText="1"/>
    </xf>
    <xf numFmtId="0" fontId="132" fillId="5" borderId="28" xfId="0" applyFont="1" applyFill="1" applyBorder="1" applyAlignment="1">
      <alignment horizontal="center" vertical="center" wrapText="1"/>
    </xf>
    <xf numFmtId="0" fontId="122" fillId="5" borderId="1" xfId="0" applyFont="1" applyFill="1" applyBorder="1" applyAlignment="1">
      <alignment horizontal="left" vertical="center" wrapText="1"/>
    </xf>
    <xf numFmtId="0" fontId="132" fillId="5" borderId="0" xfId="0" applyFont="1" applyFill="1" applyBorder="1" applyAlignment="1">
      <alignment horizontal="center" wrapText="1"/>
    </xf>
    <xf numFmtId="0" fontId="135" fillId="5" borderId="0" xfId="0" applyFont="1" applyFill="1" applyBorder="1" applyAlignment="1">
      <alignment horizontal="left" wrapText="1"/>
    </xf>
    <xf numFmtId="0" fontId="122" fillId="5" borderId="29" xfId="0" applyFont="1" applyFill="1" applyBorder="1" applyAlignment="1">
      <alignment horizontal="center" vertical="center"/>
    </xf>
    <xf numFmtId="0" fontId="122" fillId="5" borderId="35" xfId="0" applyFont="1" applyFill="1" applyBorder="1" applyAlignment="1">
      <alignment vertical="center"/>
    </xf>
    <xf numFmtId="5" fontId="118" fillId="6" borderId="7" xfId="2" applyNumberFormat="1" applyFont="1" applyFill="1" applyBorder="1" applyAlignment="1">
      <alignment vertical="center" wrapText="1"/>
    </xf>
    <xf numFmtId="7" fontId="118" fillId="5" borderId="1" xfId="0" applyNumberFormat="1" applyFont="1" applyFill="1" applyBorder="1" applyAlignment="1">
      <alignment vertical="center" wrapText="1"/>
    </xf>
    <xf numFmtId="0" fontId="3" fillId="5" borderId="119" xfId="0" applyFont="1" applyFill="1" applyBorder="1" applyAlignment="1">
      <alignment vertical="center" wrapText="1"/>
    </xf>
    <xf numFmtId="0" fontId="3" fillId="5" borderId="36" xfId="0" applyFont="1" applyFill="1" applyBorder="1" applyAlignment="1">
      <alignment vertical="center" wrapText="1"/>
    </xf>
    <xf numFmtId="0" fontId="104" fillId="0" borderId="1" xfId="0" applyFont="1" applyBorder="1" applyAlignment="1">
      <alignment horizontal="left" vertical="top" wrapText="1"/>
    </xf>
    <xf numFmtId="0" fontId="16" fillId="0" borderId="1" xfId="0" applyFont="1" applyBorder="1" applyAlignment="1">
      <alignment horizontal="left" vertical="center" wrapText="1"/>
    </xf>
    <xf numFmtId="0" fontId="16" fillId="0" borderId="1" xfId="0" applyFont="1" applyBorder="1" applyAlignment="1">
      <alignment horizontal="left" vertical="top" wrapText="1"/>
    </xf>
    <xf numFmtId="0" fontId="104" fillId="0" borderId="1" xfId="0" applyFont="1" applyFill="1" applyBorder="1" applyAlignment="1">
      <alignment horizontal="left" vertical="top" wrapText="1"/>
    </xf>
    <xf numFmtId="0" fontId="1" fillId="0" borderId="1" xfId="0" applyFont="1" applyBorder="1" applyAlignment="1">
      <alignment horizontal="left" vertical="center"/>
    </xf>
    <xf numFmtId="0" fontId="154" fillId="70" borderId="1" xfId="0" applyFont="1" applyFill="1" applyBorder="1" applyAlignment="1">
      <alignment horizontal="center" vertical="center"/>
    </xf>
    <xf numFmtId="0" fontId="1" fillId="0" borderId="1" xfId="0" applyFont="1" applyBorder="1" applyAlignment="1">
      <alignment horizontal="left" vertical="center" wrapText="1"/>
    </xf>
    <xf numFmtId="0" fontId="1" fillId="0" borderId="1" xfId="0" applyFont="1" applyFill="1" applyBorder="1" applyAlignment="1">
      <alignment horizontal="left" vertical="center"/>
    </xf>
    <xf numFmtId="0" fontId="1" fillId="0" borderId="1" xfId="0" applyFont="1" applyBorder="1" applyAlignment="1">
      <alignment vertical="top"/>
    </xf>
    <xf numFmtId="43" fontId="3" fillId="5" borderId="5" xfId="0" applyNumberFormat="1" applyFont="1" applyFill="1" applyBorder="1" applyAlignment="1">
      <alignment horizontal="right" vertical="center" wrapText="1"/>
    </xf>
    <xf numFmtId="43" fontId="114" fillId="77" borderId="94" xfId="1" applyFont="1" applyFill="1" applyBorder="1" applyAlignment="1">
      <alignment vertical="center" wrapText="1"/>
    </xf>
    <xf numFmtId="7" fontId="3" fillId="0" borderId="1" xfId="1" applyNumberFormat="1" applyFont="1" applyBorder="1" applyAlignment="1">
      <alignment horizontal="right" vertical="center"/>
    </xf>
    <xf numFmtId="7" fontId="3" fillId="80" borderId="1" xfId="1" applyNumberFormat="1" applyFont="1" applyFill="1" applyBorder="1" applyAlignment="1">
      <alignment horizontal="right" vertical="center"/>
    </xf>
    <xf numFmtId="7" fontId="131" fillId="0" borderId="103" xfId="1" applyNumberFormat="1" applyFont="1" applyBorder="1" applyAlignment="1">
      <alignment vertical="top"/>
    </xf>
    <xf numFmtId="0" fontId="0" fillId="0" borderId="115" xfId="0" applyBorder="1" applyAlignment="1">
      <alignment horizontal="center" vertical="center" wrapText="1"/>
    </xf>
    <xf numFmtId="0" fontId="122" fillId="5" borderId="118" xfId="0" applyFont="1" applyFill="1" applyBorder="1" applyAlignment="1">
      <alignment horizontal="center" vertical="center" wrapText="1"/>
    </xf>
    <xf numFmtId="0" fontId="122" fillId="5" borderId="6" xfId="0" applyFont="1" applyFill="1" applyBorder="1" applyAlignment="1">
      <alignment horizontal="left" vertical="center" wrapText="1"/>
    </xf>
    <xf numFmtId="0" fontId="122" fillId="5" borderId="6" xfId="0" applyFont="1" applyFill="1" applyBorder="1" applyAlignment="1">
      <alignment horizontal="center" vertical="center" wrapText="1"/>
    </xf>
    <xf numFmtId="0" fontId="122" fillId="5" borderId="94" xfId="0" applyFont="1" applyFill="1" applyBorder="1" applyAlignment="1">
      <alignment horizontal="center" vertical="center" wrapText="1"/>
    </xf>
    <xf numFmtId="5" fontId="118" fillId="5" borderId="1" xfId="2" applyNumberFormat="1" applyFont="1" applyFill="1" applyBorder="1" applyAlignment="1">
      <alignment horizontal="right" vertical="center" wrapText="1"/>
    </xf>
    <xf numFmtId="0" fontId="122" fillId="5" borderId="0" xfId="0" applyFont="1" applyFill="1" applyBorder="1" applyAlignment="1">
      <alignment horizontal="center" vertical="center" wrapText="1"/>
    </xf>
    <xf numFmtId="0" fontId="118" fillId="0" borderId="0" xfId="0" applyFont="1" applyFill="1" applyBorder="1" applyAlignment="1">
      <alignment horizontal="left" vertical="center" wrapText="1"/>
    </xf>
    <xf numFmtId="0" fontId="122" fillId="0" borderId="6" xfId="0" applyFont="1" applyFill="1" applyBorder="1" applyAlignment="1">
      <alignment horizontal="center" vertical="center" wrapText="1"/>
    </xf>
    <xf numFmtId="0" fontId="122" fillId="5" borderId="6" xfId="0" applyFont="1" applyFill="1" applyBorder="1" applyAlignment="1">
      <alignment horizontal="center" vertical="center"/>
    </xf>
    <xf numFmtId="180" fontId="118" fillId="5" borderId="7" xfId="1" applyNumberFormat="1" applyFont="1" applyFill="1" applyBorder="1" applyAlignment="1">
      <alignment horizontal="right" vertical="center" wrapText="1"/>
    </xf>
    <xf numFmtId="0" fontId="1" fillId="5" borderId="0" xfId="0" applyFont="1" applyFill="1" applyBorder="1" applyAlignment="1">
      <alignment horizontal="left" vertical="center"/>
    </xf>
    <xf numFmtId="0" fontId="1" fillId="0" borderId="0" xfId="0" applyFont="1"/>
    <xf numFmtId="0" fontId="122" fillId="5" borderId="0" xfId="0" applyFont="1" applyFill="1" applyBorder="1" applyAlignment="1">
      <alignment horizontal="left"/>
    </xf>
    <xf numFmtId="0" fontId="1" fillId="5" borderId="0" xfId="0" applyFont="1" applyFill="1" applyAlignment="1"/>
    <xf numFmtId="0" fontId="1" fillId="0" borderId="0" xfId="0" applyFont="1" applyBorder="1" applyAlignment="1"/>
    <xf numFmtId="0" fontId="1" fillId="0" borderId="0" xfId="0" applyFont="1" applyAlignment="1"/>
    <xf numFmtId="0" fontId="104" fillId="0" borderId="0" xfId="0" applyFont="1" applyBorder="1" applyAlignment="1"/>
    <xf numFmtId="0" fontId="1" fillId="5" borderId="29" xfId="0" applyFont="1" applyFill="1" applyBorder="1" applyAlignment="1"/>
    <xf numFmtId="0" fontId="118" fillId="5" borderId="0" xfId="0" applyFont="1" applyFill="1" applyBorder="1" applyAlignment="1"/>
    <xf numFmtId="0" fontId="135" fillId="5" borderId="0" xfId="0" applyFont="1" applyFill="1" applyBorder="1" applyAlignment="1"/>
    <xf numFmtId="0" fontId="1" fillId="5" borderId="0" xfId="0" applyFont="1" applyFill="1" applyBorder="1" applyAlignment="1"/>
    <xf numFmtId="0" fontId="122" fillId="8" borderId="21" xfId="0" applyFont="1" applyFill="1" applyBorder="1" applyAlignment="1">
      <alignment horizontal="left"/>
    </xf>
    <xf numFmtId="0" fontId="1" fillId="0" borderId="0" xfId="0" applyFont="1" applyAlignment="1">
      <alignment vertical="center"/>
    </xf>
    <xf numFmtId="0" fontId="1" fillId="5" borderId="0" xfId="0" applyFont="1" applyFill="1" applyAlignment="1">
      <alignment vertical="center"/>
    </xf>
    <xf numFmtId="0" fontId="1" fillId="0" borderId="0" xfId="0" applyFont="1" applyBorder="1" applyAlignment="1">
      <alignment vertical="center"/>
    </xf>
    <xf numFmtId="0" fontId="1" fillId="5" borderId="0" xfId="0" applyFont="1" applyFill="1" applyBorder="1" applyAlignment="1">
      <alignment vertical="center"/>
    </xf>
    <xf numFmtId="0" fontId="130" fillId="5" borderId="0" xfId="0" applyFont="1" applyFill="1" applyBorder="1" applyAlignment="1">
      <alignment horizontal="left" vertical="center"/>
    </xf>
    <xf numFmtId="0" fontId="1" fillId="0" borderId="1" xfId="0" applyFont="1" applyBorder="1"/>
    <xf numFmtId="9" fontId="120" fillId="73" borderId="1" xfId="4" applyFont="1" applyFill="1" applyBorder="1" applyAlignment="1">
      <alignment horizontal="center" vertical="center"/>
    </xf>
    <xf numFmtId="0" fontId="1" fillId="5" borderId="29" xfId="0" applyFont="1" applyFill="1" applyBorder="1" applyAlignment="1">
      <alignment vertical="center"/>
    </xf>
    <xf numFmtId="0" fontId="122" fillId="71" borderId="1" xfId="0" applyFont="1" applyFill="1" applyBorder="1" applyAlignment="1">
      <alignment horizontal="left" vertical="center" wrapText="1"/>
    </xf>
    <xf numFmtId="181" fontId="122" fillId="71" borderId="1" xfId="0" applyNumberFormat="1" applyFont="1" applyFill="1" applyBorder="1" applyAlignment="1">
      <alignment horizontal="center" vertical="center"/>
    </xf>
    <xf numFmtId="0" fontId="1" fillId="5" borderId="28" xfId="0" applyFont="1" applyFill="1" applyBorder="1" applyAlignment="1">
      <alignment vertical="center"/>
    </xf>
    <xf numFmtId="164" fontId="118" fillId="6" borderId="1" xfId="2" applyNumberFormat="1" applyFont="1" applyFill="1" applyBorder="1" applyAlignment="1">
      <alignment horizontal="center" vertical="center"/>
    </xf>
    <xf numFmtId="0" fontId="1" fillId="0" borderId="0" xfId="0" applyFont="1" applyAlignment="1">
      <alignment vertical="center" wrapText="1"/>
    </xf>
    <xf numFmtId="181" fontId="122" fillId="5" borderId="1" xfId="0" applyNumberFormat="1" applyFont="1" applyFill="1" applyBorder="1" applyAlignment="1">
      <alignment horizontal="center" vertical="center"/>
    </xf>
    <xf numFmtId="0" fontId="1" fillId="0" borderId="28" xfId="0" applyFont="1" applyBorder="1" applyAlignment="1">
      <alignment vertical="center"/>
    </xf>
    <xf numFmtId="9" fontId="118" fillId="5" borderId="1" xfId="4" applyFont="1" applyFill="1" applyBorder="1" applyAlignment="1">
      <alignment horizontal="right" vertical="center"/>
    </xf>
    <xf numFmtId="0" fontId="1" fillId="5" borderId="36" xfId="0" applyFont="1" applyFill="1" applyBorder="1" applyAlignment="1">
      <alignment vertical="center"/>
    </xf>
    <xf numFmtId="0" fontId="1" fillId="5" borderId="4" xfId="0" applyFont="1" applyFill="1" applyBorder="1" applyAlignment="1">
      <alignment vertical="center"/>
    </xf>
    <xf numFmtId="0" fontId="1" fillId="5" borderId="0" xfId="0" applyFont="1" applyFill="1" applyBorder="1" applyAlignment="1">
      <alignment horizontal="center" vertical="center"/>
    </xf>
    <xf numFmtId="2" fontId="122" fillId="0" borderId="1" xfId="0" applyNumberFormat="1" applyFont="1" applyFill="1" applyBorder="1" applyAlignment="1">
      <alignment horizontal="center" vertical="center"/>
    </xf>
    <xf numFmtId="2" fontId="122" fillId="71" borderId="1" xfId="4" applyNumberFormat="1" applyFont="1" applyFill="1" applyBorder="1" applyAlignment="1">
      <alignment horizontal="center" vertical="center"/>
    </xf>
    <xf numFmtId="3" fontId="118" fillId="0" borderId="1" xfId="0" applyNumberFormat="1" applyFont="1" applyFill="1" applyBorder="1" applyAlignment="1">
      <alignment horizontal="left" vertical="center" wrapText="1"/>
    </xf>
    <xf numFmtId="9" fontId="118" fillId="0" borderId="1" xfId="4" applyFont="1" applyFill="1" applyBorder="1" applyAlignment="1">
      <alignment horizontal="center" vertical="center"/>
    </xf>
    <xf numFmtId="0" fontId="118" fillId="0" borderId="1" xfId="0" applyFont="1" applyFill="1" applyBorder="1" applyAlignment="1">
      <alignment horizontal="left" vertical="center" wrapText="1"/>
    </xf>
    <xf numFmtId="166" fontId="1" fillId="0" borderId="0" xfId="0" applyNumberFormat="1" applyFont="1" applyAlignment="1">
      <alignment vertical="center"/>
    </xf>
    <xf numFmtId="0" fontId="1" fillId="5" borderId="29" xfId="0" applyFont="1" applyFill="1" applyBorder="1"/>
    <xf numFmtId="0" fontId="1" fillId="5" borderId="0" xfId="0" applyFont="1" applyFill="1" applyBorder="1" applyAlignment="1">
      <alignment vertical="top"/>
    </xf>
    <xf numFmtId="0" fontId="1" fillId="5" borderId="0" xfId="0" applyFont="1" applyFill="1" applyBorder="1" applyAlignment="1">
      <alignment horizontal="center" vertical="top"/>
    </xf>
    <xf numFmtId="0" fontId="1" fillId="5" borderId="28" xfId="0" applyFont="1" applyFill="1" applyBorder="1" applyAlignment="1">
      <alignment vertical="top"/>
    </xf>
    <xf numFmtId="0" fontId="1" fillId="5" borderId="0" xfId="0" applyFont="1" applyFill="1"/>
    <xf numFmtId="0" fontId="1" fillId="5" borderId="0" xfId="0" applyFont="1" applyFill="1" applyBorder="1"/>
    <xf numFmtId="0" fontId="1" fillId="0" borderId="0" xfId="0" applyFont="1" applyBorder="1"/>
    <xf numFmtId="0" fontId="1" fillId="5" borderId="27" xfId="0" applyFont="1" applyFill="1" applyBorder="1"/>
    <xf numFmtId="0" fontId="1" fillId="5" borderId="26" xfId="0" applyFont="1" applyFill="1" applyBorder="1"/>
    <xf numFmtId="0" fontId="1" fillId="5" borderId="26" xfId="0" applyFont="1" applyFill="1" applyBorder="1" applyAlignment="1">
      <alignment vertical="top"/>
    </xf>
    <xf numFmtId="0" fontId="122" fillId="0" borderId="26" xfId="0" applyFont="1" applyBorder="1" applyAlignment="1">
      <alignment wrapText="1"/>
    </xf>
    <xf numFmtId="0" fontId="122" fillId="0" borderId="26" xfId="0" applyFont="1" applyBorder="1" applyAlignment="1">
      <alignment horizontal="center" wrapText="1"/>
    </xf>
    <xf numFmtId="0" fontId="1" fillId="5" borderId="25" xfId="0" applyFont="1" applyFill="1" applyBorder="1" applyAlignment="1">
      <alignment vertical="top"/>
    </xf>
    <xf numFmtId="3" fontId="1" fillId="5" borderId="0" xfId="0" applyNumberFormat="1" applyFont="1" applyFill="1" applyBorder="1" applyAlignment="1">
      <alignment vertical="top"/>
    </xf>
    <xf numFmtId="0" fontId="1" fillId="5" borderId="0" xfId="0" applyFont="1" applyFill="1" applyBorder="1" applyAlignment="1">
      <alignment vertical="top" wrapText="1"/>
    </xf>
    <xf numFmtId="168" fontId="1" fillId="5" borderId="0" xfId="0" applyNumberFormat="1" applyFont="1" applyFill="1" applyBorder="1" applyAlignment="1">
      <alignment vertical="top"/>
    </xf>
    <xf numFmtId="0" fontId="1" fillId="0" borderId="28" xfId="0" applyFont="1" applyBorder="1" applyAlignment="1"/>
    <xf numFmtId="0" fontId="1" fillId="0" borderId="35" xfId="0" applyFont="1" applyBorder="1"/>
    <xf numFmtId="168" fontId="118" fillId="5" borderId="1" xfId="2" applyNumberFormat="1" applyFont="1" applyFill="1" applyBorder="1" applyAlignment="1">
      <alignment horizontal="right" vertical="center" wrapText="1"/>
    </xf>
    <xf numFmtId="0" fontId="122" fillId="5" borderId="81" xfId="0" applyFont="1" applyFill="1" applyBorder="1" applyAlignment="1">
      <alignment horizontal="center" vertical="center" wrapText="1"/>
    </xf>
    <xf numFmtId="168" fontId="118" fillId="5" borderId="81" xfId="2" applyNumberFormat="1" applyFont="1" applyFill="1" applyBorder="1" applyAlignment="1">
      <alignment horizontal="right" vertical="center" wrapText="1"/>
    </xf>
    <xf numFmtId="0" fontId="118" fillId="0" borderId="133" xfId="0" applyFont="1" applyFill="1" applyBorder="1" applyAlignment="1">
      <alignment horizontal="center" vertical="center" wrapText="1"/>
    </xf>
    <xf numFmtId="0" fontId="1" fillId="0" borderId="29" xfId="0" applyFont="1" applyBorder="1"/>
    <xf numFmtId="0" fontId="1" fillId="0" borderId="36" xfId="0" applyFont="1" applyBorder="1"/>
    <xf numFmtId="169" fontId="120" fillId="0" borderId="35" xfId="4" applyNumberFormat="1" applyFont="1" applyFill="1" applyBorder="1" applyAlignment="1">
      <alignment horizontal="center"/>
    </xf>
    <xf numFmtId="166" fontId="118" fillId="0" borderId="1" xfId="1" applyNumberFormat="1" applyFont="1" applyFill="1" applyBorder="1" applyAlignment="1">
      <alignment horizontal="left" vertical="center" wrapText="1"/>
    </xf>
    <xf numFmtId="5" fontId="118" fillId="5" borderId="1" xfId="2" applyNumberFormat="1" applyFont="1" applyFill="1" applyBorder="1" applyAlignment="1">
      <alignment horizontal="left" vertical="center"/>
    </xf>
    <xf numFmtId="0" fontId="0" fillId="0" borderId="29" xfId="0" applyBorder="1" applyAlignment="1">
      <alignment vertical="center"/>
    </xf>
    <xf numFmtId="0" fontId="0" fillId="0" borderId="36" xfId="0" applyBorder="1" applyAlignment="1">
      <alignment vertical="center"/>
    </xf>
    <xf numFmtId="166" fontId="122" fillId="5" borderId="1" xfId="1" applyNumberFormat="1" applyFont="1" applyFill="1" applyBorder="1" applyAlignment="1">
      <alignment horizontal="center" vertical="center"/>
    </xf>
    <xf numFmtId="0" fontId="122" fillId="5" borderId="0" xfId="0" applyFont="1" applyFill="1" applyBorder="1" applyAlignment="1">
      <alignment horizontal="center" vertical="center"/>
    </xf>
    <xf numFmtId="0" fontId="122" fillId="5" borderId="6" xfId="0" applyFont="1" applyFill="1" applyBorder="1" applyAlignment="1">
      <alignment horizontal="center" vertical="center" wrapText="1"/>
    </xf>
    <xf numFmtId="0" fontId="122" fillId="5" borderId="6" xfId="0" applyFont="1" applyFill="1" applyBorder="1" applyAlignment="1">
      <alignment horizontal="left" vertical="center" wrapText="1"/>
    </xf>
    <xf numFmtId="0" fontId="122" fillId="5" borderId="46" xfId="0" applyFont="1" applyFill="1" applyBorder="1" applyAlignment="1">
      <alignment horizontal="left" vertical="center" wrapText="1"/>
    </xf>
    <xf numFmtId="0" fontId="122" fillId="5" borderId="29" xfId="0" applyFont="1" applyFill="1" applyBorder="1" applyAlignment="1">
      <alignment horizontal="left" vertical="center" wrapText="1"/>
    </xf>
    <xf numFmtId="0" fontId="3" fillId="5" borderId="0" xfId="0" applyFont="1" applyFill="1" applyBorder="1" applyAlignment="1">
      <alignment horizontal="right" vertical="center"/>
    </xf>
    <xf numFmtId="0" fontId="122" fillId="5" borderId="29" xfId="0" applyFont="1" applyFill="1" applyBorder="1" applyAlignment="1">
      <alignment horizontal="center" vertical="center"/>
    </xf>
    <xf numFmtId="168" fontId="118" fillId="0" borderId="1" xfId="0" applyNumberFormat="1" applyFont="1" applyFill="1" applyBorder="1" applyAlignment="1">
      <alignment horizontal="right" vertical="center"/>
    </xf>
    <xf numFmtId="3" fontId="118" fillId="0" borderId="28" xfId="0" applyNumberFormat="1" applyFont="1" applyFill="1" applyBorder="1" applyAlignment="1">
      <alignment horizontal="center" vertical="center"/>
    </xf>
    <xf numFmtId="0" fontId="16" fillId="0" borderId="0" xfId="0" applyFont="1" applyFill="1" applyBorder="1" applyAlignment="1">
      <alignment horizontal="left" vertical="center"/>
    </xf>
    <xf numFmtId="0" fontId="118" fillId="0" borderId="28" xfId="0" applyFont="1" applyFill="1" applyBorder="1" applyAlignment="1">
      <alignment horizontal="center" vertical="center" wrapText="1"/>
    </xf>
    <xf numFmtId="0" fontId="120" fillId="5" borderId="29" xfId="0" applyFont="1" applyFill="1" applyBorder="1" applyAlignment="1">
      <alignment horizontal="left" vertical="center"/>
    </xf>
    <xf numFmtId="0" fontId="120" fillId="5" borderId="0" xfId="0" applyFont="1" applyFill="1" applyBorder="1" applyAlignment="1">
      <alignment horizontal="left" vertical="center"/>
    </xf>
    <xf numFmtId="0" fontId="122" fillId="5" borderId="36" xfId="0" applyFont="1" applyFill="1" applyBorder="1" applyAlignment="1">
      <alignment vertical="center"/>
    </xf>
    <xf numFmtId="0" fontId="122" fillId="0" borderId="0" xfId="0" applyFont="1" applyFill="1" applyBorder="1" applyAlignment="1">
      <alignment horizontal="center" vertical="center" wrapText="1"/>
    </xf>
    <xf numFmtId="164" fontId="122" fillId="5" borderId="1" xfId="1" applyNumberFormat="1" applyFont="1" applyFill="1" applyBorder="1" applyAlignment="1">
      <alignment horizontal="center" vertical="center"/>
    </xf>
    <xf numFmtId="0" fontId="122" fillId="5" borderId="2" xfId="0" applyFont="1" applyFill="1" applyBorder="1" applyAlignment="1">
      <alignment horizontal="center" vertical="center" wrapText="1"/>
    </xf>
    <xf numFmtId="5" fontId="118" fillId="5" borderId="2" xfId="2" applyNumberFormat="1" applyFont="1" applyFill="1" applyBorder="1" applyAlignment="1">
      <alignment horizontal="center" vertical="center" wrapText="1"/>
    </xf>
    <xf numFmtId="5" fontId="118" fillId="5" borderId="0" xfId="2" applyNumberFormat="1" applyFont="1" applyFill="1" applyBorder="1" applyAlignment="1">
      <alignment horizontal="center" vertical="center" wrapText="1"/>
    </xf>
    <xf numFmtId="180" fontId="118" fillId="5" borderId="0" xfId="0" applyNumberFormat="1" applyFont="1" applyFill="1" applyBorder="1" applyAlignment="1">
      <alignment horizontal="right" vertical="center" wrapText="1"/>
    </xf>
    <xf numFmtId="5" fontId="118" fillId="5" borderId="0" xfId="2" applyNumberFormat="1" applyFont="1" applyFill="1" applyBorder="1" applyAlignment="1">
      <alignment horizontal="right" vertical="center" wrapText="1"/>
    </xf>
    <xf numFmtId="0" fontId="118" fillId="0" borderId="94" xfId="0" applyFont="1" applyFill="1" applyBorder="1" applyAlignment="1">
      <alignment horizontal="left" vertical="center" wrapText="1"/>
    </xf>
    <xf numFmtId="166" fontId="118" fillId="0" borderId="1" xfId="1" applyNumberFormat="1" applyFont="1" applyFill="1" applyBorder="1" applyAlignment="1">
      <alignment horizontal="left" vertical="center"/>
    </xf>
    <xf numFmtId="3" fontId="118" fillId="0" borderId="1" xfId="0" applyNumberFormat="1" applyFont="1" applyFill="1" applyBorder="1" applyAlignment="1">
      <alignment horizontal="left" vertical="center"/>
    </xf>
    <xf numFmtId="0" fontId="122" fillId="0" borderId="10" xfId="0" applyFont="1" applyFill="1" applyBorder="1" applyAlignment="1">
      <alignment horizontal="center" vertical="center" wrapText="1"/>
    </xf>
    <xf numFmtId="0" fontId="122" fillId="0" borderId="1" xfId="0" applyFont="1" applyBorder="1" applyAlignment="1">
      <alignment horizontal="left" vertical="center" wrapText="1"/>
    </xf>
    <xf numFmtId="166" fontId="118" fillId="0" borderId="115" xfId="1" applyNumberFormat="1" applyFont="1" applyFill="1" applyBorder="1" applyAlignment="1">
      <alignment horizontal="center" vertical="center"/>
    </xf>
    <xf numFmtId="0" fontId="118" fillId="0" borderId="9" xfId="0" applyFont="1" applyFill="1" applyBorder="1" applyAlignment="1">
      <alignment horizontal="left" vertical="center" wrapText="1"/>
    </xf>
    <xf numFmtId="0" fontId="118" fillId="0" borderId="81" xfId="0" applyFont="1" applyFill="1" applyBorder="1" applyAlignment="1">
      <alignment horizontal="center" vertical="center" wrapText="1"/>
    </xf>
    <xf numFmtId="0" fontId="122" fillId="71" borderId="1" xfId="0" applyFont="1" applyFill="1" applyBorder="1" applyAlignment="1">
      <alignment horizontal="left" vertical="center"/>
    </xf>
    <xf numFmtId="0" fontId="122" fillId="71" borderId="118" xfId="0" applyFont="1" applyFill="1" applyBorder="1" applyAlignment="1">
      <alignment horizontal="left" vertical="center" wrapText="1"/>
    </xf>
    <xf numFmtId="0" fontId="3" fillId="5" borderId="115" xfId="0" applyFont="1" applyFill="1" applyBorder="1" applyAlignment="1">
      <alignment vertical="center"/>
    </xf>
    <xf numFmtId="0" fontId="3" fillId="0" borderId="132" xfId="0" applyFont="1" applyBorder="1" applyAlignment="1">
      <alignment vertical="center"/>
    </xf>
    <xf numFmtId="0" fontId="122" fillId="5" borderId="0" xfId="0" applyFont="1" applyFill="1" applyBorder="1" applyAlignment="1">
      <alignment horizontal="center" vertical="center" wrapText="1"/>
    </xf>
    <xf numFmtId="0" fontId="122" fillId="5" borderId="6" xfId="0" applyFont="1" applyFill="1" applyBorder="1" applyAlignment="1">
      <alignment horizontal="center" vertical="center" wrapText="1"/>
    </xf>
    <xf numFmtId="0" fontId="122" fillId="0" borderId="6" xfId="0" applyFont="1" applyFill="1" applyBorder="1" applyAlignment="1">
      <alignment horizontal="left" vertical="center" wrapText="1"/>
    </xf>
    <xf numFmtId="0" fontId="118" fillId="0" borderId="6" xfId="0" applyFont="1" applyFill="1" applyBorder="1" applyAlignment="1">
      <alignment horizontal="center" vertical="center" wrapText="1"/>
    </xf>
    <xf numFmtId="0" fontId="118" fillId="0" borderId="0" xfId="0" applyFont="1" applyFill="1" applyBorder="1" applyAlignment="1">
      <alignment horizontal="center" vertical="center" wrapText="1"/>
    </xf>
    <xf numFmtId="0" fontId="132" fillId="5" borderId="0" xfId="0" applyFont="1" applyFill="1" applyBorder="1" applyAlignment="1">
      <alignment horizontal="center" wrapText="1"/>
    </xf>
    <xf numFmtId="0" fontId="122" fillId="5" borderId="0" xfId="0" applyFont="1" applyFill="1" applyBorder="1" applyAlignment="1">
      <alignment horizontal="center" vertical="top" wrapText="1"/>
    </xf>
    <xf numFmtId="3" fontId="118" fillId="5" borderId="0" xfId="0" applyNumberFormat="1" applyFont="1" applyFill="1" applyBorder="1" applyAlignment="1">
      <alignment horizontal="center" vertical="center" wrapText="1"/>
    </xf>
    <xf numFmtId="0" fontId="135" fillId="5" borderId="0" xfId="0" applyFont="1" applyFill="1" applyBorder="1" applyAlignment="1">
      <alignment horizontal="center" wrapText="1"/>
    </xf>
    <xf numFmtId="0" fontId="122" fillId="0" borderId="0" xfId="0" applyFont="1" applyFill="1" applyBorder="1" applyAlignment="1">
      <alignment horizontal="center" vertical="top"/>
    </xf>
    <xf numFmtId="0" fontId="135" fillId="5" borderId="0" xfId="0" applyFont="1" applyFill="1" applyBorder="1" applyAlignment="1">
      <alignment horizontal="left" wrapText="1"/>
    </xf>
    <xf numFmtId="0" fontId="135" fillId="5" borderId="0" xfId="0" applyFont="1" applyFill="1" applyBorder="1" applyAlignment="1">
      <alignment horizontal="left" vertical="center" wrapText="1"/>
    </xf>
    <xf numFmtId="0" fontId="118" fillId="5" borderId="0" xfId="0" applyFont="1" applyFill="1" applyBorder="1" applyAlignment="1">
      <alignment horizontal="center" vertical="center" wrapText="1"/>
    </xf>
    <xf numFmtId="0" fontId="3" fillId="5" borderId="0" xfId="0" applyFont="1" applyFill="1" applyBorder="1" applyAlignment="1"/>
    <xf numFmtId="0" fontId="3" fillId="5" borderId="0" xfId="0" applyFont="1" applyFill="1" applyBorder="1" applyAlignment="1">
      <alignment wrapText="1"/>
    </xf>
    <xf numFmtId="0" fontId="122" fillId="6" borderId="7" xfId="0" applyFont="1" applyFill="1" applyBorder="1" applyAlignment="1">
      <alignment horizontal="left" vertical="center" wrapText="1"/>
    </xf>
    <xf numFmtId="184" fontId="118" fillId="5" borderId="1" xfId="2" applyNumberFormat="1" applyFont="1" applyFill="1" applyBorder="1" applyAlignment="1">
      <alignment horizontal="right" vertical="center" wrapText="1"/>
    </xf>
    <xf numFmtId="0" fontId="3" fillId="0" borderId="119" xfId="0" applyFont="1" applyBorder="1" applyAlignment="1">
      <alignment vertical="center"/>
    </xf>
    <xf numFmtId="0" fontId="125" fillId="5" borderId="119" xfId="286" applyFont="1" applyFill="1" applyBorder="1" applyAlignment="1">
      <alignment vertical="center"/>
    </xf>
    <xf numFmtId="0" fontId="3" fillId="0" borderId="36" xfId="0" applyFont="1" applyBorder="1" applyAlignment="1">
      <alignment vertical="center"/>
    </xf>
    <xf numFmtId="3" fontId="118" fillId="0" borderId="118" xfId="0" applyNumberFormat="1" applyFont="1" applyFill="1" applyBorder="1" applyAlignment="1">
      <alignment horizontal="right" vertical="center" wrapText="1"/>
    </xf>
    <xf numFmtId="0" fontId="122" fillId="0" borderId="136" xfId="0" applyFont="1" applyFill="1" applyBorder="1" applyAlignment="1">
      <alignment horizontal="center" vertical="center"/>
    </xf>
    <xf numFmtId="0" fontId="118" fillId="0" borderId="115" xfId="0" applyFont="1" applyFill="1" applyBorder="1" applyAlignment="1">
      <alignment horizontal="left" vertical="center" wrapText="1"/>
    </xf>
    <xf numFmtId="0" fontId="132" fillId="5" borderId="35" xfId="0" applyFont="1" applyFill="1" applyBorder="1" applyAlignment="1">
      <alignment horizontal="center" vertical="center" wrapText="1"/>
    </xf>
    <xf numFmtId="0" fontId="120" fillId="5" borderId="29" xfId="0" applyFont="1" applyFill="1" applyBorder="1" applyAlignment="1">
      <alignment vertical="center"/>
    </xf>
    <xf numFmtId="0" fontId="3" fillId="5" borderId="137" xfId="0" applyFont="1" applyFill="1" applyBorder="1" applyAlignment="1">
      <alignment vertical="center"/>
    </xf>
    <xf numFmtId="0" fontId="122" fillId="5" borderId="119" xfId="0" applyFont="1" applyFill="1" applyBorder="1" applyAlignment="1">
      <alignment vertical="center" wrapText="1"/>
    </xf>
    <xf numFmtId="0" fontId="122" fillId="0" borderId="115" xfId="0" applyFont="1" applyFill="1" applyBorder="1" applyAlignment="1">
      <alignment horizontal="center" vertical="center"/>
    </xf>
    <xf numFmtId="0" fontId="122" fillId="0" borderId="119" xfId="0" applyFont="1" applyFill="1" applyBorder="1" applyAlignment="1">
      <alignment horizontal="center" vertical="center"/>
    </xf>
    <xf numFmtId="0" fontId="122" fillId="0" borderId="88" xfId="0" applyFont="1" applyFill="1" applyBorder="1" applyAlignment="1">
      <alignment horizontal="center" vertical="center"/>
    </xf>
    <xf numFmtId="168" fontId="118" fillId="71" borderId="1" xfId="2" applyNumberFormat="1" applyFont="1" applyFill="1" applyBorder="1" applyAlignment="1">
      <alignment horizontal="right" vertical="center" wrapText="1"/>
    </xf>
    <xf numFmtId="184" fontId="118" fillId="71" borderId="1" xfId="2" applyNumberFormat="1" applyFont="1" applyFill="1" applyBorder="1" applyAlignment="1">
      <alignment horizontal="right" vertical="center" wrapText="1"/>
    </xf>
    <xf numFmtId="0" fontId="118" fillId="5" borderId="29" xfId="0" applyFont="1" applyFill="1" applyBorder="1" applyAlignment="1">
      <alignment vertical="center" wrapText="1"/>
    </xf>
    <xf numFmtId="0" fontId="118" fillId="5" borderId="29" xfId="0" applyFont="1" applyFill="1" applyBorder="1" applyAlignment="1">
      <alignment horizontal="center" vertical="center" wrapText="1"/>
    </xf>
    <xf numFmtId="3" fontId="118" fillId="5" borderId="138" xfId="0" applyNumberFormat="1" applyFont="1" applyFill="1" applyBorder="1" applyAlignment="1">
      <alignment vertical="center" wrapText="1"/>
    </xf>
    <xf numFmtId="0" fontId="120" fillId="0" borderId="29" xfId="0" applyFont="1" applyFill="1" applyBorder="1" applyAlignment="1">
      <alignment horizontal="left" vertical="center"/>
    </xf>
    <xf numFmtId="0" fontId="120" fillId="0" borderId="0" xfId="0" applyFont="1" applyFill="1" applyBorder="1" applyAlignment="1">
      <alignment vertical="center"/>
    </xf>
    <xf numFmtId="0" fontId="144" fillId="0" borderId="28" xfId="0" applyFont="1" applyBorder="1"/>
    <xf numFmtId="0" fontId="136" fillId="5" borderId="28" xfId="0" applyFont="1" applyFill="1" applyBorder="1"/>
    <xf numFmtId="0" fontId="138" fillId="5" borderId="28" xfId="0" applyFont="1" applyFill="1" applyBorder="1" applyAlignment="1">
      <alignment horizontal="center" vertical="top"/>
    </xf>
    <xf numFmtId="0" fontId="136" fillId="5" borderId="119" xfId="0" applyFont="1" applyFill="1" applyBorder="1"/>
    <xf numFmtId="0" fontId="136" fillId="5" borderId="29" xfId="0" applyFont="1" applyFill="1" applyBorder="1"/>
    <xf numFmtId="0" fontId="136" fillId="5" borderId="36" xfId="0" applyFont="1" applyFill="1" applyBorder="1"/>
    <xf numFmtId="0" fontId="136" fillId="5" borderId="27" xfId="0" applyFont="1" applyFill="1" applyBorder="1"/>
    <xf numFmtId="0" fontId="146" fillId="5" borderId="28" xfId="0" applyFont="1" applyFill="1" applyBorder="1" applyAlignment="1">
      <alignment horizontal="center" wrapText="1"/>
    </xf>
    <xf numFmtId="0" fontId="138" fillId="0" borderId="25" xfId="0" applyFont="1" applyBorder="1" applyAlignment="1">
      <alignment horizontal="center" wrapText="1"/>
    </xf>
    <xf numFmtId="0" fontId="138" fillId="5" borderId="1" xfId="0" applyFont="1" applyFill="1" applyBorder="1" applyAlignment="1">
      <alignment vertical="top" wrapText="1"/>
    </xf>
    <xf numFmtId="0" fontId="138" fillId="5" borderId="1" xfId="0" applyFont="1" applyFill="1" applyBorder="1" applyAlignment="1">
      <alignment horizontal="center" vertical="top" wrapText="1"/>
    </xf>
    <xf numFmtId="3" fontId="138" fillId="0" borderId="81" xfId="0" applyNumberFormat="1" applyFont="1" applyFill="1" applyBorder="1" applyAlignment="1">
      <alignment horizontal="right" vertical="top" wrapText="1"/>
    </xf>
    <xf numFmtId="3" fontId="138" fillId="0" borderId="125" xfId="0" applyNumberFormat="1" applyFont="1" applyFill="1" applyBorder="1" applyAlignment="1">
      <alignment horizontal="right" vertical="top" wrapText="1"/>
    </xf>
    <xf numFmtId="0" fontId="136" fillId="0" borderId="28" xfId="0" applyFont="1" applyBorder="1"/>
    <xf numFmtId="0" fontId="138" fillId="0" borderId="1" xfId="0" applyFont="1" applyFill="1" applyBorder="1" applyAlignment="1">
      <alignment horizontal="left" vertical="center" wrapText="1"/>
    </xf>
    <xf numFmtId="0" fontId="138" fillId="0" borderId="1" xfId="0" applyFont="1" applyFill="1" applyBorder="1" applyAlignment="1">
      <alignment horizontal="left" vertical="center"/>
    </xf>
    <xf numFmtId="3" fontId="138" fillId="0" borderId="7" xfId="0" applyNumberFormat="1" applyFont="1" applyFill="1" applyBorder="1" applyAlignment="1">
      <alignment horizontal="right" vertical="center" wrapText="1"/>
    </xf>
    <xf numFmtId="3" fontId="138" fillId="0" borderId="125" xfId="0" applyNumberFormat="1" applyFont="1" applyFill="1" applyBorder="1" applyAlignment="1">
      <alignment horizontal="right" vertical="center" wrapText="1"/>
    </xf>
    <xf numFmtId="0" fontId="138" fillId="5" borderId="119" xfId="0" applyFont="1" applyFill="1" applyBorder="1" applyAlignment="1">
      <alignment horizontal="center" vertical="top"/>
    </xf>
    <xf numFmtId="0" fontId="138" fillId="5" borderId="29" xfId="0" applyFont="1" applyFill="1" applyBorder="1" applyAlignment="1">
      <alignment horizontal="center" vertical="top"/>
    </xf>
    <xf numFmtId="0" fontId="138" fillId="5" borderId="36" xfId="0" applyFont="1" applyFill="1" applyBorder="1" applyAlignment="1">
      <alignment horizontal="center" vertical="top"/>
    </xf>
    <xf numFmtId="0" fontId="136" fillId="0" borderId="29" xfId="0" applyFont="1" applyBorder="1" applyAlignment="1"/>
    <xf numFmtId="0" fontId="138" fillId="5" borderId="29" xfId="0" applyFont="1" applyFill="1" applyBorder="1" applyAlignment="1">
      <alignment vertical="top"/>
    </xf>
    <xf numFmtId="0" fontId="136" fillId="5" borderId="29" xfId="0" applyFont="1" applyFill="1" applyBorder="1" applyAlignment="1"/>
    <xf numFmtId="0" fontId="148" fillId="68" borderId="1" xfId="0" applyFont="1" applyFill="1" applyBorder="1" applyAlignment="1">
      <alignment horizontal="center" vertical="center" wrapText="1"/>
    </xf>
    <xf numFmtId="0" fontId="125" fillId="0" borderId="1" xfId="286" applyFont="1" applyBorder="1" applyAlignment="1">
      <alignment horizontal="center" vertical="center" wrapText="1"/>
    </xf>
    <xf numFmtId="0" fontId="1" fillId="5" borderId="1" xfId="0" applyFont="1" applyFill="1" applyBorder="1" applyAlignment="1">
      <alignment vertical="center" wrapText="1"/>
    </xf>
    <xf numFmtId="0" fontId="106" fillId="5" borderId="1" xfId="0" applyFont="1" applyFill="1" applyBorder="1" applyAlignment="1">
      <alignment vertical="center" wrapText="1"/>
    </xf>
    <xf numFmtId="0" fontId="122" fillId="5" borderId="0" xfId="0" applyFont="1" applyFill="1" applyAlignment="1">
      <alignment horizontal="left" vertical="center"/>
    </xf>
    <xf numFmtId="0" fontId="16" fillId="5" borderId="1" xfId="0" applyFont="1" applyFill="1" applyBorder="1" applyAlignment="1">
      <alignment vertical="center" wrapText="1"/>
    </xf>
    <xf numFmtId="0" fontId="154" fillId="69" borderId="1" xfId="0" applyFont="1" applyFill="1" applyBorder="1" applyAlignment="1">
      <alignment vertical="top" wrapText="1"/>
    </xf>
    <xf numFmtId="0" fontId="154" fillId="7" borderId="118" xfId="0" applyFont="1" applyFill="1" applyBorder="1" applyAlignment="1">
      <alignment horizontal="center" vertical="center" wrapText="1"/>
    </xf>
    <xf numFmtId="0" fontId="3" fillId="7" borderId="7" xfId="0" applyFont="1" applyFill="1" applyBorder="1" applyAlignment="1">
      <alignment horizontal="center" vertical="center"/>
    </xf>
    <xf numFmtId="0" fontId="122" fillId="5" borderId="0" xfId="0" applyFont="1" applyFill="1" applyBorder="1" applyAlignment="1">
      <alignment horizontal="center" vertical="center"/>
    </xf>
    <xf numFmtId="0" fontId="118" fillId="5" borderId="6" xfId="0" applyFont="1" applyFill="1" applyBorder="1" applyAlignment="1">
      <alignment horizontal="left" vertical="center" wrapText="1"/>
    </xf>
    <xf numFmtId="0" fontId="122" fillId="5" borderId="6" xfId="0" applyFont="1" applyFill="1" applyBorder="1" applyAlignment="1">
      <alignment horizontal="center" vertical="center" wrapText="1"/>
    </xf>
    <xf numFmtId="0" fontId="122" fillId="5" borderId="0" xfId="0" applyFont="1" applyFill="1" applyBorder="1" applyAlignment="1">
      <alignment horizontal="center" vertical="center" wrapText="1"/>
    </xf>
    <xf numFmtId="0" fontId="122" fillId="0" borderId="6" xfId="0" applyFont="1" applyFill="1" applyBorder="1" applyAlignment="1">
      <alignment horizontal="center" vertical="center" wrapText="1"/>
    </xf>
    <xf numFmtId="0" fontId="122" fillId="5" borderId="0" xfId="0" applyFont="1" applyFill="1" applyBorder="1" applyAlignment="1">
      <alignment horizontal="left" vertical="center" wrapText="1"/>
    </xf>
    <xf numFmtId="0" fontId="118" fillId="0" borderId="1" xfId="0" applyFont="1" applyFill="1" applyBorder="1" applyAlignment="1">
      <alignment horizontal="left" vertical="center" wrapText="1"/>
    </xf>
    <xf numFmtId="0" fontId="118" fillId="0" borderId="6" xfId="0" applyFont="1" applyFill="1" applyBorder="1" applyAlignment="1">
      <alignment horizontal="center" vertical="center" wrapText="1"/>
    </xf>
    <xf numFmtId="0" fontId="118" fillId="5" borderId="0" xfId="0" applyFont="1" applyFill="1" applyBorder="1" applyAlignment="1">
      <alignment horizontal="left" vertical="center" wrapText="1"/>
    </xf>
    <xf numFmtId="0" fontId="122" fillId="5" borderId="6" xfId="0" applyFont="1" applyFill="1" applyBorder="1" applyAlignment="1">
      <alignment horizontal="center" vertical="center"/>
    </xf>
    <xf numFmtId="0" fontId="3" fillId="5" borderId="0" xfId="0" applyFont="1" applyFill="1" applyBorder="1" applyAlignment="1">
      <alignment horizontal="center" vertical="center"/>
    </xf>
    <xf numFmtId="0" fontId="135" fillId="5" borderId="0" xfId="0" applyFont="1" applyFill="1" applyBorder="1" applyAlignment="1">
      <alignment horizontal="left" wrapText="1"/>
    </xf>
    <xf numFmtId="0" fontId="122" fillId="5" borderId="1" xfId="0" applyFont="1" applyFill="1" applyBorder="1" applyAlignment="1">
      <alignment horizontal="left" vertical="top"/>
    </xf>
    <xf numFmtId="0" fontId="120" fillId="0" borderId="0" xfId="0" applyFont="1" applyFill="1" applyBorder="1" applyAlignment="1">
      <alignment horizontal="left" vertical="center" wrapText="1"/>
    </xf>
    <xf numFmtId="0" fontId="135" fillId="5" borderId="0" xfId="0" applyFont="1" applyFill="1" applyBorder="1" applyAlignment="1">
      <alignment horizontal="left" vertical="center" wrapText="1"/>
    </xf>
    <xf numFmtId="0" fontId="132" fillId="5" borderId="0" xfId="0" applyFont="1" applyFill="1" applyBorder="1" applyAlignment="1">
      <alignment horizontal="center" vertical="center" wrapText="1"/>
    </xf>
    <xf numFmtId="0" fontId="118" fillId="5" borderId="28" xfId="0" applyFont="1" applyFill="1" applyBorder="1" applyAlignment="1">
      <alignment horizontal="center" vertical="center" wrapText="1"/>
    </xf>
    <xf numFmtId="0" fontId="3" fillId="5" borderId="0" xfId="0" applyFont="1" applyFill="1" applyBorder="1" applyAlignment="1"/>
    <xf numFmtId="0" fontId="122" fillId="5" borderId="29" xfId="0" applyFont="1" applyFill="1" applyBorder="1" applyAlignment="1">
      <alignment horizontal="center" vertical="center"/>
    </xf>
    <xf numFmtId="3" fontId="118" fillId="5" borderId="0" xfId="0" applyNumberFormat="1" applyFont="1" applyFill="1" applyBorder="1" applyAlignment="1">
      <alignment horizontal="center" vertical="center"/>
    </xf>
    <xf numFmtId="0" fontId="135" fillId="5" borderId="0" xfId="0" applyFont="1" applyFill="1" applyBorder="1" applyAlignment="1">
      <alignment horizontal="center"/>
    </xf>
    <xf numFmtId="0" fontId="3" fillId="5" borderId="137" xfId="0" applyFont="1" applyFill="1" applyBorder="1" applyAlignment="1">
      <alignment horizontal="left" vertical="center"/>
    </xf>
    <xf numFmtId="0" fontId="0" fillId="0" borderId="29" xfId="0" applyFill="1" applyBorder="1" applyAlignment="1">
      <alignment horizontal="center" vertical="top"/>
    </xf>
    <xf numFmtId="0" fontId="122" fillId="5" borderId="133" xfId="0" applyFont="1" applyFill="1" applyBorder="1" applyAlignment="1">
      <alignment horizontal="center" vertical="top"/>
    </xf>
    <xf numFmtId="0" fontId="122" fillId="5" borderId="28" xfId="0" applyFont="1" applyFill="1" applyBorder="1" applyAlignment="1">
      <alignment horizontal="center" vertical="top"/>
    </xf>
    <xf numFmtId="0" fontId="122" fillId="5" borderId="144" xfId="0" applyFont="1" applyFill="1" applyBorder="1" applyAlignment="1">
      <alignment horizontal="center" vertical="top"/>
    </xf>
    <xf numFmtId="0" fontId="122" fillId="5" borderId="28" xfId="0" applyFont="1" applyFill="1" applyBorder="1" applyAlignment="1">
      <alignment horizontal="center" vertical="top" wrapText="1"/>
    </xf>
    <xf numFmtId="0" fontId="3" fillId="0" borderId="28" xfId="0" applyFont="1" applyBorder="1"/>
    <xf numFmtId="0" fontId="3" fillId="5" borderId="144" xfId="0" applyFont="1" applyFill="1" applyBorder="1"/>
    <xf numFmtId="0" fontId="3" fillId="5" borderId="133" xfId="0" applyFont="1" applyFill="1" applyBorder="1" applyAlignment="1">
      <alignment vertical="top"/>
    </xf>
    <xf numFmtId="0" fontId="3" fillId="0" borderId="28" xfId="0" applyFont="1" applyBorder="1" applyAlignment="1"/>
    <xf numFmtId="0" fontId="3" fillId="5" borderId="144" xfId="0" applyFont="1" applyFill="1" applyBorder="1" applyAlignment="1">
      <alignment horizontal="center" vertical="top"/>
    </xf>
    <xf numFmtId="3" fontId="122" fillId="0" borderId="81" xfId="0" applyNumberFormat="1" applyFont="1" applyFill="1" applyBorder="1" applyAlignment="1">
      <alignment horizontal="right" vertical="top" wrapText="1"/>
    </xf>
    <xf numFmtId="0" fontId="3" fillId="5" borderId="88" xfId="0" applyFont="1" applyFill="1" applyBorder="1" applyAlignment="1">
      <alignment horizontal="center" vertical="top"/>
    </xf>
    <xf numFmtId="0" fontId="122" fillId="0" borderId="29" xfId="0" applyFont="1" applyFill="1" applyBorder="1" applyAlignment="1">
      <alignment horizontal="center" vertical="top"/>
    </xf>
    <xf numFmtId="0" fontId="3" fillId="5" borderId="133" xfId="0" applyFont="1" applyFill="1" applyBorder="1" applyAlignment="1">
      <alignment horizontal="center" vertical="top"/>
    </xf>
    <xf numFmtId="0" fontId="3" fillId="5" borderId="28" xfId="0" applyFont="1" applyFill="1" applyBorder="1" applyAlignment="1">
      <alignment vertical="top"/>
    </xf>
    <xf numFmtId="0" fontId="3" fillId="5" borderId="144" xfId="0" applyFont="1" applyFill="1" applyBorder="1" applyAlignment="1">
      <alignment vertical="top"/>
    </xf>
    <xf numFmtId="0" fontId="3" fillId="5" borderId="133" xfId="0" applyFont="1" applyFill="1" applyBorder="1"/>
    <xf numFmtId="0" fontId="3" fillId="0" borderId="29" xfId="0" applyFont="1" applyBorder="1" applyAlignment="1"/>
    <xf numFmtId="0" fontId="3" fillId="5" borderId="29" xfId="0" applyFont="1" applyFill="1" applyBorder="1" applyAlignment="1"/>
    <xf numFmtId="0" fontId="122" fillId="5" borderId="119" xfId="0" applyFont="1" applyFill="1" applyBorder="1" applyAlignment="1">
      <alignment horizontal="center" vertical="top"/>
    </xf>
    <xf numFmtId="0" fontId="122" fillId="5" borderId="29" xfId="0" applyFont="1" applyFill="1" applyBorder="1" applyAlignment="1">
      <alignment horizontal="center" vertical="top"/>
    </xf>
    <xf numFmtId="0" fontId="122" fillId="5" borderId="36" xfId="0" applyFont="1" applyFill="1" applyBorder="1" applyAlignment="1">
      <alignment horizontal="center" vertical="top"/>
    </xf>
    <xf numFmtId="3" fontId="122" fillId="0" borderId="0" xfId="0" applyNumberFormat="1" applyFont="1" applyFill="1" applyBorder="1" applyAlignment="1">
      <alignment horizontal="center" vertical="top"/>
    </xf>
    <xf numFmtId="0" fontId="122" fillId="5" borderId="35" xfId="0" applyFont="1" applyFill="1" applyBorder="1" applyAlignment="1">
      <alignment horizontal="center" vertical="top"/>
    </xf>
    <xf numFmtId="0" fontId="3" fillId="5" borderId="35" xfId="0" applyFont="1" applyFill="1" applyBorder="1"/>
    <xf numFmtId="0" fontId="3" fillId="5" borderId="28" xfId="0" applyFont="1" applyFill="1" applyBorder="1" applyAlignment="1">
      <alignment horizontal="center" vertical="top"/>
    </xf>
    <xf numFmtId="0" fontId="132" fillId="5" borderId="28" xfId="0" applyFont="1" applyFill="1" applyBorder="1" applyAlignment="1">
      <alignment horizontal="center" wrapText="1"/>
    </xf>
    <xf numFmtId="0" fontId="3" fillId="0" borderId="27" xfId="0" applyFont="1" applyBorder="1"/>
    <xf numFmtId="0" fontId="122" fillId="5" borderId="1" xfId="0" applyFont="1" applyFill="1" applyBorder="1" applyAlignment="1">
      <alignment horizontal="center" vertical="center" wrapText="1"/>
    </xf>
    <xf numFmtId="0" fontId="122" fillId="6" borderId="6" xfId="0" applyFont="1" applyFill="1" applyBorder="1" applyAlignment="1">
      <alignment horizontal="left" vertical="center" shrinkToFit="1"/>
    </xf>
    <xf numFmtId="166" fontId="133" fillId="6" borderId="1" xfId="1" applyNumberFormat="1" applyFont="1" applyFill="1" applyBorder="1" applyAlignment="1">
      <alignment horizontal="left" vertical="center"/>
    </xf>
    <xf numFmtId="210" fontId="133" fillId="6" borderId="1" xfId="1" applyNumberFormat="1" applyFont="1" applyFill="1" applyBorder="1" applyAlignment="1">
      <alignment horizontal="center" vertical="center"/>
    </xf>
    <xf numFmtId="180" fontId="133" fillId="6" borderId="1" xfId="1" applyNumberFormat="1" applyFont="1" applyFill="1" applyBorder="1" applyAlignment="1">
      <alignment horizontal="center" vertical="center"/>
    </xf>
    <xf numFmtId="0" fontId="122" fillId="0" borderId="29" xfId="0" applyFont="1" applyFill="1" applyBorder="1" applyAlignment="1">
      <alignment horizontal="center" vertical="top" wrapText="1"/>
    </xf>
    <xf numFmtId="0" fontId="122" fillId="5" borderId="133" xfId="0" applyFont="1" applyFill="1" applyBorder="1" applyAlignment="1">
      <alignment vertical="top"/>
    </xf>
    <xf numFmtId="0" fontId="122" fillId="5" borderId="28" xfId="0" applyFont="1" applyFill="1" applyBorder="1" applyAlignment="1">
      <alignment vertical="top"/>
    </xf>
    <xf numFmtId="0" fontId="3" fillId="5" borderId="35" xfId="0" applyFont="1" applyFill="1" applyBorder="1" applyAlignment="1">
      <alignment vertical="top"/>
    </xf>
    <xf numFmtId="0" fontId="122" fillId="5" borderId="133" xfId="0" applyFont="1" applyFill="1" applyBorder="1" applyAlignment="1">
      <alignment horizontal="center" vertical="top" wrapText="1"/>
    </xf>
    <xf numFmtId="0" fontId="3" fillId="0" borderId="28" xfId="0" applyFont="1" applyBorder="1" applyAlignment="1">
      <alignment horizontal="center"/>
    </xf>
    <xf numFmtId="0" fontId="130" fillId="0" borderId="28" xfId="0" applyFont="1" applyBorder="1" applyAlignment="1">
      <alignment horizontal="right"/>
    </xf>
    <xf numFmtId="3" fontId="122" fillId="0" borderId="81" xfId="0" applyNumberFormat="1" applyFont="1" applyFill="1" applyBorder="1" applyAlignment="1">
      <alignment horizontal="right" vertical="top"/>
    </xf>
    <xf numFmtId="0" fontId="3" fillId="0" borderId="0" xfId="0" applyFont="1" applyFill="1" applyBorder="1" applyAlignment="1">
      <alignment horizontal="center" vertical="top" wrapText="1"/>
    </xf>
    <xf numFmtId="0" fontId="122" fillId="0" borderId="6" xfId="0" applyFont="1" applyFill="1" applyBorder="1" applyAlignment="1">
      <alignment horizontal="left" vertical="top" wrapText="1"/>
    </xf>
    <xf numFmtId="0" fontId="130" fillId="0" borderId="133" xfId="0" applyFont="1" applyBorder="1" applyAlignment="1">
      <alignment horizontal="right"/>
    </xf>
    <xf numFmtId="0" fontId="122" fillId="8" borderId="33" xfId="0" applyFont="1" applyFill="1" applyBorder="1" applyAlignment="1">
      <alignment horizontal="left" vertical="top"/>
    </xf>
    <xf numFmtId="211" fontId="118" fillId="6" borderId="1" xfId="0" applyNumberFormat="1" applyFont="1" applyFill="1" applyBorder="1" applyAlignment="1">
      <alignment horizontal="right" vertical="center"/>
    </xf>
    <xf numFmtId="211" fontId="118" fillId="5" borderId="1" xfId="0" applyNumberFormat="1" applyFont="1" applyFill="1" applyBorder="1" applyAlignment="1">
      <alignment horizontal="right" vertical="center"/>
    </xf>
    <xf numFmtId="6" fontId="118" fillId="5" borderId="0" xfId="2" applyNumberFormat="1" applyFont="1" applyFill="1" applyBorder="1" applyAlignment="1">
      <alignment horizontal="center" vertical="center" wrapText="1"/>
    </xf>
    <xf numFmtId="0" fontId="0" fillId="0" borderId="0" xfId="0" applyFill="1" applyBorder="1" applyAlignment="1">
      <alignment horizontal="center" vertical="center" wrapText="1"/>
    </xf>
    <xf numFmtId="0" fontId="3" fillId="0" borderId="0" xfId="0" applyFont="1" applyFill="1" applyBorder="1" applyAlignment="1">
      <alignment wrapText="1"/>
    </xf>
    <xf numFmtId="0" fontId="120" fillId="0" borderId="0" xfId="0" applyFont="1" applyFill="1" applyBorder="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vertical="center"/>
    </xf>
    <xf numFmtId="0" fontId="1" fillId="0" borderId="0" xfId="0" applyFont="1" applyFill="1" applyBorder="1" applyAlignment="1"/>
    <xf numFmtId="0" fontId="0" fillId="0" borderId="0" xfId="0" applyFont="1" applyFill="1" applyBorder="1" applyAlignment="1">
      <alignment horizontal="center" wrapText="1"/>
    </xf>
    <xf numFmtId="0" fontId="0" fillId="0" borderId="0" xfId="0" applyFont="1" applyBorder="1" applyAlignment="1">
      <alignment horizontal="center" vertical="center" wrapText="1"/>
    </xf>
    <xf numFmtId="0" fontId="3" fillId="0" borderId="146" xfId="0" applyFont="1" applyBorder="1" applyAlignment="1">
      <alignment wrapText="1"/>
    </xf>
    <xf numFmtId="0" fontId="0" fillId="0" borderId="0" xfId="0" applyFont="1" applyFill="1" applyBorder="1" applyAlignment="1">
      <alignment horizontal="center" vertical="center" wrapText="1"/>
    </xf>
    <xf numFmtId="0" fontId="0" fillId="0" borderId="142" xfId="0" applyBorder="1"/>
    <xf numFmtId="3" fontId="138" fillId="6" borderId="98" xfId="0" applyNumberFormat="1" applyFont="1" applyFill="1" applyBorder="1" applyAlignment="1">
      <alignment horizontal="center" vertical="center"/>
    </xf>
    <xf numFmtId="0" fontId="0" fillId="0" borderId="2" xfId="0" applyBorder="1" applyAlignment="1">
      <alignment horizontal="center" vertical="center" wrapText="1"/>
    </xf>
    <xf numFmtId="0" fontId="1" fillId="5" borderId="6" xfId="0" applyFont="1" applyFill="1" applyBorder="1" applyAlignment="1">
      <alignment horizontal="left" vertical="center" wrapText="1"/>
    </xf>
    <xf numFmtId="0" fontId="122" fillId="6" borderId="1" xfId="4" applyNumberFormat="1" applyFont="1" applyFill="1" applyBorder="1" applyAlignment="1">
      <alignment horizontal="center" vertical="center" wrapText="1"/>
    </xf>
    <xf numFmtId="181" fontId="122" fillId="6" borderId="1" xfId="0" applyNumberFormat="1" applyFont="1" applyFill="1" applyBorder="1" applyAlignment="1">
      <alignment horizontal="center" vertical="center" wrapText="1"/>
    </xf>
    <xf numFmtId="0" fontId="3" fillId="5" borderId="92" xfId="0" applyFont="1" applyFill="1" applyBorder="1" applyAlignment="1">
      <alignment horizontal="center" vertical="center" wrapText="1"/>
    </xf>
    <xf numFmtId="181" fontId="122" fillId="5" borderId="1" xfId="0" applyNumberFormat="1" applyFont="1" applyFill="1" applyBorder="1" applyAlignment="1">
      <alignment horizontal="center" vertical="center" wrapText="1"/>
    </xf>
    <xf numFmtId="9" fontId="122" fillId="6" borderId="1" xfId="4" applyFont="1" applyFill="1" applyBorder="1" applyAlignment="1">
      <alignment horizontal="center" vertical="center" wrapText="1"/>
    </xf>
    <xf numFmtId="180" fontId="118" fillId="5" borderId="1" xfId="0" applyNumberFormat="1" applyFont="1" applyFill="1" applyBorder="1" applyAlignment="1">
      <alignment horizontal="right" vertical="center" wrapText="1"/>
    </xf>
    <xf numFmtId="180" fontId="118" fillId="5" borderId="81" xfId="0" applyNumberFormat="1" applyFont="1" applyFill="1" applyBorder="1" applyAlignment="1">
      <alignment horizontal="right" vertical="center" wrapText="1"/>
    </xf>
    <xf numFmtId="166" fontId="120" fillId="5" borderId="147" xfId="1" applyNumberFormat="1" applyFont="1" applyFill="1" applyBorder="1" applyAlignment="1">
      <alignment horizontal="center" vertical="center" wrapText="1"/>
    </xf>
    <xf numFmtId="0" fontId="3" fillId="0" borderId="144" xfId="0" applyFont="1" applyBorder="1" applyAlignment="1">
      <alignment vertical="center"/>
    </xf>
    <xf numFmtId="180" fontId="118" fillId="5" borderId="125" xfId="0" applyNumberFormat="1" applyFont="1" applyFill="1" applyBorder="1" applyAlignment="1">
      <alignment horizontal="right" vertical="center" wrapText="1"/>
    </xf>
    <xf numFmtId="3" fontId="118" fillId="0" borderId="7" xfId="0" applyNumberFormat="1" applyFont="1" applyFill="1" applyBorder="1" applyAlignment="1">
      <alignment horizontal="right" vertical="center"/>
    </xf>
    <xf numFmtId="3" fontId="118" fillId="0" borderId="125" xfId="0" applyNumberFormat="1" applyFont="1" applyFill="1" applyBorder="1" applyAlignment="1">
      <alignment horizontal="right" vertical="center"/>
    </xf>
    <xf numFmtId="3" fontId="118" fillId="5" borderId="1" xfId="0" applyNumberFormat="1" applyFont="1" applyFill="1" applyBorder="1" applyAlignment="1">
      <alignment horizontal="right" vertical="center"/>
    </xf>
    <xf numFmtId="3" fontId="118" fillId="5" borderId="81" xfId="0" applyNumberFormat="1" applyFont="1" applyFill="1" applyBorder="1" applyAlignment="1">
      <alignment horizontal="right" vertical="center"/>
    </xf>
    <xf numFmtId="9" fontId="122" fillId="6" borderId="7" xfId="4" applyFont="1" applyFill="1" applyBorder="1" applyAlignment="1">
      <alignment horizontal="center" vertical="center"/>
    </xf>
    <xf numFmtId="166" fontId="118" fillId="5" borderId="1" xfId="1" applyNumberFormat="1" applyFont="1" applyFill="1" applyBorder="1" applyAlignment="1">
      <alignment horizontal="right" vertical="center"/>
    </xf>
    <xf numFmtId="0" fontId="1" fillId="0" borderId="0" xfId="0" applyFont="1" applyFill="1" applyBorder="1" applyAlignment="1">
      <alignment vertical="center"/>
    </xf>
    <xf numFmtId="9" fontId="120" fillId="0" borderId="0" xfId="4" applyFont="1" applyFill="1" applyBorder="1" applyAlignment="1">
      <alignment horizontal="right" vertical="center" wrapText="1"/>
    </xf>
    <xf numFmtId="0" fontId="120" fillId="0" borderId="0" xfId="0" applyFont="1" applyFill="1" applyBorder="1" applyAlignment="1">
      <alignment horizontal="right" vertical="center" wrapText="1"/>
    </xf>
    <xf numFmtId="0" fontId="1" fillId="0" borderId="1" xfId="0" applyFont="1" applyBorder="1" applyAlignment="1">
      <alignment vertical="center"/>
    </xf>
    <xf numFmtId="0" fontId="1" fillId="5" borderId="0" xfId="0" applyFont="1" applyFill="1" applyBorder="1" applyAlignment="1">
      <alignment horizontal="right" vertical="center"/>
    </xf>
    <xf numFmtId="3" fontId="122" fillId="5" borderId="0" xfId="0" applyNumberFormat="1" applyFont="1" applyFill="1" applyBorder="1" applyAlignment="1">
      <alignment vertical="center"/>
    </xf>
    <xf numFmtId="0" fontId="122" fillId="0" borderId="0" xfId="0" applyFont="1" applyBorder="1" applyAlignment="1">
      <alignment horizontal="left" vertical="center" wrapText="1"/>
    </xf>
    <xf numFmtId="0" fontId="1" fillId="0" borderId="0" xfId="0" applyFont="1" applyBorder="1" applyAlignment="1">
      <alignment vertical="center" wrapText="1"/>
    </xf>
    <xf numFmtId="3" fontId="122" fillId="0" borderId="7" xfId="0" applyNumberFormat="1" applyFont="1" applyFill="1" applyBorder="1" applyAlignment="1">
      <alignment horizontal="right" vertical="center"/>
    </xf>
    <xf numFmtId="0" fontId="1" fillId="0" borderId="5" xfId="0" applyFont="1" applyBorder="1" applyAlignment="1">
      <alignment vertical="center"/>
    </xf>
    <xf numFmtId="3" fontId="1" fillId="5" borderId="0" xfId="0" applyNumberFormat="1" applyFont="1" applyFill="1" applyBorder="1" applyAlignment="1">
      <alignment vertical="center"/>
    </xf>
    <xf numFmtId="0" fontId="1" fillId="5" borderId="0" xfId="0" applyFont="1" applyFill="1" applyBorder="1" applyAlignment="1">
      <alignment vertical="center" wrapText="1"/>
    </xf>
    <xf numFmtId="168" fontId="1" fillId="5" borderId="0" xfId="0" applyNumberFormat="1" applyFont="1" applyFill="1" applyBorder="1" applyAlignment="1">
      <alignment vertical="center"/>
    </xf>
    <xf numFmtId="0" fontId="122" fillId="5" borderId="96" xfId="0" applyFont="1" applyFill="1" applyBorder="1" applyAlignment="1">
      <alignment vertical="center" wrapText="1"/>
    </xf>
    <xf numFmtId="0" fontId="122" fillId="5" borderId="99" xfId="0" applyFont="1" applyFill="1" applyBorder="1" applyAlignment="1">
      <alignment vertical="center" wrapText="1"/>
    </xf>
    <xf numFmtId="3" fontId="122" fillId="5" borderId="99" xfId="0" applyNumberFormat="1" applyFont="1" applyFill="1" applyBorder="1" applyAlignment="1">
      <alignment vertical="center" wrapText="1"/>
    </xf>
    <xf numFmtId="0" fontId="132" fillId="5" borderId="96" xfId="0" applyFont="1" applyFill="1" applyBorder="1" applyAlignment="1">
      <alignment vertical="center" wrapText="1"/>
    </xf>
    <xf numFmtId="0" fontId="132" fillId="5" borderId="99" xfId="0" applyFont="1" applyFill="1" applyBorder="1" applyAlignment="1">
      <alignment vertical="center" wrapText="1"/>
    </xf>
    <xf numFmtId="0" fontId="118" fillId="5" borderId="96" xfId="0" applyFont="1" applyFill="1" applyBorder="1" applyAlignment="1">
      <alignment vertical="center" wrapText="1"/>
    </xf>
    <xf numFmtId="0" fontId="118" fillId="5" borderId="99" xfId="0" applyFont="1" applyFill="1" applyBorder="1" applyAlignment="1">
      <alignment vertical="center" wrapText="1"/>
    </xf>
    <xf numFmtId="0" fontId="122" fillId="44" borderId="98" xfId="0" applyFont="1" applyFill="1" applyBorder="1" applyAlignment="1">
      <alignment vertical="center" wrapText="1"/>
    </xf>
    <xf numFmtId="0" fontId="122" fillId="44" borderId="97" xfId="0" applyFont="1" applyFill="1" applyBorder="1" applyAlignment="1">
      <alignment vertical="center" wrapText="1"/>
    </xf>
    <xf numFmtId="0" fontId="118" fillId="5" borderId="3" xfId="0" applyFont="1" applyFill="1" applyBorder="1" applyAlignment="1">
      <alignment horizontal="center" vertical="center" wrapText="1"/>
    </xf>
    <xf numFmtId="2" fontId="122" fillId="5" borderId="1" xfId="0" applyNumberFormat="1" applyFont="1" applyFill="1" applyBorder="1" applyAlignment="1">
      <alignment horizontal="center" vertical="center"/>
    </xf>
    <xf numFmtId="0" fontId="1" fillId="5" borderId="0" xfId="0" applyFont="1" applyFill="1" applyAlignment="1">
      <alignment vertical="top"/>
    </xf>
    <xf numFmtId="0" fontId="1" fillId="0" borderId="0" xfId="0" applyFont="1" applyAlignment="1">
      <alignment vertical="top"/>
    </xf>
    <xf numFmtId="0" fontId="1" fillId="5" borderId="144" xfId="0" applyFont="1" applyFill="1" applyBorder="1" applyAlignment="1">
      <alignment vertical="center"/>
    </xf>
    <xf numFmtId="0" fontId="122" fillId="5" borderId="144" xfId="0" applyFont="1" applyFill="1" applyBorder="1" applyAlignment="1">
      <alignment horizontal="center" vertical="center"/>
    </xf>
    <xf numFmtId="0" fontId="122" fillId="5" borderId="149" xfId="0" applyFont="1" applyFill="1" applyBorder="1" applyAlignment="1">
      <alignment horizontal="center" vertical="center"/>
    </xf>
    <xf numFmtId="0" fontId="122" fillId="5" borderId="149" xfId="0" applyFont="1" applyFill="1" applyBorder="1" applyAlignment="1">
      <alignment vertical="center"/>
    </xf>
    <xf numFmtId="0" fontId="1" fillId="5" borderId="149" xfId="0" applyFont="1" applyFill="1" applyBorder="1" applyAlignment="1">
      <alignment vertical="center"/>
    </xf>
    <xf numFmtId="166" fontId="118" fillId="0" borderId="81" xfId="1" applyNumberFormat="1" applyFont="1" applyFill="1" applyBorder="1" applyAlignment="1">
      <alignment horizontal="right" vertical="center"/>
    </xf>
    <xf numFmtId="0" fontId="1" fillId="5" borderId="26" xfId="0" applyFont="1" applyFill="1" applyBorder="1" applyAlignment="1">
      <alignment vertical="center"/>
    </xf>
    <xf numFmtId="0" fontId="1" fillId="5" borderId="25" xfId="0" applyFont="1" applyFill="1" applyBorder="1" applyAlignment="1">
      <alignment vertical="center"/>
    </xf>
    <xf numFmtId="0" fontId="1" fillId="5" borderId="119" xfId="0" applyFont="1" applyFill="1" applyBorder="1" applyAlignment="1">
      <alignment vertical="center"/>
    </xf>
    <xf numFmtId="0" fontId="1" fillId="5" borderId="27" xfId="0" applyFont="1" applyFill="1" applyBorder="1" applyAlignment="1">
      <alignment vertical="center"/>
    </xf>
    <xf numFmtId="0" fontId="1" fillId="0" borderId="137" xfId="0" applyFont="1" applyBorder="1" applyAlignment="1">
      <alignment vertical="center"/>
    </xf>
    <xf numFmtId="0" fontId="1" fillId="0" borderId="29" xfId="0" applyFont="1" applyBorder="1" applyAlignment="1">
      <alignment vertical="center"/>
    </xf>
    <xf numFmtId="0" fontId="120" fillId="0" borderId="137" xfId="0" applyFont="1" applyFill="1" applyBorder="1" applyAlignment="1">
      <alignment horizontal="center" vertical="center" wrapText="1"/>
    </xf>
    <xf numFmtId="9" fontId="118" fillId="0" borderId="137" xfId="4" applyNumberFormat="1" applyFont="1" applyFill="1" applyBorder="1" applyAlignment="1">
      <alignment horizontal="right" vertical="center" wrapText="1"/>
    </xf>
    <xf numFmtId="9" fontId="118" fillId="0" borderId="0" xfId="4" applyNumberFormat="1" applyFont="1" applyFill="1" applyBorder="1" applyAlignment="1">
      <alignment horizontal="right" vertical="center" wrapText="1"/>
    </xf>
    <xf numFmtId="0" fontId="1" fillId="5" borderId="2" xfId="0" applyFont="1" applyFill="1" applyBorder="1"/>
    <xf numFmtId="0" fontId="1" fillId="5" borderId="102" xfId="0" applyFont="1" applyFill="1" applyBorder="1"/>
    <xf numFmtId="0" fontId="122" fillId="5" borderId="102" xfId="0" applyFont="1" applyFill="1" applyBorder="1" applyAlignment="1">
      <alignment horizontal="center" vertical="top"/>
    </xf>
    <xf numFmtId="0" fontId="1" fillId="0" borderId="0" xfId="0" applyFont="1" applyFill="1"/>
    <xf numFmtId="0" fontId="122" fillId="0" borderId="2" xfId="0" applyFont="1" applyFill="1" applyBorder="1" applyAlignment="1">
      <alignment horizontal="center" vertical="top"/>
    </xf>
    <xf numFmtId="3" fontId="122" fillId="0" borderId="0" xfId="0" applyNumberFormat="1" applyFont="1" applyFill="1" applyBorder="1" applyAlignment="1">
      <alignment horizontal="right" vertical="center"/>
    </xf>
    <xf numFmtId="0" fontId="1" fillId="5" borderId="0" xfId="0" applyFont="1" applyFill="1" applyBorder="1" applyAlignment="1">
      <alignment horizontal="left"/>
    </xf>
    <xf numFmtId="0" fontId="1" fillId="0" borderId="0" xfId="0" applyFont="1" applyFill="1" applyBorder="1" applyAlignment="1">
      <alignment horizontal="center" vertical="top"/>
    </xf>
    <xf numFmtId="2" fontId="122" fillId="5" borderId="1" xfId="0" applyNumberFormat="1" applyFont="1" applyFill="1" applyBorder="1" applyAlignment="1">
      <alignment horizontal="center" vertical="top"/>
    </xf>
    <xf numFmtId="0" fontId="1" fillId="5" borderId="36" xfId="0" applyFont="1" applyFill="1" applyBorder="1"/>
    <xf numFmtId="0" fontId="1" fillId="5" borderId="119" xfId="0" applyFont="1" applyFill="1" applyBorder="1"/>
    <xf numFmtId="0" fontId="1" fillId="0" borderId="29" xfId="0" applyFont="1" applyFill="1" applyBorder="1"/>
    <xf numFmtId="0" fontId="1" fillId="0" borderId="119" xfId="0" applyFont="1" applyBorder="1"/>
    <xf numFmtId="0" fontId="1" fillId="5" borderId="46" xfId="0" applyFont="1" applyFill="1" applyBorder="1"/>
    <xf numFmtId="0" fontId="1" fillId="5" borderId="25" xfId="0" applyFont="1" applyFill="1" applyBorder="1"/>
    <xf numFmtId="0" fontId="1" fillId="5" borderId="149" xfId="0" applyFont="1" applyFill="1" applyBorder="1"/>
    <xf numFmtId="0" fontId="1" fillId="5" borderId="28" xfId="0" applyFont="1" applyFill="1" applyBorder="1"/>
    <xf numFmtId="182" fontId="118" fillId="0" borderId="28" xfId="4" applyNumberFormat="1" applyFont="1" applyFill="1" applyBorder="1" applyAlignment="1">
      <alignment horizontal="right" vertical="center" wrapText="1"/>
    </xf>
    <xf numFmtId="182" fontId="118" fillId="0" borderId="144" xfId="4" applyNumberFormat="1" applyFont="1" applyFill="1" applyBorder="1" applyAlignment="1">
      <alignment horizontal="right" vertical="center" wrapText="1"/>
    </xf>
    <xf numFmtId="0" fontId="1" fillId="5" borderId="144" xfId="0" applyFont="1" applyFill="1" applyBorder="1"/>
    <xf numFmtId="0" fontId="1" fillId="5" borderId="149" xfId="0" applyFont="1" applyFill="1" applyBorder="1" applyAlignment="1">
      <alignment vertical="top"/>
    </xf>
    <xf numFmtId="0" fontId="3" fillId="0" borderId="149" xfId="0" applyFont="1" applyBorder="1"/>
    <xf numFmtId="0" fontId="16" fillId="0" borderId="127" xfId="0" applyFont="1" applyBorder="1"/>
    <xf numFmtId="3" fontId="123" fillId="73" borderId="94" xfId="0" applyNumberFormat="1" applyFont="1" applyFill="1" applyBorder="1" applyAlignment="1">
      <alignment horizontal="center" vertical="center"/>
    </xf>
    <xf numFmtId="3" fontId="122" fillId="6" borderId="139" xfId="0" applyNumberFormat="1" applyFont="1" applyFill="1" applyBorder="1" applyAlignment="1">
      <alignment vertical="top" wrapText="1"/>
    </xf>
    <xf numFmtId="0" fontId="122" fillId="5" borderId="139" xfId="0" applyFont="1" applyFill="1" applyBorder="1" applyAlignment="1">
      <alignment vertical="center"/>
    </xf>
    <xf numFmtId="0" fontId="122" fillId="5" borderId="1" xfId="0" applyFont="1" applyFill="1" applyBorder="1" applyAlignment="1">
      <alignment horizontal="left" vertical="top" wrapText="1"/>
    </xf>
    <xf numFmtId="9" fontId="122" fillId="6" borderId="1" xfId="0" applyNumberFormat="1" applyFont="1" applyFill="1" applyBorder="1" applyAlignment="1">
      <alignment horizontal="center" vertical="center"/>
    </xf>
    <xf numFmtId="209" fontId="118" fillId="0" borderId="1" xfId="0" applyNumberFormat="1" applyFont="1" applyFill="1" applyBorder="1" applyAlignment="1">
      <alignment horizontal="center" vertical="center"/>
    </xf>
    <xf numFmtId="0" fontId="3" fillId="0" borderId="144" xfId="0" applyFont="1" applyBorder="1"/>
    <xf numFmtId="0" fontId="3" fillId="5" borderId="149" xfId="0" applyFont="1" applyFill="1" applyBorder="1"/>
    <xf numFmtId="0" fontId="3" fillId="5" borderId="28" xfId="0" applyFont="1" applyFill="1" applyBorder="1" applyAlignment="1"/>
    <xf numFmtId="0" fontId="3" fillId="5" borderId="149" xfId="0" applyFont="1" applyFill="1" applyBorder="1" applyAlignment="1">
      <alignment vertical="top"/>
    </xf>
    <xf numFmtId="0" fontId="3" fillId="5" borderId="88" xfId="0" applyFont="1" applyFill="1" applyBorder="1" applyAlignment="1">
      <alignment horizontal="center" vertical="center"/>
    </xf>
    <xf numFmtId="0" fontId="3" fillId="5" borderId="36" xfId="0" applyFont="1" applyFill="1" applyBorder="1" applyAlignment="1">
      <alignment vertical="top"/>
    </xf>
    <xf numFmtId="0" fontId="3" fillId="0" borderId="147" xfId="0" applyFont="1" applyBorder="1"/>
    <xf numFmtId="0" fontId="3" fillId="5" borderId="147" xfId="0" applyFont="1" applyFill="1" applyBorder="1"/>
    <xf numFmtId="0" fontId="3" fillId="5" borderId="147" xfId="0" applyFont="1" applyFill="1" applyBorder="1" applyAlignment="1">
      <alignment vertical="top"/>
    </xf>
    <xf numFmtId="0" fontId="122" fillId="5" borderId="29" xfId="0" applyFont="1" applyFill="1" applyBorder="1" applyAlignment="1">
      <alignment horizontal="left" vertical="top"/>
    </xf>
    <xf numFmtId="0" fontId="3" fillId="0" borderId="149" xfId="0" applyFont="1" applyBorder="1" applyAlignment="1">
      <alignment vertical="center"/>
    </xf>
    <xf numFmtId="0" fontId="118" fillId="5" borderId="28" xfId="0" applyFont="1" applyFill="1" applyBorder="1" applyAlignment="1">
      <alignment vertical="center" wrapText="1"/>
    </xf>
    <xf numFmtId="0" fontId="3" fillId="5" borderId="144" xfId="0" applyFont="1" applyFill="1" applyBorder="1" applyAlignment="1">
      <alignment vertical="center"/>
    </xf>
    <xf numFmtId="0" fontId="132" fillId="5" borderId="149" xfId="0" applyFont="1" applyFill="1" applyBorder="1" applyAlignment="1">
      <alignment horizontal="center" vertical="center" wrapText="1"/>
    </xf>
    <xf numFmtId="0" fontId="3" fillId="5" borderId="149" xfId="0" applyFont="1" applyFill="1" applyBorder="1" applyAlignment="1">
      <alignment vertical="center"/>
    </xf>
    <xf numFmtId="0" fontId="3" fillId="0" borderId="27" xfId="0" applyFont="1" applyBorder="1" applyAlignment="1">
      <alignment vertical="center"/>
    </xf>
    <xf numFmtId="3" fontId="122" fillId="0" borderId="0" xfId="0" applyNumberFormat="1" applyFont="1" applyFill="1" applyBorder="1" applyAlignment="1">
      <alignment horizontal="center" vertical="center" wrapText="1"/>
    </xf>
    <xf numFmtId="0" fontId="120" fillId="5" borderId="137" xfId="0" applyFont="1" applyFill="1" applyBorder="1"/>
    <xf numFmtId="0" fontId="118" fillId="5" borderId="137" xfId="0" applyFont="1" applyFill="1" applyBorder="1"/>
    <xf numFmtId="43" fontId="118" fillId="5" borderId="81" xfId="1" applyNumberFormat="1" applyFont="1" applyFill="1" applyBorder="1" applyAlignment="1">
      <alignment horizontal="center" vertical="center"/>
    </xf>
    <xf numFmtId="3" fontId="122" fillId="0" borderId="0" xfId="0" applyNumberFormat="1" applyFont="1" applyFill="1" applyBorder="1" applyAlignment="1">
      <alignment vertical="top" wrapText="1"/>
    </xf>
    <xf numFmtId="182" fontId="118" fillId="5" borderId="144" xfId="4" applyNumberFormat="1" applyFont="1" applyFill="1" applyBorder="1" applyAlignment="1">
      <alignment horizontal="right" vertical="center" wrapText="1"/>
    </xf>
    <xf numFmtId="168" fontId="118" fillId="0" borderId="1" xfId="2" applyNumberFormat="1" applyFont="1" applyFill="1" applyBorder="1" applyAlignment="1">
      <alignment horizontal="right" vertical="center" wrapText="1"/>
    </xf>
    <xf numFmtId="0" fontId="118" fillId="0" borderId="1" xfId="0" applyFont="1" applyFill="1" applyBorder="1" applyAlignment="1">
      <alignment horizontal="left" vertical="center" wrapText="1"/>
    </xf>
    <xf numFmtId="0" fontId="122" fillId="5" borderId="1" xfId="0" applyFont="1" applyFill="1" applyBorder="1" applyAlignment="1">
      <alignment horizontal="center" vertical="center" wrapText="1"/>
    </xf>
    <xf numFmtId="0" fontId="3" fillId="5" borderId="0" xfId="0" applyFont="1" applyFill="1" applyAlignment="1">
      <alignment horizontal="center" vertical="center"/>
    </xf>
    <xf numFmtId="0" fontId="162" fillId="5" borderId="0" xfId="0" applyFont="1" applyFill="1" applyBorder="1" applyAlignment="1">
      <alignment horizontal="center" vertical="center"/>
    </xf>
    <xf numFmtId="0" fontId="119" fillId="5" borderId="0" xfId="0" applyFont="1" applyFill="1" applyBorder="1" applyAlignment="1">
      <alignment horizontal="center" vertical="center"/>
    </xf>
    <xf numFmtId="0" fontId="161" fillId="5" borderId="0" xfId="286" applyFont="1" applyFill="1" applyBorder="1" applyAlignment="1">
      <alignment horizontal="center" vertical="center"/>
    </xf>
    <xf numFmtId="0" fontId="122" fillId="5" borderId="0" xfId="0" applyFont="1" applyFill="1" applyBorder="1" applyAlignment="1">
      <alignment horizontal="center" vertical="center" wrapText="1"/>
    </xf>
    <xf numFmtId="0" fontId="122" fillId="5" borderId="6" xfId="0" applyFont="1" applyFill="1" applyBorder="1" applyAlignment="1">
      <alignment horizontal="left" vertical="center" wrapText="1"/>
    </xf>
    <xf numFmtId="0" fontId="122" fillId="5" borderId="6" xfId="0" applyFont="1" applyFill="1" applyBorder="1" applyAlignment="1">
      <alignment horizontal="center" vertical="center" wrapText="1"/>
    </xf>
    <xf numFmtId="0" fontId="3" fillId="0" borderId="0" xfId="0" applyFont="1" applyBorder="1" applyAlignment="1">
      <alignment vertical="center"/>
    </xf>
    <xf numFmtId="0" fontId="118" fillId="0" borderId="1" xfId="0" applyFont="1" applyFill="1" applyBorder="1" applyAlignment="1">
      <alignment horizontal="left" vertical="center" wrapText="1"/>
    </xf>
    <xf numFmtId="0" fontId="3" fillId="5" borderId="0" xfId="0" applyFont="1" applyFill="1" applyBorder="1" applyAlignment="1">
      <alignment horizontal="center" vertical="center"/>
    </xf>
    <xf numFmtId="0" fontId="120" fillId="0" borderId="0" xfId="0" applyFont="1" applyFill="1" applyBorder="1" applyAlignment="1">
      <alignment horizontal="left" vertical="center" wrapText="1"/>
    </xf>
    <xf numFmtId="0" fontId="122" fillId="5" borderId="1" xfId="0" applyFont="1" applyFill="1" applyBorder="1" applyAlignment="1">
      <alignment horizontal="center" vertical="center" wrapText="1"/>
    </xf>
    <xf numFmtId="0" fontId="3" fillId="5" borderId="0" xfId="0" applyFont="1" applyFill="1" applyBorder="1" applyAlignment="1">
      <alignment horizontal="right" vertical="center"/>
    </xf>
    <xf numFmtId="0" fontId="3" fillId="5" borderId="0" xfId="0" applyFont="1" applyFill="1" applyBorder="1" applyAlignment="1">
      <alignment horizontal="center" vertical="center" wrapText="1"/>
    </xf>
    <xf numFmtId="0" fontId="3" fillId="5" borderId="118"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7" xfId="0" applyFont="1" applyFill="1" applyBorder="1" applyAlignment="1">
      <alignment horizontal="center" vertical="center"/>
    </xf>
    <xf numFmtId="180" fontId="118" fillId="6" borderId="94" xfId="0" applyNumberFormat="1" applyFont="1" applyFill="1" applyBorder="1" applyAlignment="1">
      <alignment horizontal="center" vertical="center" wrapText="1"/>
    </xf>
    <xf numFmtId="169" fontId="118" fillId="6" borderId="94" xfId="4" applyNumberFormat="1" applyFont="1" applyFill="1" applyBorder="1" applyAlignment="1">
      <alignment horizontal="center" vertical="center" wrapText="1"/>
    </xf>
    <xf numFmtId="180" fontId="120" fillId="73" borderId="94" xfId="0" applyNumberFormat="1" applyFont="1" applyFill="1" applyBorder="1" applyAlignment="1">
      <alignment horizontal="center" vertical="center" wrapText="1"/>
    </xf>
    <xf numFmtId="169" fontId="120" fillId="73" borderId="94" xfId="4" applyNumberFormat="1" applyFont="1" applyFill="1" applyBorder="1" applyAlignment="1">
      <alignment horizontal="center" vertical="center" wrapText="1"/>
    </xf>
    <xf numFmtId="2" fontId="122" fillId="0" borderId="0" xfId="4" applyNumberFormat="1" applyFont="1" applyFill="1" applyBorder="1" applyAlignment="1">
      <alignment horizontal="right" vertical="center" wrapText="1"/>
    </xf>
    <xf numFmtId="2" fontId="122" fillId="5" borderId="1" xfId="4" applyNumberFormat="1" applyFont="1" applyFill="1" applyBorder="1" applyAlignment="1">
      <alignment horizontal="center" vertical="center" wrapText="1"/>
    </xf>
    <xf numFmtId="2" fontId="122" fillId="6" borderId="1" xfId="4" applyNumberFormat="1" applyFont="1" applyFill="1" applyBorder="1" applyAlignment="1">
      <alignment horizontal="center" vertical="center" wrapText="1"/>
    </xf>
    <xf numFmtId="0" fontId="118" fillId="5" borderId="146" xfId="0" applyFont="1" applyFill="1" applyBorder="1" applyAlignment="1">
      <alignment wrapText="1"/>
    </xf>
    <xf numFmtId="0" fontId="135" fillId="5" borderId="146" xfId="0" applyFont="1" applyFill="1" applyBorder="1" applyAlignment="1">
      <alignment wrapText="1"/>
    </xf>
    <xf numFmtId="0" fontId="3" fillId="0" borderId="36" xfId="0" applyFont="1" applyBorder="1" applyAlignment="1">
      <alignment vertical="center" wrapText="1"/>
    </xf>
    <xf numFmtId="0" fontId="3" fillId="5" borderId="142" xfId="0" applyFont="1" applyFill="1" applyBorder="1" applyAlignment="1">
      <alignment wrapText="1"/>
    </xf>
    <xf numFmtId="169" fontId="120" fillId="73" borderId="1" xfId="4" applyNumberFormat="1" applyFont="1" applyFill="1" applyBorder="1" applyAlignment="1">
      <alignment horizontal="center" vertical="center"/>
    </xf>
    <xf numFmtId="169" fontId="118" fillId="6" borderId="1" xfId="4" applyNumberFormat="1" applyFont="1" applyFill="1" applyBorder="1" applyAlignment="1">
      <alignment horizontal="center" vertical="center"/>
    </xf>
    <xf numFmtId="0" fontId="3" fillId="5" borderId="142" xfId="0" applyFont="1" applyFill="1" applyBorder="1" applyAlignment="1">
      <alignment vertical="center"/>
    </xf>
    <xf numFmtId="0" fontId="118" fillId="5" borderId="146" xfId="0" applyFont="1" applyFill="1" applyBorder="1" applyAlignment="1">
      <alignment vertical="center"/>
    </xf>
    <xf numFmtId="0" fontId="135" fillId="5" borderId="146" xfId="0" applyFont="1" applyFill="1" applyBorder="1" applyAlignment="1">
      <alignment horizontal="left" vertical="center" wrapText="1"/>
    </xf>
    <xf numFmtId="9" fontId="122" fillId="0" borderId="1" xfId="4" applyFont="1" applyFill="1" applyBorder="1" applyAlignment="1">
      <alignment horizontal="center" vertical="center"/>
    </xf>
    <xf numFmtId="3" fontId="120" fillId="73" borderId="1" xfId="4" applyNumberFormat="1" applyFont="1" applyFill="1" applyBorder="1" applyAlignment="1">
      <alignment horizontal="center" vertical="center"/>
    </xf>
    <xf numFmtId="1" fontId="118" fillId="6" borderId="7" xfId="2" applyNumberFormat="1" applyFont="1" applyFill="1" applyBorder="1" applyAlignment="1">
      <alignment horizontal="center" vertical="center" wrapText="1"/>
    </xf>
    <xf numFmtId="164" fontId="122" fillId="6" borderId="1" xfId="0" applyNumberFormat="1" applyFont="1" applyFill="1" applyBorder="1" applyAlignment="1">
      <alignment horizontal="center" vertical="center" wrapText="1"/>
    </xf>
    <xf numFmtId="1" fontId="118" fillId="6" borderId="1" xfId="2" applyNumberFormat="1" applyFont="1" applyFill="1" applyBorder="1" applyAlignment="1">
      <alignment horizontal="center" vertical="center" wrapText="1"/>
    </xf>
    <xf numFmtId="164" fontId="118" fillId="6" borderId="7" xfId="2" applyNumberFormat="1" applyFont="1" applyFill="1" applyBorder="1" applyAlignment="1">
      <alignment horizontal="center" vertical="center" wrapText="1"/>
    </xf>
    <xf numFmtId="1" fontId="118" fillId="6" borderId="5" xfId="2" applyNumberFormat="1" applyFont="1" applyFill="1" applyBorder="1" applyAlignment="1">
      <alignment horizontal="center" vertical="center" wrapText="1"/>
    </xf>
    <xf numFmtId="9" fontId="122" fillId="6" borderId="1" xfId="0" applyNumberFormat="1" applyFont="1" applyFill="1" applyBorder="1" applyAlignment="1">
      <alignment horizontal="center" vertical="center" wrapText="1"/>
    </xf>
    <xf numFmtId="0" fontId="122" fillId="0" borderId="1" xfId="4" applyNumberFormat="1" applyFont="1" applyFill="1" applyBorder="1" applyAlignment="1">
      <alignment horizontal="center" vertical="center"/>
    </xf>
    <xf numFmtId="3" fontId="120" fillId="73" borderId="1" xfId="0" applyNumberFormat="1" applyFont="1" applyFill="1" applyBorder="1" applyAlignment="1">
      <alignment horizontal="center" vertical="center"/>
    </xf>
    <xf numFmtId="164" fontId="122" fillId="0" borderId="1" xfId="0" applyNumberFormat="1" applyFont="1" applyFill="1" applyBorder="1" applyAlignment="1">
      <alignment horizontal="center" vertical="center" wrapText="1"/>
    </xf>
    <xf numFmtId="0" fontId="149" fillId="5" borderId="2" xfId="0" applyFont="1" applyFill="1" applyBorder="1" applyAlignment="1">
      <alignment horizontal="center" wrapText="1"/>
    </xf>
    <xf numFmtId="0" fontId="149" fillId="5" borderId="0" xfId="0" applyFont="1" applyFill="1" applyBorder="1" applyAlignment="1">
      <alignment horizontal="center" wrapText="1"/>
    </xf>
    <xf numFmtId="0" fontId="3" fillId="0" borderId="137" xfId="0" applyFont="1" applyBorder="1"/>
    <xf numFmtId="181" fontId="114" fillId="76" borderId="1" xfId="0" applyNumberFormat="1" applyFont="1" applyFill="1" applyBorder="1" applyAlignment="1">
      <alignment horizontal="center" vertical="center"/>
    </xf>
    <xf numFmtId="5" fontId="114" fillId="75" borderId="1" xfId="2" applyNumberFormat="1" applyFont="1" applyFill="1" applyBorder="1" applyAlignment="1">
      <alignment horizontal="center" vertical="center"/>
    </xf>
    <xf numFmtId="0" fontId="118" fillId="0" borderId="1" xfId="0" applyFont="1" applyFill="1" applyBorder="1" applyAlignment="1">
      <alignment horizontal="left" vertical="center" wrapText="1"/>
    </xf>
    <xf numFmtId="3" fontId="122" fillId="0" borderId="1" xfId="0" applyNumberFormat="1" applyFont="1" applyFill="1" applyBorder="1" applyAlignment="1">
      <alignment horizontal="center" vertical="center" wrapText="1"/>
    </xf>
    <xf numFmtId="9" fontId="122" fillId="5" borderId="1" xfId="0" applyNumberFormat="1" applyFont="1" applyFill="1" applyBorder="1" applyAlignment="1">
      <alignment horizontal="center" vertical="center"/>
    </xf>
    <xf numFmtId="0" fontId="122" fillId="5" borderId="1" xfId="4" applyNumberFormat="1" applyFont="1" applyFill="1" applyBorder="1" applyAlignment="1">
      <alignment horizontal="center" vertical="center"/>
    </xf>
    <xf numFmtId="167" fontId="122" fillId="0" borderId="1" xfId="4" applyNumberFormat="1" applyFont="1" applyFill="1" applyBorder="1" applyAlignment="1">
      <alignment horizontal="center" vertical="center"/>
    </xf>
    <xf numFmtId="9" fontId="122" fillId="0" borderId="80" xfId="4" applyFont="1" applyFill="1" applyBorder="1" applyAlignment="1" applyProtection="1">
      <alignment horizontal="center" vertical="center"/>
      <protection locked="0"/>
    </xf>
    <xf numFmtId="9" fontId="122" fillId="0" borderId="1" xfId="4" applyFont="1" applyFill="1" applyBorder="1" applyAlignment="1" applyProtection="1">
      <alignment horizontal="center" vertical="center"/>
      <protection locked="0"/>
    </xf>
    <xf numFmtId="2" fontId="122" fillId="0" borderId="80" xfId="0" applyNumberFormat="1" applyFont="1" applyFill="1" applyBorder="1" applyAlignment="1">
      <alignment horizontal="center" vertical="center"/>
    </xf>
    <xf numFmtId="2" fontId="122" fillId="0" borderId="80" xfId="4" applyNumberFormat="1" applyFont="1" applyFill="1" applyBorder="1" applyAlignment="1" applyProtection="1">
      <alignment horizontal="center" vertical="center"/>
      <protection locked="0"/>
    </xf>
    <xf numFmtId="2" fontId="122" fillId="0" borderId="1" xfId="4" applyNumberFormat="1" applyFont="1" applyFill="1" applyBorder="1" applyAlignment="1" applyProtection="1">
      <alignment horizontal="center" vertical="center"/>
      <protection locked="0"/>
    </xf>
    <xf numFmtId="2" fontId="122" fillId="0" borderId="80" xfId="4" applyNumberFormat="1" applyFont="1" applyFill="1" applyBorder="1" applyAlignment="1">
      <alignment horizontal="center" vertical="center"/>
    </xf>
    <xf numFmtId="2" fontId="118" fillId="0" borderId="80" xfId="0" applyNumberFormat="1" applyFont="1" applyFill="1" applyBorder="1" applyAlignment="1">
      <alignment horizontal="center" vertical="center"/>
    </xf>
    <xf numFmtId="2" fontId="118" fillId="0" borderId="1" xfId="0" applyNumberFormat="1" applyFont="1" applyFill="1" applyBorder="1" applyAlignment="1">
      <alignment horizontal="center" vertical="center"/>
    </xf>
    <xf numFmtId="0" fontId="3" fillId="5" borderId="146" xfId="0" applyFont="1" applyFill="1" applyBorder="1" applyAlignment="1">
      <alignment vertical="center"/>
    </xf>
    <xf numFmtId="0" fontId="3" fillId="0" borderId="146" xfId="0" applyFont="1" applyFill="1" applyBorder="1" applyAlignment="1">
      <alignment vertical="center"/>
    </xf>
    <xf numFmtId="0" fontId="139" fillId="5" borderId="146" xfId="0" applyFont="1" applyFill="1" applyBorder="1" applyAlignment="1">
      <alignment horizontal="center" vertical="center"/>
    </xf>
    <xf numFmtId="0" fontId="140" fillId="5" borderId="146" xfId="0" applyFont="1" applyFill="1" applyBorder="1" applyAlignment="1">
      <alignment horizontal="left" wrapText="1"/>
    </xf>
    <xf numFmtId="0" fontId="146" fillId="5" borderId="144" xfId="0" applyFont="1" applyFill="1" applyBorder="1" applyAlignment="1">
      <alignment horizontal="center" wrapText="1"/>
    </xf>
    <xf numFmtId="3" fontId="138" fillId="6" borderId="1" xfId="0" applyNumberFormat="1" applyFont="1" applyFill="1" applyBorder="1" applyAlignment="1">
      <alignment horizontal="center" vertical="top" wrapText="1"/>
    </xf>
    <xf numFmtId="9" fontId="138" fillId="6" borderId="1" xfId="4" applyFont="1" applyFill="1" applyBorder="1" applyAlignment="1">
      <alignment horizontal="center" vertical="center"/>
    </xf>
    <xf numFmtId="3" fontId="138" fillId="0" borderId="1" xfId="0" applyNumberFormat="1" applyFont="1" applyFill="1" applyBorder="1" applyAlignment="1">
      <alignment horizontal="center" vertical="center" wrapText="1"/>
    </xf>
    <xf numFmtId="0" fontId="138" fillId="0" borderId="0" xfId="0" applyFont="1" applyFill="1" applyBorder="1" applyAlignment="1">
      <alignment horizontal="left" vertical="top" wrapText="1"/>
    </xf>
    <xf numFmtId="3" fontId="138" fillId="0" borderId="0" xfId="0" applyNumberFormat="1" applyFont="1" applyFill="1" applyBorder="1" applyAlignment="1">
      <alignment horizontal="center" vertical="center" wrapText="1"/>
    </xf>
    <xf numFmtId="0" fontId="138" fillId="5" borderId="1" xfId="0" applyFont="1" applyFill="1" applyBorder="1" applyAlignment="1">
      <alignment vertical="center" wrapText="1"/>
    </xf>
    <xf numFmtId="2" fontId="138" fillId="6" borderId="1" xfId="4" applyNumberFormat="1" applyFont="1" applyFill="1" applyBorder="1" applyAlignment="1">
      <alignment horizontal="center" vertical="top"/>
    </xf>
    <xf numFmtId="2" fontId="138" fillId="0" borderId="1" xfId="4" applyNumberFormat="1" applyFont="1" applyFill="1" applyBorder="1" applyAlignment="1">
      <alignment horizontal="center" vertical="top"/>
    </xf>
    <xf numFmtId="2" fontId="138" fillId="6" borderId="1" xfId="4" applyNumberFormat="1" applyFont="1" applyFill="1" applyBorder="1" applyAlignment="1">
      <alignment horizontal="center" vertical="center"/>
    </xf>
    <xf numFmtId="3" fontId="122" fillId="6" borderId="1" xfId="0" applyNumberFormat="1" applyFont="1" applyFill="1" applyBorder="1" applyAlignment="1">
      <alignment horizontal="center" vertical="top" wrapText="1"/>
    </xf>
    <xf numFmtId="0" fontId="122" fillId="72" borderId="1" xfId="0" applyFont="1" applyFill="1" applyBorder="1" applyAlignment="1">
      <alignment horizontal="left" vertical="center" wrapText="1"/>
    </xf>
    <xf numFmtId="211" fontId="118" fillId="72" borderId="1" xfId="0" applyNumberFormat="1" applyFont="1" applyFill="1" applyBorder="1" applyAlignment="1">
      <alignment horizontal="right" vertical="center"/>
    </xf>
    <xf numFmtId="179" fontId="118" fillId="72" borderId="1" xfId="0" applyNumberFormat="1" applyFont="1" applyFill="1" applyBorder="1" applyAlignment="1">
      <alignment horizontal="center" vertical="center"/>
    </xf>
    <xf numFmtId="0" fontId="125" fillId="0" borderId="0" xfId="286" applyFont="1" applyBorder="1"/>
    <xf numFmtId="0" fontId="3" fillId="5" borderId="0" xfId="0" applyFont="1" applyFill="1" applyBorder="1" applyAlignment="1">
      <alignment horizontal="right"/>
    </xf>
    <xf numFmtId="0" fontId="3" fillId="0" borderId="0" xfId="0" applyFont="1" applyBorder="1" applyAlignment="1">
      <alignment horizontal="left" vertical="center"/>
    </xf>
    <xf numFmtId="0" fontId="16" fillId="5" borderId="113" xfId="0" applyFont="1" applyFill="1" applyBorder="1" applyAlignment="1">
      <alignment horizontal="left" vertical="center" wrapText="1"/>
    </xf>
    <xf numFmtId="0" fontId="16" fillId="5" borderId="2" xfId="0" applyFont="1" applyFill="1" applyBorder="1" applyAlignment="1">
      <alignment horizontal="left" vertical="center" wrapText="1"/>
    </xf>
    <xf numFmtId="0" fontId="16" fillId="5" borderId="3" xfId="0" applyFont="1" applyFill="1" applyBorder="1" applyAlignment="1">
      <alignment horizontal="left" vertical="center" wrapText="1"/>
    </xf>
    <xf numFmtId="0" fontId="16" fillId="5" borderId="0" xfId="0" applyFont="1" applyFill="1" applyBorder="1" applyAlignment="1">
      <alignment horizontal="left" vertical="center" wrapText="1"/>
    </xf>
    <xf numFmtId="0" fontId="0" fillId="0" borderId="29" xfId="0" applyBorder="1" applyAlignment="1">
      <alignment vertical="center" wrapText="1"/>
    </xf>
    <xf numFmtId="0" fontId="0" fillId="0" borderId="2" xfId="0" applyBorder="1" applyAlignment="1">
      <alignment vertical="center" wrapText="1"/>
    </xf>
    <xf numFmtId="9" fontId="120" fillId="0" borderId="0" xfId="4" applyNumberFormat="1" applyFont="1" applyFill="1" applyBorder="1" applyAlignment="1">
      <alignment horizontal="right" vertical="center" wrapText="1"/>
    </xf>
    <xf numFmtId="182" fontId="120" fillId="0" borderId="28" xfId="4" applyNumberFormat="1" applyFont="1" applyFill="1" applyBorder="1" applyAlignment="1">
      <alignment horizontal="right" vertical="center" wrapText="1"/>
    </xf>
    <xf numFmtId="9" fontId="133" fillId="6" borderId="1" xfId="4" applyFont="1" applyFill="1" applyBorder="1" applyAlignment="1">
      <alignment horizontal="center" vertical="center"/>
    </xf>
    <xf numFmtId="3" fontId="166" fillId="5" borderId="127" xfId="0" applyNumberFormat="1" applyFont="1" applyFill="1" applyBorder="1" applyAlignment="1">
      <alignment horizontal="center" vertical="top" wrapText="1"/>
    </xf>
    <xf numFmtId="3" fontId="122" fillId="6" borderId="139" xfId="0" applyNumberFormat="1" applyFont="1" applyFill="1" applyBorder="1" applyAlignment="1">
      <alignment vertical="center" wrapText="1"/>
    </xf>
    <xf numFmtId="9" fontId="122" fillId="0" borderId="1" xfId="0" applyNumberFormat="1" applyFont="1" applyFill="1" applyBorder="1" applyAlignment="1">
      <alignment horizontal="center" vertical="center"/>
    </xf>
    <xf numFmtId="181" fontId="122" fillId="0" borderId="1" xfId="0" applyNumberFormat="1" applyFont="1" applyFill="1" applyBorder="1" applyAlignment="1">
      <alignment horizontal="center" vertical="top"/>
    </xf>
    <xf numFmtId="168" fontId="118" fillId="6" borderId="1" xfId="2" applyNumberFormat="1" applyFont="1" applyFill="1" applyBorder="1" applyAlignment="1">
      <alignment horizontal="right" vertical="center" wrapText="1"/>
    </xf>
    <xf numFmtId="0" fontId="3" fillId="5" borderId="150" xfId="0" applyFont="1" applyFill="1" applyBorder="1"/>
    <xf numFmtId="0" fontId="154" fillId="73" borderId="1" xfId="0" applyFont="1" applyFill="1" applyBorder="1" applyAlignment="1">
      <alignment horizontal="center" vertical="center" wrapText="1"/>
    </xf>
    <xf numFmtId="0" fontId="3" fillId="5" borderId="118" xfId="286" applyFont="1" applyFill="1" applyBorder="1" applyAlignment="1">
      <alignment horizontal="left" vertical="center" wrapText="1"/>
    </xf>
    <xf numFmtId="0" fontId="3" fillId="5" borderId="5" xfId="286" applyFont="1" applyFill="1" applyBorder="1" applyAlignment="1">
      <alignment horizontal="left" vertical="center" wrapText="1"/>
    </xf>
    <xf numFmtId="0" fontId="1" fillId="5" borderId="5" xfId="286" applyFont="1" applyFill="1" applyBorder="1" applyAlignment="1">
      <alignment horizontal="left" vertical="center" wrapText="1"/>
    </xf>
    <xf numFmtId="0" fontId="3" fillId="5" borderId="7" xfId="286" applyFont="1" applyFill="1" applyBorder="1" applyAlignment="1">
      <alignment horizontal="left" vertical="center" wrapText="1"/>
    </xf>
    <xf numFmtId="0" fontId="3" fillId="5" borderId="1" xfId="286" applyFont="1" applyFill="1" applyBorder="1" applyAlignment="1">
      <alignment horizontal="left" vertical="center" wrapText="1"/>
    </xf>
    <xf numFmtId="0" fontId="2" fillId="5" borderId="1" xfId="286" applyFont="1" applyFill="1" applyBorder="1" applyAlignment="1">
      <alignment horizontal="left" vertical="center" wrapText="1"/>
    </xf>
    <xf numFmtId="0" fontId="124" fillId="5" borderId="0" xfId="0" applyFont="1" applyFill="1" applyBorder="1" applyAlignment="1">
      <alignment horizontal="center" vertical="center"/>
    </xf>
    <xf numFmtId="0" fontId="122" fillId="0" borderId="1" xfId="0" applyFont="1" applyBorder="1" applyAlignment="1">
      <alignment horizontal="left" vertical="center"/>
    </xf>
    <xf numFmtId="212" fontId="1" fillId="5" borderId="1" xfId="0" applyNumberFormat="1" applyFont="1" applyFill="1" applyBorder="1" applyAlignment="1">
      <alignment horizontal="center" vertical="center"/>
    </xf>
    <xf numFmtId="0" fontId="126" fillId="0" borderId="0" xfId="0" applyFont="1" applyAlignment="1">
      <alignment vertical="center"/>
    </xf>
    <xf numFmtId="166" fontId="118" fillId="5" borderId="46" xfId="0" applyNumberFormat="1" applyFont="1" applyFill="1" applyBorder="1" applyAlignment="1"/>
    <xf numFmtId="166" fontId="118" fillId="5" borderId="150" xfId="0" applyNumberFormat="1" applyFont="1" applyFill="1" applyBorder="1" applyAlignment="1"/>
    <xf numFmtId="0" fontId="1" fillId="5" borderId="5" xfId="0" applyFont="1" applyFill="1" applyBorder="1"/>
    <xf numFmtId="166" fontId="118" fillId="5" borderId="151" xfId="0" applyNumberFormat="1" applyFont="1" applyFill="1" applyBorder="1" applyAlignment="1"/>
    <xf numFmtId="165" fontId="1" fillId="5" borderId="0" xfId="2" applyNumberFormat="1" applyFont="1" applyFill="1"/>
    <xf numFmtId="165" fontId="122" fillId="5" borderId="0" xfId="2" applyNumberFormat="1" applyFont="1" applyFill="1" applyBorder="1" applyAlignment="1">
      <alignment horizontal="center" vertical="top" wrapText="1"/>
    </xf>
    <xf numFmtId="165" fontId="122" fillId="5" borderId="0" xfId="2" applyNumberFormat="1" applyFont="1" applyFill="1" applyBorder="1" applyAlignment="1">
      <alignment horizontal="center" vertical="top"/>
    </xf>
    <xf numFmtId="165" fontId="1" fillId="5" borderId="5" xfId="2" applyNumberFormat="1" applyFont="1" applyFill="1" applyBorder="1"/>
    <xf numFmtId="165" fontId="122" fillId="5" borderId="1" xfId="2" applyNumberFormat="1" applyFont="1" applyFill="1" applyBorder="1"/>
    <xf numFmtId="165" fontId="122" fillId="5" borderId="94" xfId="2" applyNumberFormat="1" applyFont="1" applyFill="1" applyBorder="1"/>
    <xf numFmtId="165" fontId="122" fillId="5" borderId="10" xfId="2" applyNumberFormat="1" applyFont="1" applyFill="1" applyBorder="1" applyAlignment="1">
      <alignment horizontal="center" vertical="top"/>
    </xf>
    <xf numFmtId="165" fontId="1" fillId="0" borderId="0" xfId="2" applyNumberFormat="1" applyFont="1"/>
    <xf numFmtId="165" fontId="130" fillId="5" borderId="0" xfId="2" applyNumberFormat="1" applyFont="1" applyFill="1"/>
    <xf numFmtId="0" fontId="131" fillId="5" borderId="0" xfId="0" applyFont="1" applyFill="1" applyBorder="1" applyAlignment="1">
      <alignment vertical="top"/>
    </xf>
    <xf numFmtId="165" fontId="131" fillId="5" borderId="0" xfId="2" applyNumberFormat="1" applyFont="1" applyFill="1" applyBorder="1" applyAlignment="1">
      <alignment horizontal="center" vertical="top"/>
    </xf>
    <xf numFmtId="165" fontId="130" fillId="5" borderId="5" xfId="2" applyNumberFormat="1" applyFont="1" applyFill="1" applyBorder="1"/>
    <xf numFmtId="165" fontId="131" fillId="5" borderId="10" xfId="2" applyNumberFormat="1" applyFont="1" applyFill="1" applyBorder="1" applyAlignment="1">
      <alignment horizontal="center" vertical="top"/>
    </xf>
    <xf numFmtId="165" fontId="130" fillId="0" borderId="0" xfId="2" applyNumberFormat="1" applyFont="1"/>
    <xf numFmtId="0" fontId="130" fillId="5" borderId="0" xfId="0" applyFont="1" applyFill="1"/>
    <xf numFmtId="0" fontId="130" fillId="5" borderId="5" xfId="0" applyFont="1" applyFill="1" applyBorder="1"/>
    <xf numFmtId="0" fontId="131" fillId="5" borderId="10" xfId="0" applyFont="1" applyFill="1" applyBorder="1" applyAlignment="1">
      <alignment horizontal="center" vertical="top"/>
    </xf>
    <xf numFmtId="0" fontId="130" fillId="0" borderId="0" xfId="0" applyFont="1"/>
    <xf numFmtId="166" fontId="130" fillId="5" borderId="0" xfId="1" applyNumberFormat="1" applyFont="1" applyFill="1"/>
    <xf numFmtId="166" fontId="131" fillId="5" borderId="0" xfId="1" applyNumberFormat="1" applyFont="1" applyFill="1" applyBorder="1" applyAlignment="1">
      <alignment horizontal="center" vertical="top"/>
    </xf>
    <xf numFmtId="166" fontId="130" fillId="5" borderId="5" xfId="1" applyNumberFormat="1" applyFont="1" applyFill="1" applyBorder="1"/>
    <xf numFmtId="166" fontId="131" fillId="5" borderId="10" xfId="1" applyNumberFormat="1" applyFont="1" applyFill="1" applyBorder="1" applyAlignment="1">
      <alignment horizontal="center" vertical="top"/>
    </xf>
    <xf numFmtId="166" fontId="130" fillId="0" borderId="0" xfId="1" applyNumberFormat="1" applyFont="1"/>
    <xf numFmtId="43" fontId="122" fillId="5" borderId="0" xfId="0" applyNumberFormat="1" applyFont="1" applyFill="1" applyBorder="1" applyAlignment="1">
      <alignment horizontal="center" vertical="top" wrapText="1"/>
    </xf>
    <xf numFmtId="166" fontId="122" fillId="5" borderId="2" xfId="1" applyNumberFormat="1" applyFont="1" applyFill="1" applyBorder="1"/>
    <xf numFmtId="166" fontId="122" fillId="5" borderId="0" xfId="1" applyNumberFormat="1" applyFont="1" applyFill="1" applyBorder="1"/>
    <xf numFmtId="0" fontId="122" fillId="5" borderId="10" xfId="0" applyFont="1" applyFill="1" applyBorder="1" applyAlignment="1">
      <alignment horizontal="center" vertical="top"/>
    </xf>
    <xf numFmtId="165" fontId="120" fillId="73" borderId="1" xfId="2" applyNumberFormat="1" applyFont="1" applyFill="1" applyBorder="1" applyAlignment="1">
      <alignment horizontal="center" vertical="center"/>
    </xf>
    <xf numFmtId="0" fontId="120" fillId="5" borderId="0" xfId="0" applyFont="1" applyFill="1" applyBorder="1" applyAlignment="1">
      <alignment horizontal="center" vertical="top"/>
    </xf>
    <xf numFmtId="165" fontId="120" fillId="5" borderId="0" xfId="0" applyNumberFormat="1" applyFont="1" applyFill="1" applyBorder="1" applyAlignment="1">
      <alignment horizontal="center" vertical="top"/>
    </xf>
    <xf numFmtId="0" fontId="123" fillId="5" borderId="5" xfId="0" applyFont="1" applyFill="1" applyBorder="1"/>
    <xf numFmtId="0" fontId="120" fillId="5" borderId="10" xfId="0" applyFont="1" applyFill="1" applyBorder="1" applyAlignment="1">
      <alignment horizontal="center" vertical="top"/>
    </xf>
    <xf numFmtId="0" fontId="123" fillId="0" borderId="0" xfId="0" applyFont="1"/>
    <xf numFmtId="1" fontId="1" fillId="5" borderId="0" xfId="0" applyNumberFormat="1" applyFont="1" applyFill="1"/>
    <xf numFmtId="1" fontId="122" fillId="5" borderId="0" xfId="0" applyNumberFormat="1" applyFont="1" applyFill="1" applyBorder="1" applyAlignment="1">
      <alignment vertical="top"/>
    </xf>
    <xf numFmtId="1" fontId="122" fillId="5" borderId="0" xfId="0" applyNumberFormat="1" applyFont="1" applyFill="1" applyBorder="1" applyAlignment="1">
      <alignment horizontal="center" vertical="top"/>
    </xf>
    <xf numFmtId="1" fontId="1" fillId="5" borderId="5" xfId="0" applyNumberFormat="1" applyFont="1" applyFill="1" applyBorder="1"/>
    <xf numFmtId="1" fontId="122" fillId="5" borderId="10" xfId="0" applyNumberFormat="1" applyFont="1" applyFill="1" applyBorder="1" applyAlignment="1">
      <alignment horizontal="center" vertical="top"/>
    </xf>
    <xf numFmtId="1" fontId="1" fillId="0" borderId="0" xfId="0" applyNumberFormat="1" applyFont="1"/>
    <xf numFmtId="165" fontId="132" fillId="5" borderId="0" xfId="0" applyNumberFormat="1" applyFont="1" applyFill="1" applyBorder="1" applyAlignment="1">
      <alignment horizontal="center" vertical="top"/>
    </xf>
    <xf numFmtId="166" fontId="1" fillId="5" borderId="0" xfId="0" applyNumberFormat="1" applyFont="1" applyFill="1" applyBorder="1"/>
    <xf numFmtId="165" fontId="133" fillId="3" borderId="0" xfId="2" applyNumberFormat="1" applyFont="1" applyFill="1" applyBorder="1" applyAlignment="1">
      <alignment horizontal="center" wrapText="1"/>
    </xf>
    <xf numFmtId="166" fontId="120" fillId="5" borderId="2" xfId="1" applyNumberFormat="1" applyFont="1" applyFill="1" applyBorder="1" applyAlignment="1">
      <alignment horizontal="center" vertical="top"/>
    </xf>
    <xf numFmtId="166" fontId="120" fillId="5" borderId="0" xfId="1" applyNumberFormat="1" applyFont="1" applyFill="1" applyBorder="1" applyAlignment="1">
      <alignment horizontal="center" vertical="top"/>
    </xf>
    <xf numFmtId="164" fontId="122" fillId="5" borderId="2" xfId="0" applyNumberFormat="1" applyFont="1" applyFill="1" applyBorder="1"/>
    <xf numFmtId="164" fontId="122" fillId="5" borderId="0" xfId="0" applyNumberFormat="1" applyFont="1" applyFill="1" applyBorder="1"/>
    <xf numFmtId="0" fontId="1" fillId="5" borderId="4" xfId="0" applyFont="1" applyFill="1" applyBorder="1"/>
    <xf numFmtId="0" fontId="1" fillId="5" borderId="4" xfId="0" applyFont="1" applyFill="1" applyBorder="1" applyAlignment="1">
      <alignment vertical="top"/>
    </xf>
    <xf numFmtId="2" fontId="122" fillId="5" borderId="3" xfId="0" applyNumberFormat="1" applyFont="1" applyFill="1" applyBorder="1"/>
    <xf numFmtId="2" fontId="122" fillId="5" borderId="4" xfId="0" applyNumberFormat="1" applyFont="1" applyFill="1" applyBorder="1"/>
    <xf numFmtId="2" fontId="122" fillId="5" borderId="9" xfId="0" applyNumberFormat="1" applyFont="1" applyFill="1" applyBorder="1"/>
    <xf numFmtId="167" fontId="122" fillId="5" borderId="2" xfId="0" applyNumberFormat="1" applyFont="1" applyFill="1" applyBorder="1"/>
    <xf numFmtId="0" fontId="1" fillId="5" borderId="150" xfId="0" applyFont="1" applyFill="1" applyBorder="1"/>
    <xf numFmtId="167" fontId="122" fillId="5" borderId="0" xfId="0" applyNumberFormat="1" applyFont="1" applyFill="1" applyBorder="1"/>
    <xf numFmtId="167" fontId="122" fillId="5" borderId="10" xfId="0" applyNumberFormat="1" applyFont="1" applyFill="1" applyBorder="1"/>
    <xf numFmtId="167" fontId="122" fillId="5" borderId="4" xfId="0" applyNumberFormat="1" applyFont="1" applyFill="1" applyBorder="1" applyAlignment="1">
      <alignment horizontal="center" wrapText="1"/>
    </xf>
    <xf numFmtId="165" fontId="133" fillId="3" borderId="4" xfId="2" applyNumberFormat="1" applyFont="1" applyFill="1" applyBorder="1" applyAlignment="1">
      <alignment horizontal="center" vertical="top" wrapText="1"/>
    </xf>
    <xf numFmtId="0" fontId="122" fillId="5" borderId="1" xfId="0" applyFont="1" applyFill="1" applyBorder="1" applyAlignment="1">
      <alignment vertical="top"/>
    </xf>
    <xf numFmtId="2" fontId="122" fillId="5" borderId="46" xfId="0" applyNumberFormat="1" applyFont="1" applyFill="1" applyBorder="1"/>
    <xf numFmtId="2" fontId="122" fillId="5" borderId="150" xfId="0" applyNumberFormat="1" applyFont="1" applyFill="1" applyBorder="1"/>
    <xf numFmtId="0" fontId="122" fillId="5" borderId="1" xfId="0" applyFont="1" applyFill="1" applyBorder="1" applyAlignment="1">
      <alignment vertical="top" wrapText="1"/>
    </xf>
    <xf numFmtId="2" fontId="122" fillId="5" borderId="2" xfId="0" applyNumberFormat="1" applyFont="1" applyFill="1" applyBorder="1"/>
    <xf numFmtId="2" fontId="122" fillId="5" borderId="0" xfId="0" applyNumberFormat="1" applyFont="1" applyFill="1" applyBorder="1"/>
    <xf numFmtId="166" fontId="1" fillId="5" borderId="10" xfId="0" applyNumberFormat="1" applyFont="1" applyFill="1" applyBorder="1"/>
    <xf numFmtId="164" fontId="122" fillId="5" borderId="3" xfId="0" applyNumberFormat="1" applyFont="1" applyFill="1" applyBorder="1"/>
    <xf numFmtId="164" fontId="122" fillId="5" borderId="4" xfId="0" applyNumberFormat="1" applyFont="1" applyFill="1" applyBorder="1"/>
    <xf numFmtId="164" fontId="122" fillId="5" borderId="9" xfId="0" applyNumberFormat="1" applyFont="1" applyFill="1" applyBorder="1"/>
    <xf numFmtId="164" fontId="122" fillId="5" borderId="10" xfId="0" applyNumberFormat="1" applyFont="1" applyFill="1" applyBorder="1"/>
    <xf numFmtId="164" fontId="122" fillId="5" borderId="2" xfId="0" applyNumberFormat="1" applyFont="1" applyFill="1" applyBorder="1" applyAlignment="1">
      <alignment horizontal="center" wrapText="1"/>
    </xf>
    <xf numFmtId="166" fontId="1" fillId="5" borderId="5" xfId="0" applyNumberFormat="1" applyFont="1" applyFill="1" applyBorder="1"/>
    <xf numFmtId="164" fontId="122" fillId="5" borderId="0" xfId="0" applyNumberFormat="1" applyFont="1" applyFill="1"/>
    <xf numFmtId="166" fontId="122" fillId="5" borderId="0" xfId="1" applyNumberFormat="1" applyFont="1" applyFill="1" applyBorder="1" applyAlignment="1">
      <alignment horizontal="center" vertical="top"/>
    </xf>
    <xf numFmtId="165" fontId="122" fillId="5" borderId="150" xfId="2" applyNumberFormat="1" applyFont="1" applyFill="1" applyBorder="1" applyAlignment="1">
      <alignment horizontal="center" vertical="top"/>
    </xf>
    <xf numFmtId="0" fontId="1" fillId="5" borderId="9" xfId="0" applyFont="1" applyFill="1" applyBorder="1"/>
    <xf numFmtId="5" fontId="131" fillId="5" borderId="1" xfId="2" applyNumberFormat="1" applyFont="1" applyFill="1" applyBorder="1"/>
    <xf numFmtId="5" fontId="120" fillId="73" borderId="1" xfId="2" applyNumberFormat="1" applyFont="1" applyFill="1" applyBorder="1" applyAlignment="1">
      <alignment horizontal="right" vertical="center"/>
    </xf>
    <xf numFmtId="180" fontId="135" fillId="5" borderId="7" xfId="0" applyNumberFormat="1" applyFont="1" applyFill="1" applyBorder="1" applyAlignment="1">
      <alignment horizontal="right" vertical="center" wrapText="1"/>
    </xf>
    <xf numFmtId="7" fontId="120" fillId="73" borderId="1" xfId="2" applyNumberFormat="1" applyFont="1" applyFill="1" applyBorder="1" applyAlignment="1">
      <alignment horizontal="right" vertical="center"/>
    </xf>
    <xf numFmtId="3" fontId="120" fillId="73" borderId="1" xfId="2" applyNumberFormat="1" applyFont="1" applyFill="1" applyBorder="1" applyAlignment="1">
      <alignment horizontal="right" vertical="center"/>
    </xf>
    <xf numFmtId="9" fontId="120" fillId="73" borderId="1" xfId="4" applyFont="1" applyFill="1" applyBorder="1" applyAlignment="1">
      <alignment horizontal="right" vertical="center"/>
    </xf>
    <xf numFmtId="180" fontId="120" fillId="73" borderId="7" xfId="0" applyNumberFormat="1" applyFont="1" applyFill="1" applyBorder="1" applyAlignment="1">
      <alignment horizontal="right" vertical="center" wrapText="1"/>
    </xf>
    <xf numFmtId="167" fontId="122" fillId="5" borderId="3" xfId="0" applyNumberFormat="1" applyFont="1" applyFill="1" applyBorder="1" applyAlignment="1">
      <alignment horizontal="center" wrapText="1"/>
    </xf>
    <xf numFmtId="166" fontId="122" fillId="5" borderId="4" xfId="0" applyNumberFormat="1" applyFont="1" applyFill="1" applyBorder="1" applyAlignment="1">
      <alignment horizontal="center" wrapText="1"/>
    </xf>
    <xf numFmtId="165" fontId="133" fillId="3" borderId="4" xfId="2" applyNumberFormat="1" applyFont="1" applyFill="1" applyBorder="1" applyAlignment="1">
      <alignment horizontal="center" wrapText="1"/>
    </xf>
    <xf numFmtId="0" fontId="1" fillId="5" borderId="5" xfId="0" applyFont="1" applyFill="1" applyBorder="1" applyAlignment="1"/>
    <xf numFmtId="165" fontId="133" fillId="3" borderId="9" xfId="2" applyNumberFormat="1" applyFont="1" applyFill="1" applyBorder="1" applyAlignment="1">
      <alignment horizontal="center" wrapText="1"/>
    </xf>
    <xf numFmtId="164" fontId="122" fillId="5" borderId="4" xfId="0" applyNumberFormat="1" applyFont="1" applyFill="1" applyBorder="1" applyAlignment="1">
      <alignment horizontal="center" wrapText="1"/>
    </xf>
    <xf numFmtId="165" fontId="122" fillId="5" borderId="4" xfId="2" applyNumberFormat="1" applyFont="1" applyFill="1" applyBorder="1" applyAlignment="1">
      <alignment horizontal="center" vertical="top"/>
    </xf>
    <xf numFmtId="164" fontId="122" fillId="5" borderId="151" xfId="0" applyNumberFormat="1" applyFont="1" applyFill="1" applyBorder="1"/>
    <xf numFmtId="164" fontId="122" fillId="5" borderId="46" xfId="0" applyNumberFormat="1" applyFont="1" applyFill="1" applyBorder="1"/>
    <xf numFmtId="0" fontId="169" fillId="0" borderId="0" xfId="0" applyFont="1"/>
    <xf numFmtId="2" fontId="0" fillId="0" borderId="0" xfId="0" applyNumberFormat="1"/>
    <xf numFmtId="42" fontId="0" fillId="0" borderId="0" xfId="0" applyNumberFormat="1"/>
    <xf numFmtId="0" fontId="168" fillId="81" borderId="1" xfId="0" applyFont="1" applyFill="1" applyBorder="1"/>
    <xf numFmtId="0" fontId="0" fillId="84" borderId="1" xfId="0" applyFont="1" applyFill="1" applyBorder="1" applyAlignment="1">
      <alignment horizontal="right" vertical="top" wrapText="1"/>
    </xf>
    <xf numFmtId="0" fontId="7" fillId="0" borderId="0" xfId="0" applyFont="1"/>
    <xf numFmtId="9" fontId="7" fillId="0" borderId="0" xfId="0" applyNumberFormat="1" applyFont="1"/>
    <xf numFmtId="2" fontId="7" fillId="0" borderId="0" xfId="0" applyNumberFormat="1" applyFont="1"/>
    <xf numFmtId="42" fontId="7" fillId="0" borderId="0" xfId="0" applyNumberFormat="1" applyFont="1"/>
    <xf numFmtId="0" fontId="170" fillId="81" borderId="118" xfId="0" applyFont="1" applyFill="1" applyBorder="1"/>
    <xf numFmtId="0" fontId="167" fillId="81" borderId="1" xfId="0" applyFont="1" applyFill="1" applyBorder="1" applyAlignment="1">
      <alignment wrapText="1"/>
    </xf>
    <xf numFmtId="2" fontId="167" fillId="81" borderId="1" xfId="0" applyNumberFormat="1" applyFont="1" applyFill="1" applyBorder="1" applyAlignment="1">
      <alignment wrapText="1"/>
    </xf>
    <xf numFmtId="0" fontId="0" fillId="0" borderId="1" xfId="0" applyBorder="1"/>
    <xf numFmtId="2" fontId="0" fillId="0" borderId="1" xfId="0" applyNumberFormat="1" applyBorder="1"/>
    <xf numFmtId="42" fontId="61" fillId="0" borderId="1" xfId="0" applyNumberFormat="1" applyFont="1" applyBorder="1"/>
    <xf numFmtId="44" fontId="0" fillId="0" borderId="1" xfId="0" applyNumberFormat="1" applyBorder="1"/>
    <xf numFmtId="42" fontId="0" fillId="0" borderId="1" xfId="0" applyNumberFormat="1" applyBorder="1"/>
    <xf numFmtId="0" fontId="0" fillId="0" borderId="1" xfId="0" applyFill="1" applyBorder="1"/>
    <xf numFmtId="2" fontId="168" fillId="81" borderId="1" xfId="0" applyNumberFormat="1" applyFont="1" applyFill="1" applyBorder="1"/>
    <xf numFmtId="44" fontId="168" fillId="81" borderId="1" xfId="0" applyNumberFormat="1" applyFont="1" applyFill="1" applyBorder="1"/>
    <xf numFmtId="213" fontId="0" fillId="0" borderId="0" xfId="0" applyNumberFormat="1"/>
    <xf numFmtId="0" fontId="171" fillId="81" borderId="118" xfId="0" applyFont="1" applyFill="1" applyBorder="1"/>
    <xf numFmtId="42" fontId="0" fillId="0" borderId="1" xfId="0" applyNumberFormat="1" applyBorder="1" applyAlignment="1"/>
    <xf numFmtId="0" fontId="167" fillId="81" borderId="1" xfId="0" applyFont="1" applyFill="1" applyBorder="1"/>
    <xf numFmtId="2" fontId="167" fillId="81" borderId="1" xfId="0" applyNumberFormat="1" applyFont="1" applyFill="1" applyBorder="1"/>
    <xf numFmtId="44" fontId="167" fillId="81" borderId="1" xfId="0" applyNumberFormat="1" applyFont="1" applyFill="1" applyBorder="1"/>
    <xf numFmtId="44" fontId="7" fillId="0" borderId="0" xfId="0" applyNumberFormat="1" applyFont="1"/>
    <xf numFmtId="9" fontId="122" fillId="6" borderId="1" xfId="0" applyNumberFormat="1" applyFont="1" applyFill="1" applyBorder="1" applyAlignment="1">
      <alignment horizontal="right" vertical="center"/>
    </xf>
    <xf numFmtId="3" fontId="1" fillId="6" borderId="1" xfId="0" applyNumberFormat="1" applyFont="1" applyFill="1" applyBorder="1" applyAlignment="1">
      <alignment horizontal="right" vertical="center"/>
    </xf>
    <xf numFmtId="181" fontId="1" fillId="6" borderId="1" xfId="0" applyNumberFormat="1" applyFont="1" applyFill="1" applyBorder="1" applyAlignment="1">
      <alignment horizontal="right" vertical="center"/>
    </xf>
    <xf numFmtId="42" fontId="1" fillId="6" borderId="1" xfId="0" applyNumberFormat="1" applyFont="1" applyFill="1" applyBorder="1" applyAlignment="1">
      <alignment horizontal="right" vertical="center"/>
    </xf>
    <xf numFmtId="0" fontId="1" fillId="5" borderId="1" xfId="286" applyFont="1" applyFill="1" applyBorder="1" applyAlignment="1">
      <alignment horizontal="left" vertical="center" wrapText="1"/>
    </xf>
    <xf numFmtId="3" fontId="0" fillId="84" borderId="1" xfId="0" applyNumberFormat="1" applyFont="1" applyFill="1" applyBorder="1" applyAlignment="1">
      <alignment horizontal="right" vertical="top" wrapText="1"/>
    </xf>
    <xf numFmtId="0" fontId="3" fillId="0" borderId="0" xfId="0" applyFont="1" applyBorder="1" applyAlignment="1">
      <alignment vertical="center"/>
    </xf>
    <xf numFmtId="0" fontId="118" fillId="0" borderId="1" xfId="0" applyFont="1" applyFill="1" applyBorder="1" applyAlignment="1">
      <alignment horizontal="left" vertical="center" wrapText="1"/>
    </xf>
    <xf numFmtId="0" fontId="118" fillId="0" borderId="6" xfId="0" applyFont="1" applyFill="1" applyBorder="1" applyAlignment="1">
      <alignment horizontal="center" vertical="center" wrapText="1"/>
    </xf>
    <xf numFmtId="0" fontId="118" fillId="5" borderId="0" xfId="0" applyFont="1" applyFill="1" applyBorder="1" applyAlignment="1">
      <alignment horizontal="left" vertical="center" wrapText="1"/>
    </xf>
    <xf numFmtId="0" fontId="3" fillId="5" borderId="0" xfId="0" applyFont="1" applyFill="1" applyBorder="1" applyAlignment="1">
      <alignment horizontal="center" vertical="center"/>
    </xf>
    <xf numFmtId="0" fontId="122" fillId="5" borderId="6" xfId="0" applyFont="1" applyFill="1" applyBorder="1" applyAlignment="1">
      <alignment horizontal="center" vertical="center" wrapText="1"/>
    </xf>
    <xf numFmtId="0" fontId="122" fillId="5" borderId="0" xfId="0" applyFont="1" applyFill="1" applyBorder="1" applyAlignment="1">
      <alignment horizontal="center" vertical="center" wrapText="1"/>
    </xf>
    <xf numFmtId="0" fontId="132" fillId="5" borderId="0" xfId="0" applyFont="1" applyFill="1" applyBorder="1" applyAlignment="1">
      <alignment horizontal="center" wrapText="1"/>
    </xf>
    <xf numFmtId="0" fontId="120" fillId="0" borderId="0" xfId="0" applyFont="1" applyFill="1" applyBorder="1" applyAlignment="1">
      <alignment horizontal="left" vertical="center" wrapText="1"/>
    </xf>
    <xf numFmtId="0" fontId="122" fillId="5" borderId="1" xfId="0" applyFont="1" applyFill="1" applyBorder="1" applyAlignment="1">
      <alignment horizontal="center" vertical="center" wrapText="1"/>
    </xf>
    <xf numFmtId="166" fontId="120" fillId="5" borderId="0" xfId="1" applyNumberFormat="1" applyFont="1" applyFill="1" applyBorder="1" applyAlignment="1">
      <alignment horizontal="center" vertical="center" wrapText="1"/>
    </xf>
    <xf numFmtId="0" fontId="135" fillId="5" borderId="0" xfId="0" applyFont="1" applyFill="1" applyBorder="1" applyAlignment="1">
      <alignment horizontal="left" wrapText="1"/>
    </xf>
    <xf numFmtId="0" fontId="0" fillId="0" borderId="0" xfId="0" applyBorder="1" applyAlignment="1">
      <alignment horizontal="left" vertical="center" wrapText="1"/>
    </xf>
    <xf numFmtId="5" fontId="118" fillId="5" borderId="81" xfId="2" applyNumberFormat="1" applyFont="1" applyFill="1" applyBorder="1" applyAlignment="1">
      <alignment horizontal="right" vertical="center" wrapText="1"/>
    </xf>
    <xf numFmtId="0" fontId="16" fillId="5" borderId="153" xfId="0" applyFont="1" applyFill="1" applyBorder="1" applyAlignment="1">
      <alignment horizontal="center" vertical="center" wrapText="1"/>
    </xf>
    <xf numFmtId="0" fontId="0" fillId="0" borderId="10" xfId="0" applyBorder="1" applyAlignment="1">
      <alignment horizontal="left" vertical="center" wrapText="1"/>
    </xf>
    <xf numFmtId="0" fontId="0" fillId="0" borderId="10" xfId="0" applyBorder="1" applyAlignment="1">
      <alignment vertical="center" wrapText="1"/>
    </xf>
    <xf numFmtId="169" fontId="122" fillId="6" borderId="1" xfId="0" applyNumberFormat="1" applyFont="1" applyFill="1" applyBorder="1" applyAlignment="1">
      <alignment horizontal="center" vertical="center" wrapText="1"/>
    </xf>
    <xf numFmtId="7" fontId="118" fillId="5" borderId="0" xfId="2" applyNumberFormat="1" applyFont="1" applyFill="1" applyBorder="1" applyAlignment="1">
      <alignment horizontal="right" vertical="center" wrapText="1"/>
    </xf>
    <xf numFmtId="0" fontId="3" fillId="0" borderId="152" xfId="0" applyFont="1" applyBorder="1" applyAlignment="1">
      <alignment vertical="center"/>
    </xf>
    <xf numFmtId="0" fontId="3" fillId="0" borderId="153" xfId="0" applyFont="1" applyBorder="1" applyAlignment="1">
      <alignment vertical="center"/>
    </xf>
    <xf numFmtId="0" fontId="123" fillId="5" borderId="152" xfId="0" applyFont="1" applyFill="1" applyBorder="1" applyAlignment="1">
      <alignment horizontal="center" vertical="center" wrapText="1"/>
    </xf>
    <xf numFmtId="3" fontId="118" fillId="0" borderId="0" xfId="0" applyNumberFormat="1" applyFont="1" applyFill="1" applyBorder="1" applyAlignment="1">
      <alignment horizontal="center" vertical="top"/>
    </xf>
    <xf numFmtId="0" fontId="122" fillId="0" borderId="28" xfId="0" applyFont="1" applyFill="1" applyBorder="1" applyAlignment="1">
      <alignment horizontal="center" vertical="top"/>
    </xf>
    <xf numFmtId="0" fontId="3" fillId="0" borderId="29" xfId="0" applyFont="1" applyFill="1" applyBorder="1"/>
    <xf numFmtId="0" fontId="3" fillId="5" borderId="126" xfId="0" applyFont="1" applyFill="1" applyBorder="1" applyAlignment="1">
      <alignment vertical="center"/>
    </xf>
    <xf numFmtId="0" fontId="122" fillId="5" borderId="2" xfId="0" applyFont="1" applyFill="1" applyBorder="1" applyAlignment="1">
      <alignment horizontal="left" vertical="center"/>
    </xf>
    <xf numFmtId="0" fontId="122" fillId="5" borderId="81" xfId="0" applyFont="1" applyFill="1" applyBorder="1" applyAlignment="1">
      <alignment horizontal="center" vertical="center"/>
    </xf>
    <xf numFmtId="0" fontId="3" fillId="0" borderId="126" xfId="0" applyFont="1" applyBorder="1"/>
    <xf numFmtId="0" fontId="122" fillId="5" borderId="144" xfId="0" applyFont="1" applyFill="1" applyBorder="1" applyAlignment="1">
      <alignment horizontal="center" vertical="top" wrapText="1"/>
    </xf>
    <xf numFmtId="5" fontId="118" fillId="5" borderId="81" xfId="2" applyNumberFormat="1" applyFont="1" applyFill="1" applyBorder="1" applyAlignment="1">
      <alignment vertical="center"/>
    </xf>
    <xf numFmtId="168" fontId="118" fillId="0" borderId="1" xfId="2" applyNumberFormat="1" applyFont="1" applyFill="1" applyBorder="1" applyAlignment="1">
      <alignment horizontal="right" vertical="center"/>
    </xf>
    <xf numFmtId="0" fontId="122" fillId="5" borderId="0" xfId="0" applyFont="1" applyFill="1" applyBorder="1" applyAlignment="1">
      <alignment horizontal="center" vertical="center" wrapText="1"/>
    </xf>
    <xf numFmtId="0" fontId="0" fillId="0" borderId="0" xfId="0" applyBorder="1" applyAlignment="1">
      <alignment horizontal="center" vertical="center" wrapText="1"/>
    </xf>
    <xf numFmtId="0" fontId="125" fillId="5" borderId="0" xfId="286" applyFont="1" applyFill="1" applyBorder="1" applyAlignment="1">
      <alignment horizontal="center" vertical="center" wrapText="1"/>
    </xf>
    <xf numFmtId="0" fontId="125" fillId="5" borderId="0" xfId="286" applyFont="1" applyFill="1" applyBorder="1" applyAlignment="1">
      <alignment horizontal="left" vertical="center" wrapText="1"/>
    </xf>
    <xf numFmtId="0" fontId="3" fillId="0" borderId="0" xfId="0" applyFont="1" applyBorder="1" applyAlignment="1">
      <alignment vertical="center"/>
    </xf>
    <xf numFmtId="0" fontId="141" fillId="0" borderId="0" xfId="0" applyFont="1" applyFill="1" applyBorder="1" applyAlignment="1">
      <alignment horizontal="left" vertical="center" wrapText="1"/>
    </xf>
    <xf numFmtId="0" fontId="120" fillId="0" borderId="0" xfId="0" applyFont="1" applyFill="1" applyBorder="1" applyAlignment="1">
      <alignment horizontal="left" vertical="center" wrapText="1"/>
    </xf>
    <xf numFmtId="0" fontId="122" fillId="5" borderId="1" xfId="0" applyFont="1" applyFill="1" applyBorder="1" applyAlignment="1">
      <alignment horizontal="center" vertical="center" wrapText="1"/>
    </xf>
    <xf numFmtId="0" fontId="125" fillId="5" borderId="0" xfId="286" applyFont="1" applyFill="1" applyBorder="1" applyAlignment="1">
      <alignment horizontal="left" vertical="center"/>
    </xf>
    <xf numFmtId="0" fontId="125" fillId="0" borderId="0" xfId="286" applyFont="1" applyBorder="1" applyAlignment="1">
      <alignment horizontal="left" vertical="center"/>
    </xf>
    <xf numFmtId="0" fontId="125" fillId="5" borderId="0" xfId="286" applyFont="1" applyFill="1" applyBorder="1" applyAlignment="1">
      <alignment horizontal="center" vertical="center"/>
    </xf>
    <xf numFmtId="0" fontId="122" fillId="5" borderId="0" xfId="0" applyFont="1" applyFill="1" applyBorder="1" applyAlignment="1">
      <alignment horizontal="center" vertical="center"/>
    </xf>
    <xf numFmtId="0" fontId="134" fillId="5" borderId="0" xfId="286" applyFont="1" applyFill="1" applyBorder="1" applyAlignment="1">
      <alignment horizontal="center" vertical="center"/>
    </xf>
    <xf numFmtId="0" fontId="3" fillId="5" borderId="0" xfId="0" applyFont="1" applyFill="1" applyBorder="1" applyAlignment="1">
      <alignment horizontal="center" vertical="center" wrapText="1"/>
    </xf>
    <xf numFmtId="0" fontId="1" fillId="0" borderId="29" xfId="0" applyFont="1" applyBorder="1" applyAlignment="1">
      <alignment vertical="center" wrapText="1"/>
    </xf>
    <xf numFmtId="0" fontId="1" fillId="5" borderId="2" xfId="0" applyFont="1" applyFill="1" applyBorder="1" applyAlignment="1"/>
    <xf numFmtId="0" fontId="118" fillId="0" borderId="127" xfId="1" applyNumberFormat="1" applyFont="1" applyFill="1" applyBorder="1" applyAlignment="1">
      <alignment horizontal="center" vertical="center"/>
    </xf>
    <xf numFmtId="3" fontId="122" fillId="6" borderId="1" xfId="0" applyNumberFormat="1" applyFont="1" applyFill="1" applyBorder="1" applyAlignment="1">
      <alignment horizontal="left" vertical="center"/>
    </xf>
    <xf numFmtId="3" fontId="122" fillId="0" borderId="94" xfId="0" applyNumberFormat="1" applyFont="1" applyFill="1" applyBorder="1" applyAlignment="1">
      <alignment horizontal="center" vertical="top"/>
    </xf>
    <xf numFmtId="0" fontId="1" fillId="5" borderId="154" xfId="0" applyFont="1" applyFill="1" applyBorder="1"/>
    <xf numFmtId="0" fontId="122" fillId="5" borderId="137" xfId="0" applyFont="1" applyFill="1" applyBorder="1" applyAlignment="1">
      <alignment horizontal="center" vertical="top"/>
    </xf>
    <xf numFmtId="3" fontId="122" fillId="0" borderId="1" xfId="0" applyNumberFormat="1" applyFont="1" applyFill="1" applyBorder="1" applyAlignment="1">
      <alignment horizontal="left" vertical="center"/>
    </xf>
    <xf numFmtId="0" fontId="133" fillId="2" borderId="1" xfId="0" applyFont="1" applyFill="1" applyBorder="1" applyAlignment="1">
      <alignment vertical="top" wrapText="1"/>
    </xf>
    <xf numFmtId="165" fontId="133" fillId="4" borderId="1" xfId="2" applyNumberFormat="1" applyFont="1" applyFill="1" applyBorder="1" applyAlignment="1">
      <alignment vertical="center" wrapText="1"/>
    </xf>
    <xf numFmtId="0" fontId="133" fillId="2" borderId="1" xfId="0" applyFont="1" applyFill="1" applyBorder="1" applyAlignment="1">
      <alignment horizontal="right" vertical="top" wrapText="1"/>
    </xf>
    <xf numFmtId="0" fontId="133" fillId="82" borderId="1" xfId="0" applyFont="1" applyFill="1" applyBorder="1" applyAlignment="1">
      <alignment horizontal="right" vertical="top" wrapText="1"/>
    </xf>
    <xf numFmtId="0" fontId="133" fillId="2" borderId="0" xfId="0" applyFont="1" applyFill="1" applyBorder="1" applyAlignment="1">
      <alignment vertical="top" wrapText="1"/>
    </xf>
    <xf numFmtId="3" fontId="104" fillId="0" borderId="1" xfId="0" applyNumberFormat="1" applyFont="1" applyBorder="1" applyAlignment="1">
      <alignment vertical="center" wrapText="1"/>
    </xf>
    <xf numFmtId="165" fontId="104" fillId="4" borderId="1" xfId="2" applyNumberFormat="1" applyFont="1" applyFill="1" applyBorder="1" applyAlignment="1">
      <alignment vertical="center" wrapText="1"/>
    </xf>
    <xf numFmtId="9" fontId="104" fillId="83" borderId="1" xfId="4" applyFont="1" applyFill="1" applyBorder="1" applyAlignment="1">
      <alignment vertical="center" wrapText="1"/>
    </xf>
    <xf numFmtId="3" fontId="104" fillId="0" borderId="0" xfId="0" applyNumberFormat="1" applyFont="1" applyBorder="1" applyAlignment="1">
      <alignment vertical="center" wrapText="1"/>
    </xf>
    <xf numFmtId="3" fontId="104" fillId="4" borderId="0" xfId="0" applyNumberFormat="1" applyFont="1" applyFill="1" applyBorder="1" applyAlignment="1" applyProtection="1">
      <alignment vertical="center" wrapText="1"/>
    </xf>
    <xf numFmtId="9" fontId="104" fillId="4" borderId="0" xfId="4" applyFont="1" applyFill="1" applyBorder="1" applyAlignment="1" applyProtection="1">
      <alignment vertical="center" wrapText="1"/>
    </xf>
    <xf numFmtId="0" fontId="104" fillId="0" borderId="1" xfId="1" applyNumberFormat="1" applyFont="1" applyBorder="1" applyAlignment="1">
      <alignment horizontal="center" vertical="center" wrapText="1"/>
    </xf>
    <xf numFmtId="43" fontId="104" fillId="0" borderId="1" xfId="1" applyFont="1" applyBorder="1" applyAlignment="1">
      <alignment vertical="center" wrapText="1"/>
    </xf>
    <xf numFmtId="43" fontId="104" fillId="0" borderId="0" xfId="1" applyFont="1" applyBorder="1" applyAlignment="1">
      <alignment vertical="center" wrapText="1"/>
    </xf>
    <xf numFmtId="43" fontId="104" fillId="4" borderId="0" xfId="1" applyFont="1" applyFill="1" applyBorder="1" applyAlignment="1" applyProtection="1">
      <alignment vertical="center" wrapText="1"/>
    </xf>
    <xf numFmtId="6" fontId="104" fillId="0" borderId="0" xfId="1" applyNumberFormat="1" applyFont="1" applyBorder="1" applyAlignment="1">
      <alignment vertical="center" wrapText="1"/>
    </xf>
    <xf numFmtId="43" fontId="104" fillId="0" borderId="1" xfId="1" applyFont="1" applyBorder="1" applyAlignment="1">
      <alignment horizontal="center" vertical="center" wrapText="1"/>
    </xf>
    <xf numFmtId="43" fontId="104" fillId="0" borderId="0" xfId="1" applyFont="1" applyBorder="1" applyAlignment="1">
      <alignment vertical="center"/>
    </xf>
    <xf numFmtId="43" fontId="16" fillId="0" borderId="0" xfId="1" applyFont="1" applyBorder="1" applyAlignment="1">
      <alignment vertical="center"/>
    </xf>
    <xf numFmtId="0" fontId="133" fillId="2" borderId="0" xfId="0" applyFont="1" applyFill="1" applyBorder="1" applyAlignment="1">
      <alignment vertical="top"/>
    </xf>
    <xf numFmtId="44" fontId="133" fillId="2" borderId="0" xfId="2" applyFont="1" applyFill="1" applyBorder="1" applyAlignment="1">
      <alignment vertical="top"/>
    </xf>
    <xf numFmtId="0" fontId="133" fillId="3" borderId="0" xfId="0" applyFont="1" applyFill="1" applyBorder="1" applyAlignment="1">
      <alignment vertical="top"/>
    </xf>
    <xf numFmtId="168" fontId="16" fillId="4" borderId="1" xfId="2" applyNumberFormat="1" applyFont="1" applyFill="1" applyBorder="1" applyAlignment="1">
      <alignment horizontal="right" vertical="center" wrapText="1"/>
    </xf>
    <xf numFmtId="5" fontId="16" fillId="5" borderId="1" xfId="2" applyNumberFormat="1" applyFont="1" applyFill="1" applyBorder="1" applyAlignment="1">
      <alignment horizontal="right" vertical="center" wrapText="1"/>
    </xf>
    <xf numFmtId="7" fontId="16" fillId="5" borderId="1" xfId="2" applyNumberFormat="1" applyFont="1" applyFill="1" applyBorder="1" applyAlignment="1">
      <alignment horizontal="right" vertical="center" wrapText="1"/>
    </xf>
    <xf numFmtId="0" fontId="60" fillId="5" borderId="0" xfId="286" applyFill="1" applyBorder="1" applyAlignment="1">
      <alignment horizontal="left" vertical="center" wrapText="1"/>
    </xf>
    <xf numFmtId="0" fontId="1" fillId="5" borderId="0" xfId="0" applyFont="1" applyFill="1" applyBorder="1" applyAlignment="1">
      <alignment horizontal="left" vertical="center" wrapText="1"/>
    </xf>
    <xf numFmtId="0" fontId="125" fillId="5" borderId="155" xfId="286" applyFont="1" applyFill="1" applyBorder="1" applyAlignment="1">
      <alignment vertical="center"/>
    </xf>
    <xf numFmtId="0" fontId="126" fillId="0" borderId="155" xfId="0" applyFont="1" applyBorder="1" applyAlignment="1">
      <alignment vertical="center"/>
    </xf>
    <xf numFmtId="0" fontId="1" fillId="5" borderId="155" xfId="0" applyFont="1" applyFill="1" applyBorder="1" applyAlignment="1">
      <alignment horizontal="left" vertical="center"/>
    </xf>
    <xf numFmtId="0" fontId="125" fillId="0" borderId="155" xfId="286" applyFont="1" applyBorder="1" applyAlignment="1">
      <alignment vertical="center"/>
    </xf>
    <xf numFmtId="0" fontId="125" fillId="0" borderId="155" xfId="286" applyFont="1" applyBorder="1" applyAlignment="1">
      <alignment horizontal="center" vertical="center"/>
    </xf>
    <xf numFmtId="0" fontId="125" fillId="5" borderId="155" xfId="286" applyFont="1" applyFill="1" applyBorder="1" applyAlignment="1">
      <alignment horizontal="left" vertical="center"/>
    </xf>
    <xf numFmtId="0" fontId="125" fillId="0" borderId="155" xfId="286" applyFont="1" applyBorder="1" applyAlignment="1">
      <alignment horizontal="left" vertical="center"/>
    </xf>
    <xf numFmtId="0" fontId="125" fillId="5" borderId="157" xfId="286" applyFont="1" applyFill="1" applyBorder="1" applyAlignment="1">
      <alignment vertical="center"/>
    </xf>
    <xf numFmtId="0" fontId="126" fillId="0" borderId="158" xfId="0" applyFont="1" applyBorder="1" applyAlignment="1">
      <alignment vertical="center"/>
    </xf>
    <xf numFmtId="0" fontId="1" fillId="5" borderId="158" xfId="0" applyFont="1" applyFill="1" applyBorder="1" applyAlignment="1">
      <alignment horizontal="left" vertical="center"/>
    </xf>
    <xf numFmtId="0" fontId="1" fillId="5" borderId="159" xfId="0" applyFont="1" applyFill="1" applyBorder="1" applyAlignment="1">
      <alignment horizontal="left" vertical="center"/>
    </xf>
    <xf numFmtId="0" fontId="60" fillId="0" borderId="0" xfId="286" applyFill="1" applyBorder="1" applyAlignment="1">
      <alignment wrapText="1"/>
    </xf>
    <xf numFmtId="0" fontId="1" fillId="0" borderId="155" xfId="0" applyFont="1" applyBorder="1" applyAlignment="1">
      <alignment horizontal="center" vertical="center" wrapText="1"/>
    </xf>
    <xf numFmtId="0" fontId="125" fillId="5" borderId="29" xfId="286" applyFont="1" applyFill="1" applyBorder="1" applyAlignment="1">
      <alignment vertical="center"/>
    </xf>
    <xf numFmtId="0" fontId="172" fillId="5" borderId="0" xfId="135" applyFont="1" applyFill="1" applyBorder="1" applyAlignment="1" applyProtection="1">
      <alignment horizontal="left" vertical="center" wrapText="1"/>
    </xf>
    <xf numFmtId="0" fontId="172" fillId="5" borderId="0" xfId="286" applyFont="1" applyFill="1" applyBorder="1" applyAlignment="1" applyProtection="1">
      <alignment horizontal="left" vertical="center" wrapText="1"/>
    </xf>
    <xf numFmtId="0" fontId="60" fillId="5" borderId="0" xfId="286" applyFill="1" applyBorder="1"/>
    <xf numFmtId="0" fontId="172" fillId="5" borderId="0" xfId="286" applyFont="1" applyFill="1" applyBorder="1" applyAlignment="1">
      <alignment horizontal="left" vertical="center" wrapText="1"/>
    </xf>
    <xf numFmtId="0" fontId="122" fillId="5" borderId="137" xfId="0" applyFont="1" applyFill="1" applyBorder="1" applyAlignment="1">
      <alignment vertical="center"/>
    </xf>
    <xf numFmtId="0" fontId="120" fillId="5" borderId="29" xfId="0" applyFont="1" applyFill="1" applyBorder="1"/>
    <xf numFmtId="9" fontId="120" fillId="0" borderId="28" xfId="4" applyFont="1" applyFill="1" applyBorder="1" applyAlignment="1">
      <alignment horizontal="center" vertical="center"/>
    </xf>
    <xf numFmtId="9" fontId="120" fillId="0" borderId="137" xfId="4" applyNumberFormat="1" applyFont="1" applyFill="1" applyBorder="1" applyAlignment="1">
      <alignment horizontal="right" vertical="center" wrapText="1"/>
    </xf>
    <xf numFmtId="9" fontId="120" fillId="0" borderId="144" xfId="4" applyNumberFormat="1" applyFont="1" applyFill="1" applyBorder="1" applyAlignment="1">
      <alignment horizontal="right" vertical="center" wrapText="1"/>
    </xf>
    <xf numFmtId="0" fontId="120" fillId="0" borderId="137" xfId="0" applyFont="1" applyFill="1" applyBorder="1" applyAlignment="1">
      <alignment horizontal="left" vertical="center" wrapText="1"/>
    </xf>
    <xf numFmtId="0" fontId="3" fillId="0" borderId="36" xfId="0" applyFont="1" applyFill="1" applyBorder="1"/>
    <xf numFmtId="0" fontId="120" fillId="0" borderId="137" xfId="0" applyFont="1" applyFill="1" applyBorder="1"/>
    <xf numFmtId="0" fontId="118" fillId="0" borderId="137" xfId="0" applyFont="1" applyFill="1" applyBorder="1"/>
    <xf numFmtId="182" fontId="120" fillId="0" borderId="137" xfId="4" applyNumberFormat="1" applyFont="1" applyFill="1" applyBorder="1" applyAlignment="1">
      <alignment horizontal="right" vertical="center" wrapText="1"/>
    </xf>
    <xf numFmtId="0" fontId="120" fillId="0" borderId="0" xfId="0" applyFont="1" applyFill="1" applyBorder="1"/>
    <xf numFmtId="0" fontId="118" fillId="0" borderId="0" xfId="0" applyFont="1" applyFill="1" applyBorder="1"/>
    <xf numFmtId="182" fontId="120" fillId="0" borderId="0" xfId="4" applyNumberFormat="1" applyFont="1" applyFill="1" applyBorder="1" applyAlignment="1">
      <alignment horizontal="right" vertical="center" wrapText="1"/>
    </xf>
    <xf numFmtId="9" fontId="120" fillId="0" borderId="28" xfId="4" applyNumberFormat="1" applyFont="1" applyFill="1" applyBorder="1" applyAlignment="1">
      <alignment horizontal="right" vertical="center" wrapText="1"/>
    </xf>
    <xf numFmtId="182" fontId="120" fillId="0" borderId="144" xfId="4" applyNumberFormat="1" applyFont="1" applyFill="1" applyBorder="1" applyAlignment="1">
      <alignment horizontal="right" vertical="center" wrapText="1"/>
    </xf>
    <xf numFmtId="182" fontId="118" fillId="5" borderId="28" xfId="4" applyNumberFormat="1" applyFont="1" applyFill="1" applyBorder="1" applyAlignment="1">
      <alignment horizontal="right" vertical="center" wrapText="1"/>
    </xf>
    <xf numFmtId="0" fontId="172" fillId="5" borderId="0" xfId="286" applyFont="1" applyFill="1" applyBorder="1" applyAlignment="1">
      <alignment horizontal="left" vertical="center"/>
    </xf>
    <xf numFmtId="0" fontId="1" fillId="5" borderId="0" xfId="0" applyFont="1" applyFill="1" applyBorder="1" applyAlignment="1">
      <alignment horizontal="center" vertical="center" wrapText="1"/>
    </xf>
    <xf numFmtId="0" fontId="1" fillId="5" borderId="0" xfId="0" applyFont="1" applyFill="1" applyAlignment="1">
      <alignment horizontal="center" vertical="center" wrapText="1"/>
    </xf>
    <xf numFmtId="0" fontId="6" fillId="5" borderId="0" xfId="0" applyFont="1" applyFill="1" applyBorder="1"/>
    <xf numFmtId="0" fontId="1" fillId="0" borderId="118" xfId="0" applyFont="1" applyFill="1" applyBorder="1" applyAlignment="1">
      <alignment horizontal="left" vertical="center" wrapText="1"/>
    </xf>
    <xf numFmtId="168" fontId="1" fillId="0" borderId="112" xfId="0" applyNumberFormat="1" applyFont="1" applyFill="1" applyBorder="1" applyAlignment="1">
      <alignment horizontal="right" vertical="center" wrapText="1"/>
    </xf>
    <xf numFmtId="168" fontId="1" fillId="0" borderId="114" xfId="0" applyNumberFormat="1" applyFont="1" applyFill="1" applyBorder="1" applyAlignment="1">
      <alignment horizontal="right" vertical="center" wrapText="1"/>
    </xf>
    <xf numFmtId="0" fontId="1" fillId="0" borderId="5" xfId="0" applyFont="1" applyFill="1" applyBorder="1" applyAlignment="1">
      <alignment horizontal="left" vertical="center" wrapText="1"/>
    </xf>
    <xf numFmtId="168" fontId="1" fillId="0" borderId="0" xfId="0" applyNumberFormat="1" applyFont="1" applyFill="1" applyBorder="1" applyAlignment="1">
      <alignment horizontal="right" vertical="center" wrapText="1"/>
    </xf>
    <xf numFmtId="168" fontId="1" fillId="0" borderId="10" xfId="0" applyNumberFormat="1" applyFont="1" applyFill="1" applyBorder="1" applyAlignment="1">
      <alignment horizontal="right" vertical="center" wrapText="1"/>
    </xf>
    <xf numFmtId="0" fontId="1" fillId="0" borderId="7" xfId="0" applyFont="1" applyFill="1" applyBorder="1" applyAlignment="1">
      <alignment horizontal="left" vertical="center" wrapText="1"/>
    </xf>
    <xf numFmtId="168" fontId="1" fillId="0" borderId="4" xfId="0" applyNumberFormat="1" applyFont="1" applyFill="1" applyBorder="1" applyAlignment="1">
      <alignment horizontal="right" vertical="center" wrapText="1"/>
    </xf>
    <xf numFmtId="168" fontId="1" fillId="0" borderId="9" xfId="0" applyNumberFormat="1" applyFont="1" applyFill="1" applyBorder="1" applyAlignment="1">
      <alignment horizontal="right" vertical="center" wrapText="1"/>
    </xf>
    <xf numFmtId="168" fontId="1" fillId="5" borderId="0" xfId="0" applyNumberFormat="1" applyFont="1" applyFill="1" applyBorder="1" applyAlignment="1">
      <alignment horizontal="center" vertical="center" wrapText="1"/>
    </xf>
    <xf numFmtId="168" fontId="1" fillId="0" borderId="113" xfId="0" applyNumberFormat="1" applyFont="1" applyFill="1" applyBorder="1" applyAlignment="1">
      <alignment horizontal="right" vertical="center" wrapText="1"/>
    </xf>
    <xf numFmtId="168" fontId="1" fillId="0" borderId="2" xfId="0" applyNumberFormat="1" applyFont="1" applyFill="1" applyBorder="1" applyAlignment="1">
      <alignment horizontal="right" vertical="center" wrapText="1"/>
    </xf>
    <xf numFmtId="168" fontId="1" fillId="0" borderId="3" xfId="0" applyNumberFormat="1" applyFont="1" applyFill="1" applyBorder="1" applyAlignment="1">
      <alignment horizontal="right" vertical="center" wrapText="1"/>
    </xf>
    <xf numFmtId="0" fontId="122" fillId="5" borderId="124" xfId="0" applyFont="1" applyFill="1" applyBorder="1" applyAlignment="1">
      <alignment horizontal="center" vertical="center" wrapText="1"/>
    </xf>
    <xf numFmtId="0" fontId="1" fillId="5" borderId="1" xfId="0" applyFont="1" applyFill="1" applyBorder="1" applyAlignment="1">
      <alignment horizontal="left" vertical="center" wrapText="1"/>
    </xf>
    <xf numFmtId="168" fontId="1" fillId="5" borderId="1" xfId="0"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168" fontId="1" fillId="0" borderId="1" xfId="0" applyNumberFormat="1" applyFont="1" applyFill="1" applyBorder="1" applyAlignment="1">
      <alignment horizontal="center" vertical="center" wrapText="1"/>
    </xf>
    <xf numFmtId="168" fontId="1" fillId="0" borderId="0" xfId="0" applyNumberFormat="1" applyFont="1" applyFill="1" applyBorder="1" applyAlignment="1">
      <alignment horizontal="center" vertical="center" wrapText="1"/>
    </xf>
    <xf numFmtId="0" fontId="122" fillId="4" borderId="118" xfId="0" applyFont="1" applyFill="1" applyBorder="1" applyAlignment="1">
      <alignment horizontal="center" vertical="center"/>
    </xf>
    <xf numFmtId="0" fontId="122" fillId="4" borderId="7" xfId="0" applyFont="1" applyFill="1" applyBorder="1" applyAlignment="1">
      <alignment horizontal="center" vertical="center"/>
    </xf>
    <xf numFmtId="0" fontId="122" fillId="4" borderId="1" xfId="0" applyFont="1" applyFill="1" applyBorder="1" applyAlignment="1">
      <alignment horizontal="center" vertical="center" wrapText="1"/>
    </xf>
    <xf numFmtId="0" fontId="122" fillId="5" borderId="0" xfId="0" applyFont="1" applyFill="1" applyAlignment="1">
      <alignment horizontal="center" vertical="center" wrapText="1"/>
    </xf>
    <xf numFmtId="0" fontId="1" fillId="0" borderId="0" xfId="0" applyFont="1" applyAlignment="1">
      <alignment vertical="top" wrapText="1"/>
    </xf>
    <xf numFmtId="166" fontId="1" fillId="0" borderId="0" xfId="1" applyNumberFormat="1" applyFont="1" applyAlignment="1">
      <alignment vertical="top"/>
    </xf>
    <xf numFmtId="3" fontId="1" fillId="84" borderId="94" xfId="0" applyNumberFormat="1" applyFont="1" applyFill="1" applyBorder="1" applyAlignment="1">
      <alignment horizontal="right" vertical="top"/>
    </xf>
    <xf numFmtId="10" fontId="1" fillId="84" borderId="94" xfId="0" applyNumberFormat="1" applyFont="1" applyFill="1" applyBorder="1" applyAlignment="1">
      <alignment horizontal="right" vertical="top"/>
    </xf>
    <xf numFmtId="0" fontId="123" fillId="81" borderId="94" xfId="0" applyFont="1" applyFill="1" applyBorder="1" applyAlignment="1">
      <alignment horizontal="left" vertical="top" wrapText="1"/>
    </xf>
    <xf numFmtId="0" fontId="1" fillId="0" borderId="94" xfId="0" applyFont="1" applyBorder="1" applyAlignment="1">
      <alignment horizontal="right" vertical="top"/>
    </xf>
    <xf numFmtId="166" fontId="1" fillId="0" borderId="1" xfId="1" applyNumberFormat="1" applyFont="1" applyBorder="1" applyAlignment="1">
      <alignment vertical="top"/>
    </xf>
    <xf numFmtId="0" fontId="1" fillId="76" borderId="1" xfId="0" applyFont="1" applyFill="1" applyBorder="1" applyAlignment="1">
      <alignment horizontal="right" vertical="top" wrapText="1"/>
    </xf>
    <xf numFmtId="42" fontId="1" fillId="76" borderId="1" xfId="0" applyNumberFormat="1" applyFont="1" applyFill="1" applyBorder="1" applyAlignment="1">
      <alignment horizontal="right" vertical="top" wrapText="1"/>
    </xf>
    <xf numFmtId="2" fontId="1" fillId="84" borderId="94" xfId="0" applyNumberFormat="1" applyFont="1" applyFill="1" applyBorder="1" applyAlignment="1">
      <alignment horizontal="right" vertical="top"/>
    </xf>
    <xf numFmtId="42" fontId="1" fillId="84" borderId="1" xfId="1" applyNumberFormat="1" applyFont="1" applyFill="1" applyBorder="1" applyAlignment="1">
      <alignment vertical="top"/>
    </xf>
    <xf numFmtId="0" fontId="1" fillId="0" borderId="1" xfId="0" applyFont="1" applyBorder="1" applyAlignment="1">
      <alignment horizontal="right" vertical="top"/>
    </xf>
    <xf numFmtId="0" fontId="123" fillId="81" borderId="1" xfId="0" applyFont="1" applyFill="1" applyBorder="1" applyAlignment="1">
      <alignment horizontal="left" vertical="top"/>
    </xf>
    <xf numFmtId="42" fontId="123" fillId="81" borderId="1" xfId="1" applyNumberFormat="1" applyFont="1" applyFill="1" applyBorder="1" applyAlignment="1">
      <alignment vertical="top"/>
    </xf>
    <xf numFmtId="0" fontId="120" fillId="81" borderId="1" xfId="0" applyFont="1" applyFill="1" applyBorder="1" applyAlignment="1">
      <alignment horizontal="left" vertical="top"/>
    </xf>
    <xf numFmtId="42" fontId="120" fillId="81" borderId="1" xfId="1" applyNumberFormat="1" applyFont="1" applyFill="1" applyBorder="1" applyAlignment="1">
      <alignment vertical="top"/>
    </xf>
    <xf numFmtId="3" fontId="1" fillId="0" borderId="1" xfId="0" applyNumberFormat="1" applyFont="1" applyBorder="1" applyAlignment="1">
      <alignment vertical="top" wrapText="1"/>
    </xf>
    <xf numFmtId="10" fontId="1" fillId="0" borderId="1" xfId="1" applyNumberFormat="1" applyFont="1" applyBorder="1" applyAlignment="1">
      <alignment vertical="top"/>
    </xf>
    <xf numFmtId="42" fontId="1" fillId="0" borderId="1" xfId="1" applyNumberFormat="1" applyFont="1" applyBorder="1" applyAlignment="1">
      <alignment vertical="top"/>
    </xf>
    <xf numFmtId="8" fontId="1" fillId="0" borderId="0" xfId="0" applyNumberFormat="1" applyFont="1" applyAlignment="1">
      <alignment vertical="top"/>
    </xf>
    <xf numFmtId="0" fontId="173" fillId="0" borderId="0" xfId="0" applyFont="1" applyAlignment="1">
      <alignment vertical="top"/>
    </xf>
    <xf numFmtId="0" fontId="172" fillId="5" borderId="0" xfId="286" applyFont="1" applyFill="1" applyBorder="1" applyAlignment="1">
      <alignment horizontal="center" vertical="center"/>
    </xf>
    <xf numFmtId="0" fontId="172" fillId="0" borderId="118" xfId="286" applyFont="1" applyBorder="1" applyAlignment="1">
      <alignment horizontal="center" vertical="center"/>
    </xf>
    <xf numFmtId="0" fontId="172" fillId="0" borderId="5" xfId="286" applyFont="1" applyBorder="1" applyAlignment="1">
      <alignment horizontal="center" vertical="center"/>
    </xf>
    <xf numFmtId="0" fontId="172" fillId="0" borderId="7" xfId="286" applyFont="1" applyBorder="1" applyAlignment="1">
      <alignment horizontal="center" vertical="center"/>
    </xf>
    <xf numFmtId="0" fontId="174" fillId="5" borderId="2" xfId="0" applyFont="1" applyFill="1" applyBorder="1" applyAlignment="1">
      <alignment horizontal="center" vertical="center" wrapText="1"/>
    </xf>
    <xf numFmtId="0" fontId="174" fillId="5" borderId="0" xfId="0" applyFont="1" applyFill="1" applyBorder="1" applyAlignment="1">
      <alignment horizontal="center" vertical="center" wrapText="1"/>
    </xf>
    <xf numFmtId="0" fontId="172" fillId="0" borderId="1" xfId="286" applyFont="1" applyBorder="1" applyAlignment="1">
      <alignment horizontal="center" vertical="center"/>
    </xf>
    <xf numFmtId="0" fontId="172" fillId="5" borderId="155" xfId="286" applyFont="1" applyFill="1" applyBorder="1" applyAlignment="1">
      <alignment horizontal="center" vertical="center"/>
    </xf>
    <xf numFmtId="0" fontId="122" fillId="3" borderId="0" xfId="0" applyFont="1" applyFill="1" applyBorder="1"/>
    <xf numFmtId="0" fontId="175" fillId="0" borderId="0" xfId="0" applyFont="1" applyFill="1" applyBorder="1" applyAlignment="1">
      <alignment horizontal="left" vertical="center"/>
    </xf>
    <xf numFmtId="0" fontId="119" fillId="3" borderId="0" xfId="0" applyFont="1" applyFill="1" applyBorder="1" applyAlignment="1" applyProtection="1">
      <alignment horizontal="center" vertical="top" wrapText="1"/>
      <protection locked="0"/>
    </xf>
    <xf numFmtId="0" fontId="119" fillId="3" borderId="0" xfId="0" applyFont="1" applyFill="1" applyBorder="1" applyAlignment="1">
      <alignment horizontal="center" vertical="top" wrapText="1"/>
    </xf>
    <xf numFmtId="166" fontId="119" fillId="3" borderId="0" xfId="1" applyNumberFormat="1" applyFont="1" applyFill="1" applyBorder="1" applyAlignment="1" applyProtection="1">
      <alignment horizontal="center" vertical="top" wrapText="1"/>
      <protection locked="0"/>
    </xf>
    <xf numFmtId="0" fontId="119" fillId="3" borderId="0" xfId="0" applyFont="1" applyFill="1" applyBorder="1" applyAlignment="1" applyProtection="1">
      <alignment horizontal="center" vertical="top" wrapText="1"/>
    </xf>
    <xf numFmtId="1" fontId="114" fillId="3" borderId="0" xfId="0" applyNumberFormat="1" applyFont="1" applyFill="1" applyBorder="1" applyAlignment="1" applyProtection="1">
      <alignment horizontal="center" vertical="top" wrapText="1"/>
      <protection locked="0"/>
    </xf>
    <xf numFmtId="0" fontId="114" fillId="3" borderId="0" xfId="0" applyFont="1" applyFill="1" applyBorder="1" applyAlignment="1" applyProtection="1">
      <alignment horizontal="left" vertical="top"/>
      <protection locked="0"/>
    </xf>
    <xf numFmtId="0" fontId="1" fillId="5" borderId="0" xfId="0" applyFont="1" applyFill="1" applyBorder="1" applyProtection="1">
      <protection locked="0"/>
    </xf>
    <xf numFmtId="0" fontId="119" fillId="3" borderId="0" xfId="0" applyFont="1" applyFill="1" applyBorder="1" applyAlignment="1">
      <alignment horizontal="left" vertical="top"/>
    </xf>
    <xf numFmtId="164" fontId="119" fillId="3" borderId="0" xfId="0" applyNumberFormat="1" applyFont="1" applyFill="1" applyBorder="1" applyAlignment="1">
      <alignment vertical="top"/>
    </xf>
    <xf numFmtId="164" fontId="127" fillId="3" borderId="2" xfId="0" applyNumberFormat="1" applyFont="1" applyFill="1" applyBorder="1" applyAlignment="1">
      <alignment vertical="top"/>
    </xf>
    <xf numFmtId="164" fontId="127" fillId="3" borderId="0" xfId="0" applyNumberFormat="1" applyFont="1" applyFill="1" applyBorder="1" applyAlignment="1">
      <alignment vertical="top"/>
    </xf>
    <xf numFmtId="0" fontId="1" fillId="3" borderId="0" xfId="0" applyFont="1" applyFill="1" applyBorder="1" applyProtection="1">
      <protection locked="0"/>
    </xf>
    <xf numFmtId="0" fontId="1" fillId="3" borderId="0" xfId="0" applyFont="1" applyFill="1" applyBorder="1"/>
    <xf numFmtId="0" fontId="115" fillId="3" borderId="0" xfId="0" applyFont="1" applyFill="1" applyBorder="1" applyAlignment="1" applyProtection="1">
      <protection locked="0"/>
    </xf>
    <xf numFmtId="44" fontId="1" fillId="3" borderId="0" xfId="2" applyFont="1" applyFill="1" applyBorder="1" applyProtection="1">
      <protection locked="0"/>
    </xf>
    <xf numFmtId="44" fontId="129" fillId="3" borderId="0" xfId="2" applyFont="1" applyFill="1" applyBorder="1" applyProtection="1">
      <protection locked="0"/>
    </xf>
    <xf numFmtId="1" fontId="115" fillId="3" borderId="0" xfId="2" applyNumberFormat="1" applyFont="1" applyFill="1" applyBorder="1" applyProtection="1">
      <protection locked="0"/>
    </xf>
    <xf numFmtId="0" fontId="119" fillId="3" borderId="0" xfId="0" applyFont="1" applyFill="1" applyBorder="1" applyAlignment="1">
      <alignment vertical="top" wrapText="1"/>
    </xf>
    <xf numFmtId="44" fontId="1" fillId="5" borderId="0" xfId="2" applyFont="1" applyFill="1" applyBorder="1" applyProtection="1">
      <protection locked="0"/>
    </xf>
    <xf numFmtId="1" fontId="115" fillId="5" borderId="0" xfId="2" applyNumberFormat="1" applyFont="1" applyFill="1" applyBorder="1" applyProtection="1">
      <protection locked="0"/>
    </xf>
    <xf numFmtId="0" fontId="115" fillId="5" borderId="0" xfId="0" applyFont="1" applyFill="1" applyBorder="1" applyAlignment="1" applyProtection="1">
      <protection locked="0"/>
    </xf>
    <xf numFmtId="166" fontId="1" fillId="5" borderId="0" xfId="1" applyNumberFormat="1" applyFont="1" applyFill="1" applyBorder="1" applyProtection="1">
      <protection locked="0"/>
    </xf>
    <xf numFmtId="44" fontId="1" fillId="5" borderId="0" xfId="2" applyFont="1" applyFill="1" applyBorder="1"/>
    <xf numFmtId="44" fontId="1" fillId="5" borderId="0" xfId="2" applyFont="1" applyFill="1" applyBorder="1" applyProtection="1"/>
    <xf numFmtId="0" fontId="122" fillId="3" borderId="1" xfId="0" applyFont="1" applyFill="1" applyBorder="1" applyAlignment="1">
      <alignment vertical="top" wrapText="1"/>
    </xf>
    <xf numFmtId="0" fontId="122" fillId="3" borderId="1" xfId="0" applyFont="1" applyFill="1" applyBorder="1" applyAlignment="1">
      <alignment vertical="center" wrapText="1"/>
    </xf>
    <xf numFmtId="169" fontId="122" fillId="74" borderId="1" xfId="4" applyNumberFormat="1" applyFont="1" applyFill="1" applyBorder="1" applyAlignment="1" applyProtection="1">
      <alignment vertical="top"/>
      <protection locked="0"/>
    </xf>
    <xf numFmtId="166" fontId="122" fillId="74" borderId="1" xfId="1" applyNumberFormat="1" applyFont="1" applyFill="1" applyBorder="1" applyAlignment="1" applyProtection="1">
      <alignment vertical="top"/>
      <protection locked="0"/>
    </xf>
    <xf numFmtId="0" fontId="122" fillId="3" borderId="1" xfId="0" applyFont="1" applyFill="1" applyBorder="1" applyAlignment="1" applyProtection="1">
      <alignment horizontal="center" wrapText="1"/>
      <protection locked="0"/>
    </xf>
    <xf numFmtId="0" fontId="122" fillId="3" borderId="1" xfId="0" applyFont="1" applyFill="1" applyBorder="1" applyAlignment="1">
      <alignment horizontal="center" wrapText="1"/>
    </xf>
    <xf numFmtId="166" fontId="122" fillId="3" borderId="1" xfId="1" applyNumberFormat="1" applyFont="1" applyFill="1" applyBorder="1" applyAlignment="1" applyProtection="1">
      <alignment horizontal="center" wrapText="1"/>
      <protection locked="0"/>
    </xf>
    <xf numFmtId="0" fontId="122" fillId="3" borderId="1" xfId="0" applyFont="1" applyFill="1" applyBorder="1" applyAlignment="1" applyProtection="1">
      <alignment horizontal="center" wrapText="1"/>
    </xf>
    <xf numFmtId="0" fontId="127" fillId="0" borderId="0" xfId="0" applyFont="1" applyFill="1" applyBorder="1" applyAlignment="1">
      <alignment horizontal="left" vertical="center"/>
    </xf>
    <xf numFmtId="0" fontId="122" fillId="3" borderId="0" xfId="0" applyFont="1" applyFill="1" applyBorder="1" applyAlignment="1" applyProtection="1">
      <alignment horizontal="left" vertical="top"/>
      <protection locked="0"/>
    </xf>
    <xf numFmtId="7" fontId="118" fillId="85" borderId="1" xfId="2" applyNumberFormat="1" applyFont="1" applyFill="1" applyBorder="1" applyAlignment="1">
      <alignment horizontal="right" vertical="center" wrapText="1"/>
    </xf>
    <xf numFmtId="9" fontId="122" fillId="74" borderId="1" xfId="4" applyFont="1" applyFill="1" applyBorder="1" applyAlignment="1" applyProtection="1">
      <alignment vertical="top"/>
      <protection locked="0"/>
    </xf>
    <xf numFmtId="1" fontId="122" fillId="3" borderId="1" xfId="2" applyNumberFormat="1" applyFont="1" applyFill="1" applyBorder="1" applyAlignment="1" applyProtection="1">
      <alignment vertical="top"/>
      <protection locked="0"/>
    </xf>
    <xf numFmtId="0" fontId="122" fillId="3" borderId="1" xfId="0" applyFont="1" applyFill="1" applyBorder="1" applyAlignment="1" applyProtection="1">
      <alignment horizontal="left" vertical="top"/>
      <protection locked="0"/>
    </xf>
    <xf numFmtId="0" fontId="122" fillId="3" borderId="1" xfId="0" applyFont="1" applyFill="1" applyBorder="1" applyAlignment="1" applyProtection="1">
      <alignment vertical="top"/>
      <protection locked="0"/>
    </xf>
    <xf numFmtId="0" fontId="128" fillId="0" borderId="0" xfId="286" applyFont="1" applyAlignment="1">
      <alignment horizontal="left" vertical="center"/>
    </xf>
    <xf numFmtId="0" fontId="1" fillId="3" borderId="0" xfId="0" applyFont="1" applyFill="1" applyBorder="1" applyAlignment="1" applyProtection="1">
      <alignment vertical="center"/>
      <protection locked="0"/>
    </xf>
    <xf numFmtId="166" fontId="122" fillId="74" borderId="1" xfId="1" applyNumberFormat="1" applyFont="1" applyFill="1" applyBorder="1" applyAlignment="1" applyProtection="1">
      <alignment vertical="center"/>
      <protection locked="0"/>
    </xf>
    <xf numFmtId="44" fontId="1" fillId="3" borderId="0" xfId="2" applyFont="1" applyFill="1" applyBorder="1" applyAlignment="1" applyProtection="1">
      <alignment vertical="center"/>
      <protection locked="0"/>
    </xf>
    <xf numFmtId="1" fontId="115" fillId="3" borderId="0" xfId="2" applyNumberFormat="1" applyFont="1" applyFill="1" applyBorder="1" applyAlignment="1" applyProtection="1">
      <alignment vertical="center"/>
      <protection locked="0"/>
    </xf>
    <xf numFmtId="0" fontId="115" fillId="3" borderId="0" xfId="0" applyFont="1" applyFill="1" applyBorder="1" applyAlignment="1" applyProtection="1">
      <alignment vertical="center"/>
      <protection locked="0"/>
    </xf>
    <xf numFmtId="0" fontId="1" fillId="5" borderId="0" xfId="0" applyFont="1" applyFill="1" applyBorder="1" applyAlignment="1" applyProtection="1">
      <alignment vertical="center"/>
      <protection locked="0"/>
    </xf>
    <xf numFmtId="0" fontId="122" fillId="3" borderId="1" xfId="0" applyFont="1" applyFill="1" applyBorder="1" applyAlignment="1">
      <alignment horizontal="center" vertical="top" wrapText="1"/>
    </xf>
    <xf numFmtId="0" fontId="1" fillId="3" borderId="0" xfId="0" applyFont="1" applyFill="1" applyBorder="1" applyAlignment="1" applyProtection="1">
      <alignment horizontal="left" vertical="top"/>
      <protection locked="0"/>
    </xf>
    <xf numFmtId="10" fontId="122" fillId="74" borderId="1" xfId="4" applyNumberFormat="1" applyFont="1" applyFill="1" applyBorder="1" applyAlignment="1" applyProtection="1">
      <alignment vertical="center"/>
      <protection locked="0"/>
    </xf>
    <xf numFmtId="0" fontId="1" fillId="3" borderId="0" xfId="0" applyFont="1" applyFill="1" applyBorder="1" applyAlignment="1" applyProtection="1">
      <alignment horizontal="left" vertical="center"/>
      <protection locked="0"/>
    </xf>
    <xf numFmtId="166" fontId="122" fillId="3" borderId="1" xfId="1" applyNumberFormat="1" applyFont="1" applyFill="1" applyBorder="1" applyAlignment="1" applyProtection="1">
      <alignment vertical="center"/>
      <protection locked="0"/>
    </xf>
    <xf numFmtId="0" fontId="122" fillId="3" borderId="0" xfId="0" applyFont="1" applyFill="1" applyBorder="1" applyAlignment="1" applyProtection="1">
      <alignment horizontal="left" vertical="top" wrapText="1"/>
      <protection locked="0"/>
    </xf>
    <xf numFmtId="0" fontId="114" fillId="3" borderId="1" xfId="0" applyFont="1" applyFill="1" applyBorder="1" applyAlignment="1">
      <alignment horizontal="center" wrapText="1"/>
    </xf>
    <xf numFmtId="10" fontId="114" fillId="74" borderId="1" xfId="4" applyNumberFormat="1" applyFont="1" applyFill="1" applyBorder="1" applyAlignment="1" applyProtection="1">
      <alignment vertical="center"/>
      <protection locked="0"/>
    </xf>
    <xf numFmtId="0" fontId="122" fillId="3" borderId="1" xfId="0" applyFont="1" applyFill="1" applyBorder="1" applyAlignment="1" applyProtection="1">
      <alignment horizontal="left" vertical="center" wrapText="1"/>
      <protection locked="0"/>
    </xf>
    <xf numFmtId="0" fontId="176" fillId="0" borderId="0" xfId="0" applyFont="1" applyFill="1" applyBorder="1" applyAlignment="1">
      <alignment horizontal="left" vertical="center"/>
    </xf>
    <xf numFmtId="0" fontId="122" fillId="3" borderId="0" xfId="0" applyFont="1" applyFill="1" applyBorder="1" applyAlignment="1">
      <alignment vertical="center" wrapText="1"/>
    </xf>
    <xf numFmtId="9" fontId="122" fillId="3" borderId="0" xfId="4" applyFont="1" applyFill="1" applyBorder="1" applyAlignment="1" applyProtection="1">
      <alignment vertical="top"/>
      <protection locked="0"/>
    </xf>
    <xf numFmtId="1" fontId="122" fillId="3" borderId="0" xfId="2" applyNumberFormat="1" applyFont="1" applyFill="1" applyBorder="1" applyAlignment="1" applyProtection="1">
      <alignment vertical="top"/>
      <protection locked="0"/>
    </xf>
    <xf numFmtId="0" fontId="122" fillId="3" borderId="0" xfId="0" applyFont="1" applyFill="1" applyBorder="1" applyAlignment="1" applyProtection="1">
      <alignment vertical="top"/>
      <protection locked="0"/>
    </xf>
    <xf numFmtId="0" fontId="172" fillId="5" borderId="0" xfId="286"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Alignment="1">
      <alignment vertical="center" wrapText="1"/>
    </xf>
    <xf numFmtId="0" fontId="122" fillId="0" borderId="0" xfId="0" applyFont="1" applyAlignment="1">
      <alignment vertical="center" wrapText="1"/>
    </xf>
    <xf numFmtId="0" fontId="125" fillId="5" borderId="1" xfId="286" applyFont="1" applyFill="1" applyBorder="1" applyAlignment="1">
      <alignment horizontal="left" vertical="center" wrapText="1"/>
    </xf>
    <xf numFmtId="0" fontId="172" fillId="5" borderId="46" xfId="286" applyFont="1" applyFill="1" applyBorder="1" applyAlignment="1">
      <alignment horizontal="left" vertical="center" wrapText="1"/>
    </xf>
    <xf numFmtId="0" fontId="172" fillId="5" borderId="1" xfId="286" applyFont="1" applyFill="1" applyBorder="1" applyAlignment="1">
      <alignment horizontal="left" vertical="center" wrapText="1"/>
    </xf>
    <xf numFmtId="9" fontId="1" fillId="6" borderId="1" xfId="4" applyFont="1" applyFill="1" applyBorder="1" applyAlignment="1">
      <alignment horizontal="center" vertical="center"/>
    </xf>
    <xf numFmtId="0" fontId="125" fillId="5" borderId="1" xfId="286" applyFont="1" applyFill="1" applyBorder="1" applyAlignment="1">
      <alignment horizontal="center" vertical="center" wrapText="1"/>
    </xf>
    <xf numFmtId="0" fontId="1" fillId="5" borderId="10" xfId="0" applyFont="1" applyFill="1" applyBorder="1"/>
    <xf numFmtId="5" fontId="118" fillId="5" borderId="161" xfId="2" applyNumberFormat="1" applyFont="1" applyFill="1" applyBorder="1" applyAlignment="1">
      <alignment horizontal="right" vertical="center" wrapText="1"/>
    </xf>
    <xf numFmtId="5" fontId="118" fillId="5" borderId="162" xfId="2" applyNumberFormat="1" applyFont="1" applyFill="1" applyBorder="1" applyAlignment="1">
      <alignment horizontal="right" vertical="center" wrapText="1"/>
    </xf>
    <xf numFmtId="3" fontId="122" fillId="5" borderId="1" xfId="0" applyNumberFormat="1" applyFont="1" applyFill="1" applyBorder="1"/>
    <xf numFmtId="2" fontId="122" fillId="5" borderId="1" xfId="0" applyNumberFormat="1" applyFont="1" applyFill="1" applyBorder="1" applyAlignment="1">
      <alignment horizontal="center"/>
    </xf>
    <xf numFmtId="180" fontId="118" fillId="0" borderId="7" xfId="0" applyNumberFormat="1" applyFont="1" applyFill="1" applyBorder="1" applyAlignment="1">
      <alignment horizontal="right" vertical="center" wrapText="1"/>
    </xf>
    <xf numFmtId="184" fontId="118" fillId="0" borderId="0" xfId="2" applyNumberFormat="1" applyFont="1" applyFill="1" applyBorder="1" applyAlignment="1">
      <alignment horizontal="right" vertical="center" wrapText="1"/>
    </xf>
    <xf numFmtId="169" fontId="122" fillId="0" borderId="0" xfId="4" applyNumberFormat="1" applyFont="1" applyFill="1" applyBorder="1" applyAlignment="1" applyProtection="1">
      <alignment vertical="top"/>
      <protection locked="0"/>
    </xf>
    <xf numFmtId="166" fontId="122" fillId="0" borderId="0" xfId="1" applyNumberFormat="1" applyFont="1" applyFill="1" applyBorder="1" applyAlignment="1" applyProtection="1">
      <alignment vertical="top"/>
      <protection locked="0"/>
    </xf>
    <xf numFmtId="9" fontId="122" fillId="0" borderId="0" xfId="4" applyFont="1" applyFill="1" applyBorder="1" applyAlignment="1" applyProtection="1">
      <alignment vertical="top"/>
      <protection locked="0"/>
    </xf>
    <xf numFmtId="2" fontId="122" fillId="0" borderId="1" xfId="0" applyNumberFormat="1" applyFont="1" applyFill="1" applyBorder="1" applyAlignment="1">
      <alignment horizontal="center" vertical="top"/>
    </xf>
    <xf numFmtId="2" fontId="122" fillId="0" borderId="46" xfId="0" applyNumberFormat="1" applyFont="1" applyFill="1" applyBorder="1"/>
    <xf numFmtId="2" fontId="122" fillId="0" borderId="94" xfId="0" applyNumberFormat="1" applyFont="1" applyFill="1" applyBorder="1" applyAlignment="1">
      <alignment horizontal="center" vertical="top"/>
    </xf>
    <xf numFmtId="5" fontId="118" fillId="0" borderId="1" xfId="2" applyNumberFormat="1" applyFont="1" applyFill="1" applyBorder="1" applyAlignment="1">
      <alignment horizontal="right" vertical="center" wrapText="1"/>
    </xf>
    <xf numFmtId="5" fontId="118" fillId="0" borderId="161" xfId="2" applyNumberFormat="1" applyFont="1" applyFill="1" applyBorder="1" applyAlignment="1">
      <alignment horizontal="right" vertical="center" wrapText="1"/>
    </xf>
    <xf numFmtId="166" fontId="131" fillId="5" borderId="1" xfId="1" applyNumberFormat="1" applyFont="1" applyFill="1" applyBorder="1" applyAlignment="1">
      <alignment horizontal="right"/>
    </xf>
    <xf numFmtId="44" fontId="120" fillId="73" borderId="1" xfId="2" applyFont="1" applyFill="1" applyBorder="1" applyAlignment="1">
      <alignment horizontal="right" vertical="center"/>
    </xf>
    <xf numFmtId="1" fontId="120" fillId="73" borderId="1" xfId="2" applyNumberFormat="1" applyFont="1" applyFill="1" applyBorder="1" applyAlignment="1">
      <alignment horizontal="right" vertical="center"/>
    </xf>
    <xf numFmtId="0" fontId="1" fillId="5" borderId="165" xfId="0" applyFont="1" applyFill="1" applyBorder="1"/>
    <xf numFmtId="0" fontId="120" fillId="5" borderId="165" xfId="0" applyFont="1" applyFill="1" applyBorder="1"/>
    <xf numFmtId="0" fontId="118" fillId="5" borderId="165" xfId="0" applyFont="1" applyFill="1" applyBorder="1"/>
    <xf numFmtId="0" fontId="122" fillId="5" borderId="164" xfId="0" applyFont="1" applyFill="1" applyBorder="1" applyAlignment="1">
      <alignment horizontal="center" vertical="top"/>
    </xf>
    <xf numFmtId="0" fontId="122" fillId="5" borderId="165" xfId="0" applyFont="1" applyFill="1" applyBorder="1" applyAlignment="1">
      <alignment horizontal="center" vertical="top"/>
    </xf>
    <xf numFmtId="166" fontId="118" fillId="5" borderId="165" xfId="0" applyNumberFormat="1" applyFont="1" applyFill="1" applyBorder="1" applyAlignment="1"/>
    <xf numFmtId="166" fontId="118" fillId="5" borderId="164" xfId="0" applyNumberFormat="1" applyFont="1" applyFill="1" applyBorder="1" applyAlignment="1"/>
    <xf numFmtId="166" fontId="118" fillId="5" borderId="163" xfId="0" applyNumberFormat="1" applyFont="1" applyFill="1" applyBorder="1" applyAlignment="1"/>
    <xf numFmtId="165" fontId="1" fillId="0" borderId="0" xfId="2" applyNumberFormat="1" applyFont="1" applyAlignment="1">
      <alignment vertical="center"/>
    </xf>
    <xf numFmtId="0" fontId="122" fillId="0" borderId="0" xfId="0" applyFont="1" applyAlignment="1">
      <alignment horizontal="center" vertical="center" wrapText="1"/>
    </xf>
    <xf numFmtId="166" fontId="120" fillId="73" borderId="6" xfId="1" applyNumberFormat="1" applyFont="1" applyFill="1" applyBorder="1" applyAlignment="1">
      <alignment horizontal="center" vertical="center"/>
    </xf>
    <xf numFmtId="166" fontId="120" fillId="73" borderId="95" xfId="1" applyNumberFormat="1" applyFont="1" applyFill="1" applyBorder="1" applyAlignment="1">
      <alignment horizontal="center" vertical="center"/>
    </xf>
    <xf numFmtId="165" fontId="120" fillId="73" borderId="95" xfId="2" applyNumberFormat="1" applyFont="1" applyFill="1" applyBorder="1" applyAlignment="1">
      <alignment horizontal="center" vertical="center"/>
    </xf>
    <xf numFmtId="166" fontId="1" fillId="5" borderId="0" xfId="1" applyNumberFormat="1" applyFont="1" applyFill="1" applyAlignment="1">
      <alignment vertical="center"/>
    </xf>
    <xf numFmtId="0" fontId="6" fillId="0" borderId="0" xfId="0" applyFont="1"/>
    <xf numFmtId="180" fontId="1" fillId="5" borderId="94" xfId="2" applyNumberFormat="1" applyFont="1" applyFill="1" applyBorder="1" applyAlignment="1">
      <alignment horizontal="right" vertical="center"/>
    </xf>
    <xf numFmtId="165" fontId="1" fillId="5" borderId="0" xfId="2" applyNumberFormat="1" applyFont="1" applyFill="1" applyAlignment="1">
      <alignment vertical="center"/>
    </xf>
    <xf numFmtId="0" fontId="1" fillId="0" borderId="0" xfId="0" applyFont="1" applyAlignment="1">
      <alignment horizontal="right" vertical="center" wrapText="1"/>
    </xf>
    <xf numFmtId="168" fontId="1" fillId="5" borderId="1" xfId="0" applyNumberFormat="1" applyFont="1" applyFill="1" applyBorder="1" applyAlignment="1">
      <alignment vertical="center"/>
    </xf>
    <xf numFmtId="166" fontId="1" fillId="0" borderId="0" xfId="1" applyNumberFormat="1" applyFont="1" applyFill="1" applyAlignment="1">
      <alignment vertical="center"/>
    </xf>
    <xf numFmtId="166" fontId="1" fillId="0" borderId="94" xfId="1" applyNumberFormat="1" applyFont="1" applyFill="1" applyBorder="1" applyAlignment="1">
      <alignment vertical="center"/>
    </xf>
    <xf numFmtId="166" fontId="1" fillId="0" borderId="1" xfId="1" applyNumberFormat="1" applyFont="1" applyFill="1" applyBorder="1" applyAlignment="1">
      <alignment vertical="center"/>
    </xf>
    <xf numFmtId="0" fontId="1" fillId="0" borderId="0" xfId="0" applyFont="1" applyFill="1" applyAlignment="1">
      <alignment vertical="center"/>
    </xf>
    <xf numFmtId="166" fontId="1" fillId="5" borderId="0" xfId="0" applyNumberFormat="1" applyFont="1" applyFill="1" applyAlignment="1">
      <alignment vertical="center"/>
    </xf>
    <xf numFmtId="0" fontId="122" fillId="0" borderId="0" xfId="0" applyFont="1" applyAlignment="1">
      <alignment horizontal="left" vertical="center" wrapText="1"/>
    </xf>
    <xf numFmtId="169" fontId="1" fillId="0" borderId="0" xfId="4" applyNumberFormat="1" applyFont="1" applyAlignment="1">
      <alignment horizontal="right" vertical="center"/>
    </xf>
    <xf numFmtId="166" fontId="1" fillId="0" borderId="0" xfId="1" applyNumberFormat="1" applyFont="1" applyAlignment="1">
      <alignment vertical="center"/>
    </xf>
    <xf numFmtId="10" fontId="1" fillId="0" borderId="0" xfId="4" applyNumberFormat="1" applyFont="1" applyAlignment="1">
      <alignment horizontal="right" vertical="center"/>
    </xf>
    <xf numFmtId="43" fontId="1" fillId="0" borderId="0" xfId="0" applyNumberFormat="1" applyFont="1" applyAlignment="1">
      <alignment vertical="center"/>
    </xf>
    <xf numFmtId="7" fontId="1" fillId="0" borderId="0" xfId="0" applyNumberFormat="1" applyFont="1" applyAlignment="1">
      <alignment vertical="center"/>
    </xf>
    <xf numFmtId="168" fontId="122" fillId="0" borderId="1" xfId="0" applyNumberFormat="1" applyFont="1" applyBorder="1" applyAlignment="1">
      <alignment vertical="center"/>
    </xf>
    <xf numFmtId="168" fontId="1" fillId="0" borderId="1" xfId="0" applyNumberFormat="1" applyFont="1" applyFill="1" applyBorder="1" applyAlignment="1">
      <alignment vertical="center"/>
    </xf>
    <xf numFmtId="168" fontId="1" fillId="0" borderId="1" xfId="0" applyNumberFormat="1" applyFont="1" applyFill="1" applyBorder="1" applyAlignment="1">
      <alignment horizontal="right" vertical="center"/>
    </xf>
    <xf numFmtId="168" fontId="122" fillId="0" borderId="1" xfId="0" applyNumberFormat="1" applyFont="1" applyFill="1" applyBorder="1" applyAlignment="1">
      <alignment vertical="center"/>
    </xf>
    <xf numFmtId="0" fontId="122" fillId="31" borderId="1" xfId="0" applyFont="1" applyFill="1" applyBorder="1" applyAlignment="1">
      <alignment vertical="center"/>
    </xf>
    <xf numFmtId="166" fontId="122" fillId="31" borderId="1" xfId="1" applyNumberFormat="1" applyFont="1" applyFill="1" applyBorder="1" applyAlignment="1">
      <alignment horizontal="center" vertical="center"/>
    </xf>
    <xf numFmtId="1" fontId="0" fillId="0" borderId="0" xfId="0" applyNumberFormat="1" applyFill="1" applyAlignment="1">
      <alignment vertical="center"/>
    </xf>
    <xf numFmtId="165" fontId="154" fillId="73" borderId="1" xfId="2" applyNumberFormat="1" applyFont="1" applyFill="1" applyBorder="1" applyAlignment="1">
      <alignment horizontal="center" vertical="center"/>
    </xf>
    <xf numFmtId="168" fontId="1" fillId="0" borderId="118" xfId="0" applyNumberFormat="1" applyFont="1" applyFill="1" applyBorder="1" applyAlignment="1">
      <alignment horizontal="right" vertical="center"/>
    </xf>
    <xf numFmtId="168" fontId="1" fillId="0" borderId="5" xfId="0" applyNumberFormat="1" applyFont="1" applyFill="1" applyBorder="1" applyAlignment="1">
      <alignment horizontal="right" vertical="center"/>
    </xf>
    <xf numFmtId="168" fontId="1" fillId="0" borderId="7" xfId="0" applyNumberFormat="1" applyFont="1" applyFill="1" applyBorder="1" applyAlignment="1">
      <alignment horizontal="right" vertical="center"/>
    </xf>
    <xf numFmtId="168" fontId="122" fillId="0" borderId="7" xfId="0" applyNumberFormat="1" applyFont="1" applyFill="1" applyBorder="1" applyAlignment="1">
      <alignment horizontal="right" vertical="center"/>
    </xf>
    <xf numFmtId="0" fontId="123" fillId="73" borderId="118" xfId="0" applyFont="1" applyFill="1" applyBorder="1" applyAlignment="1">
      <alignment horizontal="left" vertical="center"/>
    </xf>
    <xf numFmtId="0" fontId="123" fillId="73" borderId="5" xfId="0" applyFont="1" applyFill="1" applyBorder="1" applyAlignment="1">
      <alignment horizontal="left" vertical="center"/>
    </xf>
    <xf numFmtId="0" fontId="123" fillId="73" borderId="7" xfId="0" applyFont="1" applyFill="1" applyBorder="1" applyAlignment="1">
      <alignment horizontal="left" vertical="center"/>
    </xf>
    <xf numFmtId="0" fontId="123" fillId="73" borderId="1" xfId="0" applyFont="1" applyFill="1" applyBorder="1" applyAlignment="1">
      <alignment horizontal="left" vertical="center"/>
    </xf>
    <xf numFmtId="0" fontId="123" fillId="73" borderId="46" xfId="0" applyFont="1" applyFill="1" applyBorder="1" applyAlignment="1">
      <alignment horizontal="left" vertical="center"/>
    </xf>
    <xf numFmtId="0" fontId="123" fillId="73" borderId="2" xfId="0" applyFont="1" applyFill="1" applyBorder="1" applyAlignment="1">
      <alignment horizontal="left" vertical="center"/>
    </xf>
    <xf numFmtId="165" fontId="0" fillId="0" borderId="0" xfId="0" applyNumberFormat="1" applyFill="1" applyAlignment="1">
      <alignment vertical="center"/>
    </xf>
    <xf numFmtId="3" fontId="16" fillId="0" borderId="118" xfId="0" applyNumberFormat="1" applyFont="1" applyFill="1" applyBorder="1" applyAlignment="1">
      <alignment horizontal="right" vertical="center"/>
    </xf>
    <xf numFmtId="3" fontId="16" fillId="0" borderId="5" xfId="0" applyNumberFormat="1" applyFont="1" applyFill="1" applyBorder="1" applyAlignment="1">
      <alignment horizontal="right" vertical="center"/>
    </xf>
    <xf numFmtId="3" fontId="16" fillId="0" borderId="7" xfId="0" applyNumberFormat="1" applyFont="1" applyFill="1" applyBorder="1" applyAlignment="1">
      <alignment horizontal="right" vertical="center"/>
    </xf>
    <xf numFmtId="3" fontId="16" fillId="0" borderId="1" xfId="0" applyNumberFormat="1" applyFont="1" applyFill="1" applyBorder="1" applyAlignment="1">
      <alignment horizontal="right" vertical="center"/>
    </xf>
    <xf numFmtId="3" fontId="16" fillId="0" borderId="6" xfId="0" applyNumberFormat="1" applyFont="1" applyFill="1" applyBorder="1" applyAlignment="1">
      <alignment horizontal="right" vertical="center"/>
    </xf>
    <xf numFmtId="0" fontId="0" fillId="0" borderId="0" xfId="0" applyFill="1" applyAlignment="1">
      <alignment vertical="center"/>
    </xf>
    <xf numFmtId="0" fontId="122" fillId="5" borderId="1" xfId="0" applyFont="1" applyFill="1" applyBorder="1" applyAlignment="1">
      <alignment horizontal="center" vertical="center" wrapText="1"/>
    </xf>
    <xf numFmtId="180" fontId="1" fillId="0" borderId="1" xfId="2" applyNumberFormat="1" applyFont="1" applyFill="1" applyBorder="1" applyAlignment="1">
      <alignment horizontal="right" vertical="center"/>
    </xf>
    <xf numFmtId="0" fontId="1" fillId="5" borderId="166" xfId="0" applyFont="1" applyFill="1" applyBorder="1" applyAlignment="1">
      <alignment vertical="top"/>
    </xf>
    <xf numFmtId="5" fontId="131" fillId="0" borderId="1" xfId="2" applyNumberFormat="1" applyFont="1" applyFill="1" applyBorder="1"/>
    <xf numFmtId="180" fontId="135" fillId="0" borderId="7" xfId="0" applyNumberFormat="1" applyFont="1" applyFill="1" applyBorder="1" applyAlignment="1">
      <alignment horizontal="right" vertical="center" wrapText="1"/>
    </xf>
    <xf numFmtId="0" fontId="122" fillId="5" borderId="6" xfId="0" applyFont="1" applyFill="1" applyBorder="1" applyAlignment="1">
      <alignment horizontal="center" vertical="center" wrapText="1"/>
    </xf>
    <xf numFmtId="0" fontId="122" fillId="5" borderId="0" xfId="0" applyFont="1" applyFill="1" applyBorder="1" applyAlignment="1">
      <alignment horizontal="center" vertical="center" wrapText="1"/>
    </xf>
    <xf numFmtId="0" fontId="122" fillId="8" borderId="33" xfId="0" applyFont="1" applyFill="1" applyBorder="1" applyAlignment="1">
      <alignment horizontal="center" vertical="center"/>
    </xf>
    <xf numFmtId="0" fontId="3" fillId="0" borderId="0" xfId="0" applyFont="1" applyBorder="1" applyAlignment="1">
      <alignment vertical="center"/>
    </xf>
    <xf numFmtId="0" fontId="122" fillId="5" borderId="0" xfId="0" applyFont="1" applyFill="1" applyBorder="1" applyAlignment="1">
      <alignment horizontal="left" vertical="center" wrapText="1"/>
    </xf>
    <xf numFmtId="0" fontId="118" fillId="0" borderId="6" xfId="0" applyFont="1" applyFill="1" applyBorder="1" applyAlignment="1">
      <alignment horizontal="left" vertical="center" wrapText="1"/>
    </xf>
    <xf numFmtId="0" fontId="118" fillId="0" borderId="0" xfId="0" applyFont="1" applyFill="1" applyBorder="1" applyAlignment="1">
      <alignment horizontal="center" vertical="center" wrapText="1"/>
    </xf>
    <xf numFmtId="0" fontId="122" fillId="8" borderId="81" xfId="0" applyFont="1" applyFill="1" applyBorder="1" applyAlignment="1">
      <alignment horizontal="center" vertical="center"/>
    </xf>
    <xf numFmtId="0" fontId="3" fillId="5" borderId="0" xfId="0" applyFont="1" applyFill="1" applyBorder="1" applyAlignment="1">
      <alignment horizontal="center" vertical="center"/>
    </xf>
    <xf numFmtId="0" fontId="122" fillId="5" borderId="1" xfId="0" applyFont="1" applyFill="1" applyBorder="1" applyAlignment="1">
      <alignment horizontal="center" vertical="center" wrapText="1"/>
    </xf>
    <xf numFmtId="0" fontId="3" fillId="5" borderId="0" xfId="0" applyFont="1" applyFill="1" applyBorder="1" applyAlignment="1">
      <alignment horizontal="right" vertical="center"/>
    </xf>
    <xf numFmtId="0" fontId="122" fillId="5" borderId="0" xfId="0" applyFont="1" applyFill="1" applyBorder="1" applyAlignment="1">
      <alignment horizontal="center" vertical="center"/>
    </xf>
    <xf numFmtId="164" fontId="172" fillId="3" borderId="0" xfId="286" applyNumberFormat="1" applyFont="1" applyFill="1" applyBorder="1" applyAlignment="1">
      <alignment horizontal="center" vertical="top"/>
    </xf>
    <xf numFmtId="0" fontId="172" fillId="5" borderId="0" xfId="286" applyFont="1" applyFill="1" applyBorder="1" applyAlignment="1">
      <alignment vertical="center"/>
    </xf>
    <xf numFmtId="0" fontId="174" fillId="0" borderId="0" xfId="0" applyFont="1" applyAlignment="1">
      <alignment vertical="center"/>
    </xf>
    <xf numFmtId="0" fontId="1" fillId="0" borderId="1" xfId="0" applyFont="1" applyBorder="1" applyAlignment="1">
      <alignment horizontal="center" vertical="center"/>
    </xf>
    <xf numFmtId="0" fontId="172" fillId="5" borderId="155" xfId="286" applyFont="1" applyFill="1" applyBorder="1" applyAlignment="1">
      <alignment horizontal="center" vertical="center" wrapText="1"/>
    </xf>
    <xf numFmtId="0" fontId="174" fillId="0" borderId="155" xfId="0" applyFont="1" applyBorder="1" applyAlignment="1">
      <alignment vertical="center"/>
    </xf>
    <xf numFmtId="0" fontId="174" fillId="5" borderId="155" xfId="0" applyFont="1" applyFill="1" applyBorder="1" applyAlignment="1">
      <alignment horizontal="left" vertical="center"/>
    </xf>
    <xf numFmtId="0" fontId="172" fillId="0" borderId="155" xfId="286" applyFont="1" applyBorder="1" applyAlignment="1">
      <alignment vertical="center"/>
    </xf>
    <xf numFmtId="0" fontId="1" fillId="5" borderId="7" xfId="286" applyFont="1" applyFill="1" applyBorder="1" applyAlignment="1">
      <alignment horizontal="left" vertical="center" wrapText="1"/>
    </xf>
    <xf numFmtId="0" fontId="172" fillId="5" borderId="129" xfId="286" applyFont="1" applyFill="1" applyBorder="1" applyAlignment="1">
      <alignment horizontal="left" vertical="center" wrapText="1"/>
    </xf>
    <xf numFmtId="180" fontId="16" fillId="5" borderId="1" xfId="0" applyNumberFormat="1" applyFont="1" applyFill="1" applyBorder="1" applyAlignment="1">
      <alignment horizontal="right" vertical="center" wrapText="1"/>
    </xf>
    <xf numFmtId="9" fontId="122" fillId="5" borderId="1" xfId="4" applyNumberFormat="1" applyFont="1" applyFill="1" applyBorder="1" applyAlignment="1">
      <alignment horizontal="center" vertical="center"/>
    </xf>
    <xf numFmtId="164" fontId="122" fillId="5" borderId="1" xfId="4" applyNumberFormat="1" applyFont="1" applyFill="1" applyBorder="1" applyAlignment="1">
      <alignment horizontal="center" vertical="center"/>
    </xf>
    <xf numFmtId="0" fontId="118" fillId="0" borderId="115" xfId="0" applyFont="1" applyFill="1" applyBorder="1" applyAlignment="1">
      <alignment horizontal="center" vertical="center"/>
    </xf>
    <xf numFmtId="0" fontId="122" fillId="5" borderId="144" xfId="0" applyFont="1" applyFill="1" applyBorder="1" applyAlignment="1">
      <alignment vertical="center"/>
    </xf>
    <xf numFmtId="0" fontId="3" fillId="5" borderId="167" xfId="0" applyFont="1" applyFill="1" applyBorder="1" applyAlignment="1">
      <alignment vertical="center"/>
    </xf>
    <xf numFmtId="0" fontId="0" fillId="0" borderId="167" xfId="0" applyBorder="1"/>
    <xf numFmtId="0" fontId="122" fillId="5" borderId="137" xfId="0" applyFont="1" applyFill="1" applyBorder="1" applyAlignment="1">
      <alignment horizontal="center" vertical="center"/>
    </xf>
    <xf numFmtId="0" fontId="122" fillId="5" borderId="137" xfId="0" applyFont="1" applyFill="1" applyBorder="1" applyAlignment="1">
      <alignment vertical="center" wrapText="1"/>
    </xf>
    <xf numFmtId="0" fontId="122" fillId="5" borderId="137" xfId="0" applyFont="1" applyFill="1" applyBorder="1" applyAlignment="1">
      <alignment horizontal="center" vertical="center" wrapText="1"/>
    </xf>
    <xf numFmtId="0" fontId="122" fillId="5" borderId="144" xfId="0" applyFont="1" applyFill="1" applyBorder="1" applyAlignment="1">
      <alignment horizontal="center" vertical="center" wrapText="1"/>
    </xf>
    <xf numFmtId="0" fontId="3" fillId="5" borderId="168" xfId="0" applyFont="1" applyFill="1" applyBorder="1" applyAlignment="1">
      <alignment vertical="center"/>
    </xf>
    <xf numFmtId="166" fontId="122" fillId="6" borderId="1" xfId="0" applyNumberFormat="1" applyFont="1" applyFill="1" applyBorder="1" applyAlignment="1">
      <alignment horizontal="center" vertical="center"/>
    </xf>
    <xf numFmtId="0" fontId="122" fillId="0" borderId="0" xfId="0" applyFont="1" applyFill="1" applyBorder="1" applyAlignment="1">
      <alignment horizontal="center"/>
    </xf>
    <xf numFmtId="0" fontId="122" fillId="8" borderId="81" xfId="0" applyFont="1" applyFill="1" applyBorder="1" applyAlignment="1">
      <alignment horizontal="center"/>
    </xf>
    <xf numFmtId="0" fontId="122" fillId="8" borderId="81" xfId="0" applyFont="1" applyFill="1" applyBorder="1" applyAlignment="1">
      <alignment horizontal="center" vertical="center" wrapText="1"/>
    </xf>
    <xf numFmtId="0" fontId="3" fillId="0" borderId="127" xfId="0" applyFont="1" applyBorder="1" applyAlignment="1">
      <alignment vertical="center"/>
    </xf>
    <xf numFmtId="0" fontId="122" fillId="5" borderId="76" xfId="0" applyFont="1" applyFill="1" applyBorder="1" applyAlignment="1">
      <alignment vertical="center" wrapText="1"/>
    </xf>
    <xf numFmtId="0" fontId="122" fillId="5" borderId="127" xfId="0" applyFont="1" applyFill="1" applyBorder="1" applyAlignment="1">
      <alignment vertical="center" wrapText="1"/>
    </xf>
    <xf numFmtId="0" fontId="3" fillId="0" borderId="127" xfId="0" applyFont="1" applyBorder="1" applyAlignment="1">
      <alignment vertical="center" wrapText="1"/>
    </xf>
    <xf numFmtId="0" fontId="3" fillId="5" borderId="118" xfId="0" applyFont="1" applyFill="1" applyBorder="1" applyAlignment="1">
      <alignment horizontal="left" vertical="center" wrapText="1"/>
    </xf>
    <xf numFmtId="168" fontId="3" fillId="5" borderId="118" xfId="0" applyNumberFormat="1" applyFont="1" applyFill="1" applyBorder="1" applyAlignment="1">
      <alignment horizontal="right" vertical="center"/>
    </xf>
    <xf numFmtId="0" fontId="3" fillId="5" borderId="5" xfId="0" applyFont="1" applyFill="1" applyBorder="1" applyAlignment="1">
      <alignment horizontal="left" vertical="center" wrapText="1"/>
    </xf>
    <xf numFmtId="168" fontId="3" fillId="5" borderId="5" xfId="0" applyNumberFormat="1" applyFont="1" applyFill="1" applyBorder="1" applyAlignment="1">
      <alignment horizontal="right" vertical="center"/>
    </xf>
    <xf numFmtId="0" fontId="3" fillId="0" borderId="5" xfId="0" applyFont="1" applyBorder="1" applyAlignment="1">
      <alignment horizontal="left" vertical="center"/>
    </xf>
    <xf numFmtId="0" fontId="3" fillId="5" borderId="7" xfId="0" applyFont="1" applyFill="1" applyBorder="1" applyAlignment="1">
      <alignment horizontal="left" vertical="center" wrapText="1"/>
    </xf>
    <xf numFmtId="168" fontId="3" fillId="5" borderId="7" xfId="0" applyNumberFormat="1" applyFont="1" applyFill="1" applyBorder="1" applyAlignment="1">
      <alignment horizontal="right" vertical="center"/>
    </xf>
    <xf numFmtId="0" fontId="3" fillId="0" borderId="76" xfId="0" applyFont="1" applyBorder="1" applyAlignment="1">
      <alignment vertical="center"/>
    </xf>
    <xf numFmtId="0" fontId="122" fillId="5" borderId="36" xfId="0" applyFont="1" applyFill="1" applyBorder="1" applyAlignment="1">
      <alignment vertical="top"/>
    </xf>
    <xf numFmtId="0" fontId="3" fillId="0" borderId="127" xfId="0" applyFont="1" applyBorder="1"/>
    <xf numFmtId="0" fontId="1" fillId="0" borderId="127" xfId="0" applyFont="1" applyBorder="1" applyAlignment="1">
      <alignment vertical="center"/>
    </xf>
    <xf numFmtId="0" fontId="3" fillId="5" borderId="29" xfId="0" applyFont="1" applyFill="1" applyBorder="1" applyAlignment="1">
      <alignment wrapText="1"/>
    </xf>
    <xf numFmtId="0" fontId="3" fillId="5" borderId="146" xfId="0" applyFont="1" applyFill="1" applyBorder="1"/>
    <xf numFmtId="0" fontId="3" fillId="5" borderId="142" xfId="0" applyFont="1" applyFill="1" applyBorder="1"/>
    <xf numFmtId="184" fontId="121" fillId="5" borderId="0" xfId="2" applyNumberFormat="1" applyFont="1" applyFill="1" applyBorder="1" applyProtection="1">
      <protection locked="0"/>
    </xf>
    <xf numFmtId="166" fontId="132" fillId="74" borderId="1" xfId="1" applyNumberFormat="1" applyFont="1" applyFill="1" applyBorder="1" applyAlignment="1" applyProtection="1">
      <alignment vertical="center"/>
      <protection locked="0"/>
    </xf>
    <xf numFmtId="180" fontId="1" fillId="5" borderId="0" xfId="2" applyNumberFormat="1" applyFont="1" applyFill="1" applyBorder="1" applyAlignment="1" applyProtection="1">
      <alignment horizontal="center" vertical="center"/>
      <protection locked="0"/>
    </xf>
    <xf numFmtId="169" fontId="122" fillId="3" borderId="1" xfId="4" applyNumberFormat="1" applyFont="1" applyFill="1" applyBorder="1" applyAlignment="1" applyProtection="1">
      <alignment vertical="top"/>
      <protection locked="0"/>
    </xf>
    <xf numFmtId="165" fontId="1" fillId="0" borderId="1" xfId="2" applyNumberFormat="1" applyFont="1" applyBorder="1" applyAlignment="1">
      <alignment vertical="center"/>
    </xf>
    <xf numFmtId="184" fontId="1" fillId="0" borderId="1" xfId="0" applyNumberFormat="1" applyFont="1" applyBorder="1" applyAlignment="1">
      <alignment vertical="center"/>
    </xf>
    <xf numFmtId="0" fontId="1" fillId="0" borderId="155" xfId="0" applyFont="1" applyBorder="1" applyAlignment="1">
      <alignment horizontal="center" vertical="center" wrapText="1"/>
    </xf>
    <xf numFmtId="0" fontId="3" fillId="0" borderId="0" xfId="0" applyFont="1" applyBorder="1" applyAlignment="1">
      <alignment vertical="center"/>
    </xf>
    <xf numFmtId="0" fontId="0" fillId="0" borderId="0" xfId="0" applyFont="1" applyFill="1" applyBorder="1" applyAlignment="1">
      <alignment wrapText="1"/>
    </xf>
    <xf numFmtId="0" fontId="172" fillId="5" borderId="155" xfId="286" applyFont="1" applyFill="1" applyBorder="1" applyAlignment="1">
      <alignment horizontal="center" vertical="center" wrapText="1"/>
    </xf>
    <xf numFmtId="0" fontId="120" fillId="0" borderId="0" xfId="0" applyFont="1" applyFill="1" applyBorder="1" applyAlignment="1">
      <alignment horizontal="left" vertical="center" wrapText="1"/>
    </xf>
    <xf numFmtId="0" fontId="135" fillId="5" borderId="0" xfId="0" applyFont="1" applyFill="1" applyBorder="1" applyAlignment="1">
      <alignment horizontal="left" wrapText="1"/>
    </xf>
    <xf numFmtId="0" fontId="3" fillId="0" borderId="0" xfId="0" applyFont="1" applyBorder="1" applyAlignment="1">
      <alignment wrapText="1"/>
    </xf>
    <xf numFmtId="0" fontId="60" fillId="5" borderId="0" xfId="286" applyFill="1" applyBorder="1" applyAlignment="1">
      <alignment horizontal="left" vertical="center"/>
    </xf>
    <xf numFmtId="0" fontId="120" fillId="5" borderId="0" xfId="0" applyFont="1" applyFill="1" applyBorder="1" applyAlignment="1">
      <alignment horizontal="left" vertical="center" wrapText="1"/>
    </xf>
    <xf numFmtId="168" fontId="120" fillId="5" borderId="28" xfId="0" applyNumberFormat="1" applyFont="1" applyFill="1" applyBorder="1" applyAlignment="1">
      <alignment horizontal="center" vertical="center" wrapText="1"/>
    </xf>
    <xf numFmtId="168" fontId="120" fillId="5" borderId="0" xfId="0" applyNumberFormat="1" applyFont="1" applyFill="1" applyBorder="1" applyAlignment="1">
      <alignment horizontal="center" vertical="center" wrapText="1"/>
    </xf>
    <xf numFmtId="0" fontId="0" fillId="5" borderId="0" xfId="0" applyFill="1" applyBorder="1" applyAlignment="1">
      <alignment horizontal="center" vertical="center" wrapText="1"/>
    </xf>
    <xf numFmtId="168" fontId="120" fillId="5" borderId="0" xfId="2" applyNumberFormat="1" applyFont="1" applyFill="1" applyBorder="1" applyAlignment="1">
      <alignment horizontal="right" vertical="center" wrapText="1"/>
    </xf>
    <xf numFmtId="182" fontId="120" fillId="5" borderId="0" xfId="4" applyNumberFormat="1" applyFont="1" applyFill="1" applyBorder="1" applyAlignment="1">
      <alignment horizontal="right" vertical="center" wrapText="1"/>
    </xf>
    <xf numFmtId="9" fontId="120" fillId="5" borderId="0" xfId="4" applyNumberFormat="1" applyFont="1" applyFill="1" applyBorder="1" applyAlignment="1">
      <alignment horizontal="right" vertical="center" wrapText="1"/>
    </xf>
    <xf numFmtId="168" fontId="120" fillId="5" borderId="0" xfId="4" applyNumberFormat="1" applyFont="1" applyFill="1" applyBorder="1" applyAlignment="1">
      <alignment horizontal="right" vertical="center" wrapText="1"/>
    </xf>
    <xf numFmtId="6" fontId="120" fillId="5" borderId="0" xfId="2" applyNumberFormat="1" applyFont="1" applyFill="1" applyBorder="1" applyAlignment="1">
      <alignment horizontal="right" vertical="center" wrapText="1"/>
    </xf>
    <xf numFmtId="0" fontId="1" fillId="5" borderId="155" xfId="0" applyFont="1" applyFill="1" applyBorder="1" applyAlignment="1">
      <alignment horizontal="left" vertical="center" wrapText="1"/>
    </xf>
    <xf numFmtId="0" fontId="120" fillId="5" borderId="0" xfId="0" applyFont="1" applyFill="1" applyBorder="1" applyAlignment="1">
      <alignment horizontal="center" vertical="center" wrapText="1"/>
    </xf>
    <xf numFmtId="0" fontId="60" fillId="5" borderId="155" xfId="286" applyFill="1" applyBorder="1" applyAlignment="1">
      <alignment horizontal="left" vertical="center" wrapText="1"/>
    </xf>
    <xf numFmtId="0" fontId="0" fillId="5" borderId="0" xfId="0" applyFont="1" applyFill="1" applyBorder="1" applyAlignment="1">
      <alignment horizontal="center" vertical="center" wrapText="1"/>
    </xf>
    <xf numFmtId="168" fontId="120" fillId="5" borderId="28" xfId="2" applyNumberFormat="1" applyFont="1" applyFill="1" applyBorder="1" applyAlignment="1">
      <alignment horizontal="right" vertical="center" wrapText="1"/>
    </xf>
    <xf numFmtId="9" fontId="120" fillId="5" borderId="28" xfId="4" applyNumberFormat="1" applyFont="1" applyFill="1" applyBorder="1" applyAlignment="1">
      <alignment horizontal="right" vertical="center" wrapText="1"/>
    </xf>
    <xf numFmtId="168" fontId="120" fillId="5" borderId="28" xfId="4" applyNumberFormat="1" applyFont="1" applyFill="1" applyBorder="1" applyAlignment="1">
      <alignment horizontal="right" vertical="center" wrapText="1"/>
    </xf>
    <xf numFmtId="0" fontId="122" fillId="5" borderId="169" xfId="0" applyFont="1" applyFill="1" applyBorder="1" applyAlignment="1">
      <alignment vertical="center"/>
    </xf>
    <xf numFmtId="168" fontId="120" fillId="5" borderId="146" xfId="0" applyNumberFormat="1" applyFont="1" applyFill="1" applyBorder="1" applyAlignment="1">
      <alignment horizontal="center" vertical="center" wrapText="1"/>
    </xf>
    <xf numFmtId="168" fontId="120" fillId="5" borderId="143" xfId="0" applyNumberFormat="1" applyFont="1" applyFill="1" applyBorder="1" applyAlignment="1">
      <alignment horizontal="center" vertical="center" wrapText="1"/>
    </xf>
    <xf numFmtId="0" fontId="172" fillId="5" borderId="145" xfId="286" applyFont="1" applyFill="1" applyBorder="1" applyAlignment="1">
      <alignment horizontal="center" vertical="center" wrapText="1"/>
    </xf>
    <xf numFmtId="0" fontId="1" fillId="0" borderId="141" xfId="0" applyFont="1" applyBorder="1" applyAlignment="1">
      <alignment horizontal="center" vertical="center" wrapText="1"/>
    </xf>
    <xf numFmtId="0" fontId="135" fillId="5" borderId="146" xfId="0" applyFont="1" applyFill="1" applyBorder="1" applyAlignment="1">
      <alignment vertical="center" wrapText="1"/>
    </xf>
    <xf numFmtId="0" fontId="136" fillId="0" borderId="146" xfId="0" applyFont="1" applyBorder="1"/>
    <xf numFmtId="0" fontId="135" fillId="5" borderId="146" xfId="0" applyFont="1" applyFill="1" applyBorder="1" applyAlignment="1">
      <alignment horizontal="left" wrapText="1"/>
    </xf>
    <xf numFmtId="182" fontId="120" fillId="5" borderId="28" xfId="4" applyNumberFormat="1" applyFont="1" applyFill="1" applyBorder="1" applyAlignment="1">
      <alignment horizontal="right" vertical="center" wrapText="1"/>
    </xf>
    <xf numFmtId="6" fontId="120" fillId="5" borderId="28" xfId="2" applyNumberFormat="1" applyFont="1" applyFill="1" applyBorder="1" applyAlignment="1">
      <alignment horizontal="right" vertical="center" wrapText="1"/>
    </xf>
    <xf numFmtId="0" fontId="1" fillId="5" borderId="173" xfId="0" applyFont="1" applyFill="1" applyBorder="1" applyAlignment="1">
      <alignment horizontal="left" vertical="center"/>
    </xf>
    <xf numFmtId="0" fontId="122" fillId="5" borderId="144" xfId="0" applyFont="1" applyFill="1" applyBorder="1" applyAlignment="1">
      <alignment vertical="top"/>
    </xf>
    <xf numFmtId="166" fontId="120" fillId="73" borderId="139" xfId="1" applyNumberFormat="1" applyFont="1" applyFill="1" applyBorder="1" applyAlignment="1">
      <alignment horizontal="center" vertical="center"/>
    </xf>
    <xf numFmtId="165" fontId="120" fillId="73" borderId="139" xfId="2" applyNumberFormat="1" applyFont="1" applyFill="1" applyBorder="1" applyAlignment="1">
      <alignment horizontal="center" vertical="center"/>
    </xf>
    <xf numFmtId="168" fontId="1" fillId="0" borderId="139" xfId="0" applyNumberFormat="1" applyFont="1" applyFill="1" applyBorder="1" applyAlignment="1">
      <alignment horizontal="center" vertical="center"/>
    </xf>
    <xf numFmtId="168" fontId="1" fillId="0" borderId="139" xfId="0" applyNumberFormat="1" applyFont="1" applyFill="1" applyBorder="1" applyAlignment="1">
      <alignment vertical="center"/>
    </xf>
    <xf numFmtId="168" fontId="6" fillId="0" borderId="139" xfId="0" applyNumberFormat="1" applyFont="1" applyBorder="1"/>
    <xf numFmtId="0" fontId="1" fillId="0" borderId="139" xfId="0" applyFont="1" applyBorder="1" applyAlignment="1">
      <alignment vertical="center"/>
    </xf>
    <xf numFmtId="166" fontId="1" fillId="0" borderId="139" xfId="1" applyNumberFormat="1" applyFont="1" applyBorder="1" applyAlignment="1">
      <alignment vertical="center"/>
    </xf>
    <xf numFmtId="165" fontId="1" fillId="0" borderId="139" xfId="2" applyNumberFormat="1" applyFont="1" applyBorder="1" applyAlignment="1">
      <alignment vertical="center"/>
    </xf>
    <xf numFmtId="184" fontId="1" fillId="0" borderId="139" xfId="0" applyNumberFormat="1" applyFont="1" applyBorder="1" applyAlignment="1">
      <alignment vertical="center"/>
    </xf>
    <xf numFmtId="0" fontId="122" fillId="5" borderId="1" xfId="0" applyFont="1" applyFill="1" applyBorder="1" applyAlignment="1">
      <alignment horizontal="center" vertical="center" wrapText="1"/>
    </xf>
    <xf numFmtId="7" fontId="118" fillId="5" borderId="7" xfId="2" applyNumberFormat="1" applyFont="1" applyFill="1" applyBorder="1" applyAlignment="1">
      <alignment horizontal="right" vertical="center" wrapText="1"/>
    </xf>
    <xf numFmtId="184" fontId="118" fillId="5" borderId="1" xfId="2" applyNumberFormat="1" applyFont="1" applyFill="1" applyBorder="1" applyAlignment="1">
      <alignment horizontal="right" vertical="center"/>
    </xf>
    <xf numFmtId="184" fontId="118" fillId="5" borderId="1" xfId="2" applyNumberFormat="1" applyFont="1" applyFill="1" applyBorder="1" applyAlignment="1">
      <alignment vertical="center"/>
    </xf>
    <xf numFmtId="0" fontId="122" fillId="5" borderId="0" xfId="0" applyFont="1" applyFill="1" applyBorder="1" applyAlignment="1">
      <alignment horizontal="center" vertical="center" wrapText="1"/>
    </xf>
    <xf numFmtId="0" fontId="3" fillId="0" borderId="0" xfId="0" applyFont="1" applyBorder="1" applyAlignment="1">
      <alignment vertical="center"/>
    </xf>
    <xf numFmtId="168" fontId="120" fillId="5" borderId="146" xfId="0" applyNumberFormat="1" applyFont="1" applyFill="1" applyBorder="1" applyAlignment="1">
      <alignment horizontal="center" vertical="center" wrapText="1"/>
    </xf>
    <xf numFmtId="168" fontId="120" fillId="5" borderId="143" xfId="0" applyNumberFormat="1" applyFont="1" applyFill="1" applyBorder="1" applyAlignment="1">
      <alignment horizontal="center" vertical="center" wrapText="1"/>
    </xf>
    <xf numFmtId="0" fontId="122" fillId="5" borderId="0" xfId="0" applyFont="1" applyFill="1" applyBorder="1" applyAlignment="1">
      <alignment horizontal="left" vertical="center" wrapText="1"/>
    </xf>
    <xf numFmtId="0" fontId="118" fillId="5" borderId="0" xfId="0" applyFont="1" applyFill="1" applyBorder="1" applyAlignment="1">
      <alignment horizontal="left" vertical="center" wrapText="1"/>
    </xf>
    <xf numFmtId="0" fontId="3" fillId="5" borderId="0" xfId="0" applyFont="1" applyFill="1" applyBorder="1" applyAlignment="1">
      <alignment horizontal="center" vertical="center"/>
    </xf>
    <xf numFmtId="0" fontId="132" fillId="5" borderId="0" xfId="0" applyFont="1" applyFill="1" applyBorder="1" applyAlignment="1">
      <alignment horizontal="center" wrapText="1"/>
    </xf>
    <xf numFmtId="0" fontId="140" fillId="5" borderId="0" xfId="0" applyFont="1" applyFill="1" applyBorder="1" applyAlignment="1">
      <alignment horizontal="left" wrapText="1"/>
    </xf>
    <xf numFmtId="0" fontId="120" fillId="0" borderId="0" xfId="0" applyFont="1" applyFill="1" applyBorder="1" applyAlignment="1">
      <alignment horizontal="left" vertical="center" wrapText="1"/>
    </xf>
    <xf numFmtId="0" fontId="122" fillId="5" borderId="1" xfId="0" applyFont="1" applyFill="1" applyBorder="1" applyAlignment="1">
      <alignment horizontal="center" vertical="center" wrapText="1"/>
    </xf>
    <xf numFmtId="0" fontId="135" fillId="5" borderId="0" xfId="0" applyFont="1" applyFill="1" applyBorder="1" applyAlignment="1">
      <alignment horizontal="left" wrapText="1"/>
    </xf>
    <xf numFmtId="0" fontId="118" fillId="5" borderId="0" xfId="0" applyFont="1" applyFill="1" applyBorder="1" applyAlignment="1">
      <alignment horizontal="center" vertical="center" wrapText="1"/>
    </xf>
    <xf numFmtId="3" fontId="118" fillId="0" borderId="0" xfId="0" applyNumberFormat="1" applyFont="1" applyFill="1" applyBorder="1" applyAlignment="1">
      <alignment horizontal="center" vertical="center" wrapText="1"/>
    </xf>
    <xf numFmtId="0" fontId="132" fillId="5" borderId="28" xfId="0" applyFont="1" applyFill="1" applyBorder="1" applyAlignment="1">
      <alignment horizontal="center" wrapText="1"/>
    </xf>
    <xf numFmtId="0" fontId="3" fillId="5" borderId="0" xfId="0" applyFont="1" applyFill="1" applyBorder="1" applyAlignment="1"/>
    <xf numFmtId="0" fontId="122" fillId="5" borderId="0" xfId="0" applyFont="1" applyFill="1" applyBorder="1" applyAlignment="1">
      <alignment horizontal="center" vertical="center"/>
    </xf>
    <xf numFmtId="0" fontId="118" fillId="5" borderId="0" xfId="0" applyFont="1" applyFill="1" applyBorder="1" applyAlignment="1">
      <alignment horizontal="left" vertical="center"/>
    </xf>
    <xf numFmtId="2" fontId="122" fillId="6" borderId="1" xfId="0" applyNumberFormat="1" applyFont="1" applyFill="1" applyBorder="1" applyAlignment="1">
      <alignment horizontal="center" vertical="center"/>
    </xf>
    <xf numFmtId="210" fontId="133" fillId="6" borderId="0" xfId="1" applyNumberFormat="1" applyFont="1" applyFill="1" applyBorder="1" applyAlignment="1">
      <alignment horizontal="center" vertical="center"/>
    </xf>
    <xf numFmtId="209" fontId="122" fillId="6" borderId="1" xfId="1" applyNumberFormat="1" applyFont="1" applyFill="1" applyBorder="1" applyAlignment="1">
      <alignment horizontal="center" vertical="center"/>
    </xf>
    <xf numFmtId="3" fontId="122" fillId="5" borderId="1" xfId="0" applyNumberFormat="1" applyFont="1" applyFill="1" applyBorder="1" applyAlignment="1">
      <alignment horizontal="center" vertical="top"/>
    </xf>
    <xf numFmtId="180" fontId="122" fillId="6" borderId="1" xfId="1" applyNumberFormat="1" applyFont="1" applyFill="1" applyBorder="1" applyAlignment="1">
      <alignment horizontal="center" vertical="center"/>
    </xf>
    <xf numFmtId="49" fontId="122" fillId="0" borderId="1" xfId="0" applyNumberFormat="1" applyFont="1" applyFill="1" applyBorder="1" applyAlignment="1">
      <alignment horizontal="left" vertical="top" wrapText="1"/>
    </xf>
    <xf numFmtId="0" fontId="118" fillId="5" borderId="146" xfId="0" applyFont="1" applyFill="1" applyBorder="1"/>
    <xf numFmtId="3" fontId="118" fillId="5" borderId="139" xfId="0" applyNumberFormat="1" applyFont="1" applyFill="1" applyBorder="1" applyAlignment="1">
      <alignment vertical="center" wrapText="1"/>
    </xf>
    <xf numFmtId="0" fontId="3" fillId="5" borderId="168" xfId="0" applyFont="1" applyFill="1" applyBorder="1"/>
    <xf numFmtId="0" fontId="122" fillId="5" borderId="168" xfId="0" applyFont="1" applyFill="1" applyBorder="1" applyAlignment="1">
      <alignment horizontal="center" vertical="top"/>
    </xf>
    <xf numFmtId="0" fontId="122" fillId="5" borderId="169" xfId="0" applyFont="1" applyFill="1" applyBorder="1" applyAlignment="1">
      <alignment horizontal="center" vertical="top"/>
    </xf>
    <xf numFmtId="0" fontId="123" fillId="73" borderId="162" xfId="0" applyFont="1" applyFill="1" applyBorder="1" applyAlignment="1">
      <alignment horizontal="center" vertical="center"/>
    </xf>
    <xf numFmtId="0" fontId="122" fillId="5" borderId="137" xfId="0" applyFont="1" applyFill="1" applyBorder="1" applyAlignment="1">
      <alignment horizontal="left" vertical="top"/>
    </xf>
    <xf numFmtId="0" fontId="3" fillId="0" borderId="169" xfId="0" applyFont="1" applyBorder="1"/>
    <xf numFmtId="0" fontId="122" fillId="5" borderId="163" xfId="0" applyFont="1" applyFill="1" applyBorder="1" applyAlignment="1">
      <alignment horizontal="center" vertical="center" wrapText="1"/>
    </xf>
    <xf numFmtId="0" fontId="3" fillId="5" borderId="162" xfId="0" applyFont="1" applyFill="1" applyBorder="1" applyAlignment="1">
      <alignment horizontal="right" vertical="center" wrapText="1"/>
    </xf>
    <xf numFmtId="0" fontId="132" fillId="5" borderId="169" xfId="0" applyFont="1" applyFill="1" applyBorder="1" applyAlignment="1">
      <alignment horizontal="center" wrapText="1"/>
    </xf>
    <xf numFmtId="0" fontId="122" fillId="0" borderId="163" xfId="0" applyFont="1" applyFill="1" applyBorder="1" applyAlignment="1">
      <alignment horizontal="center" vertical="center" wrapText="1"/>
    </xf>
    <xf numFmtId="0" fontId="118" fillId="0" borderId="163" xfId="0" applyFont="1" applyFill="1" applyBorder="1" applyAlignment="1">
      <alignment horizontal="center" vertical="center" wrapText="1"/>
    </xf>
    <xf numFmtId="168" fontId="118" fillId="5" borderId="28" xfId="2" applyNumberFormat="1" applyFont="1" applyFill="1" applyBorder="1" applyAlignment="1">
      <alignment horizontal="right" vertical="center" wrapText="1"/>
    </xf>
    <xf numFmtId="0" fontId="3" fillId="5" borderId="169" xfId="0" applyFont="1" applyFill="1" applyBorder="1"/>
    <xf numFmtId="0" fontId="122" fillId="5" borderId="155" xfId="0" applyFont="1" applyFill="1" applyBorder="1" applyAlignment="1">
      <alignment vertical="top"/>
    </xf>
    <xf numFmtId="0" fontId="3" fillId="5" borderId="155" xfId="0" applyFont="1" applyFill="1" applyBorder="1"/>
    <xf numFmtId="0" fontId="3" fillId="5" borderId="155" xfId="0" applyFont="1" applyFill="1" applyBorder="1" applyAlignment="1">
      <alignment vertical="top"/>
    </xf>
    <xf numFmtId="5" fontId="118" fillId="5" borderId="0" xfId="2" applyNumberFormat="1" applyFont="1" applyFill="1" applyBorder="1" applyAlignment="1">
      <alignment vertical="center"/>
    </xf>
    <xf numFmtId="0" fontId="118" fillId="5" borderId="146" xfId="0" applyFont="1" applyFill="1" applyBorder="1" applyAlignment="1">
      <alignment horizontal="left" vertical="center"/>
    </xf>
    <xf numFmtId="0" fontId="135" fillId="5" borderId="146" xfId="0" applyFont="1" applyFill="1" applyBorder="1"/>
    <xf numFmtId="0" fontId="122" fillId="5" borderId="171" xfId="0" applyFont="1" applyFill="1" applyBorder="1" applyAlignment="1">
      <alignment horizontal="center" vertical="center" wrapText="1"/>
    </xf>
    <xf numFmtId="0" fontId="122" fillId="71" borderId="162" xfId="0" applyFont="1" applyFill="1" applyBorder="1" applyAlignment="1">
      <alignment horizontal="left" vertical="center" wrapText="1"/>
    </xf>
    <xf numFmtId="0" fontId="122" fillId="71" borderId="162" xfId="0" applyFont="1" applyFill="1" applyBorder="1" applyAlignment="1">
      <alignment horizontal="left" vertical="center"/>
    </xf>
    <xf numFmtId="0" fontId="122" fillId="5" borderId="162" xfId="0" applyFont="1" applyFill="1" applyBorder="1" applyAlignment="1">
      <alignment horizontal="center" vertical="center"/>
    </xf>
    <xf numFmtId="0" fontId="122" fillId="6" borderId="162" xfId="0" applyFont="1" applyFill="1" applyBorder="1" applyAlignment="1">
      <alignment horizontal="left" vertical="center" wrapText="1"/>
    </xf>
    <xf numFmtId="0" fontId="122" fillId="5" borderId="162" xfId="0" applyFont="1" applyFill="1" applyBorder="1" applyAlignment="1">
      <alignment horizontal="left" vertical="center"/>
    </xf>
    <xf numFmtId="0" fontId="132" fillId="5" borderId="168" xfId="0" applyFont="1" applyFill="1" applyBorder="1" applyAlignment="1">
      <alignment horizontal="center" vertical="center" wrapText="1"/>
    </xf>
    <xf numFmtId="0" fontId="122" fillId="5" borderId="163" xfId="0" applyFont="1" applyFill="1" applyBorder="1" applyAlignment="1">
      <alignment horizontal="left" vertical="center"/>
    </xf>
    <xf numFmtId="5" fontId="118" fillId="5" borderId="28" xfId="2" applyNumberFormat="1" applyFont="1" applyFill="1" applyBorder="1" applyAlignment="1">
      <alignment vertical="center"/>
    </xf>
    <xf numFmtId="0" fontId="3" fillId="5" borderId="169" xfId="0" applyFont="1" applyFill="1" applyBorder="1" applyAlignment="1">
      <alignment vertical="center"/>
    </xf>
    <xf numFmtId="0" fontId="3" fillId="5" borderId="155" xfId="0" applyFont="1" applyFill="1" applyBorder="1" applyAlignment="1">
      <alignment horizontal="left" vertical="center"/>
    </xf>
    <xf numFmtId="0" fontId="3" fillId="5" borderId="155" xfId="0" applyFont="1" applyFill="1" applyBorder="1" applyAlignment="1">
      <alignment vertical="center"/>
    </xf>
    <xf numFmtId="0" fontId="3" fillId="0" borderId="155" xfId="0" applyFont="1" applyBorder="1" applyAlignment="1">
      <alignment vertical="center"/>
    </xf>
    <xf numFmtId="0" fontId="136" fillId="0" borderId="169" xfId="0" applyFont="1" applyBorder="1"/>
    <xf numFmtId="3" fontId="118" fillId="5" borderId="139" xfId="0" applyNumberFormat="1" applyFont="1" applyFill="1" applyBorder="1" applyAlignment="1">
      <alignment horizontal="center" vertical="center" wrapText="1"/>
    </xf>
    <xf numFmtId="3" fontId="118" fillId="6" borderId="141" xfId="0" applyNumberFormat="1" applyFont="1" applyFill="1" applyBorder="1" applyAlignment="1">
      <alignment horizontal="center" vertical="center"/>
    </xf>
    <xf numFmtId="0" fontId="138" fillId="5" borderId="169" xfId="0" applyFont="1" applyFill="1" applyBorder="1" applyAlignment="1">
      <alignment horizontal="center" vertical="top"/>
    </xf>
    <xf numFmtId="0" fontId="145" fillId="73" borderId="162" xfId="0" applyFont="1" applyFill="1" applyBorder="1" applyAlignment="1">
      <alignment horizontal="center" vertical="center"/>
    </xf>
    <xf numFmtId="0" fontId="122" fillId="5" borderId="163" xfId="0" applyFont="1" applyFill="1" applyBorder="1" applyAlignment="1">
      <alignment horizontal="left" vertical="center" wrapText="1"/>
    </xf>
    <xf numFmtId="0" fontId="138" fillId="5" borderId="144" xfId="0" applyFont="1" applyFill="1" applyBorder="1" applyAlignment="1">
      <alignment horizontal="center" vertical="top"/>
    </xf>
    <xf numFmtId="0" fontId="136" fillId="5" borderId="137" xfId="0" applyFont="1" applyFill="1" applyBorder="1" applyAlignment="1">
      <alignment vertical="top"/>
    </xf>
    <xf numFmtId="0" fontId="136" fillId="5" borderId="137" xfId="0" applyFont="1" applyFill="1" applyBorder="1"/>
    <xf numFmtId="0" fontId="136" fillId="5" borderId="144" xfId="0" applyFont="1" applyFill="1" applyBorder="1" applyAlignment="1">
      <alignment vertical="top"/>
    </xf>
    <xf numFmtId="0" fontId="146" fillId="5" borderId="169" xfId="0" applyFont="1" applyFill="1" applyBorder="1" applyAlignment="1">
      <alignment horizontal="center" wrapText="1"/>
    </xf>
    <xf numFmtId="2" fontId="138" fillId="0" borderId="163" xfId="0" applyNumberFormat="1" applyFont="1" applyFill="1" applyBorder="1" applyAlignment="1">
      <alignment horizontal="left" vertical="top" wrapText="1"/>
    </xf>
    <xf numFmtId="2" fontId="138" fillId="0" borderId="163" xfId="0" applyNumberFormat="1" applyFont="1" applyFill="1" applyBorder="1" applyAlignment="1">
      <alignment horizontal="left" vertical="center" wrapText="1"/>
    </xf>
    <xf numFmtId="3" fontId="138" fillId="0" borderId="168" xfId="0" applyNumberFormat="1" applyFont="1" applyFill="1" applyBorder="1" applyAlignment="1">
      <alignment horizontal="right" vertical="top" wrapText="1"/>
    </xf>
    <xf numFmtId="3" fontId="138" fillId="0" borderId="169" xfId="0" applyNumberFormat="1" applyFont="1" applyFill="1" applyBorder="1" applyAlignment="1">
      <alignment horizontal="right" vertical="top" wrapText="1"/>
    </xf>
    <xf numFmtId="0" fontId="136" fillId="0" borderId="144" xfId="0" applyFont="1" applyBorder="1"/>
    <xf numFmtId="0" fontId="136" fillId="5" borderId="169" xfId="0" applyFont="1" applyFill="1" applyBorder="1"/>
    <xf numFmtId="0" fontId="138" fillId="5" borderId="155" xfId="0" applyFont="1" applyFill="1" applyBorder="1" applyAlignment="1">
      <alignment vertical="top"/>
    </xf>
    <xf numFmtId="0" fontId="136" fillId="5" borderId="155" xfId="0" applyFont="1" applyFill="1" applyBorder="1"/>
    <xf numFmtId="0" fontId="136" fillId="5" borderId="155" xfId="0" applyFont="1" applyFill="1" applyBorder="1" applyAlignment="1">
      <alignment vertical="top"/>
    </xf>
    <xf numFmtId="0" fontId="118" fillId="5" borderId="142" xfId="0" applyFont="1" applyFill="1" applyBorder="1" applyAlignment="1">
      <alignment horizontal="left" vertical="center"/>
    </xf>
    <xf numFmtId="3" fontId="118" fillId="6" borderId="139" xfId="0" applyNumberFormat="1" applyFont="1" applyFill="1" applyBorder="1" applyAlignment="1">
      <alignment horizontal="center" vertical="center"/>
    </xf>
    <xf numFmtId="9" fontId="120" fillId="32" borderId="162" xfId="4" applyFont="1" applyFill="1" applyBorder="1" applyAlignment="1">
      <alignment horizontal="center" vertical="center"/>
    </xf>
    <xf numFmtId="0" fontId="3" fillId="0" borderId="119" xfId="0" applyFont="1" applyBorder="1" applyAlignment="1">
      <alignment horizontal="left" vertical="center"/>
    </xf>
    <xf numFmtId="0" fontId="122" fillId="69" borderId="1" xfId="0" applyFont="1" applyFill="1" applyBorder="1" applyAlignment="1">
      <alignment horizontal="center" vertical="center" wrapText="1"/>
    </xf>
    <xf numFmtId="0" fontId="60" fillId="5" borderId="129" xfId="286" applyFill="1" applyBorder="1" applyAlignment="1">
      <alignment horizontal="left" vertical="center" wrapText="1"/>
    </xf>
    <xf numFmtId="0" fontId="60" fillId="0" borderId="118" xfId="286" applyBorder="1" applyAlignment="1">
      <alignment horizontal="center" vertical="center"/>
    </xf>
    <xf numFmtId="0" fontId="60" fillId="0" borderId="1" xfId="286" applyBorder="1" applyAlignment="1">
      <alignment horizontal="center" vertical="center"/>
    </xf>
    <xf numFmtId="0" fontId="123" fillId="73" borderId="0" xfId="0" applyFont="1" applyFill="1" applyBorder="1" applyAlignment="1">
      <alignment horizontal="left" vertical="center"/>
    </xf>
    <xf numFmtId="0" fontId="123" fillId="73" borderId="46" xfId="0" applyFont="1" applyFill="1" applyBorder="1" applyAlignment="1">
      <alignment horizontal="left" vertical="center"/>
    </xf>
    <xf numFmtId="168" fontId="1" fillId="0" borderId="0" xfId="0" applyNumberFormat="1" applyFont="1" applyFill="1" applyBorder="1" applyAlignment="1">
      <alignment vertical="center"/>
    </xf>
    <xf numFmtId="0" fontId="1" fillId="0" borderId="0" xfId="0" applyFont="1" applyBorder="1" applyAlignment="1">
      <alignment horizontal="center" vertical="center" wrapText="1"/>
    </xf>
    <xf numFmtId="0" fontId="122" fillId="5" borderId="6" xfId="0" applyFont="1" applyFill="1" applyBorder="1" applyAlignment="1">
      <alignment horizontal="center" vertical="center" wrapText="1"/>
    </xf>
    <xf numFmtId="0" fontId="122" fillId="5" borderId="0" xfId="0" applyFont="1" applyFill="1" applyBorder="1" applyAlignment="1">
      <alignment horizontal="center" vertical="center" wrapText="1"/>
    </xf>
    <xf numFmtId="0" fontId="0" fillId="0" borderId="0" xfId="0" applyBorder="1" applyAlignment="1">
      <alignment horizontal="center" vertical="center" wrapText="1"/>
    </xf>
    <xf numFmtId="0" fontId="3" fillId="0" borderId="0" xfId="0" applyFont="1" applyBorder="1" applyAlignment="1">
      <alignment vertical="center"/>
    </xf>
    <xf numFmtId="0" fontId="0" fillId="0" borderId="0" xfId="0" applyBorder="1" applyAlignment="1">
      <alignment vertical="center"/>
    </xf>
    <xf numFmtId="0" fontId="118" fillId="0" borderId="0" xfId="0" applyFont="1" applyFill="1" applyBorder="1" applyAlignment="1">
      <alignment horizontal="left" vertical="center" wrapText="1"/>
    </xf>
    <xf numFmtId="0" fontId="122" fillId="0" borderId="0" xfId="0" applyFont="1" applyFill="1" applyBorder="1" applyAlignment="1">
      <alignment horizontal="left" vertical="center" wrapText="1"/>
    </xf>
    <xf numFmtId="168" fontId="120" fillId="5" borderId="0" xfId="0" applyNumberFormat="1" applyFont="1" applyFill="1" applyBorder="1" applyAlignment="1">
      <alignment horizontal="center" vertical="center" wrapText="1"/>
    </xf>
    <xf numFmtId="0" fontId="122" fillId="5" borderId="0" xfId="0" applyFont="1" applyFill="1" applyBorder="1" applyAlignment="1">
      <alignment horizontal="left" vertical="center" wrapText="1"/>
    </xf>
    <xf numFmtId="0" fontId="122" fillId="8" borderId="170" xfId="0" applyFont="1" applyFill="1" applyBorder="1" applyAlignment="1">
      <alignment horizontal="center" vertical="center"/>
    </xf>
    <xf numFmtId="0" fontId="122" fillId="8" borderId="171" xfId="0" applyFont="1" applyFill="1" applyBorder="1" applyAlignment="1">
      <alignment horizontal="center" vertical="center"/>
    </xf>
    <xf numFmtId="0" fontId="122" fillId="8" borderId="172" xfId="0" applyFont="1" applyFill="1" applyBorder="1" applyAlignment="1">
      <alignment horizontal="center" vertical="center"/>
    </xf>
    <xf numFmtId="0" fontId="118" fillId="5" borderId="0" xfId="0" applyFont="1" applyFill="1" applyBorder="1" applyAlignment="1">
      <alignment horizontal="left" vertical="center" wrapText="1"/>
    </xf>
    <xf numFmtId="0" fontId="122" fillId="5" borderId="163" xfId="0" applyFont="1" applyFill="1" applyBorder="1" applyAlignment="1">
      <alignment horizontal="center" vertical="center" wrapText="1"/>
    </xf>
    <xf numFmtId="0" fontId="3" fillId="5" borderId="0" xfId="0" applyFont="1" applyFill="1" applyBorder="1" applyAlignment="1">
      <alignment horizontal="center" vertical="center"/>
    </xf>
    <xf numFmtId="0" fontId="122" fillId="5" borderId="1" xfId="0" applyFont="1" applyFill="1" applyBorder="1" applyAlignment="1">
      <alignment horizontal="center" vertical="center" wrapText="1"/>
    </xf>
    <xf numFmtId="0" fontId="118" fillId="5" borderId="0" xfId="0" applyFont="1" applyFill="1" applyBorder="1" applyAlignment="1">
      <alignment horizontal="center" vertical="center" wrapText="1"/>
    </xf>
    <xf numFmtId="0" fontId="3" fillId="5" borderId="0" xfId="0" applyFont="1" applyFill="1" applyBorder="1" applyAlignment="1">
      <alignment horizontal="right" vertical="center"/>
    </xf>
    <xf numFmtId="0" fontId="122" fillId="5" borderId="0" xfId="0" applyFont="1" applyFill="1" applyBorder="1" applyAlignment="1">
      <alignment horizontal="center" vertical="center"/>
    </xf>
    <xf numFmtId="0" fontId="60" fillId="5" borderId="0" xfId="286" applyFill="1" applyBorder="1" applyAlignment="1">
      <alignment horizontal="center" vertical="center"/>
    </xf>
    <xf numFmtId="0" fontId="3" fillId="0" borderId="174" xfId="0" applyFont="1" applyBorder="1" applyAlignment="1">
      <alignment vertical="center"/>
    </xf>
    <xf numFmtId="0" fontId="122" fillId="5" borderId="174" xfId="0" applyFont="1" applyFill="1" applyBorder="1" applyAlignment="1">
      <alignment vertical="center"/>
    </xf>
    <xf numFmtId="0" fontId="122" fillId="5" borderId="174" xfId="0" applyFont="1" applyFill="1" applyBorder="1" applyAlignment="1">
      <alignment horizontal="center" vertical="center"/>
    </xf>
    <xf numFmtId="0" fontId="16" fillId="0" borderId="174" xfId="0" applyFont="1" applyBorder="1" applyAlignment="1">
      <alignment vertical="center"/>
    </xf>
    <xf numFmtId="0" fontId="16" fillId="5" borderId="174" xfId="0" applyFont="1" applyFill="1" applyBorder="1" applyAlignment="1">
      <alignment vertical="center" wrapText="1"/>
    </xf>
    <xf numFmtId="0" fontId="3" fillId="5" borderId="174" xfId="0" applyFont="1" applyFill="1" applyBorder="1" applyAlignment="1">
      <alignment vertical="center"/>
    </xf>
    <xf numFmtId="0" fontId="132" fillId="5" borderId="174" xfId="0" applyFont="1" applyFill="1" applyBorder="1" applyAlignment="1">
      <alignment horizontal="center" vertical="center" wrapText="1"/>
    </xf>
    <xf numFmtId="0" fontId="122" fillId="5" borderId="162" xfId="0" applyFont="1" applyFill="1" applyBorder="1" applyAlignment="1">
      <alignment vertical="center" wrapText="1"/>
    </xf>
    <xf numFmtId="0" fontId="118" fillId="0" borderId="174" xfId="0" applyFont="1" applyFill="1" applyBorder="1" applyAlignment="1">
      <alignment horizontal="right" vertical="center" wrapText="1"/>
    </xf>
    <xf numFmtId="0" fontId="122" fillId="0" borderId="162" xfId="0" applyFont="1" applyFill="1" applyBorder="1" applyAlignment="1">
      <alignment vertical="center" wrapText="1"/>
    </xf>
    <xf numFmtId="0" fontId="118" fillId="0" borderId="163" xfId="0" applyFont="1" applyFill="1" applyBorder="1" applyAlignment="1">
      <alignment horizontal="left" vertical="center" wrapText="1"/>
    </xf>
    <xf numFmtId="0" fontId="16" fillId="0" borderId="174" xfId="0" applyFont="1" applyFill="1" applyBorder="1" applyAlignment="1">
      <alignment vertical="center"/>
    </xf>
    <xf numFmtId="0" fontId="132" fillId="5" borderId="137" xfId="0" applyFont="1" applyFill="1" applyBorder="1" applyAlignment="1">
      <alignment horizontal="center" vertical="center" wrapText="1"/>
    </xf>
    <xf numFmtId="0" fontId="122" fillId="0" borderId="155" xfId="0" applyFont="1" applyBorder="1" applyAlignment="1">
      <alignment horizontal="center" vertical="center" wrapText="1"/>
    </xf>
    <xf numFmtId="168" fontId="118" fillId="5" borderId="174" xfId="2" applyNumberFormat="1" applyFont="1" applyFill="1" applyBorder="1" applyAlignment="1">
      <alignment horizontal="right" vertical="center" wrapText="1"/>
    </xf>
    <xf numFmtId="0" fontId="118" fillId="5" borderId="118" xfId="0" applyFont="1" applyFill="1" applyBorder="1" applyAlignment="1">
      <alignment horizontal="left" vertical="center" wrapText="1"/>
    </xf>
    <xf numFmtId="2" fontId="118" fillId="5" borderId="118" xfId="4" applyNumberFormat="1" applyFont="1" applyFill="1" applyBorder="1" applyAlignment="1">
      <alignment horizontal="center" vertical="center"/>
    </xf>
    <xf numFmtId="2" fontId="122" fillId="6" borderId="118" xfId="4" applyNumberFormat="1" applyFont="1" applyFill="1" applyBorder="1" applyAlignment="1">
      <alignment horizontal="center" vertical="center"/>
    </xf>
    <xf numFmtId="2" fontId="118" fillId="0" borderId="168" xfId="4" applyNumberFormat="1" applyFont="1" applyFill="1" applyBorder="1" applyAlignment="1">
      <alignment horizontal="left" vertical="center"/>
    </xf>
    <xf numFmtId="2" fontId="118" fillId="0" borderId="168" xfId="4" applyNumberFormat="1" applyFont="1" applyFill="1" applyBorder="1" applyAlignment="1">
      <alignment horizontal="center" vertical="center"/>
    </xf>
    <xf numFmtId="0" fontId="123" fillId="0" borderId="0" xfId="0" applyFont="1" applyAlignment="1">
      <alignment vertical="center"/>
    </xf>
    <xf numFmtId="0" fontId="122" fillId="5" borderId="174" xfId="0" applyFont="1" applyFill="1" applyBorder="1" applyAlignment="1">
      <alignment horizontal="center" vertical="top"/>
    </xf>
    <xf numFmtId="180" fontId="122" fillId="0" borderId="1" xfId="0" applyNumberFormat="1" applyFont="1" applyFill="1" applyBorder="1" applyAlignment="1">
      <alignment horizontal="center" vertical="center"/>
    </xf>
    <xf numFmtId="0" fontId="16" fillId="86" borderId="1" xfId="286" applyFont="1" applyFill="1" applyBorder="1" applyAlignment="1">
      <alignment horizontal="left" vertical="center" wrapText="1"/>
    </xf>
    <xf numFmtId="0" fontId="177" fillId="86" borderId="118" xfId="286" applyFont="1" applyFill="1" applyBorder="1" applyAlignment="1">
      <alignment horizontal="center" vertical="center"/>
    </xf>
    <xf numFmtId="0" fontId="177" fillId="86" borderId="1" xfId="286" applyFont="1" applyFill="1" applyBorder="1" applyAlignment="1">
      <alignment horizontal="left" vertical="center" wrapText="1"/>
    </xf>
    <xf numFmtId="9" fontId="16" fillId="86" borderId="1" xfId="4" applyFont="1" applyFill="1" applyBorder="1" applyAlignment="1">
      <alignment horizontal="center" vertical="center"/>
    </xf>
    <xf numFmtId="0" fontId="57" fillId="5" borderId="0" xfId="157" applyFont="1" applyFill="1" applyBorder="1"/>
    <xf numFmtId="0" fontId="154" fillId="73" borderId="6" xfId="0" applyFont="1" applyFill="1" applyBorder="1" applyAlignment="1">
      <alignment horizontal="center" vertical="center" wrapText="1"/>
    </xf>
    <xf numFmtId="0" fontId="0" fillId="0" borderId="94" xfId="0" applyBorder="1" applyAlignment="1">
      <alignment horizontal="center" vertical="center" wrapText="1"/>
    </xf>
    <xf numFmtId="0" fontId="125" fillId="5" borderId="46" xfId="286" applyFont="1" applyFill="1" applyBorder="1" applyAlignment="1">
      <alignment horizontal="center" vertical="center" wrapText="1"/>
    </xf>
    <xf numFmtId="0" fontId="1" fillId="0" borderId="160" xfId="0" applyFont="1" applyBorder="1" applyAlignment="1">
      <alignment horizontal="center" vertical="center" wrapText="1"/>
    </xf>
    <xf numFmtId="0" fontId="125" fillId="5" borderId="2" xfId="286" applyFont="1" applyFill="1" applyBorder="1" applyAlignment="1">
      <alignment horizontal="center" vertical="center" wrapText="1"/>
    </xf>
    <xf numFmtId="0" fontId="1" fillId="0" borderId="10" xfId="0" applyFont="1" applyBorder="1" applyAlignment="1">
      <alignment horizontal="center" vertical="center" wrapText="1"/>
    </xf>
    <xf numFmtId="0" fontId="125" fillId="5" borderId="3" xfId="286" applyFont="1" applyFill="1" applyBorder="1" applyAlignment="1">
      <alignment horizontal="center" vertical="center" wrapText="1"/>
    </xf>
    <xf numFmtId="0" fontId="1" fillId="0" borderId="148" xfId="0" applyFont="1" applyBorder="1" applyAlignment="1">
      <alignment horizontal="center" vertical="center" wrapText="1"/>
    </xf>
    <xf numFmtId="0" fontId="154" fillId="73" borderId="46" xfId="0" applyFont="1" applyFill="1" applyBorder="1" applyAlignment="1">
      <alignment horizontal="center" vertical="center" wrapText="1"/>
    </xf>
    <xf numFmtId="0" fontId="0" fillId="0" borderId="150" xfId="0" applyBorder="1" applyAlignment="1">
      <alignment horizontal="center" vertical="center" wrapText="1"/>
    </xf>
    <xf numFmtId="0" fontId="0" fillId="0" borderId="151" xfId="0" applyBorder="1" applyAlignment="1">
      <alignment horizontal="center" vertical="center" wrapText="1"/>
    </xf>
    <xf numFmtId="0" fontId="122" fillId="3" borderId="163" xfId="0" applyFont="1" applyFill="1" applyBorder="1" applyAlignment="1">
      <alignment vertical="center" wrapText="1"/>
    </xf>
    <xf numFmtId="0" fontId="0" fillId="0" borderId="162" xfId="0" applyBorder="1" applyAlignment="1">
      <alignment vertical="center" wrapText="1"/>
    </xf>
    <xf numFmtId="0" fontId="1" fillId="3" borderId="0" xfId="0" applyFont="1" applyFill="1" applyBorder="1" applyAlignment="1" applyProtection="1">
      <alignment horizontal="left" vertical="top" wrapText="1"/>
      <protection locked="0"/>
    </xf>
    <xf numFmtId="0" fontId="1" fillId="0" borderId="0" xfId="0" applyFont="1" applyFill="1" applyBorder="1" applyAlignment="1">
      <alignment horizontal="left" vertical="center" wrapText="1"/>
    </xf>
    <xf numFmtId="0" fontId="122" fillId="3" borderId="163" xfId="0" applyFont="1" applyFill="1" applyBorder="1" applyAlignment="1">
      <alignment vertical="top" wrapText="1"/>
    </xf>
    <xf numFmtId="0" fontId="0" fillId="0" borderId="162" xfId="0" applyBorder="1" applyAlignment="1">
      <alignment vertical="top" wrapText="1"/>
    </xf>
    <xf numFmtId="0" fontId="115" fillId="0" borderId="100" xfId="0" applyFont="1" applyBorder="1" applyAlignment="1">
      <alignment horizontal="center" vertical="center" wrapText="1"/>
    </xf>
    <xf numFmtId="0" fontId="115" fillId="0" borderId="101" xfId="0" applyFont="1" applyBorder="1" applyAlignment="1">
      <alignment horizontal="center" vertical="center" wrapText="1"/>
    </xf>
    <xf numFmtId="0" fontId="115" fillId="0" borderId="27" xfId="0" applyFont="1" applyBorder="1" applyAlignment="1">
      <alignment horizontal="center" vertical="center" wrapText="1"/>
    </xf>
    <xf numFmtId="0" fontId="115" fillId="0" borderId="25" xfId="0" applyFont="1" applyBorder="1" applyAlignment="1">
      <alignment horizontal="center" vertical="center" wrapText="1"/>
    </xf>
    <xf numFmtId="43" fontId="122" fillId="5" borderId="0" xfId="0" applyNumberFormat="1" applyFont="1" applyFill="1" applyBorder="1" applyAlignment="1">
      <alignment horizontal="center" vertical="top" textRotation="90" wrapText="1"/>
    </xf>
    <xf numFmtId="0" fontId="125" fillId="5" borderId="0" xfId="286"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Alignment="1">
      <alignment vertical="center" wrapText="1"/>
    </xf>
    <xf numFmtId="0" fontId="122" fillId="0" borderId="6" xfId="0" applyFont="1" applyBorder="1" applyAlignment="1">
      <alignment horizontal="center" vertical="center"/>
    </xf>
    <xf numFmtId="0" fontId="122" fillId="0" borderId="95" xfId="0" applyFont="1" applyBorder="1" applyAlignment="1">
      <alignment horizontal="center" vertical="center"/>
    </xf>
    <xf numFmtId="0" fontId="122" fillId="0" borderId="94" xfId="0" applyFont="1" applyBorder="1" applyAlignment="1">
      <alignment horizontal="center" vertical="center"/>
    </xf>
    <xf numFmtId="0" fontId="122" fillId="0" borderId="115" xfId="0" applyFont="1" applyBorder="1" applyAlignment="1">
      <alignment horizontal="center" vertical="center"/>
    </xf>
    <xf numFmtId="0" fontId="122" fillId="5" borderId="6" xfId="0" applyFont="1" applyFill="1" applyBorder="1" applyAlignment="1">
      <alignment horizontal="center" vertical="center"/>
    </xf>
    <xf numFmtId="0" fontId="122" fillId="5" borderId="94" xfId="0" applyFont="1" applyFill="1" applyBorder="1" applyAlignment="1">
      <alignment horizontal="center" vertical="center"/>
    </xf>
    <xf numFmtId="0" fontId="122" fillId="5" borderId="115" xfId="0" applyFont="1" applyFill="1" applyBorder="1" applyAlignment="1">
      <alignment horizontal="center" vertical="center"/>
    </xf>
    <xf numFmtId="0" fontId="119" fillId="0" borderId="0" xfId="0" applyFont="1" applyAlignment="1">
      <alignment horizontal="left" vertical="center" wrapText="1"/>
    </xf>
    <xf numFmtId="0" fontId="122" fillId="5" borderId="113" xfId="0" applyFont="1" applyFill="1" applyBorder="1" applyAlignment="1">
      <alignment horizontal="center" vertical="center"/>
    </xf>
    <xf numFmtId="0" fontId="122" fillId="5" borderId="112" xfId="0" applyFont="1" applyFill="1" applyBorder="1" applyAlignment="1">
      <alignment horizontal="center" vertical="center"/>
    </xf>
    <xf numFmtId="0" fontId="122" fillId="5" borderId="114" xfId="0" applyFont="1" applyFill="1" applyBorder="1" applyAlignment="1">
      <alignment horizontal="center" vertical="center"/>
    </xf>
    <xf numFmtId="0" fontId="122" fillId="0" borderId="0" xfId="0" applyFont="1" applyAlignment="1">
      <alignment horizontal="center" vertical="center"/>
    </xf>
    <xf numFmtId="0" fontId="123" fillId="73" borderId="2" xfId="0" applyFont="1" applyFill="1" applyBorder="1" applyAlignment="1">
      <alignment horizontal="left" vertical="center"/>
    </xf>
    <xf numFmtId="0" fontId="123" fillId="73" borderId="0" xfId="0" applyFont="1" applyFill="1" applyBorder="1" applyAlignment="1">
      <alignment horizontal="left" vertical="center"/>
    </xf>
    <xf numFmtId="0" fontId="123" fillId="73" borderId="10" xfId="0" applyFont="1" applyFill="1" applyBorder="1" applyAlignment="1">
      <alignment horizontal="left" vertical="center"/>
    </xf>
    <xf numFmtId="0" fontId="123" fillId="73" borderId="46" xfId="0" applyFont="1" applyFill="1" applyBorder="1" applyAlignment="1">
      <alignment horizontal="left" vertical="center"/>
    </xf>
    <xf numFmtId="0" fontId="123" fillId="73" borderId="106" xfId="0" applyFont="1" applyFill="1" applyBorder="1" applyAlignment="1">
      <alignment horizontal="left" vertical="center"/>
    </xf>
    <xf numFmtId="0" fontId="123" fillId="73" borderId="107" xfId="0" applyFont="1" applyFill="1" applyBorder="1" applyAlignment="1">
      <alignment horizontal="left" vertical="center"/>
    </xf>
    <xf numFmtId="0" fontId="122" fillId="5" borderId="95" xfId="0" applyFont="1" applyFill="1" applyBorder="1" applyAlignment="1">
      <alignment horizontal="center" vertical="center"/>
    </xf>
    <xf numFmtId="165" fontId="122" fillId="0" borderId="6" xfId="2" applyNumberFormat="1" applyFont="1" applyBorder="1" applyAlignment="1">
      <alignment horizontal="center" vertical="center"/>
    </xf>
    <xf numFmtId="165" fontId="122" fillId="0" borderId="95" xfId="2" applyNumberFormat="1" applyFont="1" applyBorder="1" applyAlignment="1">
      <alignment horizontal="center" vertical="center"/>
    </xf>
    <xf numFmtId="165" fontId="122" fillId="0" borderId="94" xfId="2" applyNumberFormat="1" applyFont="1" applyBorder="1" applyAlignment="1">
      <alignment horizontal="center" vertical="center"/>
    </xf>
    <xf numFmtId="0" fontId="122" fillId="0" borderId="0" xfId="0" applyFont="1" applyAlignment="1">
      <alignment horizontal="left" vertical="center" wrapText="1"/>
    </xf>
    <xf numFmtId="0" fontId="123" fillId="73" borderId="3" xfId="0" applyFont="1" applyFill="1" applyBorder="1" applyAlignment="1">
      <alignment horizontal="left" vertical="center"/>
    </xf>
    <xf numFmtId="0" fontId="123" fillId="73" borderId="4" xfId="0" applyFont="1" applyFill="1" applyBorder="1" applyAlignment="1">
      <alignment horizontal="left" vertical="center"/>
    </xf>
    <xf numFmtId="0" fontId="123" fillId="73" borderId="9" xfId="0" applyFont="1" applyFill="1" applyBorder="1" applyAlignment="1">
      <alignment horizontal="left" vertical="center"/>
    </xf>
    <xf numFmtId="0" fontId="123" fillId="73" borderId="113" xfId="0" applyFont="1" applyFill="1" applyBorder="1" applyAlignment="1">
      <alignment horizontal="left" vertical="center"/>
    </xf>
    <xf numFmtId="0" fontId="123" fillId="73" borderId="168" xfId="0" applyFont="1" applyFill="1" applyBorder="1" applyAlignment="1">
      <alignment horizontal="left" vertical="center"/>
    </xf>
    <xf numFmtId="0" fontId="123" fillId="73" borderId="164" xfId="0" applyFont="1" applyFill="1" applyBorder="1" applyAlignment="1">
      <alignment horizontal="left" vertical="center"/>
    </xf>
    <xf numFmtId="0" fontId="122" fillId="0" borderId="7" xfId="0" applyFont="1" applyFill="1" applyBorder="1" applyAlignment="1">
      <alignment horizontal="center" vertical="center"/>
    </xf>
    <xf numFmtId="0" fontId="123" fillId="73" borderId="129" xfId="0" applyFont="1" applyFill="1" applyBorder="1" applyAlignment="1">
      <alignment horizontal="left" vertical="center"/>
    </xf>
    <xf numFmtId="0" fontId="123" fillId="73" borderId="130" xfId="0" applyFont="1" applyFill="1" applyBorder="1" applyAlignment="1">
      <alignment horizontal="left" vertical="center"/>
    </xf>
    <xf numFmtId="0" fontId="122" fillId="0" borderId="163" xfId="0" applyFont="1" applyBorder="1" applyAlignment="1">
      <alignment horizontal="left" vertical="center"/>
    </xf>
    <xf numFmtId="0" fontId="122" fillId="0" borderId="161" xfId="0" applyFont="1" applyBorder="1" applyAlignment="1">
      <alignment horizontal="left" vertical="center"/>
    </xf>
    <xf numFmtId="0" fontId="122" fillId="0" borderId="162" xfId="0" applyFont="1" applyBorder="1" applyAlignment="1">
      <alignment horizontal="left" vertical="center"/>
    </xf>
    <xf numFmtId="0" fontId="122" fillId="0" borderId="139" xfId="0" applyFont="1" applyBorder="1" applyAlignment="1">
      <alignment horizontal="center" vertical="center"/>
    </xf>
    <xf numFmtId="0" fontId="133" fillId="82" borderId="0" xfId="0" applyFont="1" applyFill="1" applyBorder="1" applyAlignment="1" applyProtection="1">
      <alignment horizontal="center" vertical="top" wrapText="1"/>
      <protection locked="0"/>
    </xf>
    <xf numFmtId="0" fontId="125" fillId="5" borderId="155" xfId="286" applyFont="1" applyFill="1" applyBorder="1" applyAlignment="1">
      <alignment horizontal="center" vertical="center" wrapText="1"/>
    </xf>
    <xf numFmtId="0" fontId="1" fillId="0" borderId="155" xfId="0" applyFont="1" applyBorder="1" applyAlignment="1">
      <alignment horizontal="center" vertical="center" wrapText="1"/>
    </xf>
    <xf numFmtId="0" fontId="118" fillId="8" borderId="33" xfId="0" applyFont="1" applyFill="1" applyBorder="1" applyAlignment="1">
      <alignment horizontal="center" vertical="center" wrapText="1"/>
    </xf>
    <xf numFmtId="0" fontId="118" fillId="8" borderId="87" xfId="0" applyFont="1" applyFill="1" applyBorder="1" applyAlignment="1">
      <alignment horizontal="center" vertical="center" wrapText="1"/>
    </xf>
    <xf numFmtId="0" fontId="118" fillId="8" borderId="88" xfId="0" applyFont="1" applyFill="1" applyBorder="1" applyAlignment="1">
      <alignment horizontal="center" vertical="center" wrapText="1"/>
    </xf>
    <xf numFmtId="0" fontId="122" fillId="8" borderId="33" xfId="0" applyFont="1" applyFill="1" applyBorder="1" applyAlignment="1">
      <alignment horizontal="center" vertical="center" wrapText="1"/>
    </xf>
    <xf numFmtId="0" fontId="122" fillId="8" borderId="115" xfId="0" applyFont="1" applyFill="1" applyBorder="1" applyAlignment="1">
      <alignment horizontal="center" vertical="center" wrapText="1"/>
    </xf>
    <xf numFmtId="0" fontId="122" fillId="8" borderId="88" xfId="0" applyFont="1" applyFill="1" applyBorder="1" applyAlignment="1">
      <alignment horizontal="center" vertical="center" wrapText="1"/>
    </xf>
    <xf numFmtId="0" fontId="122" fillId="5" borderId="100" xfId="0" applyFont="1" applyFill="1" applyBorder="1" applyAlignment="1">
      <alignment horizontal="center" vertical="center" wrapText="1"/>
    </xf>
    <xf numFmtId="0" fontId="122" fillId="5" borderId="101" xfId="0" applyFont="1" applyFill="1" applyBorder="1" applyAlignment="1">
      <alignment horizontal="center" vertical="center" wrapText="1"/>
    </xf>
    <xf numFmtId="0" fontId="122" fillId="5" borderId="27" xfId="0" applyFont="1" applyFill="1" applyBorder="1" applyAlignment="1">
      <alignment horizontal="center" vertical="center" wrapText="1"/>
    </xf>
    <xf numFmtId="0" fontId="122" fillId="5" borderId="25" xfId="0" applyFont="1" applyFill="1" applyBorder="1" applyAlignment="1">
      <alignment horizontal="center" vertical="center" wrapText="1"/>
    </xf>
    <xf numFmtId="0" fontId="122" fillId="5" borderId="6" xfId="0" applyFont="1" applyFill="1" applyBorder="1" applyAlignment="1">
      <alignment horizontal="left" vertical="center" wrapText="1"/>
    </xf>
    <xf numFmtId="0" fontId="122" fillId="5" borderId="115" xfId="0" applyFont="1" applyFill="1" applyBorder="1" applyAlignment="1">
      <alignment horizontal="left" vertical="center" wrapText="1"/>
    </xf>
    <xf numFmtId="0" fontId="122" fillId="5" borderId="94" xfId="0" applyFont="1" applyFill="1" applyBorder="1" applyAlignment="1">
      <alignment horizontal="left" vertical="center" wrapText="1"/>
    </xf>
    <xf numFmtId="0" fontId="3" fillId="5" borderId="146" xfId="0" applyFont="1" applyFill="1" applyBorder="1" applyAlignment="1">
      <alignment horizontal="center" wrapText="1"/>
    </xf>
    <xf numFmtId="0" fontId="3" fillId="5" borderId="143" xfId="0" applyFont="1" applyFill="1" applyBorder="1" applyAlignment="1">
      <alignment horizontal="center" wrapText="1"/>
    </xf>
    <xf numFmtId="0" fontId="3" fillId="5" borderId="0" xfId="0" applyFont="1" applyFill="1" applyBorder="1" applyAlignment="1">
      <alignment horizontal="center" wrapText="1"/>
    </xf>
    <xf numFmtId="0" fontId="3" fillId="5" borderId="28" xfId="0" applyFont="1" applyFill="1" applyBorder="1" applyAlignment="1">
      <alignment horizontal="center" wrapText="1"/>
    </xf>
    <xf numFmtId="0" fontId="122" fillId="5" borderId="6" xfId="0" applyFont="1" applyFill="1" applyBorder="1" applyAlignment="1">
      <alignment horizontal="center" vertical="center" wrapText="1"/>
    </xf>
    <xf numFmtId="0" fontId="0" fillId="0" borderId="115" xfId="0" applyBorder="1" applyAlignment="1">
      <alignment horizontal="center" vertical="center" wrapText="1"/>
    </xf>
    <xf numFmtId="0" fontId="0" fillId="0" borderId="88" xfId="0" applyBorder="1" applyAlignment="1">
      <alignment horizontal="center" vertical="center" wrapText="1"/>
    </xf>
    <xf numFmtId="0" fontId="122" fillId="5" borderId="0" xfId="0" applyFont="1" applyFill="1" applyBorder="1" applyAlignment="1">
      <alignment horizontal="center" vertical="center" wrapText="1"/>
    </xf>
    <xf numFmtId="0" fontId="0" fillId="0" borderId="0" xfId="0" applyBorder="1" applyAlignment="1">
      <alignment horizontal="center" vertical="center" wrapText="1"/>
    </xf>
    <xf numFmtId="0" fontId="122" fillId="8" borderId="87" xfId="0" applyFont="1" applyFill="1" applyBorder="1" applyAlignment="1">
      <alignment horizontal="center" vertical="center" wrapText="1"/>
    </xf>
    <xf numFmtId="0" fontId="16" fillId="5" borderId="2" xfId="0" applyFont="1" applyFill="1" applyBorder="1" applyAlignment="1">
      <alignment horizontal="left" vertical="center" wrapText="1"/>
    </xf>
    <xf numFmtId="0" fontId="16" fillId="5" borderId="0" xfId="0" applyFont="1" applyFill="1" applyBorder="1" applyAlignment="1">
      <alignment horizontal="left" vertical="center" wrapText="1"/>
    </xf>
    <xf numFmtId="0" fontId="122" fillId="5" borderId="4" xfId="0" applyFont="1" applyFill="1" applyBorder="1" applyAlignment="1">
      <alignment vertical="center"/>
    </xf>
    <xf numFmtId="0" fontId="0" fillId="0" borderId="4" xfId="0" applyBorder="1" applyAlignment="1">
      <alignment vertical="center"/>
    </xf>
    <xf numFmtId="0" fontId="2" fillId="5" borderId="6" xfId="0" applyFont="1" applyFill="1" applyBorder="1" applyAlignment="1">
      <alignment horizontal="left" vertical="center" wrapText="1"/>
    </xf>
    <xf numFmtId="0" fontId="0" fillId="0" borderId="115" xfId="0" applyBorder="1" applyAlignment="1">
      <alignment vertical="center" wrapText="1"/>
    </xf>
    <xf numFmtId="0" fontId="1" fillId="5" borderId="6" xfId="0" applyFont="1" applyFill="1" applyBorder="1" applyAlignment="1">
      <alignment vertical="center" wrapText="1"/>
    </xf>
    <xf numFmtId="0" fontId="122" fillId="8" borderId="33" xfId="0" applyFont="1" applyFill="1" applyBorder="1" applyAlignment="1">
      <alignment horizontal="center" vertical="center"/>
    </xf>
    <xf numFmtId="0" fontId="122" fillId="8" borderId="115" xfId="0" applyFont="1" applyFill="1" applyBorder="1" applyAlignment="1">
      <alignment horizontal="center" vertical="center"/>
    </xf>
    <xf numFmtId="0" fontId="122" fillId="8" borderId="88" xfId="0" applyFont="1" applyFill="1" applyBorder="1" applyAlignment="1">
      <alignment horizontal="center" vertical="center"/>
    </xf>
    <xf numFmtId="0" fontId="3" fillId="0" borderId="0" xfId="0" applyFont="1" applyBorder="1" applyAlignment="1">
      <alignment vertical="center"/>
    </xf>
    <xf numFmtId="0" fontId="0" fillId="0" borderId="0" xfId="0" applyBorder="1" applyAlignment="1">
      <alignment vertical="center"/>
    </xf>
    <xf numFmtId="0" fontId="2" fillId="5" borderId="6" xfId="0" applyFont="1" applyFill="1" applyBorder="1" applyAlignment="1">
      <alignment vertical="center" wrapText="1"/>
    </xf>
    <xf numFmtId="0" fontId="2" fillId="0" borderId="6" xfId="0" applyFont="1" applyBorder="1" applyAlignment="1">
      <alignment vertical="center" wrapText="1"/>
    </xf>
    <xf numFmtId="0" fontId="135" fillId="5" borderId="146" xfId="0" applyFont="1" applyFill="1" applyBorder="1" applyAlignment="1">
      <alignment horizontal="center" vertical="center" wrapText="1"/>
    </xf>
    <xf numFmtId="0" fontId="135" fillId="5" borderId="143" xfId="0" applyFont="1" applyFill="1" applyBorder="1" applyAlignment="1">
      <alignment horizontal="center" vertical="center" wrapText="1"/>
    </xf>
    <xf numFmtId="0" fontId="135" fillId="5" borderId="0" xfId="0" applyFont="1" applyFill="1" applyBorder="1" applyAlignment="1">
      <alignment horizontal="center" vertical="center" wrapText="1"/>
    </xf>
    <xf numFmtId="0" fontId="135" fillId="5" borderId="28" xfId="0" applyFont="1" applyFill="1" applyBorder="1" applyAlignment="1">
      <alignment horizontal="center" vertical="center" wrapText="1"/>
    </xf>
    <xf numFmtId="0" fontId="122" fillId="5" borderId="6" xfId="0" applyFont="1" applyFill="1" applyBorder="1" applyAlignment="1">
      <alignment horizontal="left" vertical="center"/>
    </xf>
    <xf numFmtId="0" fontId="0" fillId="0" borderId="115" xfId="0" applyBorder="1" applyAlignment="1">
      <alignment horizontal="left" vertical="center"/>
    </xf>
    <xf numFmtId="0" fontId="0" fillId="0" borderId="94" xfId="0" applyBorder="1" applyAlignment="1">
      <alignment horizontal="left" vertical="center"/>
    </xf>
    <xf numFmtId="0" fontId="122" fillId="0" borderId="6" xfId="0" applyFont="1" applyFill="1" applyBorder="1" applyAlignment="1">
      <alignment horizontal="center" vertical="center" wrapText="1"/>
    </xf>
    <xf numFmtId="0" fontId="0" fillId="0" borderId="115" xfId="0" applyBorder="1" applyAlignment="1">
      <alignment vertical="center"/>
    </xf>
    <xf numFmtId="0" fontId="0" fillId="0" borderId="94" xfId="0" applyBorder="1" applyAlignment="1">
      <alignment vertical="center"/>
    </xf>
    <xf numFmtId="0" fontId="122" fillId="8" borderId="83" xfId="0" applyFont="1" applyFill="1" applyBorder="1" applyAlignment="1">
      <alignment horizontal="center" vertical="center"/>
    </xf>
    <xf numFmtId="0" fontId="122" fillId="8" borderId="84" xfId="0" applyFont="1" applyFill="1" applyBorder="1" applyAlignment="1">
      <alignment horizontal="center" vertical="center"/>
    </xf>
    <xf numFmtId="0" fontId="118" fillId="5" borderId="100" xfId="0" applyFont="1" applyFill="1" applyBorder="1" applyAlignment="1">
      <alignment horizontal="center" vertical="center" wrapText="1"/>
    </xf>
    <xf numFmtId="0" fontId="0" fillId="0" borderId="131" xfId="0" applyBorder="1" applyAlignment="1">
      <alignment horizontal="center"/>
    </xf>
    <xf numFmtId="0" fontId="118" fillId="5" borderId="27" xfId="0" applyFont="1" applyFill="1" applyBorder="1" applyAlignment="1">
      <alignment horizontal="center" vertical="center" wrapText="1"/>
    </xf>
    <xf numFmtId="0" fontId="0" fillId="0" borderId="25" xfId="0" applyBorder="1" applyAlignment="1">
      <alignment horizontal="center"/>
    </xf>
    <xf numFmtId="0" fontId="1" fillId="0" borderId="0" xfId="0" applyFont="1" applyFill="1" applyBorder="1" applyAlignment="1">
      <alignment vertical="center" wrapText="1"/>
    </xf>
    <xf numFmtId="0" fontId="0" fillId="0" borderId="0" xfId="0" applyFont="1" applyFill="1" applyBorder="1" applyAlignment="1">
      <alignment wrapText="1"/>
    </xf>
    <xf numFmtId="168" fontId="120" fillId="5" borderId="146" xfId="0" applyNumberFormat="1" applyFont="1" applyFill="1" applyBorder="1" applyAlignment="1">
      <alignment horizontal="center" vertical="center" wrapText="1"/>
    </xf>
    <xf numFmtId="168" fontId="120" fillId="5" borderId="143" xfId="0" applyNumberFormat="1" applyFont="1" applyFill="1" applyBorder="1" applyAlignment="1">
      <alignment horizontal="center" vertical="center" wrapText="1"/>
    </xf>
    <xf numFmtId="168" fontId="120" fillId="5" borderId="0" xfId="0" applyNumberFormat="1" applyFont="1" applyFill="1" applyBorder="1" applyAlignment="1">
      <alignment horizontal="center" vertical="center" wrapText="1"/>
    </xf>
    <xf numFmtId="168" fontId="120" fillId="5" borderId="28" xfId="0" applyNumberFormat="1" applyFont="1" applyFill="1" applyBorder="1" applyAlignment="1">
      <alignment horizontal="center" vertical="center" wrapText="1"/>
    </xf>
    <xf numFmtId="0" fontId="122" fillId="0" borderId="0" xfId="0" applyFont="1" applyFill="1" applyBorder="1" applyAlignment="1">
      <alignment horizontal="left" vertical="center" wrapText="1"/>
    </xf>
    <xf numFmtId="0" fontId="118" fillId="0" borderId="0" xfId="0" applyFont="1" applyFill="1" applyBorder="1" applyAlignment="1">
      <alignment horizontal="left" vertical="center" wrapText="1"/>
    </xf>
    <xf numFmtId="0" fontId="122" fillId="8" borderId="33" xfId="0" applyFont="1" applyFill="1" applyBorder="1" applyAlignment="1">
      <alignment horizontal="center" vertical="top"/>
    </xf>
    <xf numFmtId="0" fontId="122" fillId="8" borderId="83" xfId="0" applyFont="1" applyFill="1" applyBorder="1" applyAlignment="1">
      <alignment horizontal="center" vertical="top"/>
    </xf>
    <xf numFmtId="0" fontId="122" fillId="8" borderId="84" xfId="0" applyFont="1" applyFill="1" applyBorder="1" applyAlignment="1">
      <alignment horizontal="center" vertical="top"/>
    </xf>
    <xf numFmtId="0" fontId="0" fillId="0" borderId="94" xfId="0" applyBorder="1" applyAlignment="1">
      <alignment vertical="center" wrapText="1"/>
    </xf>
    <xf numFmtId="0" fontId="0" fillId="0" borderId="131" xfId="0" applyBorder="1" applyAlignment="1">
      <alignment wrapText="1"/>
    </xf>
    <xf numFmtId="0" fontId="0" fillId="0" borderId="25" xfId="0" applyBorder="1" applyAlignment="1">
      <alignment wrapText="1"/>
    </xf>
    <xf numFmtId="0" fontId="0" fillId="0" borderId="115" xfId="0" applyBorder="1" applyAlignment="1">
      <alignment horizontal="left" vertical="center" wrapText="1"/>
    </xf>
    <xf numFmtId="0" fontId="0" fillId="0" borderId="94" xfId="0" applyBorder="1" applyAlignment="1">
      <alignment horizontal="left" vertical="center" wrapText="1"/>
    </xf>
    <xf numFmtId="0" fontId="135" fillId="5" borderId="146" xfId="0" applyFont="1" applyFill="1" applyBorder="1" applyAlignment="1">
      <alignment horizontal="center" wrapText="1"/>
    </xf>
    <xf numFmtId="0" fontId="135" fillId="5" borderId="143" xfId="0" applyFont="1" applyFill="1" applyBorder="1" applyAlignment="1">
      <alignment horizontal="center" wrapText="1"/>
    </xf>
    <xf numFmtId="0" fontId="135" fillId="5" borderId="0" xfId="0" applyFont="1" applyFill="1" applyBorder="1" applyAlignment="1">
      <alignment horizontal="center" wrapText="1"/>
    </xf>
    <xf numFmtId="0" fontId="135" fillId="5" borderId="28" xfId="0" applyFont="1" applyFill="1" applyBorder="1" applyAlignment="1">
      <alignment horizontal="center" wrapText="1"/>
    </xf>
    <xf numFmtId="0" fontId="122" fillId="5" borderId="0" xfId="0" applyFont="1" applyFill="1" applyBorder="1" applyAlignment="1">
      <alignment horizontal="left" vertical="center" wrapText="1"/>
    </xf>
    <xf numFmtId="0" fontId="122" fillId="5" borderId="163" xfId="0" applyFont="1" applyFill="1" applyBorder="1" applyAlignment="1">
      <alignment horizontal="left" vertical="center" wrapText="1"/>
    </xf>
    <xf numFmtId="0" fontId="122" fillId="5" borderId="171" xfId="0" applyFont="1" applyFill="1" applyBorder="1" applyAlignment="1">
      <alignment horizontal="left" vertical="center" wrapText="1"/>
    </xf>
    <xf numFmtId="0" fontId="122" fillId="5" borderId="16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0" fillId="0" borderId="0" xfId="0" applyBorder="1" applyAlignment="1">
      <alignment horizontal="left" vertical="center" wrapText="1"/>
    </xf>
    <xf numFmtId="0" fontId="122" fillId="8" borderId="171" xfId="0" applyFont="1" applyFill="1" applyBorder="1" applyAlignment="1">
      <alignment horizontal="center" vertical="center"/>
    </xf>
    <xf numFmtId="0" fontId="118" fillId="0" borderId="163" xfId="0" applyFont="1" applyFill="1" applyBorder="1" applyAlignment="1">
      <alignment horizontal="left" vertical="center" wrapText="1"/>
    </xf>
    <xf numFmtId="0" fontId="122" fillId="5" borderId="163" xfId="0" applyFont="1" applyFill="1" applyBorder="1" applyAlignment="1">
      <alignment vertical="center" wrapText="1"/>
    </xf>
    <xf numFmtId="0" fontId="122" fillId="8" borderId="170" xfId="0" applyFont="1" applyFill="1" applyBorder="1" applyAlignment="1">
      <alignment horizontal="center" vertical="center"/>
    </xf>
    <xf numFmtId="0" fontId="122" fillId="8" borderId="172" xfId="0" applyFont="1" applyFill="1" applyBorder="1" applyAlignment="1">
      <alignment horizontal="center" vertical="center"/>
    </xf>
    <xf numFmtId="0" fontId="118" fillId="5" borderId="142" xfId="0" applyFont="1" applyFill="1" applyBorder="1" applyAlignment="1">
      <alignment horizontal="center" vertical="center" wrapText="1"/>
    </xf>
    <xf numFmtId="0" fontId="0" fillId="0" borderId="143" xfId="0" applyBorder="1" applyAlignment="1">
      <alignment horizontal="center" vertical="center" wrapText="1"/>
    </xf>
    <xf numFmtId="0" fontId="0" fillId="0" borderId="25" xfId="0" applyBorder="1" applyAlignment="1">
      <alignment horizontal="center" vertical="center" wrapText="1"/>
    </xf>
    <xf numFmtId="0" fontId="122" fillId="5" borderId="163" xfId="0" applyFont="1" applyFill="1" applyBorder="1" applyAlignment="1">
      <alignment horizontal="left" vertical="center"/>
    </xf>
    <xf numFmtId="0" fontId="0" fillId="0" borderId="171" xfId="0" applyBorder="1" applyAlignment="1">
      <alignment vertical="center"/>
    </xf>
    <xf numFmtId="0" fontId="0" fillId="0" borderId="162" xfId="0" applyBorder="1" applyAlignment="1">
      <alignment vertical="center"/>
    </xf>
    <xf numFmtId="0" fontId="0" fillId="0" borderId="171" xfId="0" applyBorder="1" applyAlignment="1">
      <alignment horizontal="left" vertical="center"/>
    </xf>
    <xf numFmtId="0" fontId="0" fillId="0" borderId="162" xfId="0" applyBorder="1" applyAlignment="1">
      <alignment horizontal="left" vertical="center"/>
    </xf>
    <xf numFmtId="0" fontId="118" fillId="0" borderId="163" xfId="0" applyFont="1" applyFill="1" applyBorder="1" applyAlignment="1">
      <alignment vertical="center" wrapText="1"/>
    </xf>
    <xf numFmtId="0" fontId="1" fillId="0" borderId="163" xfId="0" applyFont="1" applyFill="1" applyBorder="1" applyAlignment="1">
      <alignment horizontal="left" vertical="center" wrapText="1"/>
    </xf>
    <xf numFmtId="0" fontId="0" fillId="0" borderId="162" xfId="0" applyBorder="1" applyAlignment="1">
      <alignment horizontal="left" vertical="center" wrapText="1"/>
    </xf>
    <xf numFmtId="0" fontId="122" fillId="5" borderId="155" xfId="0" applyFont="1" applyFill="1" applyBorder="1" applyAlignment="1">
      <alignment horizontal="left" vertical="center" wrapText="1"/>
    </xf>
    <xf numFmtId="168" fontId="120" fillId="5" borderId="174" xfId="0" applyNumberFormat="1" applyFont="1" applyFill="1" applyBorder="1" applyAlignment="1">
      <alignment horizontal="center" vertical="center" wrapText="1"/>
    </xf>
    <xf numFmtId="166" fontId="118" fillId="0" borderId="163" xfId="1" applyNumberFormat="1" applyFont="1" applyFill="1" applyBorder="1" applyAlignment="1">
      <alignment horizontal="left" vertical="center" wrapText="1"/>
    </xf>
    <xf numFmtId="0" fontId="122" fillId="5" borderId="163" xfId="0" applyFont="1" applyFill="1" applyBorder="1" applyAlignment="1">
      <alignment horizontal="center" vertical="center" wrapText="1"/>
    </xf>
    <xf numFmtId="0" fontId="0" fillId="0" borderId="171" xfId="0" applyBorder="1" applyAlignment="1">
      <alignment horizontal="center" vertical="center" wrapText="1"/>
    </xf>
    <xf numFmtId="0" fontId="0" fillId="0" borderId="162" xfId="0" applyBorder="1" applyAlignment="1">
      <alignment horizontal="center" vertical="center" wrapText="1"/>
    </xf>
    <xf numFmtId="0" fontId="1" fillId="5" borderId="163" xfId="0" applyFont="1" applyFill="1" applyBorder="1" applyAlignment="1">
      <alignment horizontal="left" vertical="center" wrapText="1"/>
    </xf>
    <xf numFmtId="0" fontId="122" fillId="0" borderId="163" xfId="0" applyFont="1" applyFill="1" applyBorder="1" applyAlignment="1">
      <alignment horizontal="center" vertical="center" wrapText="1"/>
    </xf>
    <xf numFmtId="0" fontId="0" fillId="0" borderId="171" xfId="0" applyBorder="1" applyAlignment="1">
      <alignment vertical="center" wrapText="1"/>
    </xf>
    <xf numFmtId="0" fontId="122" fillId="0" borderId="163" xfId="0" applyFont="1" applyFill="1" applyBorder="1" applyAlignment="1">
      <alignment vertical="center" wrapText="1"/>
    </xf>
    <xf numFmtId="0" fontId="0" fillId="0" borderId="131" xfId="0" applyBorder="1" applyAlignment="1">
      <alignment vertical="center" wrapText="1"/>
    </xf>
    <xf numFmtId="0" fontId="0" fillId="0" borderId="25" xfId="0" applyBorder="1" applyAlignment="1">
      <alignment vertical="center" wrapText="1"/>
    </xf>
    <xf numFmtId="0" fontId="122" fillId="8" borderId="94" xfId="0" applyFont="1" applyFill="1" applyBorder="1" applyAlignment="1">
      <alignment horizontal="center" vertical="center"/>
    </xf>
    <xf numFmtId="0" fontId="122" fillId="0" borderId="6" xfId="0" applyFont="1" applyFill="1" applyBorder="1" applyAlignment="1">
      <alignment vertical="center" wrapText="1"/>
    </xf>
    <xf numFmtId="0" fontId="123" fillId="0" borderId="2" xfId="0" applyFont="1" applyBorder="1" applyAlignment="1">
      <alignment vertical="center"/>
    </xf>
    <xf numFmtId="0" fontId="168" fillId="0" borderId="0" xfId="0" applyFont="1" applyBorder="1" applyAlignment="1">
      <alignment vertical="center"/>
    </xf>
    <xf numFmtId="0" fontId="118" fillId="5" borderId="0" xfId="0" applyFont="1" applyFill="1" applyBorder="1" applyAlignment="1">
      <alignment horizontal="left" vertical="center" wrapText="1"/>
    </xf>
    <xf numFmtId="0" fontId="118" fillId="0" borderId="0" xfId="0" applyFont="1" applyFill="1" applyBorder="1" applyAlignment="1">
      <alignment horizontal="center" vertical="center" wrapText="1"/>
    </xf>
    <xf numFmtId="0" fontId="118" fillId="0" borderId="10" xfId="0" applyFont="1" applyFill="1" applyBorder="1" applyAlignment="1">
      <alignment horizontal="center" vertical="center" wrapText="1"/>
    </xf>
    <xf numFmtId="0" fontId="122" fillId="8" borderId="85" xfId="0" applyFont="1" applyFill="1" applyBorder="1" applyAlignment="1">
      <alignment horizontal="center" vertical="center"/>
    </xf>
    <xf numFmtId="0" fontId="122" fillId="8" borderId="1" xfId="0" applyFont="1" applyFill="1" applyBorder="1" applyAlignment="1">
      <alignment horizontal="center" vertical="center"/>
    </xf>
    <xf numFmtId="0" fontId="122" fillId="8" borderId="81" xfId="0" applyFont="1" applyFill="1" applyBorder="1" applyAlignment="1">
      <alignment horizontal="center" vertical="center"/>
    </xf>
    <xf numFmtId="0" fontId="122" fillId="0" borderId="6" xfId="0" applyFont="1" applyFill="1" applyBorder="1" applyAlignment="1">
      <alignment horizontal="left" vertical="center"/>
    </xf>
    <xf numFmtId="0" fontId="122" fillId="5" borderId="26" xfId="0" applyFont="1" applyFill="1" applyBorder="1" applyAlignment="1">
      <alignment horizontal="center" vertical="center" wrapText="1"/>
    </xf>
    <xf numFmtId="0" fontId="122" fillId="8" borderId="83" xfId="0" applyFont="1" applyFill="1" applyBorder="1" applyAlignment="1">
      <alignment horizontal="center" vertical="center" wrapText="1"/>
    </xf>
    <xf numFmtId="0" fontId="122" fillId="8" borderId="84" xfId="0" applyFont="1" applyFill="1" applyBorder="1" applyAlignment="1">
      <alignment horizontal="center" vertical="center" wrapText="1"/>
    </xf>
    <xf numFmtId="0" fontId="122" fillId="5" borderId="115" xfId="0" applyFont="1" applyFill="1" applyBorder="1" applyAlignment="1">
      <alignment horizontal="center" vertical="center" wrapText="1"/>
    </xf>
    <xf numFmtId="0" fontId="122" fillId="5" borderId="94" xfId="0" applyFont="1" applyFill="1" applyBorder="1" applyAlignment="1">
      <alignment horizontal="center" vertical="center" wrapText="1"/>
    </xf>
    <xf numFmtId="0" fontId="172" fillId="5" borderId="155" xfId="286" applyFont="1" applyFill="1" applyBorder="1" applyAlignment="1">
      <alignment horizontal="center" vertical="center" wrapText="1"/>
    </xf>
    <xf numFmtId="0" fontId="174" fillId="0" borderId="155" xfId="0" applyFont="1" applyBorder="1" applyAlignment="1">
      <alignment horizontal="center" vertical="center" wrapText="1"/>
    </xf>
    <xf numFmtId="0" fontId="96" fillId="5" borderId="134" xfId="0" applyFont="1" applyFill="1" applyBorder="1" applyAlignment="1">
      <alignment horizontal="center" vertical="center" wrapText="1"/>
    </xf>
    <xf numFmtId="0" fontId="0" fillId="0" borderId="135" xfId="0" applyBorder="1" applyAlignment="1">
      <alignment horizontal="center" vertical="center" wrapText="1"/>
    </xf>
    <xf numFmtId="0" fontId="0" fillId="0" borderId="27" xfId="0" applyBorder="1" applyAlignment="1">
      <alignment horizontal="center" vertical="center" wrapText="1"/>
    </xf>
    <xf numFmtId="0" fontId="122" fillId="5" borderId="7" xfId="0" applyFont="1" applyFill="1" applyBorder="1" applyAlignment="1">
      <alignment horizontal="left" vertical="center" wrapText="1"/>
    </xf>
    <xf numFmtId="0" fontId="122" fillId="5" borderId="1" xfId="0" applyFont="1" applyFill="1" applyBorder="1" applyAlignment="1">
      <alignment horizontal="left" vertical="center" wrapText="1"/>
    </xf>
    <xf numFmtId="0" fontId="122" fillId="6" borderId="6" xfId="0" applyFont="1" applyFill="1" applyBorder="1" applyAlignment="1">
      <alignment horizontal="left" vertical="center" wrapText="1"/>
    </xf>
    <xf numFmtId="0" fontId="0" fillId="0" borderId="94" xfId="0" applyBorder="1" applyAlignment="1">
      <alignment horizontal="center" vertical="center"/>
    </xf>
    <xf numFmtId="0" fontId="122" fillId="5" borderId="6" xfId="0" applyFont="1" applyFill="1" applyBorder="1" applyAlignment="1">
      <alignment horizontal="left" vertical="top" wrapText="1"/>
    </xf>
    <xf numFmtId="0" fontId="0" fillId="0" borderId="94" xfId="0" applyBorder="1" applyAlignment="1">
      <alignment horizontal="left" vertical="top" wrapText="1"/>
    </xf>
    <xf numFmtId="0" fontId="3" fillId="5" borderId="0" xfId="0" applyFont="1" applyFill="1" applyBorder="1" applyAlignment="1">
      <alignment horizontal="center" vertical="center"/>
    </xf>
    <xf numFmtId="0" fontId="1" fillId="0" borderId="163" xfId="0" applyFont="1" applyFill="1" applyBorder="1" applyAlignment="1">
      <alignment vertical="center" wrapText="1"/>
    </xf>
    <xf numFmtId="0" fontId="0" fillId="0" borderId="171" xfId="0" applyFont="1" applyBorder="1" applyAlignment="1">
      <alignment vertical="center" wrapText="1"/>
    </xf>
    <xf numFmtId="0" fontId="0" fillId="0" borderId="162" xfId="0" applyFont="1" applyBorder="1" applyAlignment="1">
      <alignment vertical="center" wrapText="1"/>
    </xf>
    <xf numFmtId="0" fontId="1" fillId="5" borderId="163" xfId="0" applyFont="1" applyFill="1" applyBorder="1" applyAlignment="1">
      <alignment vertical="center" wrapText="1"/>
    </xf>
    <xf numFmtId="0" fontId="96" fillId="5" borderId="142" xfId="0" applyFont="1" applyFill="1" applyBorder="1" applyAlignment="1">
      <alignment horizontal="center" vertical="center" wrapText="1"/>
    </xf>
    <xf numFmtId="0" fontId="132" fillId="5" borderId="0" xfId="0" applyFont="1" applyFill="1" applyBorder="1" applyAlignment="1">
      <alignment horizontal="center" wrapText="1"/>
    </xf>
    <xf numFmtId="0" fontId="122" fillId="0" borderId="4" xfId="0" applyFont="1" applyBorder="1" applyAlignment="1">
      <alignment horizontal="center" wrapText="1"/>
    </xf>
    <xf numFmtId="0" fontId="118" fillId="8" borderId="33" xfId="0" applyFont="1" applyFill="1" applyBorder="1" applyAlignment="1">
      <alignment horizontal="center" vertical="center"/>
    </xf>
    <xf numFmtId="0" fontId="118" fillId="8" borderId="115" xfId="0" applyFont="1" applyFill="1" applyBorder="1" applyAlignment="1">
      <alignment horizontal="center" vertical="center"/>
    </xf>
    <xf numFmtId="0" fontId="118" fillId="8" borderId="88" xfId="0" applyFont="1" applyFill="1" applyBorder="1" applyAlignment="1">
      <alignment horizontal="center" vertical="center"/>
    </xf>
    <xf numFmtId="0" fontId="138" fillId="8" borderId="170" xfId="0" applyFont="1" applyFill="1" applyBorder="1" applyAlignment="1">
      <alignment horizontal="center" vertical="top"/>
    </xf>
    <xf numFmtId="0" fontId="138" fillId="8" borderId="171" xfId="0" applyFont="1" applyFill="1" applyBorder="1" applyAlignment="1">
      <alignment horizontal="center" vertical="top"/>
    </xf>
    <xf numFmtId="0" fontId="138" fillId="8" borderId="172" xfId="0" applyFont="1" applyFill="1" applyBorder="1" applyAlignment="1">
      <alignment horizontal="center" vertical="top"/>
    </xf>
    <xf numFmtId="0" fontId="140" fillId="5" borderId="0" xfId="0" applyFont="1" applyFill="1" applyBorder="1" applyAlignment="1">
      <alignment horizontal="left" wrapText="1"/>
    </xf>
    <xf numFmtId="0" fontId="141" fillId="0" borderId="0" xfId="0" applyFont="1" applyFill="1" applyBorder="1" applyAlignment="1">
      <alignment horizontal="left" vertical="center" wrapText="1"/>
    </xf>
    <xf numFmtId="0" fontId="0" fillId="0" borderId="115" xfId="0" applyBorder="1" applyAlignment="1">
      <alignment horizontal="center" vertical="top"/>
    </xf>
    <xf numFmtId="0" fontId="0" fillId="0" borderId="4" xfId="0" applyBorder="1" applyAlignment="1">
      <alignment horizontal="center" vertical="top"/>
    </xf>
    <xf numFmtId="0" fontId="0" fillId="0" borderId="35" xfId="0" applyBorder="1" applyAlignment="1">
      <alignment horizontal="center" vertical="top"/>
    </xf>
    <xf numFmtId="0" fontId="132" fillId="5" borderId="29" xfId="0" applyFont="1" applyFill="1" applyBorder="1" applyAlignment="1">
      <alignment horizontal="center" wrapText="1"/>
    </xf>
    <xf numFmtId="0" fontId="122" fillId="0" borderId="29" xfId="0" applyFont="1" applyBorder="1" applyAlignment="1">
      <alignment horizontal="center" wrapText="1"/>
    </xf>
    <xf numFmtId="0" fontId="0" fillId="0" borderId="88" xfId="0" applyBorder="1" applyAlignment="1">
      <alignment horizontal="center" vertical="top"/>
    </xf>
    <xf numFmtId="0" fontId="120" fillId="0" borderId="0" xfId="0" applyFont="1" applyFill="1" applyBorder="1" applyAlignment="1">
      <alignment horizontal="left" vertical="center" wrapText="1"/>
    </xf>
    <xf numFmtId="0" fontId="0" fillId="0" borderId="115" xfId="0" applyBorder="1" applyAlignment="1"/>
    <xf numFmtId="0" fontId="0" fillId="0" borderId="88" xfId="0" applyBorder="1" applyAlignment="1"/>
    <xf numFmtId="0" fontId="122" fillId="0" borderId="6" xfId="0" applyFont="1" applyFill="1" applyBorder="1" applyAlignment="1">
      <alignment horizontal="left" vertical="top"/>
    </xf>
    <xf numFmtId="0" fontId="122" fillId="0" borderId="115" xfId="0" applyFont="1" applyFill="1" applyBorder="1" applyAlignment="1">
      <alignment horizontal="left" vertical="top"/>
    </xf>
    <xf numFmtId="0" fontId="122" fillId="0" borderId="94" xfId="0" applyFont="1" applyFill="1" applyBorder="1" applyAlignment="1">
      <alignment horizontal="left" vertical="top"/>
    </xf>
    <xf numFmtId="0" fontId="138" fillId="0" borderId="163" xfId="0" applyFont="1" applyFill="1" applyBorder="1" applyAlignment="1">
      <alignment horizontal="left" vertical="top"/>
    </xf>
    <xf numFmtId="0" fontId="138" fillId="0" borderId="171" xfId="0" applyFont="1" applyFill="1" applyBorder="1" applyAlignment="1">
      <alignment horizontal="left" vertical="top"/>
    </xf>
    <xf numFmtId="0" fontId="138" fillId="0" borderId="162" xfId="0" applyFont="1" applyFill="1" applyBorder="1" applyAlignment="1">
      <alignment horizontal="left" vertical="top"/>
    </xf>
    <xf numFmtId="0" fontId="122" fillId="0" borderId="6" xfId="0" applyFont="1" applyFill="1" applyBorder="1" applyAlignment="1">
      <alignment horizontal="left" vertical="center" wrapText="1"/>
    </xf>
    <xf numFmtId="0" fontId="122" fillId="0" borderId="115" xfId="0" applyFont="1" applyFill="1" applyBorder="1" applyAlignment="1">
      <alignment horizontal="left" vertical="center" wrapText="1"/>
    </xf>
    <xf numFmtId="0" fontId="122" fillId="0" borderId="94" xfId="0" applyFont="1" applyFill="1" applyBorder="1" applyAlignment="1">
      <alignment horizontal="left" vertical="center" wrapText="1"/>
    </xf>
    <xf numFmtId="0" fontId="122" fillId="5" borderId="1" xfId="0" applyFont="1" applyFill="1" applyBorder="1" applyAlignment="1">
      <alignment horizontal="center" vertical="center" wrapText="1"/>
    </xf>
    <xf numFmtId="0" fontId="122" fillId="0" borderId="115" xfId="0" applyFont="1" applyFill="1" applyBorder="1" applyAlignment="1">
      <alignment horizontal="center" vertical="center" wrapText="1"/>
    </xf>
    <xf numFmtId="0" fontId="122" fillId="0" borderId="94" xfId="0" applyFont="1" applyFill="1" applyBorder="1" applyAlignment="1">
      <alignment horizontal="center" vertical="center" wrapText="1"/>
    </xf>
    <xf numFmtId="0" fontId="122" fillId="8" borderId="115" xfId="0" applyFont="1" applyFill="1" applyBorder="1" applyAlignment="1">
      <alignment horizontal="center" vertical="top"/>
    </xf>
    <xf numFmtId="0" fontId="122" fillId="8" borderId="88" xfId="0" applyFont="1" applyFill="1" applyBorder="1" applyAlignment="1">
      <alignment horizontal="center" vertical="top"/>
    </xf>
    <xf numFmtId="166" fontId="120" fillId="5" borderId="28" xfId="1" applyNumberFormat="1" applyFont="1" applyFill="1" applyBorder="1" applyAlignment="1">
      <alignment horizontal="center" vertical="center" wrapText="1"/>
    </xf>
    <xf numFmtId="166" fontId="120" fillId="5" borderId="144" xfId="1" applyNumberFormat="1" applyFont="1" applyFill="1" applyBorder="1" applyAlignment="1">
      <alignment horizontal="center" vertical="center" wrapText="1"/>
    </xf>
    <xf numFmtId="0" fontId="118" fillId="5" borderId="6" xfId="0" applyFont="1" applyFill="1" applyBorder="1" applyAlignment="1">
      <alignment horizontal="left" vertical="center"/>
    </xf>
    <xf numFmtId="0" fontId="16" fillId="0" borderId="115" xfId="0" applyFont="1" applyBorder="1" applyAlignment="1"/>
    <xf numFmtId="0" fontId="16" fillId="0" borderId="94" xfId="0" applyFont="1" applyBorder="1" applyAlignment="1"/>
    <xf numFmtId="0" fontId="1" fillId="0" borderId="115" xfId="0" applyFont="1" applyBorder="1" applyAlignment="1">
      <alignment horizontal="center" vertical="center"/>
    </xf>
    <xf numFmtId="0" fontId="1" fillId="0" borderId="88" xfId="0" applyFont="1" applyBorder="1" applyAlignment="1">
      <alignment horizontal="center" vertical="center"/>
    </xf>
    <xf numFmtId="0" fontId="122" fillId="0" borderId="6" xfId="0" applyFont="1" applyFill="1" applyBorder="1" applyAlignment="1">
      <alignment horizontal="center" vertical="top" wrapText="1"/>
    </xf>
    <xf numFmtId="0" fontId="122" fillId="0" borderId="94" xfId="0" applyFont="1" applyFill="1" applyBorder="1" applyAlignment="1">
      <alignment horizontal="center" vertical="top" wrapText="1"/>
    </xf>
    <xf numFmtId="166" fontId="120" fillId="5" borderId="0" xfId="1" applyNumberFormat="1" applyFont="1" applyFill="1" applyBorder="1" applyAlignment="1">
      <alignment horizontal="center" vertical="center" wrapText="1"/>
    </xf>
    <xf numFmtId="0" fontId="1" fillId="0" borderId="94" xfId="0" applyFont="1" applyBorder="1" applyAlignment="1">
      <alignment vertical="center" wrapText="1"/>
    </xf>
    <xf numFmtId="0" fontId="118" fillId="0" borderId="6" xfId="0" applyFont="1" applyFill="1" applyBorder="1" applyAlignment="1">
      <alignment horizontal="left" vertical="center" wrapText="1"/>
    </xf>
    <xf numFmtId="0" fontId="0" fillId="0" borderId="94" xfId="0" applyBorder="1" applyAlignment="1">
      <alignment wrapText="1"/>
    </xf>
    <xf numFmtId="0" fontId="135" fillId="5" borderId="0" xfId="0" applyFont="1" applyFill="1" applyBorder="1" applyAlignment="1">
      <alignment horizontal="left" wrapText="1"/>
    </xf>
    <xf numFmtId="180" fontId="118" fillId="0" borderId="0" xfId="0" applyNumberFormat="1" applyFont="1" applyFill="1" applyBorder="1" applyAlignment="1">
      <alignment horizontal="right" vertical="center"/>
    </xf>
    <xf numFmtId="0" fontId="1" fillId="0" borderId="143"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5" xfId="0" applyFont="1" applyBorder="1" applyAlignment="1">
      <alignment horizontal="center" vertical="center" wrapText="1"/>
    </xf>
    <xf numFmtId="3" fontId="122" fillId="5" borderId="145" xfId="0" applyNumberFormat="1" applyFont="1" applyFill="1" applyBorder="1" applyAlignment="1">
      <alignment horizontal="left" vertical="center" wrapText="1"/>
    </xf>
    <xf numFmtId="0" fontId="1" fillId="0" borderId="140" xfId="0" applyFont="1" applyBorder="1" applyAlignment="1">
      <alignment vertical="center" wrapText="1"/>
    </xf>
    <xf numFmtId="0" fontId="1" fillId="0" borderId="141" xfId="0" applyFont="1" applyBorder="1" applyAlignment="1">
      <alignment vertical="center" wrapText="1"/>
    </xf>
    <xf numFmtId="0" fontId="118" fillId="5" borderId="0" xfId="0" applyFont="1" applyFill="1" applyBorder="1" applyAlignment="1">
      <alignment horizontal="center" vertical="center" wrapText="1"/>
    </xf>
    <xf numFmtId="0" fontId="132" fillId="5" borderId="0" xfId="0" applyFont="1" applyFill="1" applyBorder="1" applyAlignment="1">
      <alignment horizontal="left" vertical="center" wrapText="1"/>
    </xf>
    <xf numFmtId="0" fontId="122" fillId="5" borderId="168" xfId="0" applyFont="1" applyFill="1" applyBorder="1" applyAlignment="1">
      <alignment horizontal="left" vertical="center" wrapText="1"/>
    </xf>
    <xf numFmtId="0" fontId="1" fillId="0" borderId="0" xfId="0" applyFont="1" applyBorder="1" applyAlignment="1">
      <alignment vertical="center" wrapText="1"/>
    </xf>
    <xf numFmtId="0" fontId="122" fillId="8" borderId="33" xfId="0" applyFont="1" applyFill="1" applyBorder="1" applyAlignment="1">
      <alignment horizontal="center" vertical="top" wrapText="1"/>
    </xf>
    <xf numFmtId="0" fontId="122" fillId="8" borderId="115" xfId="0" applyFont="1" applyFill="1" applyBorder="1" applyAlignment="1">
      <alignment horizontal="center" vertical="top" wrapText="1"/>
    </xf>
    <xf numFmtId="0" fontId="122" fillId="8" borderId="88" xfId="0" applyFont="1" applyFill="1" applyBorder="1" applyAlignment="1">
      <alignment horizontal="center" vertical="top" wrapText="1"/>
    </xf>
    <xf numFmtId="0" fontId="0" fillId="0" borderId="140" xfId="0" applyBorder="1" applyAlignment="1">
      <alignment vertical="center" wrapText="1"/>
    </xf>
    <xf numFmtId="0" fontId="0" fillId="0" borderId="141" xfId="0" applyBorder="1" applyAlignment="1">
      <alignment vertical="center" wrapText="1"/>
    </xf>
    <xf numFmtId="0" fontId="0" fillId="0" borderId="115" xfId="0" applyBorder="1" applyAlignment="1">
      <alignment wrapText="1"/>
    </xf>
    <xf numFmtId="0" fontId="0" fillId="0" borderId="88" xfId="0" applyBorder="1" applyAlignment="1">
      <alignment wrapText="1"/>
    </xf>
    <xf numFmtId="0" fontId="0" fillId="0" borderId="115" xfId="0" applyBorder="1" applyAlignment="1">
      <alignment horizontal="center" vertical="top" wrapText="1"/>
    </xf>
    <xf numFmtId="0" fontId="0" fillId="0" borderId="88" xfId="0" applyBorder="1" applyAlignment="1">
      <alignment horizontal="center" vertical="top" wrapText="1"/>
    </xf>
    <xf numFmtId="0" fontId="0" fillId="0" borderId="94" xfId="0" applyBorder="1" applyAlignment="1">
      <alignment horizontal="center" wrapText="1"/>
    </xf>
    <xf numFmtId="3" fontId="118" fillId="0" borderId="0" xfId="0" applyNumberFormat="1" applyFont="1" applyFill="1" applyBorder="1" applyAlignment="1">
      <alignment horizontal="center" vertical="center" wrapText="1"/>
    </xf>
    <xf numFmtId="3" fontId="122" fillId="5" borderId="140" xfId="0" applyNumberFormat="1" applyFont="1" applyFill="1" applyBorder="1" applyAlignment="1">
      <alignment horizontal="left" vertical="center" wrapText="1"/>
    </xf>
    <xf numFmtId="0" fontId="0" fillId="0" borderId="94" xfId="0" applyBorder="1" applyAlignment="1"/>
    <xf numFmtId="0" fontId="132" fillId="5" borderId="28" xfId="0" applyFont="1" applyFill="1" applyBorder="1" applyAlignment="1">
      <alignment horizontal="center" vertical="center" wrapText="1"/>
    </xf>
    <xf numFmtId="0" fontId="122" fillId="0" borderId="25" xfId="0" applyFont="1" applyBorder="1" applyAlignment="1">
      <alignment horizontal="center" vertical="center" wrapText="1"/>
    </xf>
    <xf numFmtId="0" fontId="122" fillId="5" borderId="6" xfId="0" applyFont="1" applyFill="1" applyBorder="1" applyAlignment="1">
      <alignment horizontal="left" vertical="top"/>
    </xf>
    <xf numFmtId="0" fontId="0" fillId="0" borderId="94" xfId="0" applyBorder="1" applyAlignment="1">
      <alignment horizontal="left"/>
    </xf>
    <xf numFmtId="0" fontId="0" fillId="0" borderId="115" xfId="0" applyBorder="1" applyAlignment="1">
      <alignment horizontal="center" vertical="center"/>
    </xf>
    <xf numFmtId="0" fontId="0" fillId="0" borderId="88" xfId="0" applyBorder="1" applyAlignment="1">
      <alignment horizontal="center" vertical="center"/>
    </xf>
    <xf numFmtId="0" fontId="0" fillId="0" borderId="88" xfId="0" applyBorder="1" applyAlignment="1">
      <alignment vertical="center"/>
    </xf>
    <xf numFmtId="0" fontId="132" fillId="5" borderId="28" xfId="0" applyFont="1" applyFill="1" applyBorder="1" applyAlignment="1">
      <alignment horizontal="center" wrapText="1"/>
    </xf>
    <xf numFmtId="0" fontId="122" fillId="0" borderId="25" xfId="0" applyFont="1" applyBorder="1" applyAlignment="1">
      <alignment horizontal="center" wrapText="1"/>
    </xf>
    <xf numFmtId="0" fontId="122" fillId="8" borderId="170" xfId="0" applyFont="1" applyFill="1" applyBorder="1" applyAlignment="1">
      <alignment horizontal="center" vertical="top"/>
    </xf>
    <xf numFmtId="0" fontId="0" fillId="0" borderId="171" xfId="0" applyBorder="1" applyAlignment="1">
      <alignment horizontal="center" vertical="top"/>
    </xf>
    <xf numFmtId="0" fontId="0" fillId="0" borderId="172" xfId="0" applyBorder="1" applyAlignment="1">
      <alignment horizontal="center" vertical="top"/>
    </xf>
    <xf numFmtId="0" fontId="1" fillId="0" borderId="162" xfId="0" applyFont="1" applyBorder="1" applyAlignment="1">
      <alignment vertical="center" wrapText="1"/>
    </xf>
    <xf numFmtId="0" fontId="122" fillId="0" borderId="163" xfId="0" applyFont="1" applyFill="1" applyBorder="1" applyAlignment="1">
      <alignment horizontal="left" vertical="center" wrapText="1"/>
    </xf>
    <xf numFmtId="0" fontId="122" fillId="0" borderId="162" xfId="0" applyFont="1" applyFill="1" applyBorder="1" applyAlignment="1">
      <alignment horizontal="left" vertical="center" wrapText="1"/>
    </xf>
    <xf numFmtId="0" fontId="122" fillId="0" borderId="162" xfId="0" applyFont="1" applyFill="1" applyBorder="1" applyAlignment="1">
      <alignment horizontal="center" vertical="center" wrapText="1"/>
    </xf>
    <xf numFmtId="0" fontId="135" fillId="5" borderId="146" xfId="0" applyFont="1" applyFill="1" applyBorder="1" applyAlignment="1">
      <alignment horizontal="left" wrapText="1"/>
    </xf>
    <xf numFmtId="0" fontId="0" fillId="0" borderId="171" xfId="0" applyBorder="1" applyAlignment="1">
      <alignment horizontal="center"/>
    </xf>
    <xf numFmtId="0" fontId="0" fillId="0" borderId="172" xfId="0" applyBorder="1" applyAlignment="1">
      <alignment horizontal="center"/>
    </xf>
    <xf numFmtId="0" fontId="0" fillId="0" borderId="172" xfId="0" applyBorder="1" applyAlignment="1">
      <alignment vertical="center"/>
    </xf>
    <xf numFmtId="0" fontId="1" fillId="0" borderId="0" xfId="0" applyFont="1" applyAlignment="1">
      <alignment vertical="center" wrapText="1"/>
    </xf>
    <xf numFmtId="0" fontId="122" fillId="0" borderId="0" xfId="0" applyFont="1" applyAlignment="1">
      <alignment vertical="center" wrapText="1"/>
    </xf>
    <xf numFmtId="184" fontId="3" fillId="5" borderId="0" xfId="0" applyNumberFormat="1" applyFont="1" applyFill="1" applyBorder="1" applyAlignment="1">
      <alignment horizontal="right" vertical="center"/>
    </xf>
    <xf numFmtId="0" fontId="3" fillId="5" borderId="0" xfId="0" applyFont="1" applyFill="1" applyBorder="1" applyAlignment="1">
      <alignment horizontal="right" vertical="center"/>
    </xf>
    <xf numFmtId="184" fontId="3" fillId="5" borderId="0" xfId="0" applyNumberFormat="1" applyFont="1" applyFill="1" applyBorder="1" applyAlignment="1">
      <alignment horizontal="right" vertical="center" wrapText="1"/>
    </xf>
    <xf numFmtId="0" fontId="3" fillId="5" borderId="0" xfId="0" applyFont="1" applyFill="1" applyBorder="1" applyAlignment="1">
      <alignment horizontal="right" vertical="center" wrapText="1"/>
    </xf>
    <xf numFmtId="0" fontId="122" fillId="5" borderId="29" xfId="0" applyFont="1" applyFill="1" applyBorder="1" applyAlignment="1">
      <alignment horizontal="center"/>
    </xf>
    <xf numFmtId="0" fontId="122" fillId="5" borderId="0" xfId="0" applyFont="1" applyFill="1" applyBorder="1" applyAlignment="1">
      <alignment horizontal="center"/>
    </xf>
    <xf numFmtId="0" fontId="122" fillId="5" borderId="28" xfId="0" applyFont="1" applyFill="1" applyBorder="1" applyAlignment="1">
      <alignment horizontal="center"/>
    </xf>
    <xf numFmtId="0" fontId="3" fillId="5" borderId="0" xfId="0" applyFont="1" applyFill="1" applyBorder="1" applyAlignment="1">
      <alignment vertical="top" wrapText="1"/>
    </xf>
    <xf numFmtId="0" fontId="3" fillId="5" borderId="0" xfId="0" applyFont="1" applyFill="1" applyBorder="1" applyAlignment="1"/>
    <xf numFmtId="0" fontId="122" fillId="5" borderId="100" xfId="0" applyFont="1" applyFill="1" applyBorder="1" applyAlignment="1">
      <alignment horizontal="center" vertical="center"/>
    </xf>
    <xf numFmtId="0" fontId="122" fillId="5" borderId="27" xfId="0" applyFont="1" applyFill="1" applyBorder="1" applyAlignment="1">
      <alignment horizontal="center" vertical="center"/>
    </xf>
    <xf numFmtId="0" fontId="122" fillId="5" borderId="121" xfId="0" applyFont="1" applyFill="1" applyBorder="1" applyAlignment="1">
      <alignment horizontal="center" vertical="center"/>
    </xf>
    <xf numFmtId="0" fontId="122" fillId="5" borderId="26" xfId="0" applyFont="1" applyFill="1" applyBorder="1" applyAlignment="1">
      <alignment horizontal="center" vertical="center"/>
    </xf>
    <xf numFmtId="0" fontId="122" fillId="0" borderId="46" xfId="0" applyFont="1" applyBorder="1" applyAlignment="1">
      <alignment horizontal="center"/>
    </xf>
    <xf numFmtId="0" fontId="122" fillId="0" borderId="156" xfId="0" applyFont="1" applyBorder="1" applyAlignment="1">
      <alignment horizontal="center"/>
    </xf>
    <xf numFmtId="0" fontId="122" fillId="0" borderId="160" xfId="0" applyFont="1" applyBorder="1" applyAlignment="1">
      <alignment horizontal="center"/>
    </xf>
    <xf numFmtId="0" fontId="124" fillId="33" borderId="0" xfId="0" applyFont="1" applyFill="1" applyBorder="1" applyAlignment="1">
      <alignment horizontal="center" vertical="top" wrapText="1"/>
    </xf>
    <xf numFmtId="0" fontId="124" fillId="33" borderId="28" xfId="0" applyFont="1" applyFill="1" applyBorder="1" applyAlignment="1">
      <alignment horizontal="center" vertical="top" wrapText="1"/>
    </xf>
    <xf numFmtId="0" fontId="3" fillId="5" borderId="0" xfId="0" applyFont="1" applyFill="1" applyBorder="1" applyAlignment="1">
      <alignment wrapText="1"/>
    </xf>
    <xf numFmtId="0" fontId="122" fillId="4" borderId="118" xfId="0" applyFont="1" applyFill="1" applyBorder="1" applyAlignment="1">
      <alignment horizontal="center" vertical="center"/>
    </xf>
    <xf numFmtId="0" fontId="122" fillId="4" borderId="7" xfId="0" applyFont="1" applyFill="1" applyBorder="1" applyAlignment="1">
      <alignment horizontal="center" vertical="center"/>
    </xf>
    <xf numFmtId="0" fontId="122" fillId="5" borderId="0" xfId="0" applyFont="1" applyFill="1" applyBorder="1" applyAlignment="1">
      <alignment horizontal="center" vertical="center"/>
    </xf>
    <xf numFmtId="0" fontId="1" fillId="5" borderId="0" xfId="0" applyFont="1" applyFill="1" applyBorder="1" applyAlignment="1">
      <alignment horizontal="center" vertical="center" wrapText="1"/>
    </xf>
    <xf numFmtId="0" fontId="122" fillId="0" borderId="123" xfId="0" applyFont="1" applyFill="1" applyBorder="1" applyAlignment="1">
      <alignment horizontal="left" vertical="center" wrapText="1"/>
    </xf>
    <xf numFmtId="0" fontId="1" fillId="5" borderId="0" xfId="0" applyFont="1" applyFill="1" applyAlignment="1">
      <alignment horizontal="left" vertical="center" wrapText="1"/>
    </xf>
    <xf numFmtId="0" fontId="118" fillId="5" borderId="0" xfId="0" applyFont="1" applyFill="1" applyBorder="1" applyAlignment="1">
      <alignment horizontal="left" vertical="center"/>
    </xf>
    <xf numFmtId="0" fontId="123" fillId="81" borderId="1" xfId="0" applyFont="1" applyFill="1" applyBorder="1" applyAlignment="1">
      <alignment horizontal="left" vertical="top"/>
    </xf>
    <xf numFmtId="0" fontId="1" fillId="0" borderId="6" xfId="0" applyFont="1" applyBorder="1" applyAlignment="1">
      <alignment horizontal="left" vertical="top" wrapText="1"/>
    </xf>
    <xf numFmtId="0" fontId="1" fillId="0" borderId="94" xfId="0" applyFont="1" applyBorder="1" applyAlignment="1">
      <alignment horizontal="left" vertical="top" wrapText="1"/>
    </xf>
    <xf numFmtId="0" fontId="120" fillId="81" borderId="1" xfId="0" applyFont="1" applyFill="1" applyBorder="1" applyAlignment="1">
      <alignment horizontal="left" vertical="top"/>
    </xf>
    <xf numFmtId="0" fontId="123" fillId="81" borderId="6" xfId="0" applyFont="1" applyFill="1" applyBorder="1" applyAlignment="1">
      <alignment horizontal="left" vertical="top"/>
    </xf>
    <xf numFmtId="0" fontId="123" fillId="81" borderId="94" xfId="0" applyFont="1" applyFill="1" applyBorder="1" applyAlignment="1">
      <alignment horizontal="left" vertical="top"/>
    </xf>
    <xf numFmtId="0" fontId="1" fillId="0" borderId="118" xfId="0" applyFont="1" applyBorder="1" applyAlignment="1">
      <alignment horizontal="center" vertical="center"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left" vertical="top"/>
    </xf>
    <xf numFmtId="0" fontId="1" fillId="0" borderId="94" xfId="0" applyFont="1" applyBorder="1" applyAlignment="1">
      <alignment horizontal="left" vertical="top"/>
    </xf>
    <xf numFmtId="166" fontId="1" fillId="0" borderId="6" xfId="0" applyNumberFormat="1" applyFont="1" applyBorder="1" applyAlignment="1">
      <alignment horizontal="left" vertical="top" indent="1"/>
    </xf>
    <xf numFmtId="0" fontId="1" fillId="0" borderId="94" xfId="0" applyFont="1" applyBorder="1" applyAlignment="1">
      <alignment horizontal="left" vertical="top" indent="1"/>
    </xf>
    <xf numFmtId="0" fontId="1" fillId="0" borderId="1" xfId="0" applyFont="1" applyBorder="1" applyAlignment="1">
      <alignment horizontal="left" vertical="top"/>
    </xf>
    <xf numFmtId="0" fontId="2" fillId="0" borderId="113" xfId="0" applyFont="1" applyBorder="1" applyAlignment="1">
      <alignment horizontal="center" vertical="center" wrapText="1"/>
    </xf>
    <xf numFmtId="0" fontId="3" fillId="0" borderId="11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9" xfId="0" applyFont="1" applyBorder="1" applyAlignment="1">
      <alignment horizontal="center" vertical="center" wrapText="1"/>
    </xf>
    <xf numFmtId="0" fontId="165" fillId="5" borderId="112" xfId="0" applyFont="1" applyFill="1" applyBorder="1" applyAlignment="1">
      <alignment horizontal="center" vertical="center"/>
    </xf>
    <xf numFmtId="0" fontId="165" fillId="5" borderId="114" xfId="0" applyFont="1" applyFill="1" applyBorder="1" applyAlignment="1">
      <alignment horizontal="center" vertical="center"/>
    </xf>
    <xf numFmtId="0" fontId="3" fillId="5" borderId="122" xfId="0" applyFont="1" applyFill="1" applyBorder="1" applyAlignment="1">
      <alignment horizontal="center" vertical="center"/>
    </xf>
    <xf numFmtId="0" fontId="96" fillId="5" borderId="0" xfId="0" applyFont="1" applyFill="1" applyAlignment="1">
      <alignment horizontal="center" vertical="center"/>
    </xf>
    <xf numFmtId="0" fontId="147" fillId="5" borderId="0" xfId="0" applyFont="1" applyFill="1" applyAlignment="1">
      <alignment horizontal="center" vertical="center"/>
    </xf>
    <xf numFmtId="0" fontId="104" fillId="0" borderId="1" xfId="0" applyFont="1" applyBorder="1" applyAlignment="1">
      <alignment horizontal="left" vertical="center" wrapText="1"/>
    </xf>
    <xf numFmtId="0" fontId="115" fillId="5" borderId="46" xfId="0" applyFont="1" applyFill="1" applyBorder="1" applyAlignment="1">
      <alignment horizontal="center" vertical="center" wrapText="1"/>
    </xf>
    <xf numFmtId="0" fontId="115" fillId="5" borderId="156" xfId="0" applyFont="1" applyFill="1" applyBorder="1" applyAlignment="1">
      <alignment horizontal="center" vertical="center" wrapText="1"/>
    </xf>
    <xf numFmtId="0" fontId="115" fillId="5" borderId="160" xfId="0" applyFont="1" applyFill="1" applyBorder="1" applyAlignment="1">
      <alignment horizontal="center" vertical="center" wrapText="1"/>
    </xf>
    <xf numFmtId="0" fontId="115" fillId="5" borderId="3" xfId="0" applyFont="1" applyFill="1" applyBorder="1" applyAlignment="1">
      <alignment horizontal="center" vertical="center" wrapText="1"/>
    </xf>
    <xf numFmtId="0" fontId="115" fillId="5" borderId="137" xfId="0" applyFont="1" applyFill="1" applyBorder="1" applyAlignment="1">
      <alignment horizontal="center" vertical="center" wrapText="1"/>
    </xf>
    <xf numFmtId="0" fontId="115" fillId="5" borderId="148"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115" xfId="0" applyFont="1" applyBorder="1" applyAlignment="1">
      <alignment horizontal="center" vertical="center" wrapText="1"/>
    </xf>
    <xf numFmtId="0" fontId="3" fillId="0" borderId="94" xfId="0" applyFont="1" applyBorder="1" applyAlignment="1">
      <alignment horizontal="center" vertical="center" wrapText="1"/>
    </xf>
    <xf numFmtId="0" fontId="2" fillId="5" borderId="77"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77" xfId="0" applyFont="1" applyFill="1" applyBorder="1" applyAlignment="1">
      <alignment horizontal="center" vertical="center" wrapText="1"/>
    </xf>
    <xf numFmtId="0" fontId="3" fillId="5" borderId="77" xfId="0" applyFont="1" applyFill="1" applyBorder="1" applyAlignment="1">
      <alignment horizontal="right" vertical="center" wrapText="1"/>
    </xf>
    <xf numFmtId="0" fontId="3" fillId="5" borderId="7" xfId="0" applyFont="1" applyFill="1" applyBorder="1" applyAlignment="1">
      <alignment horizontal="right" vertical="center" wrapText="1"/>
    </xf>
    <xf numFmtId="0" fontId="3" fillId="5" borderId="7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164" fillId="0" borderId="118" xfId="0" applyFont="1" applyBorder="1" applyAlignment="1">
      <alignment horizontal="center" vertical="center" wrapText="1"/>
    </xf>
    <xf numFmtId="0" fontId="164" fillId="0" borderId="5" xfId="0" applyFont="1" applyBorder="1" applyAlignment="1">
      <alignment horizontal="center" vertical="center"/>
    </xf>
    <xf numFmtId="0" fontId="164" fillId="0" borderId="7" xfId="0" applyFont="1" applyBorder="1" applyAlignment="1">
      <alignment horizontal="center" vertical="center"/>
    </xf>
    <xf numFmtId="0" fontId="154" fillId="7" borderId="77"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5" borderId="118" xfId="0" applyFont="1" applyFill="1" applyBorder="1" applyAlignment="1">
      <alignment horizontal="center" vertical="center" wrapText="1"/>
    </xf>
    <xf numFmtId="0" fontId="3" fillId="5" borderId="5" xfId="0" applyFont="1" applyFill="1" applyBorder="1" applyAlignment="1">
      <alignment horizontal="center" vertical="center" wrapText="1"/>
    </xf>
    <xf numFmtId="1" fontId="114" fillId="5" borderId="77" xfId="0" applyNumberFormat="1" applyFont="1" applyFill="1" applyBorder="1" applyAlignment="1">
      <alignment horizontal="right" vertical="center" wrapText="1"/>
    </xf>
    <xf numFmtId="1" fontId="114" fillId="0" borderId="7" xfId="0" applyNumberFormat="1" applyFont="1" applyBorder="1" applyAlignment="1">
      <alignment horizontal="right" vertical="center" wrapText="1"/>
    </xf>
    <xf numFmtId="0" fontId="3" fillId="5" borderId="6" xfId="0" applyFont="1" applyFill="1" applyBorder="1" applyAlignment="1">
      <alignment horizontal="center" vertical="center" wrapText="1"/>
    </xf>
    <xf numFmtId="0" fontId="3" fillId="5" borderId="78" xfId="0" applyFont="1" applyFill="1" applyBorder="1" applyAlignment="1">
      <alignment horizontal="center" vertical="center" wrapText="1"/>
    </xf>
    <xf numFmtId="10" fontId="3" fillId="5" borderId="6" xfId="0" applyNumberFormat="1" applyFont="1" applyFill="1" applyBorder="1" applyAlignment="1">
      <alignment horizontal="center" vertical="center" wrapText="1"/>
    </xf>
    <xf numFmtId="10" fontId="3" fillId="5" borderId="78" xfId="0" applyNumberFormat="1" applyFont="1" applyFill="1" applyBorder="1" applyAlignment="1">
      <alignment horizontal="center" vertical="center" wrapText="1"/>
    </xf>
    <xf numFmtId="0" fontId="154" fillId="7" borderId="72" xfId="0" applyFont="1" applyFill="1" applyBorder="1" applyAlignment="1">
      <alignment horizontal="center" vertical="center" wrapText="1"/>
    </xf>
    <xf numFmtId="0" fontId="154" fillId="7" borderId="78" xfId="0" applyFont="1" applyFill="1" applyBorder="1" applyAlignment="1">
      <alignment horizontal="center" vertical="center" wrapText="1"/>
    </xf>
    <xf numFmtId="0" fontId="45" fillId="5" borderId="77" xfId="0" applyFont="1" applyFill="1" applyBorder="1" applyAlignment="1">
      <alignment horizontal="center" vertical="center" wrapText="1"/>
    </xf>
    <xf numFmtId="0" fontId="45" fillId="5" borderId="5" xfId="0" applyFont="1" applyFill="1" applyBorder="1" applyAlignment="1">
      <alignment horizontal="center" vertical="center" wrapText="1"/>
    </xf>
    <xf numFmtId="0" fontId="45" fillId="0" borderId="5" xfId="0" applyFont="1" applyBorder="1" applyAlignment="1">
      <alignment horizontal="center" vertical="center" wrapText="1"/>
    </xf>
    <xf numFmtId="0" fontId="45" fillId="0" borderId="7" xfId="0" applyFont="1" applyBorder="1" applyAlignment="1">
      <alignment horizontal="center" vertical="center" wrapText="1"/>
    </xf>
    <xf numFmtId="10" fontId="3" fillId="5" borderId="118" xfId="0" applyNumberFormat="1" applyFont="1" applyFill="1" applyBorder="1" applyAlignment="1">
      <alignment horizontal="right" vertical="center" wrapText="1"/>
    </xf>
    <xf numFmtId="10" fontId="3" fillId="5" borderId="7" xfId="0" applyNumberFormat="1" applyFont="1" applyFill="1" applyBorder="1" applyAlignment="1">
      <alignment horizontal="right" vertical="center" wrapText="1"/>
    </xf>
    <xf numFmtId="9" fontId="3" fillId="5" borderId="118" xfId="0" applyNumberFormat="1" applyFont="1" applyFill="1" applyBorder="1" applyAlignment="1">
      <alignment horizontal="right" vertical="center" wrapText="1"/>
    </xf>
    <xf numFmtId="9" fontId="3" fillId="5" borderId="7" xfId="0" applyNumberFormat="1" applyFont="1" applyFill="1" applyBorder="1" applyAlignment="1">
      <alignment horizontal="right" vertical="center" wrapText="1"/>
    </xf>
    <xf numFmtId="0" fontId="3" fillId="5" borderId="75" xfId="0" applyFont="1" applyFill="1" applyBorder="1" applyAlignment="1">
      <alignment horizontal="right" vertical="center" wrapText="1"/>
    </xf>
    <xf numFmtId="0" fontId="3" fillId="5" borderId="9" xfId="0" applyFont="1" applyFill="1" applyBorder="1" applyAlignment="1">
      <alignment horizontal="right" vertical="center" wrapText="1"/>
    </xf>
    <xf numFmtId="0" fontId="120" fillId="69" borderId="1" xfId="0" applyFont="1" applyFill="1" applyBorder="1" applyAlignment="1">
      <alignment horizontal="center" vertical="top"/>
    </xf>
    <xf numFmtId="0" fontId="3" fillId="5" borderId="118" xfId="0" applyFont="1" applyFill="1" applyBorder="1" applyAlignment="1">
      <alignment horizontal="right" vertical="center" wrapText="1"/>
    </xf>
    <xf numFmtId="0" fontId="3" fillId="5" borderId="5" xfId="0" applyFont="1" applyFill="1" applyBorder="1" applyAlignment="1">
      <alignment horizontal="right" vertical="center" wrapText="1"/>
    </xf>
    <xf numFmtId="0" fontId="3" fillId="5" borderId="3" xfId="0" applyFont="1" applyFill="1" applyBorder="1" applyAlignment="1">
      <alignment horizontal="center"/>
    </xf>
    <xf numFmtId="0" fontId="3" fillId="5" borderId="9" xfId="0" applyFont="1" applyFill="1" applyBorder="1" applyAlignment="1">
      <alignment horizontal="center"/>
    </xf>
    <xf numFmtId="0" fontId="3" fillId="5" borderId="2" xfId="0" applyFont="1" applyFill="1" applyBorder="1" applyAlignment="1">
      <alignment horizontal="center"/>
    </xf>
    <xf numFmtId="0" fontId="3" fillId="5" borderId="10" xfId="0" applyFont="1" applyFill="1" applyBorder="1" applyAlignment="1">
      <alignment horizontal="center"/>
    </xf>
    <xf numFmtId="0" fontId="103" fillId="5" borderId="118" xfId="0" applyFont="1" applyFill="1" applyBorder="1" applyAlignment="1">
      <alignment horizontal="center" vertical="center" wrapText="1" readingOrder="1"/>
    </xf>
    <xf numFmtId="0" fontId="103" fillId="5" borderId="5" xfId="0" applyFont="1" applyFill="1" applyBorder="1" applyAlignment="1">
      <alignment horizontal="center" vertical="center" wrapText="1" readingOrder="1"/>
    </xf>
    <xf numFmtId="0" fontId="103" fillId="5" borderId="7" xfId="0" applyFont="1" applyFill="1" applyBorder="1" applyAlignment="1">
      <alignment horizontal="center" vertical="center" wrapText="1" readingOrder="1"/>
    </xf>
    <xf numFmtId="0" fontId="2" fillId="5" borderId="0" xfId="0" applyFont="1" applyFill="1" applyAlignment="1">
      <alignment horizontal="center" vertical="center" wrapText="1"/>
    </xf>
    <xf numFmtId="0" fontId="3" fillId="5" borderId="0" xfId="0" applyFont="1" applyFill="1" applyAlignment="1">
      <alignment horizontal="center" vertical="center" wrapText="1"/>
    </xf>
    <xf numFmtId="0" fontId="103" fillId="5" borderId="118" xfId="0" applyFont="1" applyFill="1" applyBorder="1" applyAlignment="1">
      <alignment horizontal="left" vertical="center" wrapText="1" readingOrder="1"/>
    </xf>
    <xf numFmtId="0" fontId="3" fillId="5" borderId="5" xfId="0" applyFont="1" applyFill="1" applyBorder="1" applyAlignment="1">
      <alignment vertical="center" wrapText="1" readingOrder="1"/>
    </xf>
    <xf numFmtId="0" fontId="3" fillId="5" borderId="7" xfId="0" applyFont="1" applyFill="1" applyBorder="1" applyAlignment="1">
      <alignment vertical="center" wrapText="1" readingOrder="1"/>
    </xf>
    <xf numFmtId="0" fontId="3" fillId="5" borderId="118"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7" xfId="0" applyFont="1" applyFill="1" applyBorder="1" applyAlignment="1">
      <alignment horizontal="center" vertical="center"/>
    </xf>
    <xf numFmtId="0" fontId="104" fillId="5" borderId="6" xfId="0" applyFont="1" applyFill="1" applyBorder="1" applyAlignment="1">
      <alignment horizontal="left" wrapText="1"/>
    </xf>
    <xf numFmtId="0" fontId="0" fillId="0" borderId="115" xfId="0" applyFont="1" applyBorder="1" applyAlignment="1">
      <alignment horizontal="left" wrapText="1"/>
    </xf>
    <xf numFmtId="0" fontId="0" fillId="0" borderId="94" xfId="0" applyFont="1" applyBorder="1" applyAlignment="1">
      <alignment horizontal="left" wrapText="1"/>
    </xf>
    <xf numFmtId="0" fontId="3" fillId="5" borderId="118" xfId="0" applyFont="1" applyFill="1" applyBorder="1" applyAlignment="1">
      <alignment vertical="center"/>
    </xf>
    <xf numFmtId="0" fontId="3" fillId="5" borderId="5" xfId="0" applyFont="1" applyFill="1" applyBorder="1" applyAlignment="1">
      <alignment vertical="center"/>
    </xf>
    <xf numFmtId="0" fontId="3" fillId="5" borderId="7" xfId="0" applyFont="1" applyFill="1" applyBorder="1" applyAlignment="1">
      <alignment vertical="center"/>
    </xf>
    <xf numFmtId="0" fontId="118" fillId="5" borderId="6" xfId="0" applyFont="1" applyFill="1" applyBorder="1" applyAlignment="1">
      <alignment horizontal="center" vertical="top"/>
    </xf>
    <xf numFmtId="0" fontId="118" fillId="5" borderId="115" xfId="0" applyFont="1" applyFill="1" applyBorder="1" applyAlignment="1">
      <alignment horizontal="center" vertical="top"/>
    </xf>
    <xf numFmtId="0" fontId="118" fillId="5" borderId="94" xfId="0" applyFont="1" applyFill="1" applyBorder="1" applyAlignment="1">
      <alignment horizontal="center" vertical="top"/>
    </xf>
    <xf numFmtId="0" fontId="122" fillId="5" borderId="118" xfId="0" applyFont="1" applyFill="1" applyBorder="1" applyAlignment="1">
      <alignment horizontal="center" vertical="center"/>
    </xf>
    <xf numFmtId="0" fontId="122" fillId="5" borderId="5" xfId="0" applyFont="1" applyFill="1" applyBorder="1" applyAlignment="1">
      <alignment horizontal="center" vertical="center"/>
    </xf>
    <xf numFmtId="0" fontId="122" fillId="5" borderId="7" xfId="0" applyFont="1" applyFill="1" applyBorder="1" applyAlignment="1">
      <alignment horizontal="center" vertical="center"/>
    </xf>
    <xf numFmtId="0" fontId="3" fillId="5" borderId="74"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154" fillId="7" borderId="74" xfId="0" applyFont="1" applyFill="1" applyBorder="1" applyAlignment="1">
      <alignment horizontal="center" vertical="center" wrapText="1"/>
    </xf>
    <xf numFmtId="0" fontId="154" fillId="7" borderId="73"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 fillId="0" borderId="6" xfId="0" applyFont="1" applyBorder="1" applyAlignment="1">
      <alignment horizontal="center" vertical="center" wrapText="1"/>
    </xf>
    <xf numFmtId="0" fontId="3" fillId="5" borderId="115" xfId="0" applyFont="1" applyFill="1" applyBorder="1" applyAlignment="1">
      <alignment horizontal="center" vertical="center" wrapText="1"/>
    </xf>
    <xf numFmtId="0" fontId="3" fillId="5" borderId="94" xfId="0" applyFont="1" applyFill="1" applyBorder="1" applyAlignment="1">
      <alignment horizontal="center" vertical="center" wrapText="1"/>
    </xf>
    <xf numFmtId="0" fontId="3" fillId="5" borderId="0" xfId="0" applyFont="1" applyFill="1" applyAlignment="1">
      <alignment wrapText="1"/>
    </xf>
    <xf numFmtId="0" fontId="122" fillId="5" borderId="0" xfId="0" applyFont="1" applyFill="1" applyAlignment="1">
      <alignment wrapText="1"/>
    </xf>
    <xf numFmtId="0" fontId="3" fillId="5" borderId="0" xfId="0" applyFont="1" applyFill="1" applyAlignment="1">
      <alignment vertical="top" wrapText="1"/>
    </xf>
    <xf numFmtId="0" fontId="115" fillId="5" borderId="113" xfId="0" applyFont="1" applyFill="1" applyBorder="1" applyAlignment="1">
      <alignment horizontal="center" vertical="center" wrapText="1"/>
    </xf>
    <xf numFmtId="0" fontId="115" fillId="5" borderId="112" xfId="0" applyFont="1" applyFill="1" applyBorder="1" applyAlignment="1">
      <alignment horizontal="center" vertical="center" wrapText="1"/>
    </xf>
    <xf numFmtId="0" fontId="115" fillId="5" borderId="114" xfId="0" applyFont="1" applyFill="1" applyBorder="1" applyAlignment="1">
      <alignment horizontal="center" vertical="center" wrapText="1"/>
    </xf>
    <xf numFmtId="0" fontId="115" fillId="5" borderId="2" xfId="0" applyFont="1" applyFill="1" applyBorder="1" applyAlignment="1">
      <alignment horizontal="center" vertical="center"/>
    </xf>
    <xf numFmtId="0" fontId="115" fillId="5" borderId="0" xfId="0" applyFont="1" applyFill="1" applyBorder="1" applyAlignment="1">
      <alignment horizontal="center" vertical="center"/>
    </xf>
    <xf numFmtId="0" fontId="115" fillId="5" borderId="10" xfId="0" applyFont="1" applyFill="1" applyBorder="1" applyAlignment="1">
      <alignment horizontal="center" vertical="center"/>
    </xf>
    <xf numFmtId="0" fontId="115" fillId="5" borderId="3" xfId="0" applyFont="1" applyFill="1" applyBorder="1" applyAlignment="1">
      <alignment horizontal="center" vertical="center"/>
    </xf>
    <xf numFmtId="0" fontId="115" fillId="5" borderId="4" xfId="0" applyFont="1" applyFill="1" applyBorder="1" applyAlignment="1">
      <alignment horizontal="center" vertical="center"/>
    </xf>
    <xf numFmtId="0" fontId="115" fillId="5" borderId="9" xfId="0" applyFont="1" applyFill="1" applyBorder="1" applyAlignment="1">
      <alignment horizontal="center" vertical="center"/>
    </xf>
    <xf numFmtId="0" fontId="2" fillId="0" borderId="4" xfId="0" applyFont="1" applyBorder="1" applyAlignment="1">
      <alignment vertical="center" wrapText="1"/>
    </xf>
    <xf numFmtId="0" fontId="1" fillId="0" borderId="163" xfId="0" applyFont="1" applyBorder="1" applyAlignment="1">
      <alignment horizontal="left" vertical="center" wrapText="1"/>
    </xf>
    <xf numFmtId="0" fontId="1" fillId="0" borderId="161" xfId="0" applyFont="1" applyBorder="1" applyAlignment="1">
      <alignment horizontal="left" vertical="center" wrapText="1"/>
    </xf>
    <xf numFmtId="0" fontId="1" fillId="0" borderId="162" xfId="0" applyFont="1" applyBorder="1" applyAlignment="1">
      <alignment horizontal="left" vertical="center" wrapText="1"/>
    </xf>
    <xf numFmtId="0" fontId="159" fillId="78" borderId="4" xfId="0" applyFont="1" applyFill="1" applyBorder="1" applyAlignment="1">
      <alignment horizontal="center" vertical="center" wrapText="1"/>
    </xf>
    <xf numFmtId="0" fontId="159" fillId="78" borderId="115" xfId="0" applyFont="1" applyFill="1" applyBorder="1" applyAlignment="1">
      <alignment horizontal="center" vertical="center" wrapText="1"/>
    </xf>
    <xf numFmtId="0" fontId="3" fillId="0" borderId="0" xfId="0" applyFont="1" applyBorder="1" applyAlignment="1">
      <alignment wrapText="1"/>
    </xf>
    <xf numFmtId="0" fontId="3" fillId="0" borderId="0" xfId="0" applyFont="1" applyBorder="1" applyAlignment="1">
      <alignment vertical="top" wrapText="1"/>
    </xf>
    <xf numFmtId="0" fontId="2" fillId="0" borderId="0" xfId="0" applyFont="1" applyBorder="1" applyAlignment="1">
      <alignment vertical="top" wrapText="1"/>
    </xf>
  </cellXfs>
  <cellStyles count="964">
    <cellStyle name="%" xfId="6"/>
    <cellStyle name="% 2" xfId="400"/>
    <cellStyle name="%_Additional charts" xfId="401"/>
    <cellStyle name="%_charts tables TP" xfId="402"/>
    <cellStyle name="%_charts tables TP 070311" xfId="403"/>
    <cellStyle name="%_charts tables TP-formatted " xfId="404"/>
    <cellStyle name="%_charts tables TP-formatted  (2)" xfId="405"/>
    <cellStyle name="%_charts tables TP-formatted  (3)" xfId="406"/>
    <cellStyle name="%_charts_tables250111(1)" xfId="407"/>
    <cellStyle name="%_DATA" xfId="408"/>
    <cellStyle name="%_Economy Fan Charts Sheet Master 20111121" xfId="409"/>
    <cellStyle name="%_Economy Fan Charts Sheet Master BUD12R3 links broken" xfId="410"/>
    <cellStyle name="%_Economy Tables" xfId="411"/>
    <cellStyle name="%_Health scenario chart (2)" xfId="412"/>
    <cellStyle name="%_PEF FSBR2011" xfId="413"/>
    <cellStyle name="%_PEF FSBR2011 AA simplification" xfId="414"/>
    <cellStyle name="%_TP - charts tables BUD12" xfId="415"/>
    <cellStyle name="%_TP - charts tables Nov11" xfId="416"/>
    <cellStyle name="%_TREND_DEFLATE01#" xfId="417"/>
    <cellStyle name="]_x000d__x000a_Zoomed=1_x000d__x000a_Row=0_x000d__x000a_Column=0_x000d__x000a_Height=0_x000d__x000a_Width=0_x000d__x000a_FontName=FoxFont_x000d__x000a_FontStyle=0_x000d__x000a_FontSize=9_x000d__x000a_PrtFontName=FoxPrin" xfId="418"/>
    <cellStyle name="_110621 OBRoutput FSR transUpdate and tobacco jun25" xfId="419"/>
    <cellStyle name="_110621 OBRoutput FSR transUpdate and tobacco jun25 (2)" xfId="420"/>
    <cellStyle name="_111125 APDPassengerNumbers" xfId="421"/>
    <cellStyle name="_FCAST" xfId="422"/>
    <cellStyle name="_PBC report comparison 2010-11 Month 11" xfId="7"/>
    <cellStyle name="_PBC report comparison 2010-11 Month 11 2" xfId="8"/>
    <cellStyle name="_PBC report comparison 2010-11 Month 11 3" xfId="9"/>
    <cellStyle name="_PBC report comparison 2010-11 Month 11 3 2" xfId="10"/>
    <cellStyle name="_PBC report comparison 2010-11 Month 11 4" xfId="11"/>
    <cellStyle name="_PBC report comparison 2010-11 Month 11_Batch INPUT JNL NHS M13 WIPb" xfId="12"/>
    <cellStyle name="_PBC report comparison 2010-11 Month 11_Batch INPUT JNL NHS M13 WIPc" xfId="13"/>
    <cellStyle name="_PBC report comparison 2010-11 Month 11_ENHT Phasing (inc ISTC)" xfId="14"/>
    <cellStyle name="_PBC report comparison 2010-11 Month 11_ENHT Phasing (inc ISTC) 2" xfId="15"/>
    <cellStyle name="_PBC report comparison 2010-11 Month 12" xfId="16"/>
    <cellStyle name="_PBC report comparison 2010-11 Month 12 2" xfId="17"/>
    <cellStyle name="_PBC report comparison 2010-11 Month 12 3" xfId="18"/>
    <cellStyle name="_PBC report comparison 2010-11 Month 12 3 2" xfId="19"/>
    <cellStyle name="_PBC report comparison 2010-11 Month 12 4" xfId="20"/>
    <cellStyle name="_PBC report comparison 2010-11 Month 12_Batch INPUT JNL NHS M13 WIPb" xfId="21"/>
    <cellStyle name="_PBC report comparison 2010-11 Month 12_Batch INPUT JNL NHS M13 WIPc" xfId="22"/>
    <cellStyle name="_PBC report comparison 2010-11 Month 12_ENHT Phasing (inc ISTC)" xfId="23"/>
    <cellStyle name="_PBC report comparison 2010-11 Month 12_ENHT Phasing (inc ISTC) 2" xfId="24"/>
    <cellStyle name="_PBC report comparison 2010-11 Month 7 v1" xfId="25"/>
    <cellStyle name="_PBC report comparison 2010-11 Month 7 v1 2" xfId="26"/>
    <cellStyle name="_PBC report comparison 2010-11 Month 7 v1 3" xfId="27"/>
    <cellStyle name="_PBC report comparison 2010-11 Month 7 v1 3 2" xfId="28"/>
    <cellStyle name="_PBC report comparison 2010-11 Month 7 v1 4" xfId="29"/>
    <cellStyle name="_PBC report comparison 2010-11 Month 7 v1_Batch INPUT JNL NHS M13 WIPb" xfId="30"/>
    <cellStyle name="_PBC report comparison 2010-11 Month 7 v1_Batch INPUT JNL NHS M13 WIPc" xfId="31"/>
    <cellStyle name="_PBC report comparison 2010-11 Month 7 v1_ENHT Phasing (inc ISTC)" xfId="32"/>
    <cellStyle name="_PBC report comparison 2010-11 Month 7 v1_ENHT Phasing (inc ISTC) 2" xfId="33"/>
    <cellStyle name="_PBC report comparison 2010-11 Month 7 v1_WIP Summary 2010-11" xfId="34"/>
    <cellStyle name="_PBC report comparison 2010-11 Month 8 v2" xfId="35"/>
    <cellStyle name="_PBC report comparison 2010-11 Month 8 v2 2" xfId="36"/>
    <cellStyle name="_PBC report comparison 2010-11 Month 8 v2 3" xfId="37"/>
    <cellStyle name="_PBC report comparison 2010-11 Month 8 v2 3 2" xfId="38"/>
    <cellStyle name="_PBC report comparison 2010-11 Month 8 v2 4" xfId="39"/>
    <cellStyle name="_PBC report comparison 2010-11 Month 8 v2_Batch INPUT JNL NHS M13 WIPb" xfId="40"/>
    <cellStyle name="_PBC report comparison 2010-11 Month 8 v2_Batch INPUT JNL NHS M13 WIPc" xfId="41"/>
    <cellStyle name="_PBC report comparison 2010-11 Month 8 v2_ENHT Phasing (inc ISTC)" xfId="42"/>
    <cellStyle name="_PBC report comparison 2010-11 Month 8 v2_ENHT Phasing (inc ISTC) 2" xfId="43"/>
    <cellStyle name="_PBC report comparison 2010-11 Month 8 v2_WIP Summary 2010-11" xfId="44"/>
    <cellStyle name="_Prescribing QIPP Saving" xfId="45"/>
    <cellStyle name="_TableHead" xfId="423"/>
    <cellStyle name="_V4 of 1112 Proposal QIPP" xfId="46"/>
    <cellStyle name="0,0_x000d__x000a_NA_x000d__x000a_" xfId="47"/>
    <cellStyle name="0,0_x000d__x000a_NA_x000d__x000a_ 2" xfId="48"/>
    <cellStyle name="0,0_x000d__x000a_NA_x000d__x000a_ 3" xfId="49"/>
    <cellStyle name="0,0_x000d__x000a_NA_x000d__x000a__0708_PB_RAW_DATA" xfId="50"/>
    <cellStyle name="1dp" xfId="424"/>
    <cellStyle name="1dp 2" xfId="425"/>
    <cellStyle name="20% - Accent1 2" xfId="51"/>
    <cellStyle name="20% - Accent1 2 2" xfId="287"/>
    <cellStyle name="20% - Accent1 3" xfId="305"/>
    <cellStyle name="20% - Accent1 3 2" xfId="426"/>
    <cellStyle name="20% - Accent2 2" xfId="52"/>
    <cellStyle name="20% - Accent2 2 2" xfId="288"/>
    <cellStyle name="20% - Accent2 3" xfId="306"/>
    <cellStyle name="20% - Accent2 3 2" xfId="427"/>
    <cellStyle name="20% - Accent3 2" xfId="53"/>
    <cellStyle name="20% - Accent3 2 2" xfId="289"/>
    <cellStyle name="20% - Accent3 3" xfId="307"/>
    <cellStyle name="20% - Accent3 3 2" xfId="428"/>
    <cellStyle name="20% - Accent4 2" xfId="54"/>
    <cellStyle name="20% - Accent4 2 2" xfId="290"/>
    <cellStyle name="20% - Accent4 3" xfId="308"/>
    <cellStyle name="20% - Accent4 3 2" xfId="429"/>
    <cellStyle name="20% - Accent5 2" xfId="55"/>
    <cellStyle name="20% - Accent5 2 2" xfId="291"/>
    <cellStyle name="20% - Accent5 3" xfId="309"/>
    <cellStyle name="20% - Accent5 3 2" xfId="430"/>
    <cellStyle name="20% - Accent6 2" xfId="56"/>
    <cellStyle name="20% - Accent6 2 2" xfId="292"/>
    <cellStyle name="20% - Accent6 3" xfId="310"/>
    <cellStyle name="20% - Accent6 3 2" xfId="431"/>
    <cellStyle name="3dp" xfId="432"/>
    <cellStyle name="3dp 2" xfId="433"/>
    <cellStyle name="40% - Accent1 2" xfId="57"/>
    <cellStyle name="40% - Accent1 2 2" xfId="293"/>
    <cellStyle name="40% - Accent1 3" xfId="311"/>
    <cellStyle name="40% - Accent1 3 2" xfId="434"/>
    <cellStyle name="40% - Accent2 2" xfId="58"/>
    <cellStyle name="40% - Accent2 2 2" xfId="294"/>
    <cellStyle name="40% - Accent2 3" xfId="312"/>
    <cellStyle name="40% - Accent2 3 2" xfId="435"/>
    <cellStyle name="40% - Accent3 2" xfId="59"/>
    <cellStyle name="40% - Accent3 2 2" xfId="295"/>
    <cellStyle name="40% - Accent3 3" xfId="313"/>
    <cellStyle name="40% - Accent3 3 2" xfId="436"/>
    <cellStyle name="40% - Accent4 2" xfId="60"/>
    <cellStyle name="40% - Accent4 2 2" xfId="296"/>
    <cellStyle name="40% - Accent4 3" xfId="314"/>
    <cellStyle name="40% - Accent4 3 2" xfId="437"/>
    <cellStyle name="40% - Accent5 2" xfId="61"/>
    <cellStyle name="40% - Accent5 2 2" xfId="297"/>
    <cellStyle name="40% - Accent5 3" xfId="315"/>
    <cellStyle name="40% - Accent5 3 2" xfId="438"/>
    <cellStyle name="40% - Accent6 2" xfId="62"/>
    <cellStyle name="40% - Accent6 2 2" xfId="298"/>
    <cellStyle name="40% - Accent6 3" xfId="316"/>
    <cellStyle name="40% - Accent6 3 2" xfId="439"/>
    <cellStyle name="4dp" xfId="440"/>
    <cellStyle name="4dp 2" xfId="441"/>
    <cellStyle name="60% - Accent1 2" xfId="63"/>
    <cellStyle name="60% - Accent1 2 2" xfId="317"/>
    <cellStyle name="60% - Accent1 3" xfId="318"/>
    <cellStyle name="60% - Accent2 2" xfId="64"/>
    <cellStyle name="60% - Accent2 2 2" xfId="319"/>
    <cellStyle name="60% - Accent2 3" xfId="320"/>
    <cellStyle name="60% - Accent3 2" xfId="65"/>
    <cellStyle name="60% - Accent3 2 2" xfId="321"/>
    <cellStyle name="60% - Accent3 3" xfId="322"/>
    <cellStyle name="60% - Accent4 2" xfId="66"/>
    <cellStyle name="60% - Accent4 2 2" xfId="323"/>
    <cellStyle name="60% - Accent4 3" xfId="324"/>
    <cellStyle name="60% - Accent5 2" xfId="67"/>
    <cellStyle name="60% - Accent5 2 2" xfId="325"/>
    <cellStyle name="60% - Accent5 3" xfId="326"/>
    <cellStyle name="60% - Accent6 2" xfId="68"/>
    <cellStyle name="60% - Accent6 2 2" xfId="327"/>
    <cellStyle name="60% - Accent6 3" xfId="328"/>
    <cellStyle name="Accent1 2" xfId="69"/>
    <cellStyle name="Accent1 2 2" xfId="329"/>
    <cellStyle name="Accent1 3" xfId="330"/>
    <cellStyle name="Accent2 2" xfId="70"/>
    <cellStyle name="Accent2 2 2" xfId="331"/>
    <cellStyle name="Accent2 3" xfId="332"/>
    <cellStyle name="Accent3 2" xfId="71"/>
    <cellStyle name="Accent3 2 2" xfId="333"/>
    <cellStyle name="Accent3 3" xfId="334"/>
    <cellStyle name="Accent4 2" xfId="72"/>
    <cellStyle name="Accent4 2 2" xfId="335"/>
    <cellStyle name="Accent4 3" xfId="336"/>
    <cellStyle name="Accent5 2" xfId="73"/>
    <cellStyle name="Accent5 3" xfId="337"/>
    <cellStyle name="Accent6 2" xfId="74"/>
    <cellStyle name="Accent6 2 2" xfId="338"/>
    <cellStyle name="Accent6 3" xfId="339"/>
    <cellStyle name="ANCLAS,REZONES Y SUS PARTES,DE FUNDICION,DE HIERRO O DE ACERO" xfId="442"/>
    <cellStyle name="ariel" xfId="75"/>
    <cellStyle name="Assumptions" xfId="443"/>
    <cellStyle name="Assumptions 2" xfId="444"/>
    <cellStyle name="Assumptions 2 2" xfId="445"/>
    <cellStyle name="Assumptions 2 2 2" xfId="446"/>
    <cellStyle name="Assumptions 2 2 3" xfId="447"/>
    <cellStyle name="Assumptions 2 2 4" xfId="448"/>
    <cellStyle name="Assumptions 2 3" xfId="449"/>
    <cellStyle name="Assumptions 2 4" xfId="450"/>
    <cellStyle name="Assumptions 2 5" xfId="451"/>
    <cellStyle name="Assumptions Heading_Pivot_Table_Example_BA" xfId="76"/>
    <cellStyle name="Assumptions Right Currency_Pivot_Table_Example_BA" xfId="77"/>
    <cellStyle name="Bad 2" xfId="78"/>
    <cellStyle name="Bad 2 2" xfId="340"/>
    <cellStyle name="Bad 3" xfId="341"/>
    <cellStyle name="Bid £m format" xfId="452"/>
    <cellStyle name="Blank" xfId="453"/>
    <cellStyle name="Calc" xfId="79"/>
    <cellStyle name="Calcs general" xfId="454"/>
    <cellStyle name="Calculated Field" xfId="455"/>
    <cellStyle name="Calculation 2" xfId="80"/>
    <cellStyle name="Calculation 2 2" xfId="81"/>
    <cellStyle name="Calculation 2 2 2" xfId="875"/>
    <cellStyle name="Calculation 2 2 3" xfId="901"/>
    <cellStyle name="Calculation 2 3" xfId="342"/>
    <cellStyle name="Calculation 2 3 2" xfId="929"/>
    <cellStyle name="Calculation 2 3 3" xfId="904"/>
    <cellStyle name="Calculation 2 4" xfId="874"/>
    <cellStyle name="Calculation 2 5" xfId="900"/>
    <cellStyle name="Calculation 3" xfId="343"/>
    <cellStyle name="Calculation 3 2" xfId="456"/>
    <cellStyle name="Calculation 3 3" xfId="457"/>
    <cellStyle name="Calculation 3 4" xfId="930"/>
    <cellStyle name="Check Cell 2" xfId="82"/>
    <cellStyle name="Check Cell 3" xfId="344"/>
    <cellStyle name="CIL" xfId="458"/>
    <cellStyle name="CIU" xfId="459"/>
    <cellStyle name="CodeHeading" xfId="83"/>
    <cellStyle name="ColumnTitle" xfId="460"/>
    <cellStyle name="Comma" xfId="1" builtinId="3"/>
    <cellStyle name="Comma [0] 2" xfId="84"/>
    <cellStyle name="Comma [0] 2 2" xfId="461"/>
    <cellStyle name="Comma [0] 2 3" xfId="462"/>
    <cellStyle name="Comma 10" xfId="85"/>
    <cellStyle name="Comma 10 2" xfId="86"/>
    <cellStyle name="Comma 10 2 2" xfId="463"/>
    <cellStyle name="Comma 10 2 3" xfId="464"/>
    <cellStyle name="Comma 10 3" xfId="465"/>
    <cellStyle name="Comma 10 4" xfId="466"/>
    <cellStyle name="Comma 11" xfId="87"/>
    <cellStyle name="Comma 11 2" xfId="299"/>
    <cellStyle name="Comma 11 3" xfId="467"/>
    <cellStyle name="Comma 12" xfId="283"/>
    <cellStyle name="Comma 13" xfId="345"/>
    <cellStyle name="Comma 14" xfId="468"/>
    <cellStyle name="Comma 15" xfId="469"/>
    <cellStyle name="Comma 2" xfId="88"/>
    <cellStyle name="Comma 2 2" xfId="89"/>
    <cellStyle name="Comma 2 2 2" xfId="470"/>
    <cellStyle name="Comma 2 2 3" xfId="471"/>
    <cellStyle name="Comma 2 3" xfId="90"/>
    <cellStyle name="Comma 2 3 2" xfId="472"/>
    <cellStyle name="Comma 2 3 3" xfId="473"/>
    <cellStyle name="Comma 2 4" xfId="91"/>
    <cellStyle name="Comma 2 4 2" xfId="300"/>
    <cellStyle name="Comma 2 4 3" xfId="474"/>
    <cellStyle name="Comma 2 5" xfId="346"/>
    <cellStyle name="Comma 2 6" xfId="475"/>
    <cellStyle name="Comma 2_Batch INPUT JNL NHS M13 WIPb" xfId="92"/>
    <cellStyle name="Comma 3" xfId="93"/>
    <cellStyle name="Comma 3 2" xfId="476"/>
    <cellStyle name="Comma 3 2 2" xfId="477"/>
    <cellStyle name="Comma 3 2 3" xfId="478"/>
    <cellStyle name="Comma 3 3" xfId="479"/>
    <cellStyle name="Comma 3 4" xfId="480"/>
    <cellStyle name="Comma 4" xfId="94"/>
    <cellStyle name="Comma 4 2" xfId="95"/>
    <cellStyle name="Comma 4 2 2" xfId="481"/>
    <cellStyle name="Comma 4 2 2 2" xfId="482"/>
    <cellStyle name="Comma 4 2 2 2 2" xfId="483"/>
    <cellStyle name="Comma 4 2 2 2 3" xfId="484"/>
    <cellStyle name="Comma 4 2 2 3" xfId="485"/>
    <cellStyle name="Comma 4 2 2 4" xfId="486"/>
    <cellStyle name="Comma 4 2 3" xfId="487"/>
    <cellStyle name="Comma 4 2 3 2" xfId="488"/>
    <cellStyle name="Comma 4 2 3 3" xfId="489"/>
    <cellStyle name="Comma 4 2 4" xfId="490"/>
    <cellStyle name="Comma 4 2 5" xfId="877"/>
    <cellStyle name="Comma 4 3" xfId="491"/>
    <cellStyle name="Comma 4 3 2" xfId="492"/>
    <cellStyle name="Comma 4 3 2 2" xfId="493"/>
    <cellStyle name="Comma 4 3 2 3" xfId="494"/>
    <cellStyle name="Comma 4 3 3" xfId="495"/>
    <cellStyle name="Comma 4 3 4" xfId="496"/>
    <cellStyle name="Comma 4 4" xfId="497"/>
    <cellStyle name="Comma 4 4 2" xfId="498"/>
    <cellStyle name="Comma 4 5" xfId="499"/>
    <cellStyle name="Comma 4 5 2" xfId="500"/>
    <cellStyle name="Comma 4 5 3" xfId="501"/>
    <cellStyle name="Comma 4 6" xfId="502"/>
    <cellStyle name="Comma 4 7" xfId="876"/>
    <cellStyle name="Comma 5" xfId="96"/>
    <cellStyle name="Comma 5 2" xfId="503"/>
    <cellStyle name="Comma 5 2 2" xfId="504"/>
    <cellStyle name="Comma 5 2 2 2" xfId="505"/>
    <cellStyle name="Comma 5 2 2 2 2" xfId="506"/>
    <cellStyle name="Comma 5 2 2 2 3" xfId="507"/>
    <cellStyle name="Comma 5 2 2 3" xfId="508"/>
    <cellStyle name="Comma 5 2 2 4" xfId="509"/>
    <cellStyle name="Comma 5 2 3" xfId="510"/>
    <cellStyle name="Comma 5 2 3 2" xfId="511"/>
    <cellStyle name="Comma 5 2 3 3" xfId="512"/>
    <cellStyle name="Comma 5 2 4" xfId="513"/>
    <cellStyle name="Comma 5 2 5" xfId="514"/>
    <cellStyle name="Comma 5 3" xfId="515"/>
    <cellStyle name="Comma 5 3 2" xfId="516"/>
    <cellStyle name="Comma 5 3 2 2" xfId="517"/>
    <cellStyle name="Comma 5 3 2 3" xfId="518"/>
    <cellStyle name="Comma 5 3 3" xfId="519"/>
    <cellStyle name="Comma 5 3 4" xfId="520"/>
    <cellStyle name="Comma 5 4" xfId="521"/>
    <cellStyle name="Comma 5 4 2" xfId="522"/>
    <cellStyle name="Comma 5 4 3" xfId="523"/>
    <cellStyle name="Comma 5 5" xfId="524"/>
    <cellStyle name="Comma 5 6" xfId="525"/>
    <cellStyle name="Comma 6" xfId="97"/>
    <cellStyle name="Comma 6 2" xfId="98"/>
    <cellStyle name="Comma 6 2 2" xfId="99"/>
    <cellStyle name="Comma 6 2 2 2" xfId="526"/>
    <cellStyle name="Comma 6 2 2 3" xfId="527"/>
    <cellStyle name="Comma 6 2 3" xfId="878"/>
    <cellStyle name="Comma 6 3" xfId="301"/>
    <cellStyle name="Comma 6 3 2" xfId="528"/>
    <cellStyle name="Comma 6 3 3" xfId="529"/>
    <cellStyle name="Comma 6 4" xfId="530"/>
    <cellStyle name="Comma 6 5" xfId="531"/>
    <cellStyle name="Comma 7" xfId="100"/>
    <cellStyle name="Comma 7 2" xfId="532"/>
    <cellStyle name="Comma 7 2 2" xfId="533"/>
    <cellStyle name="Comma 7 2 3" xfId="534"/>
    <cellStyle name="Comma 7 3" xfId="535"/>
    <cellStyle name="Comma 7 4" xfId="536"/>
    <cellStyle name="Comma 8" xfId="101"/>
    <cellStyle name="Comma 8 2" xfId="102"/>
    <cellStyle name="Comma 8 2 2" xfId="537"/>
    <cellStyle name="Comma 8 2 3" xfId="538"/>
    <cellStyle name="Comma 8 3" xfId="539"/>
    <cellStyle name="Comma 8 4" xfId="540"/>
    <cellStyle name="Comma 9" xfId="103"/>
    <cellStyle name="Comma 9 2" xfId="104"/>
    <cellStyle name="Comma 9 2 2" xfId="541"/>
    <cellStyle name="Comma 9 2 3" xfId="880"/>
    <cellStyle name="Comma 9 3" xfId="542"/>
    <cellStyle name="Comma 9 4" xfId="879"/>
    <cellStyle name="Comma0" xfId="105"/>
    <cellStyle name="Currency" xfId="2" builtinId="4"/>
    <cellStyle name="Currency [0] 2" xfId="106"/>
    <cellStyle name="Currency [0] 2 2" xfId="543"/>
    <cellStyle name="Currency [0] 2 3" xfId="544"/>
    <cellStyle name="Currency 2" xfId="107"/>
    <cellStyle name="Currency 2 2" xfId="347"/>
    <cellStyle name="Currency 2 3" xfId="545"/>
    <cellStyle name="Currency 3" xfId="108"/>
    <cellStyle name="Currency 3 2" xfId="546"/>
    <cellStyle name="Currency 4" xfId="284"/>
    <cellStyle name="Currency 5" xfId="547"/>
    <cellStyle name="Currency 6" xfId="548"/>
    <cellStyle name="Currency 7" xfId="549"/>
    <cellStyle name="DATA Date Long" xfId="550"/>
    <cellStyle name="Data_Total" xfId="551"/>
    <cellStyle name="Date" xfId="552"/>
    <cellStyle name="Description" xfId="553"/>
    <cellStyle name="Euro" xfId="554"/>
    <cellStyle name="Explanation" xfId="109"/>
    <cellStyle name="Explanation 2" xfId="110"/>
    <cellStyle name="Explanation_ENHT Phasing (inc ISTC)" xfId="111"/>
    <cellStyle name="Explanatory Text 2" xfId="112"/>
    <cellStyle name="Explanatory Text 3" xfId="348"/>
    <cellStyle name="ExportHeaderStyleLeft" xfId="555"/>
    <cellStyle name="ExportHeaderStyleRight" xfId="556"/>
    <cellStyle name="ExportLogo" xfId="557"/>
    <cellStyle name="EYBlocked" xfId="113"/>
    <cellStyle name="EYCheck" xfId="114"/>
    <cellStyle name="EYDate" xfId="115"/>
    <cellStyle name="EYHeader1" xfId="116"/>
    <cellStyle name="EYHeader1 2" xfId="881"/>
    <cellStyle name="EYHeader1 2 2" xfId="957"/>
    <cellStyle name="EYHeader1 3" xfId="902"/>
    <cellStyle name="EYHeader2" xfId="117"/>
    <cellStyle name="EYInputDate" xfId="118"/>
    <cellStyle name="EYInputPercent" xfId="119"/>
    <cellStyle name="EYInputValue" xfId="120"/>
    <cellStyle name="EYNormal" xfId="121"/>
    <cellStyle name="EYPercent" xfId="122"/>
    <cellStyle name="Feeder Field" xfId="123"/>
    <cellStyle name="Feeder Field 2" xfId="882"/>
    <cellStyle name="Feeder Field 2 2" xfId="961"/>
    <cellStyle name="Feeder Field 3" xfId="903"/>
    <cellStyle name="Flash" xfId="558"/>
    <cellStyle name="footnote ref" xfId="559"/>
    <cellStyle name="footnote text" xfId="560"/>
    <cellStyle name="General" xfId="561"/>
    <cellStyle name="General 2" xfId="562"/>
    <cellStyle name="Good 2" xfId="124"/>
    <cellStyle name="Good 2 2" xfId="349"/>
    <cellStyle name="Good 3" xfId="350"/>
    <cellStyle name="Grey" xfId="563"/>
    <cellStyle name="Greyed" xfId="125"/>
    <cellStyle name="Greyed 2" xfId="126"/>
    <cellStyle name="Greyed 3" xfId="127"/>
    <cellStyle name="H1" xfId="128"/>
    <cellStyle name="H2" xfId="129"/>
    <cellStyle name="Header1" xfId="130"/>
    <cellStyle name="HeaderLabel" xfId="564"/>
    <cellStyle name="HeaderText" xfId="565"/>
    <cellStyle name="Heading 1 2" xfId="131"/>
    <cellStyle name="Heading 1 2 2" xfId="351"/>
    <cellStyle name="Heading 1 2_asset sales" xfId="566"/>
    <cellStyle name="Heading 1 3" xfId="352"/>
    <cellStyle name="Heading 1 4" xfId="567"/>
    <cellStyle name="Heading 2 2" xfId="132"/>
    <cellStyle name="Heading 2 2 2" xfId="353"/>
    <cellStyle name="Heading 2 3" xfId="354"/>
    <cellStyle name="Heading 3 2" xfId="133"/>
    <cellStyle name="Heading 3 2 2" xfId="355"/>
    <cellStyle name="Heading 3 3" xfId="356"/>
    <cellStyle name="Heading 4 2" xfId="134"/>
    <cellStyle name="Heading 4 2 2" xfId="357"/>
    <cellStyle name="Heading 4 3" xfId="358"/>
    <cellStyle name="Heading 5" xfId="568"/>
    <cellStyle name="Heading 6" xfId="569"/>
    <cellStyle name="Heading 7" xfId="570"/>
    <cellStyle name="Heading 8" xfId="571"/>
    <cellStyle name="Headings" xfId="572"/>
    <cellStyle name="Historical inputs" xfId="573"/>
    <cellStyle name="Historical inputs 2" xfId="574"/>
    <cellStyle name="Historical inputs 2 2" xfId="575"/>
    <cellStyle name="Historical inputs 2 2 2" xfId="576"/>
    <cellStyle name="Historical inputs 2 2 3" xfId="577"/>
    <cellStyle name="Historical inputs 2 2 4" xfId="578"/>
    <cellStyle name="Historical inputs 2 3" xfId="579"/>
    <cellStyle name="Historical inputs 2 4" xfId="580"/>
    <cellStyle name="Historical inputs 2 5" xfId="581"/>
    <cellStyle name="Hyperlink" xfId="286" builtinId="8"/>
    <cellStyle name="Hyperlink 2" xfId="135"/>
    <cellStyle name="Hyperlink 2 2" xfId="136"/>
    <cellStyle name="Hyperlink 2 3" xfId="359"/>
    <cellStyle name="Hyperlink 2 3 2" xfId="889"/>
    <cellStyle name="Hyperlink 3" xfId="137"/>
    <cellStyle name="Hyperlink 4" xfId="138"/>
    <cellStyle name="Hyperlink 5" xfId="139"/>
    <cellStyle name="Hyperlink 6" xfId="140"/>
    <cellStyle name="Hyperlink 7" xfId="141"/>
    <cellStyle name="Hyperlink 8" xfId="582"/>
    <cellStyle name="Important output" xfId="583"/>
    <cellStyle name="Important output 2" xfId="584"/>
    <cellStyle name="Important output 2 2" xfId="585"/>
    <cellStyle name="Important output 2 2 2" xfId="586"/>
    <cellStyle name="Important output 2 2 3" xfId="587"/>
    <cellStyle name="Important output 2 2 4" xfId="588"/>
    <cellStyle name="Important output 2 3" xfId="589"/>
    <cellStyle name="Important output 2 4" xfId="590"/>
    <cellStyle name="Important output 2 5" xfId="591"/>
    <cellStyle name="IndentedPlain" xfId="142"/>
    <cellStyle name="IndentedPlain 2" xfId="143"/>
    <cellStyle name="IndentedPlain 3" xfId="144"/>
    <cellStyle name="IndentedPlain 3 2" xfId="145"/>
    <cellStyle name="IndentedPlain 4" xfId="146"/>
    <cellStyle name="IndentedPlain_Batch INPUT JNL NHS M13 WIPb" xfId="147"/>
    <cellStyle name="Information" xfId="592"/>
    <cellStyle name="Input [yellow]" xfId="593"/>
    <cellStyle name="Input 1" xfId="594"/>
    <cellStyle name="Input 10" xfId="595"/>
    <cellStyle name="Input 11" xfId="596"/>
    <cellStyle name="Input 12" xfId="597"/>
    <cellStyle name="Input 13" xfId="598"/>
    <cellStyle name="Input 14" xfId="599"/>
    <cellStyle name="Input 15" xfId="600"/>
    <cellStyle name="Input 16" xfId="601"/>
    <cellStyle name="Input 17" xfId="602"/>
    <cellStyle name="Input 18" xfId="603"/>
    <cellStyle name="Input 19" xfId="604"/>
    <cellStyle name="Input 2" xfId="148"/>
    <cellStyle name="Input 2 2" xfId="360"/>
    <cellStyle name="Input 2 2 2" xfId="931"/>
    <cellStyle name="Input 2 2 3" xfId="955"/>
    <cellStyle name="Input 2 3" xfId="605"/>
    <cellStyle name="Input 3" xfId="149"/>
    <cellStyle name="Input 3 2" xfId="361"/>
    <cellStyle name="Input 3 2 2" xfId="932"/>
    <cellStyle name="Input 3 2 3" xfId="954"/>
    <cellStyle name="Input 3 3" xfId="606"/>
    <cellStyle name="Input 4" xfId="607"/>
    <cellStyle name="Input 5" xfId="608"/>
    <cellStyle name="Input 6" xfId="609"/>
    <cellStyle name="Input 7" xfId="610"/>
    <cellStyle name="Input 8" xfId="611"/>
    <cellStyle name="Input 9" xfId="612"/>
    <cellStyle name="Input Cell" xfId="613"/>
    <cellStyle name="LABEL Note" xfId="614"/>
    <cellStyle name="LabelIntersect" xfId="615"/>
    <cellStyle name="LabelLeft" xfId="616"/>
    <cellStyle name="LabelTop" xfId="617"/>
    <cellStyle name="Large" xfId="150"/>
    <cellStyle name="Linked Cell 2" xfId="151"/>
    <cellStyle name="Linked Cell 2 2" xfId="362"/>
    <cellStyle name="Linked Cell 3" xfId="363"/>
    <cellStyle name="Mid_Centred" xfId="152"/>
    <cellStyle name="Mik" xfId="618"/>
    <cellStyle name="Mik 2" xfId="619"/>
    <cellStyle name="Mik_Additional charts" xfId="620"/>
    <cellStyle name="Modelling References" xfId="153"/>
    <cellStyle name="N" xfId="621"/>
    <cellStyle name="N 2" xfId="622"/>
    <cellStyle name="Named Range Tag" xfId="623"/>
    <cellStyle name="Neutral 2" xfId="154"/>
    <cellStyle name="Neutral 2 2" xfId="364"/>
    <cellStyle name="Neutral 3" xfId="365"/>
    <cellStyle name="Normal" xfId="0" builtinId="0"/>
    <cellStyle name="Normal - Style1" xfId="624"/>
    <cellStyle name="Normal - Style2" xfId="625"/>
    <cellStyle name="Normal - Style3" xfId="626"/>
    <cellStyle name="Normal - Style4" xfId="627"/>
    <cellStyle name="Normal - Style5" xfId="628"/>
    <cellStyle name="Normal 10" xfId="155"/>
    <cellStyle name="Normal 10 2" xfId="366"/>
    <cellStyle name="Normal 10 2 2" xfId="629"/>
    <cellStyle name="Normal 10 3" xfId="630"/>
    <cellStyle name="Normal 11" xfId="156"/>
    <cellStyle name="Normal 11 2" xfId="367"/>
    <cellStyle name="Normal 12" xfId="157"/>
    <cellStyle name="Normal 12 2" xfId="368"/>
    <cellStyle name="Normal 12 2 2" xfId="631"/>
    <cellStyle name="Normal 12 2 2 2" xfId="632"/>
    <cellStyle name="Normal 12 2 2 2 2" xfId="633"/>
    <cellStyle name="Normal 12 2 2 3" xfId="634"/>
    <cellStyle name="Normal 12 2 3" xfId="635"/>
    <cellStyle name="Normal 12 2 3 2" xfId="636"/>
    <cellStyle name="Normal 12 2 4" xfId="637"/>
    <cellStyle name="Normal 13" xfId="158"/>
    <cellStyle name="Normal 13 2" xfId="369"/>
    <cellStyle name="Normal 14" xfId="159"/>
    <cellStyle name="Normal 14 2" xfId="370"/>
    <cellStyle name="Normal 15" xfId="160"/>
    <cellStyle name="Normal 15 2" xfId="638"/>
    <cellStyle name="Normal 16" xfId="161"/>
    <cellStyle name="Normal 17" xfId="162"/>
    <cellStyle name="Normal 18" xfId="163"/>
    <cellStyle name="Normal 19" xfId="164"/>
    <cellStyle name="Normal 2" xfId="3"/>
    <cellStyle name="Normal 2 2" xfId="165"/>
    <cellStyle name="Normal 2 2 2" xfId="166"/>
    <cellStyle name="Normal 2 2 2 2" xfId="371"/>
    <cellStyle name="Normal 2 2 2_100917_NPSA_Organisat_Oct09_Mar10_FINAL" xfId="372"/>
    <cellStyle name="Normal 2 2 3" xfId="373"/>
    <cellStyle name="Normal 2 2 4" xfId="374"/>
    <cellStyle name="Normal 2 2_100917_NPSA_Organisat_Oct09_Mar10_FINAL" xfId="375"/>
    <cellStyle name="Normal 2 3" xfId="167"/>
    <cellStyle name="Normal 2 3 2" xfId="376"/>
    <cellStyle name="Normal 2 3_100917_NPSA_Organisat_Oct09_Mar10_FINAL" xfId="377"/>
    <cellStyle name="Normal 2 4" xfId="378"/>
    <cellStyle name="Normal 2 4 2" xfId="379"/>
    <cellStyle name="Normal 2 4 2 2" xfId="639"/>
    <cellStyle name="Normal 2 4 3" xfId="640"/>
    <cellStyle name="Normal 2 5" xfId="641"/>
    <cellStyle name="Normal 2 5 2" xfId="642"/>
    <cellStyle name="Normal 2 6" xfId="643"/>
    <cellStyle name="Normal 2 7" xfId="644"/>
    <cellStyle name="Normal 2_110621 OBRoutput FSR transUpdate and tobacco jun25" xfId="645"/>
    <cellStyle name="Normal 20" xfId="168"/>
    <cellStyle name="Normal 20 2" xfId="646"/>
    <cellStyle name="Normal 20 3" xfId="647"/>
    <cellStyle name="Normal 21" xfId="169"/>
    <cellStyle name="Normal 21 2" xfId="648"/>
    <cellStyle name="Normal 21 3" xfId="649"/>
    <cellStyle name="Normal 21_Book1" xfId="650"/>
    <cellStyle name="Normal 22" xfId="170"/>
    <cellStyle name="Normal 22 2" xfId="651"/>
    <cellStyle name="Normal 22_Book1" xfId="652"/>
    <cellStyle name="Normal 23" xfId="171"/>
    <cellStyle name="Normal 23 2" xfId="653"/>
    <cellStyle name="Normal 24" xfId="172"/>
    <cellStyle name="Normal 25" xfId="173"/>
    <cellStyle name="Normal 25 2" xfId="654"/>
    <cellStyle name="Normal 26" xfId="174"/>
    <cellStyle name="Normal 26 2" xfId="655"/>
    <cellStyle name="Normal 27" xfId="175"/>
    <cellStyle name="Normal 27 2" xfId="656"/>
    <cellStyle name="Normal 28" xfId="176"/>
    <cellStyle name="Normal 28 2" xfId="657"/>
    <cellStyle name="Normal 29" xfId="177"/>
    <cellStyle name="Normal 29 2" xfId="658"/>
    <cellStyle name="Normal 3" xfId="178"/>
    <cellStyle name="Normal 3 2" xfId="179"/>
    <cellStyle name="Normal 3 2 2" xfId="380"/>
    <cellStyle name="Normal 3 3" xfId="180"/>
    <cellStyle name="Normal 3 3 2" xfId="659"/>
    <cellStyle name="Normal 3 3 2 2" xfId="660"/>
    <cellStyle name="Normal 3 3 3" xfId="661"/>
    <cellStyle name="Normal 3 4" xfId="381"/>
    <cellStyle name="Normal 3 4 2" xfId="662"/>
    <cellStyle name="Normal 3 5" xfId="663"/>
    <cellStyle name="Normal 3 6" xfId="664"/>
    <cellStyle name="Normal 3 7" xfId="665"/>
    <cellStyle name="Normal 3 8" xfId="666"/>
    <cellStyle name="Normal 3 9" xfId="667"/>
    <cellStyle name="Normal 3_asset sales" xfId="668"/>
    <cellStyle name="Normal 30" xfId="181"/>
    <cellStyle name="Normal 31" xfId="182"/>
    <cellStyle name="Normal 32" xfId="183"/>
    <cellStyle name="Normal 33" xfId="184"/>
    <cellStyle name="Normal 33 2" xfId="669"/>
    <cellStyle name="Normal 34" xfId="185"/>
    <cellStyle name="Normal 34 2" xfId="186"/>
    <cellStyle name="Normal 35" xfId="187"/>
    <cellStyle name="Normal 35 2" xfId="188"/>
    <cellStyle name="Normal 36" xfId="189"/>
    <cellStyle name="Normal 36 2" xfId="190"/>
    <cellStyle name="Normal 37" xfId="191"/>
    <cellStyle name="Normal 37 2" xfId="192"/>
    <cellStyle name="Normal 38" xfId="193"/>
    <cellStyle name="Normal 39" xfId="382"/>
    <cellStyle name="Normal 4" xfId="194"/>
    <cellStyle name="Normal 4 2" xfId="195"/>
    <cellStyle name="Normal 4 2 2" xfId="196"/>
    <cellStyle name="Normal 4 2 2 2" xfId="197"/>
    <cellStyle name="Normal 4 2 3" xfId="198"/>
    <cellStyle name="Normal 4 2 4" xfId="383"/>
    <cellStyle name="Normal 4 3" xfId="199"/>
    <cellStyle name="Normal 4 3 2" xfId="670"/>
    <cellStyle name="Normal 4 4" xfId="671"/>
    <cellStyle name="Normal 4 5" xfId="672"/>
    <cellStyle name="Normal 4_Book1" xfId="673"/>
    <cellStyle name="Normal 40" xfId="674"/>
    <cellStyle name="Normal 41" xfId="675"/>
    <cellStyle name="Normal 42" xfId="676"/>
    <cellStyle name="Normal 42 2" xfId="677"/>
    <cellStyle name="Normal 43" xfId="678"/>
    <cellStyle name="Normal 44" xfId="679"/>
    <cellStyle name="Normal 45" xfId="680"/>
    <cellStyle name="Normal 46" xfId="681"/>
    <cellStyle name="Normal 47" xfId="682"/>
    <cellStyle name="Normal 48" xfId="683"/>
    <cellStyle name="Normal 49" xfId="684"/>
    <cellStyle name="Normal 5" xfId="200"/>
    <cellStyle name="Normal 5 2" xfId="384"/>
    <cellStyle name="Normal 50" xfId="685"/>
    <cellStyle name="Normal 6" xfId="201"/>
    <cellStyle name="Normal 6 2" xfId="385"/>
    <cellStyle name="Normal 6 3" xfId="285"/>
    <cellStyle name="Normal 6 3 2" xfId="911"/>
    <cellStyle name="Normal 6 4" xfId="386"/>
    <cellStyle name="Normal 7" xfId="202"/>
    <cellStyle name="Normal 7 2" xfId="387"/>
    <cellStyle name="Normal 8" xfId="203"/>
    <cellStyle name="Normal 8 2" xfId="204"/>
    <cellStyle name="Normal 8 2 2" xfId="302"/>
    <cellStyle name="Normal 8_Contracts Commentary 2012-13 Month 4 v1" xfId="205"/>
    <cellStyle name="Normal 9" xfId="206"/>
    <cellStyle name="Normal 9 2" xfId="388"/>
    <cellStyle name="Normal 9 2 2" xfId="686"/>
    <cellStyle name="Normal 9 2 2 2" xfId="687"/>
    <cellStyle name="Normal 9 2 3" xfId="688"/>
    <cellStyle name="Normal 9 3" xfId="689"/>
    <cellStyle name="Normal 9 3 2" xfId="690"/>
    <cellStyle name="Normal 9 4" xfId="691"/>
    <cellStyle name="Normal_Barnsley_AP_Review_v2.2" xfId="888"/>
    <cellStyle name="Note 2" xfId="207"/>
    <cellStyle name="Note 2 2" xfId="208"/>
    <cellStyle name="Note 2 2 2" xfId="389"/>
    <cellStyle name="Note 2 2 3" xfId="884"/>
    <cellStyle name="Note 2 2 4" xfId="906"/>
    <cellStyle name="Note 2 3" xfId="390"/>
    <cellStyle name="Note 2 3 2" xfId="692"/>
    <cellStyle name="Note 2 3 3" xfId="933"/>
    <cellStyle name="Note 2 4" xfId="883"/>
    <cellStyle name="Note 2 5" xfId="905"/>
    <cellStyle name="Note 3" xfId="391"/>
    <cellStyle name="Note 3 2" xfId="693"/>
    <cellStyle name="Note 3 2 2" xfId="694"/>
    <cellStyle name="Note 3 3" xfId="695"/>
    <cellStyle name="Note 3 3 2" xfId="696"/>
    <cellStyle name="Note 3 4" xfId="697"/>
    <cellStyle name="Note 3 5" xfId="934"/>
    <cellStyle name="Output 2" xfId="209"/>
    <cellStyle name="Output 2 2" xfId="210"/>
    <cellStyle name="Output 2 2 2" xfId="886"/>
    <cellStyle name="Output 2 2 2 2" xfId="963"/>
    <cellStyle name="Output 2 2 3" xfId="908"/>
    <cellStyle name="Output 2 3" xfId="392"/>
    <cellStyle name="Output 2 3 2" xfId="935"/>
    <cellStyle name="Output 2 4" xfId="885"/>
    <cellStyle name="Output 2 4 2" xfId="962"/>
    <cellStyle name="Output 2 5" xfId="907"/>
    <cellStyle name="Output 3" xfId="393"/>
    <cellStyle name="Output 3 2" xfId="698"/>
    <cellStyle name="Output 3 2 2" xfId="953"/>
    <cellStyle name="Output 3 3" xfId="699"/>
    <cellStyle name="Output 3 3 2" xfId="952"/>
    <cellStyle name="Output 3 4" xfId="936"/>
    <cellStyle name="Output Amounts" xfId="211"/>
    <cellStyle name="Output Column Headings" xfId="212"/>
    <cellStyle name="Output Line Items" xfId="213"/>
    <cellStyle name="Output Report Heading" xfId="214"/>
    <cellStyle name="Output Report Title" xfId="215"/>
    <cellStyle name="P" xfId="700"/>
    <cellStyle name="P 2" xfId="701"/>
    <cellStyle name="Percent" xfId="4" builtinId="5"/>
    <cellStyle name="Percent [2]" xfId="702"/>
    <cellStyle name="Percent +/-" xfId="216"/>
    <cellStyle name="Percent 10" xfId="217"/>
    <cellStyle name="Percent 10 2" xfId="703"/>
    <cellStyle name="Percent 11" xfId="218"/>
    <cellStyle name="Percent 12" xfId="219"/>
    <cellStyle name="Percent 13" xfId="220"/>
    <cellStyle name="Percent 14" xfId="221"/>
    <cellStyle name="Percent 15" xfId="222"/>
    <cellStyle name="Percent 16" xfId="223"/>
    <cellStyle name="Percent 17" xfId="224"/>
    <cellStyle name="Percent 18" xfId="225"/>
    <cellStyle name="Percent 19" xfId="226"/>
    <cellStyle name="Percent 2" xfId="5"/>
    <cellStyle name="Percent 2 2" xfId="227"/>
    <cellStyle name="Percent 2 2 2" xfId="704"/>
    <cellStyle name="Percent 2 2 2 2" xfId="705"/>
    <cellStyle name="Percent 2 2 2 2 2" xfId="706"/>
    <cellStyle name="Percent 2 2 2 3" xfId="707"/>
    <cellStyle name="Percent 2 2 3" xfId="708"/>
    <cellStyle name="Percent 2 2 3 2" xfId="709"/>
    <cellStyle name="Percent 2 2 4" xfId="710"/>
    <cellStyle name="Percent 2 3" xfId="228"/>
    <cellStyle name="Percent 2 4" xfId="711"/>
    <cellStyle name="Percent 2 4 2" xfId="712"/>
    <cellStyle name="Percent 2 4 2 2" xfId="713"/>
    <cellStyle name="Percent 2 4 3" xfId="714"/>
    <cellStyle name="Percent 2 5" xfId="715"/>
    <cellStyle name="Percent 2 5 2" xfId="716"/>
    <cellStyle name="Percent 2 6" xfId="717"/>
    <cellStyle name="Percent 20" xfId="229"/>
    <cellStyle name="Percent 21" xfId="230"/>
    <cellStyle name="Percent 22" xfId="231"/>
    <cellStyle name="Percent 23" xfId="232"/>
    <cellStyle name="Percent 24" xfId="233"/>
    <cellStyle name="Percent 25" xfId="234"/>
    <cellStyle name="Percent 26" xfId="235"/>
    <cellStyle name="Percent 27" xfId="236"/>
    <cellStyle name="Percent 28" xfId="237"/>
    <cellStyle name="Percent 29" xfId="238"/>
    <cellStyle name="Percent 3" xfId="239"/>
    <cellStyle name="Percent 3 2" xfId="240"/>
    <cellStyle name="Percent 3 3" xfId="241"/>
    <cellStyle name="Percent 3 3 2" xfId="303"/>
    <cellStyle name="Percent 30" xfId="242"/>
    <cellStyle name="Percent 31" xfId="243"/>
    <cellStyle name="Percent 32" xfId="244"/>
    <cellStyle name="Percent 33" xfId="245"/>
    <cellStyle name="Percent 34" xfId="246"/>
    <cellStyle name="Percent 35" xfId="247"/>
    <cellStyle name="Percent 36" xfId="248"/>
    <cellStyle name="Percent 37" xfId="249"/>
    <cellStyle name="Percent 38" xfId="250"/>
    <cellStyle name="Percent 39" xfId="251"/>
    <cellStyle name="Percent 4" xfId="252"/>
    <cellStyle name="Percent 4 2" xfId="718"/>
    <cellStyle name="Percent 4 2 2" xfId="719"/>
    <cellStyle name="Percent 4 2 2 2" xfId="720"/>
    <cellStyle name="Percent 4 2 3" xfId="721"/>
    <cellStyle name="Percent 4 3" xfId="722"/>
    <cellStyle name="Percent 4 3 2" xfId="723"/>
    <cellStyle name="Percent 4 4" xfId="724"/>
    <cellStyle name="Percent 40" xfId="253"/>
    <cellStyle name="Percent 41" xfId="254"/>
    <cellStyle name="Percent 42" xfId="255"/>
    <cellStyle name="Percent 43" xfId="256"/>
    <cellStyle name="Percent 43 2" xfId="304"/>
    <cellStyle name="Percent 5" xfId="257"/>
    <cellStyle name="Percent 5 2" xfId="258"/>
    <cellStyle name="Percent 5 2 2" xfId="725"/>
    <cellStyle name="Percent 5 3" xfId="726"/>
    <cellStyle name="Percent 6" xfId="259"/>
    <cellStyle name="Percent 6 2" xfId="260"/>
    <cellStyle name="Percent 7" xfId="261"/>
    <cellStyle name="Percent 7 2" xfId="262"/>
    <cellStyle name="Percent 7 2 2" xfId="263"/>
    <cellStyle name="Percent 7 3" xfId="264"/>
    <cellStyle name="Percent 8" xfId="265"/>
    <cellStyle name="Percent 8 2" xfId="266"/>
    <cellStyle name="Percent 9" xfId="267"/>
    <cellStyle name="Percent 9 2" xfId="727"/>
    <cellStyle name="Plain" xfId="268"/>
    <cellStyle name="Plain 2" xfId="269"/>
    <cellStyle name="Plain 3" xfId="270"/>
    <cellStyle name="Plain 3 2" xfId="271"/>
    <cellStyle name="Plain 4" xfId="272"/>
    <cellStyle name="Plain_Batch INPUT JNL NHS M13 WIPb" xfId="273"/>
    <cellStyle name="Refdb standard" xfId="728"/>
    <cellStyle name="ReportData" xfId="729"/>
    <cellStyle name="ReportElements" xfId="730"/>
    <cellStyle name="ReportHeader" xfId="731"/>
    <cellStyle name="Row_CategoryHeadings" xfId="732"/>
    <cellStyle name="SAPBEXaggData" xfId="733"/>
    <cellStyle name="SAPBEXaggData 2" xfId="928"/>
    <cellStyle name="SAPBEXaggDataEmph" xfId="734"/>
    <cellStyle name="SAPBEXaggDataEmph 2" xfId="927"/>
    <cellStyle name="SAPBEXaggItem" xfId="735"/>
    <cellStyle name="SAPBEXaggItem 2" xfId="899"/>
    <cellStyle name="SAPBEXaggItemX" xfId="736"/>
    <cellStyle name="SAPBEXaggItemX 2" xfId="926"/>
    <cellStyle name="SAPBEXchaText" xfId="737"/>
    <cellStyle name="SAPBEXchaText 2" xfId="925"/>
    <cellStyle name="SAPBEXexcBad7" xfId="738"/>
    <cellStyle name="SAPBEXexcBad7 2" xfId="898"/>
    <cellStyle name="SAPBEXexcBad8" xfId="739"/>
    <cellStyle name="SAPBEXexcBad8 2" xfId="924"/>
    <cellStyle name="SAPBEXexcBad9" xfId="740"/>
    <cellStyle name="SAPBEXexcBad9 2" xfId="923"/>
    <cellStyle name="SAPBEXexcCritical4" xfId="741"/>
    <cellStyle name="SAPBEXexcCritical4 2" xfId="897"/>
    <cellStyle name="SAPBEXexcCritical5" xfId="742"/>
    <cellStyle name="SAPBEXexcCritical5 2" xfId="951"/>
    <cellStyle name="SAPBEXexcCritical6" xfId="743"/>
    <cellStyle name="SAPBEXexcCritical6 2" xfId="950"/>
    <cellStyle name="SAPBEXexcGood1" xfId="744"/>
    <cellStyle name="SAPBEXexcGood1 2" xfId="949"/>
    <cellStyle name="SAPBEXexcGood2" xfId="745"/>
    <cellStyle name="SAPBEXexcGood2 2" xfId="922"/>
    <cellStyle name="SAPBEXexcGood3" xfId="746"/>
    <cellStyle name="SAPBEXexcGood3 2" xfId="917"/>
    <cellStyle name="SAPBEXfilterDrill" xfId="747"/>
    <cellStyle name="SAPBEXfilterDrill 2" xfId="896"/>
    <cellStyle name="SAPBEXfilterItem" xfId="748"/>
    <cellStyle name="SAPBEXfilterItem 2" xfId="956"/>
    <cellStyle name="SAPBEXfilterText" xfId="749"/>
    <cellStyle name="SAPBEXformats" xfId="750"/>
    <cellStyle name="SAPBEXformats 2" xfId="916"/>
    <cellStyle name="SAPBEXheaderItem" xfId="751"/>
    <cellStyle name="SAPBEXheaderItem 2" xfId="895"/>
    <cellStyle name="SAPBEXheaderText" xfId="752"/>
    <cellStyle name="SAPBEXheaderText 2" xfId="948"/>
    <cellStyle name="SAPBEXHLevel0" xfId="753"/>
    <cellStyle name="SAPBEXHLevel0 2" xfId="921"/>
    <cellStyle name="SAPBEXHLevel0X" xfId="754"/>
    <cellStyle name="SAPBEXHLevel0X 2" xfId="915"/>
    <cellStyle name="SAPBEXHLevel1" xfId="755"/>
    <cellStyle name="SAPBEXHLevel1 2" xfId="894"/>
    <cellStyle name="SAPBEXHLevel1X" xfId="756"/>
    <cellStyle name="SAPBEXHLevel1X 2" xfId="947"/>
    <cellStyle name="SAPBEXHLevel2" xfId="757"/>
    <cellStyle name="SAPBEXHLevel2 2" xfId="920"/>
    <cellStyle name="SAPBEXHLevel2X" xfId="758"/>
    <cellStyle name="SAPBEXHLevel2X 2" xfId="914"/>
    <cellStyle name="SAPBEXHLevel3" xfId="759"/>
    <cellStyle name="SAPBEXHLevel3 2" xfId="893"/>
    <cellStyle name="SAPBEXHLevel3X" xfId="760"/>
    <cellStyle name="SAPBEXHLevel3X 2" xfId="946"/>
    <cellStyle name="SAPBEXresData" xfId="761"/>
    <cellStyle name="SAPBEXresData 2" xfId="919"/>
    <cellStyle name="SAPBEXresDataEmph" xfId="762"/>
    <cellStyle name="SAPBEXresDataEmph 2" xfId="913"/>
    <cellStyle name="SAPBEXresItem" xfId="763"/>
    <cellStyle name="SAPBEXresItem 2" xfId="892"/>
    <cellStyle name="SAPBEXresItemX" xfId="764"/>
    <cellStyle name="SAPBEXresItemX 2" xfId="945"/>
    <cellStyle name="SAPBEXstdData" xfId="765"/>
    <cellStyle name="SAPBEXstdData 2" xfId="918"/>
    <cellStyle name="SAPBEXstdDataEmph" xfId="766"/>
    <cellStyle name="SAPBEXstdDataEmph 2" xfId="912"/>
    <cellStyle name="SAPBEXstdItem" xfId="767"/>
    <cellStyle name="SAPBEXstdItem 2" xfId="891"/>
    <cellStyle name="SAPBEXstdItemX" xfId="768"/>
    <cellStyle name="SAPBEXstdItemX 2" xfId="944"/>
    <cellStyle name="SAPBEXtitle" xfId="769"/>
    <cellStyle name="SAPBEXundefined" xfId="770"/>
    <cellStyle name="SAPBEXundefined 2" xfId="943"/>
    <cellStyle name="Shaded" xfId="274"/>
    <cellStyle name="Source" xfId="771"/>
    <cellStyle name="ss1" xfId="772"/>
    <cellStyle name="ss10" xfId="773"/>
    <cellStyle name="ss11" xfId="774"/>
    <cellStyle name="ss12" xfId="775"/>
    <cellStyle name="ss13" xfId="776"/>
    <cellStyle name="ss14" xfId="777"/>
    <cellStyle name="ss15" xfId="778"/>
    <cellStyle name="ss16" xfId="779"/>
    <cellStyle name="ss17" xfId="780"/>
    <cellStyle name="ss18" xfId="781"/>
    <cellStyle name="ss19" xfId="782"/>
    <cellStyle name="ss2" xfId="783"/>
    <cellStyle name="ss20" xfId="784"/>
    <cellStyle name="ss21" xfId="785"/>
    <cellStyle name="ss22" xfId="786"/>
    <cellStyle name="ss23" xfId="787"/>
    <cellStyle name="ss24" xfId="788"/>
    <cellStyle name="ss25" xfId="789"/>
    <cellStyle name="ss3" xfId="790"/>
    <cellStyle name="ss4" xfId="791"/>
    <cellStyle name="ss5" xfId="792"/>
    <cellStyle name="ss6" xfId="793"/>
    <cellStyle name="ss7" xfId="794"/>
    <cellStyle name="ss8" xfId="795"/>
    <cellStyle name="ss9" xfId="796"/>
    <cellStyle name="Style 1" xfId="275"/>
    <cellStyle name="Style 1 2" xfId="276"/>
    <cellStyle name="Style1" xfId="797"/>
    <cellStyle name="Style2" xfId="798"/>
    <cellStyle name="Style3" xfId="799"/>
    <cellStyle name="Style4" xfId="800"/>
    <cellStyle name="Style5" xfId="801"/>
    <cellStyle name="Style6" xfId="802"/>
    <cellStyle name="Table Footnote" xfId="803"/>
    <cellStyle name="Table Footnote 2" xfId="804"/>
    <cellStyle name="Table Footnote 2 2" xfId="805"/>
    <cellStyle name="Table Footnote_Additional charts" xfId="806"/>
    <cellStyle name="Table Header" xfId="807"/>
    <cellStyle name="Table Header 2" xfId="808"/>
    <cellStyle name="Table Header 2 2" xfId="809"/>
    <cellStyle name="Table Header_Additional charts" xfId="810"/>
    <cellStyle name="Table Heading 1" xfId="811"/>
    <cellStyle name="Table Heading 1 2" xfId="812"/>
    <cellStyle name="Table Heading 1 2 2" xfId="813"/>
    <cellStyle name="Table Heading 1_Additional charts" xfId="814"/>
    <cellStyle name="Table Heading 2" xfId="815"/>
    <cellStyle name="Table Heading 2 2" xfId="816"/>
    <cellStyle name="Table Heading 2_Additional charts" xfId="817"/>
    <cellStyle name="Table Of Which" xfId="818"/>
    <cellStyle name="Table Of Which 2" xfId="819"/>
    <cellStyle name="Table Of Which_Additional charts" xfId="820"/>
    <cellStyle name="Table Row Billions" xfId="821"/>
    <cellStyle name="Table Row Billions 2" xfId="822"/>
    <cellStyle name="Table Row Billions Check" xfId="823"/>
    <cellStyle name="Table Row Billions Check 2" xfId="824"/>
    <cellStyle name="Table Row Billions Check 3" xfId="825"/>
    <cellStyle name="Table Row Billions Check_asset sales" xfId="826"/>
    <cellStyle name="Table Row Billions_Additional charts" xfId="827"/>
    <cellStyle name="Table Row Millions" xfId="828"/>
    <cellStyle name="Table Row Millions 2" xfId="829"/>
    <cellStyle name="Table Row Millions 2 2" xfId="830"/>
    <cellStyle name="Table Row Millions Check" xfId="831"/>
    <cellStyle name="Table Row Millions Check 2" xfId="832"/>
    <cellStyle name="Table Row Millions Check 3" xfId="833"/>
    <cellStyle name="Table Row Millions Check 4" xfId="834"/>
    <cellStyle name="Table Row Millions Check_asset sales" xfId="835"/>
    <cellStyle name="Table Row Millions_Additional charts" xfId="836"/>
    <cellStyle name="Table Row Percentage" xfId="837"/>
    <cellStyle name="Table Row Percentage 2" xfId="838"/>
    <cellStyle name="Table Row Percentage Check" xfId="839"/>
    <cellStyle name="Table Row Percentage Check 2" xfId="840"/>
    <cellStyle name="Table Row Percentage Check 3" xfId="841"/>
    <cellStyle name="Table Row Percentage Check_asset sales" xfId="842"/>
    <cellStyle name="Table Row Percentage_Additional charts" xfId="843"/>
    <cellStyle name="Table Total Billions" xfId="844"/>
    <cellStyle name="Table Total Billions 2" xfId="845"/>
    <cellStyle name="Table Total Billions_Additional charts" xfId="846"/>
    <cellStyle name="Table Total Millions" xfId="847"/>
    <cellStyle name="Table Total Millions 2" xfId="848"/>
    <cellStyle name="Table Total Millions 2 2" xfId="849"/>
    <cellStyle name="Table Total Millions_Additional charts" xfId="850"/>
    <cellStyle name="Table Total Percentage" xfId="851"/>
    <cellStyle name="Table Total Percentage 2" xfId="852"/>
    <cellStyle name="Table Total Percentage_Additional charts" xfId="853"/>
    <cellStyle name="Table Units" xfId="854"/>
    <cellStyle name="Table Units 2" xfId="855"/>
    <cellStyle name="Table Units 2 2" xfId="856"/>
    <cellStyle name="Table Units_Additional charts" xfId="857"/>
    <cellStyle name="Table_Name" xfId="858"/>
    <cellStyle name="Times New Roman" xfId="859"/>
    <cellStyle name="Title 1" xfId="277"/>
    <cellStyle name="Title 2" xfId="278"/>
    <cellStyle name="Title 2 2" xfId="394"/>
    <cellStyle name="Title 2 3" xfId="887"/>
    <cellStyle name="Title 3" xfId="395"/>
    <cellStyle name="Title 4" xfId="396"/>
    <cellStyle name="Top_Centred" xfId="279"/>
    <cellStyle name="Total 2" xfId="280"/>
    <cellStyle name="Total 2 2" xfId="281"/>
    <cellStyle name="Total 2 2 2" xfId="860"/>
    <cellStyle name="Total 2 2 2 2" xfId="942"/>
    <cellStyle name="Total 2 2 3" xfId="861"/>
    <cellStyle name="Total 2 2 3 2" xfId="941"/>
    <cellStyle name="Total 2 2 4" xfId="910"/>
    <cellStyle name="Total 2 3" xfId="397"/>
    <cellStyle name="Total 2 3 2" xfId="937"/>
    <cellStyle name="Total 2 4" xfId="862"/>
    <cellStyle name="Total 2 4 2" xfId="940"/>
    <cellStyle name="Total 2 5" xfId="909"/>
    <cellStyle name="Total 3" xfId="398"/>
    <cellStyle name="Total 3 2" xfId="863"/>
    <cellStyle name="Total 3 2 2" xfId="864"/>
    <cellStyle name="Total 3 2 2 2" xfId="890"/>
    <cellStyle name="Total 3 2 3" xfId="865"/>
    <cellStyle name="Total 3 2 3 2" xfId="958"/>
    <cellStyle name="Total 3 2 4" xfId="939"/>
    <cellStyle name="Total 3 3" xfId="866"/>
    <cellStyle name="Total 3 3 2" xfId="959"/>
    <cellStyle name="Total 3 4" xfId="867"/>
    <cellStyle name="Total 3 4 2" xfId="960"/>
    <cellStyle name="Total 3 5" xfId="938"/>
    <cellStyle name="Total grand" xfId="868"/>
    <cellStyle name="Total sub" xfId="869"/>
    <cellStyle name="Warning Text 2" xfId="282"/>
    <cellStyle name="Warning Text 2 2" xfId="870"/>
    <cellStyle name="Warning Text 3" xfId="399"/>
    <cellStyle name="Warning Text 3 2" xfId="871"/>
    <cellStyle name="Warnings" xfId="872"/>
    <cellStyle name="whole number" xfId="873"/>
  </cellStyles>
  <dxfs count="26">
    <dxf>
      <fill>
        <patternFill>
          <bgColor rgb="FFFF0000"/>
        </patternFill>
      </fill>
    </dxf>
    <dxf>
      <fill>
        <patternFill>
          <bgColor rgb="FFFF0000"/>
        </patternFill>
      </fill>
    </dxf>
    <dxf>
      <fill>
        <patternFill>
          <bgColor rgb="FFFF0000"/>
        </patternFill>
      </fill>
    </dxf>
    <dxf>
      <fill>
        <patternFill>
          <bgColor rgb="FF00FF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00CC66"/>
      <color rgb="FFFFCC66"/>
      <color rgb="FFFD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control_sheet_and_graphs!$P$38</c:f>
          <c:strCache>
            <c:ptCount val="1"/>
            <c:pt idx="0">
              <c:v>Counterfactual Activity Growth above Baseline with Net Impact of Interventions. Channel:OOH home visits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719024591456038E-2"/>
          <c:y val="0.13451678223433799"/>
          <c:w val="0.90765230351877246"/>
          <c:h val="0.71437870353744004"/>
        </c:manualLayout>
      </c:layout>
      <c:barChart>
        <c:barDir val="col"/>
        <c:grouping val="clustered"/>
        <c:varyColors val="0"/>
        <c:ser>
          <c:idx val="0"/>
          <c:order val="0"/>
          <c:tx>
            <c:strRef>
              <c:f>'Graph Data Sheet'!$B$51</c:f>
              <c:strCache>
                <c:ptCount val="1"/>
                <c:pt idx="0">
                  <c:v>Counterfactual Projected Growth above Baseline</c:v>
                </c:pt>
              </c:strCache>
            </c:strRef>
          </c:tx>
          <c:spPr>
            <a:solidFill>
              <a:srgbClr val="00CC66"/>
            </a:solidFill>
            <a:ln>
              <a:noFill/>
            </a:ln>
            <a:effectLst>
              <a:softEdge rad="711200"/>
            </a:effectLst>
            <a:scene3d>
              <a:camera prst="orthographicFront"/>
              <a:lightRig rig="threePt" dir="t">
                <a:rot lat="0" lon="0" rev="1800000"/>
              </a:lightRig>
            </a:scene3d>
            <a:sp3d>
              <a:bevelB/>
            </a:sp3d>
          </c:spPr>
          <c:invertIfNegative val="0"/>
          <c:dLbls>
            <c:spPr>
              <a:solidFill>
                <a:sysClr val="window" lastClr="FFFFFF"/>
              </a:solidFill>
              <a:ln>
                <a:noFill/>
              </a:ln>
              <a:effectLst/>
            </c:spPr>
            <c:txPr>
              <a:bodyPr rot="-5400000" spcFirstLastPara="1" vertOverflow="clip" horzOverflow="clip" wrap="square" lIns="38100" tIns="19050" rIns="38100" bIns="19050" anchor="ctr" anchorCtr="1">
                <a:spAutoFit/>
              </a:bodyPr>
              <a:lstStyle/>
              <a:p>
                <a:pPr>
                  <a:defRPr sz="900" b="0" i="0" u="none" strike="noStrike" kern="1200" baseline="0">
                    <a:solidFill>
                      <a:schemeClr val="tx1">
                        <a:lumMod val="75000"/>
                        <a:lumOff val="25000"/>
                      </a:schemeClr>
                    </a:solidFill>
                    <a:latin typeface="Arial" pitchFamily="34" charset="0"/>
                    <a:ea typeface="+mn-ea"/>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 Data Sheet'!$C$50:$G$50</c:f>
              <c:strCache>
                <c:ptCount val="5"/>
                <c:pt idx="0">
                  <c:v> 2016/17 </c:v>
                </c:pt>
                <c:pt idx="1">
                  <c:v> 2017/18 </c:v>
                </c:pt>
                <c:pt idx="2">
                  <c:v> 2018/19 </c:v>
                </c:pt>
                <c:pt idx="3">
                  <c:v> 2019/20 </c:v>
                </c:pt>
                <c:pt idx="4">
                  <c:v> 2020/21 </c:v>
                </c:pt>
              </c:strCache>
            </c:strRef>
          </c:cat>
          <c:val>
            <c:numRef>
              <c:f>'Graph Data Sheet'!$C$51:$G$51</c:f>
              <c:numCache>
                <c:formatCode>#,##0</c:formatCode>
                <c:ptCount val="5"/>
                <c:pt idx="0">
                  <c:v>761.52629851550591</c:v>
                </c:pt>
                <c:pt idx="1">
                  <c:v>1508.3650944319306</c:v>
                </c:pt>
                <c:pt idx="2">
                  <c:v>2304.5489404073596</c:v>
                </c:pt>
                <c:pt idx="3">
                  <c:v>3118.5645747912713</c:v>
                </c:pt>
                <c:pt idx="4">
                  <c:v>3913.5772233287207</c:v>
                </c:pt>
              </c:numCache>
            </c:numRef>
          </c:val>
        </c:ser>
        <c:ser>
          <c:idx val="1"/>
          <c:order val="1"/>
          <c:tx>
            <c:strRef>
              <c:f>'Graph Data Sheet'!$B$52</c:f>
              <c:strCache>
                <c:ptCount val="1"/>
                <c:pt idx="0">
                  <c:v>Net Change including Intervention Impact</c:v>
                </c:pt>
              </c:strCache>
            </c:strRef>
          </c:tx>
          <c:spPr>
            <a:solidFill>
              <a:srgbClr val="FFCC66"/>
            </a:solidFill>
            <a:ln>
              <a:noFill/>
            </a:ln>
            <a:effectLst/>
            <a:scene3d>
              <a:camera prst="orthographicFront"/>
              <a:lightRig rig="threePt" dir="t"/>
            </a:scene3d>
            <a:sp3d>
              <a:bevelB/>
            </a:sp3d>
          </c:spPr>
          <c:invertIfNegative val="0"/>
          <c:dLbls>
            <c:spPr>
              <a:solidFill>
                <a:sysClr val="window" lastClr="FFFFFF"/>
              </a:solid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Arial" pitchFamily="34" charset="0"/>
                    <a:ea typeface="+mn-ea"/>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 Data Sheet'!$C$50:$G$50</c:f>
              <c:strCache>
                <c:ptCount val="5"/>
                <c:pt idx="0">
                  <c:v> 2016/17 </c:v>
                </c:pt>
                <c:pt idx="1">
                  <c:v> 2017/18 </c:v>
                </c:pt>
                <c:pt idx="2">
                  <c:v> 2018/19 </c:v>
                </c:pt>
                <c:pt idx="3">
                  <c:v> 2019/20 </c:v>
                </c:pt>
                <c:pt idx="4">
                  <c:v> 2020/21 </c:v>
                </c:pt>
              </c:strCache>
            </c:strRef>
          </c:cat>
          <c:val>
            <c:numRef>
              <c:f>'Graph Data Sheet'!$C$52:$G$52</c:f>
              <c:numCache>
                <c:formatCode>#,##0</c:formatCode>
                <c:ptCount val="5"/>
                <c:pt idx="0">
                  <c:v>-4438.5077847396769</c:v>
                </c:pt>
                <c:pt idx="1">
                  <c:v>-3691.6689888232522</c:v>
                </c:pt>
                <c:pt idx="2">
                  <c:v>-2895.4851428478232</c:v>
                </c:pt>
                <c:pt idx="3">
                  <c:v>-2081.4695084639116</c:v>
                </c:pt>
                <c:pt idx="4">
                  <c:v>-1286.4568599264621</c:v>
                </c:pt>
              </c:numCache>
            </c:numRef>
          </c:val>
        </c:ser>
        <c:dLbls>
          <c:showLegendKey val="0"/>
          <c:showVal val="0"/>
          <c:showCatName val="0"/>
          <c:showSerName val="0"/>
          <c:showPercent val="0"/>
          <c:showBubbleSize val="0"/>
        </c:dLbls>
        <c:gapWidth val="37"/>
        <c:axId val="96720384"/>
        <c:axId val="96721920"/>
      </c:barChart>
      <c:catAx>
        <c:axId val="9672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crossAx val="96721920"/>
        <c:crosses val="autoZero"/>
        <c:auto val="1"/>
        <c:lblAlgn val="ctr"/>
        <c:lblOffset val="100"/>
        <c:noMultiLvlLbl val="0"/>
      </c:catAx>
      <c:valAx>
        <c:axId val="96721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crossAx val="96720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itchFamily="34" charset="0"/>
              <a:ea typeface="+mn-ea"/>
              <a:cs typeface="Arial"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95" r="0.70000000000000095" t="0.750000000000001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latin typeface="Arial" pitchFamily="34" charset="0"/>
                <a:cs typeface="Arial" pitchFamily="34" charset="0"/>
              </a:rPr>
              <a:t>Intervention</a:t>
            </a:r>
            <a:r>
              <a:rPr lang="en-GB" sz="1200" b="1" baseline="0">
                <a:latin typeface="Arial" pitchFamily="34" charset="0"/>
                <a:cs typeface="Arial" pitchFamily="34" charset="0"/>
              </a:rPr>
              <a:t> Impact on activity by channel - Annual </a:t>
            </a:r>
          </a:p>
        </c:rich>
      </c:tx>
      <c:overlay val="0"/>
      <c:spPr>
        <a:noFill/>
        <a:ln>
          <a:noFill/>
        </a:ln>
        <a:effectLst/>
      </c:spPr>
    </c:title>
    <c:autoTitleDeleted val="0"/>
    <c:plotArea>
      <c:layout>
        <c:manualLayout>
          <c:layoutTarget val="inner"/>
          <c:xMode val="edge"/>
          <c:yMode val="edge"/>
          <c:x val="8.8526808065177487E-2"/>
          <c:y val="0.38859097969896744"/>
          <c:w val="0.911340320870487"/>
          <c:h val="0.59272688413948305"/>
        </c:manualLayout>
      </c:layout>
      <c:barChart>
        <c:barDir val="col"/>
        <c:grouping val="clustered"/>
        <c:varyColors val="0"/>
        <c:ser>
          <c:idx val="0"/>
          <c:order val="0"/>
          <c:spPr>
            <a:solidFill>
              <a:schemeClr val="accent5">
                <a:lumMod val="75000"/>
              </a:schemeClr>
            </a:solidFill>
            <a:ln>
              <a:noFill/>
            </a:ln>
            <a:effectLst/>
            <a:scene3d>
              <a:camera prst="orthographicFront"/>
              <a:lightRig rig="threePt" dir="t"/>
            </a:scene3d>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outputs_by_channel!$C$63:$C$79</c:f>
              <c:strCache>
                <c:ptCount val="17"/>
                <c:pt idx="0">
                  <c:v>Emergency bed days</c:v>
                </c:pt>
                <c:pt idx="1">
                  <c:v>ED attends</c:v>
                </c:pt>
                <c:pt idx="2">
                  <c:v>ED Minor attends</c:v>
                </c:pt>
                <c:pt idx="3">
                  <c:v>UCC attends</c:v>
                </c:pt>
                <c:pt idx="4">
                  <c:v>OOH clinic visits</c:v>
                </c:pt>
                <c:pt idx="5">
                  <c:v>OOH home visits</c:v>
                </c:pt>
                <c:pt idx="6">
                  <c:v>111 calls (call handler)</c:v>
                </c:pt>
                <c:pt idx="7">
                  <c:v>111 calls (clinical advisor)</c:v>
                </c:pt>
                <c:pt idx="8">
                  <c:v>Community pharmacy attends</c:v>
                </c:pt>
                <c:pt idx="9">
                  <c:v>Ambulance - hear and treat</c:v>
                </c:pt>
                <c:pt idx="10">
                  <c:v>Ambulance - See and treat</c:v>
                </c:pt>
                <c:pt idx="11">
                  <c:v>Ambulance - see and convey to ED</c:v>
                </c:pt>
                <c:pt idx="12">
                  <c:v>Community contacts</c:v>
                </c:pt>
                <c:pt idx="13">
                  <c:v>Intermediate care bed days</c:v>
                </c:pt>
                <c:pt idx="14">
                  <c:v>Social services domiciliary care</c:v>
                </c:pt>
                <c:pt idx="15">
                  <c:v>GP attends</c:v>
                </c:pt>
                <c:pt idx="16">
                  <c:v>GP visits</c:v>
                </c:pt>
              </c:strCache>
            </c:strRef>
          </c:cat>
          <c:val>
            <c:numRef>
              <c:f>outputs_by_channel!$E$63:$E$79</c:f>
              <c:numCache>
                <c:formatCode>#,##0_ ;\-#,##0\ </c:formatCode>
                <c:ptCount val="17"/>
                <c:pt idx="0">
                  <c:v>-49376.344468729731</c:v>
                </c:pt>
                <c:pt idx="1">
                  <c:v>-8602.2307853567527</c:v>
                </c:pt>
                <c:pt idx="2">
                  <c:v>-45272.619167813384</c:v>
                </c:pt>
                <c:pt idx="3">
                  <c:v>33415.374339798378</c:v>
                </c:pt>
                <c:pt idx="4">
                  <c:v>-13874.506136504555</c:v>
                </c:pt>
                <c:pt idx="5">
                  <c:v>-5200.0340832551828</c:v>
                </c:pt>
                <c:pt idx="6">
                  <c:v>-35640.089376857075</c:v>
                </c:pt>
                <c:pt idx="7">
                  <c:v>77273.946948685596</c:v>
                </c:pt>
                <c:pt idx="8">
                  <c:v>25716.790689843994</c:v>
                </c:pt>
                <c:pt idx="9">
                  <c:v>1834.8827966591057</c:v>
                </c:pt>
                <c:pt idx="10">
                  <c:v>1758.0004892941849</c:v>
                </c:pt>
                <c:pt idx="11">
                  <c:v>-9551.0577833522875</c:v>
                </c:pt>
                <c:pt idx="12">
                  <c:v>14716.461179606094</c:v>
                </c:pt>
                <c:pt idx="13">
                  <c:v>-88.15558801445205</c:v>
                </c:pt>
                <c:pt idx="14">
                  <c:v>94.39354767660771</c:v>
                </c:pt>
                <c:pt idx="15">
                  <c:v>850.27157089056709</c:v>
                </c:pt>
                <c:pt idx="16">
                  <c:v>-3738.1322305375106</c:v>
                </c:pt>
              </c:numCache>
            </c:numRef>
          </c:val>
        </c:ser>
        <c:dLbls>
          <c:showLegendKey val="0"/>
          <c:showVal val="0"/>
          <c:showCatName val="0"/>
          <c:showSerName val="0"/>
          <c:showPercent val="0"/>
          <c:showBubbleSize val="0"/>
        </c:dLbls>
        <c:gapWidth val="40"/>
        <c:axId val="97058176"/>
        <c:axId val="98792960"/>
      </c:barChart>
      <c:catAx>
        <c:axId val="97058176"/>
        <c:scaling>
          <c:orientation val="minMax"/>
        </c:scaling>
        <c:delete val="0"/>
        <c:axPos val="b"/>
        <c:title>
          <c:overlay val="0"/>
        </c:title>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crossAx val="98792960"/>
        <c:crosses val="autoZero"/>
        <c:auto val="1"/>
        <c:lblAlgn val="ctr"/>
        <c:lblOffset val="100"/>
        <c:noMultiLvlLbl val="0"/>
      </c:catAx>
      <c:valAx>
        <c:axId val="98792960"/>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58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95" r="0.70000000000000095" t="0.750000000000001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itchFamily="34" charset="0"/>
                <a:ea typeface="+mn-ea"/>
                <a:cs typeface="Arial" pitchFamily="34" charset="0"/>
              </a:defRPr>
            </a:pPr>
            <a:r>
              <a:rPr lang="en-GB" b="1">
                <a:latin typeface="Arial" pitchFamily="34" charset="0"/>
                <a:cs typeface="Arial" pitchFamily="34" charset="0"/>
              </a:rPr>
              <a:t>Activity change in main channels. Counterfactual (projected</a:t>
            </a:r>
            <a:r>
              <a:rPr lang="en-GB" b="1" baseline="0">
                <a:latin typeface="Arial" pitchFamily="34" charset="0"/>
                <a:cs typeface="Arial" pitchFamily="34" charset="0"/>
              </a:rPr>
              <a:t> growth) and with interventions</a:t>
            </a:r>
            <a:endParaRPr lang="en-GB" b="1">
              <a:latin typeface="Arial" pitchFamily="34" charset="0"/>
              <a:cs typeface="Arial" pitchFamily="34" charset="0"/>
            </a:endParaRPr>
          </a:p>
        </c:rich>
      </c:tx>
      <c:overlay val="0"/>
      <c:spPr>
        <a:noFill/>
        <a:ln>
          <a:noFill/>
        </a:ln>
        <a:effectLst/>
      </c:spPr>
    </c:title>
    <c:autoTitleDeleted val="0"/>
    <c:plotArea>
      <c:layout>
        <c:manualLayout>
          <c:layoutTarget val="inner"/>
          <c:xMode val="edge"/>
          <c:yMode val="edge"/>
          <c:x val="8.7474868601323127E-2"/>
          <c:y val="0.18541249307125829"/>
          <c:w val="0.89269538615625399"/>
          <c:h val="0.65864617378805945"/>
        </c:manualLayout>
      </c:layout>
      <c:lineChart>
        <c:grouping val="standard"/>
        <c:varyColors val="0"/>
        <c:ser>
          <c:idx val="2"/>
          <c:order val="0"/>
          <c:tx>
            <c:strRef>
              <c:f>projections!$A$8</c:f>
              <c:strCache>
                <c:ptCount val="1"/>
                <c:pt idx="0">
                  <c:v>Emergency bed days</c:v>
                </c:pt>
              </c:strCache>
            </c:strRef>
          </c:tx>
          <c:spPr>
            <a:ln w="28575" cap="rnd">
              <a:solidFill>
                <a:schemeClr val="accent1">
                  <a:lumMod val="75000"/>
                </a:schemeClr>
              </a:solidFill>
              <a:round/>
            </a:ln>
            <a:effectLst/>
          </c:spPr>
          <c:marker>
            <c:symbol val="none"/>
          </c:marker>
          <c:cat>
            <c:strRef>
              <c:f>projections!$D$6:$H$6</c:f>
              <c:strCache>
                <c:ptCount val="5"/>
                <c:pt idx="0">
                  <c:v>2016-17</c:v>
                </c:pt>
                <c:pt idx="1">
                  <c:v>2017-18</c:v>
                </c:pt>
                <c:pt idx="2">
                  <c:v>2018-19</c:v>
                </c:pt>
                <c:pt idx="3">
                  <c:v>2019-20</c:v>
                </c:pt>
                <c:pt idx="4">
                  <c:v>2020-21</c:v>
                </c:pt>
              </c:strCache>
            </c:strRef>
          </c:cat>
          <c:val>
            <c:numRef>
              <c:f>projections!$D$8:$H$8</c:f>
              <c:numCache>
                <c:formatCode>#,##0_ ;\-#,##0\ </c:formatCode>
                <c:ptCount val="5"/>
                <c:pt idx="0">
                  <c:v>27573.106276233448</c:v>
                </c:pt>
                <c:pt idx="1">
                  <c:v>55471.568895882461</c:v>
                </c:pt>
                <c:pt idx="2">
                  <c:v>85896.078759514727</c:v>
                </c:pt>
                <c:pt idx="3">
                  <c:v>116699.50314388121</c:v>
                </c:pt>
                <c:pt idx="4">
                  <c:v>146875.08202285017</c:v>
                </c:pt>
              </c:numCache>
            </c:numRef>
          </c:val>
          <c:smooth val="0"/>
        </c:ser>
        <c:ser>
          <c:idx val="3"/>
          <c:order val="1"/>
          <c:tx>
            <c:strRef>
              <c:f>projections!$A$9</c:f>
              <c:strCache>
                <c:ptCount val="1"/>
                <c:pt idx="0">
                  <c:v>ED attends</c:v>
                </c:pt>
              </c:strCache>
            </c:strRef>
          </c:tx>
          <c:spPr>
            <a:ln w="28575" cap="rnd">
              <a:solidFill>
                <a:srgbClr val="92D050"/>
              </a:solidFill>
              <a:round/>
            </a:ln>
            <a:effectLst/>
          </c:spPr>
          <c:marker>
            <c:symbol val="none"/>
          </c:marker>
          <c:cat>
            <c:strRef>
              <c:f>projections!$D$6:$H$6</c:f>
              <c:strCache>
                <c:ptCount val="5"/>
                <c:pt idx="0">
                  <c:v>2016-17</c:v>
                </c:pt>
                <c:pt idx="1">
                  <c:v>2017-18</c:v>
                </c:pt>
                <c:pt idx="2">
                  <c:v>2018-19</c:v>
                </c:pt>
                <c:pt idx="3">
                  <c:v>2019-20</c:v>
                </c:pt>
                <c:pt idx="4">
                  <c:v>2020-21</c:v>
                </c:pt>
              </c:strCache>
            </c:strRef>
          </c:cat>
          <c:val>
            <c:numRef>
              <c:f>projections!$D$9:$H$9</c:f>
              <c:numCache>
                <c:formatCode>#,##0_ ;\-#,##0\ </c:formatCode>
                <c:ptCount val="5"/>
                <c:pt idx="0">
                  <c:v>20406.082827558625</c:v>
                </c:pt>
                <c:pt idx="1">
                  <c:v>40418.595012644422</c:v>
                </c:pt>
                <c:pt idx="2">
                  <c:v>61753.3716823539</c:v>
                </c:pt>
                <c:pt idx="3">
                  <c:v>83565.974202511716</c:v>
                </c:pt>
                <c:pt idx="4">
                  <c:v>104869.3671209662</c:v>
                </c:pt>
              </c:numCache>
            </c:numRef>
          </c:val>
          <c:smooth val="0"/>
        </c:ser>
        <c:ser>
          <c:idx val="4"/>
          <c:order val="2"/>
          <c:tx>
            <c:strRef>
              <c:f>projections!$A$10</c:f>
              <c:strCache>
                <c:ptCount val="1"/>
                <c:pt idx="0">
                  <c:v>ED Minor attends</c:v>
                </c:pt>
              </c:strCache>
            </c:strRef>
          </c:tx>
          <c:spPr>
            <a:ln w="28575" cap="rnd">
              <a:solidFill>
                <a:srgbClr val="FF0000"/>
              </a:solidFill>
              <a:round/>
            </a:ln>
            <a:effectLst/>
          </c:spPr>
          <c:marker>
            <c:symbol val="none"/>
          </c:marker>
          <c:cat>
            <c:strRef>
              <c:f>projections!$D$6:$H$6</c:f>
              <c:strCache>
                <c:ptCount val="5"/>
                <c:pt idx="0">
                  <c:v>2016-17</c:v>
                </c:pt>
                <c:pt idx="1">
                  <c:v>2017-18</c:v>
                </c:pt>
                <c:pt idx="2">
                  <c:v>2018-19</c:v>
                </c:pt>
                <c:pt idx="3">
                  <c:v>2019-20</c:v>
                </c:pt>
                <c:pt idx="4">
                  <c:v>2020-21</c:v>
                </c:pt>
              </c:strCache>
            </c:strRef>
          </c:cat>
          <c:val>
            <c:numRef>
              <c:f>projections!$D$10:$H$10</c:f>
              <c:numCache>
                <c:formatCode>#,##0_ ;\-#,##0\ </c:formatCode>
                <c:ptCount val="5"/>
                <c:pt idx="0">
                  <c:v>13748.857830183813</c:v>
                </c:pt>
                <c:pt idx="1">
                  <c:v>27232.542434559437</c:v>
                </c:pt>
                <c:pt idx="2">
                  <c:v>41607.119552045944</c:v>
                </c:pt>
                <c:pt idx="3">
                  <c:v>56303.63791327423</c:v>
                </c:pt>
                <c:pt idx="4">
                  <c:v>70657.069829213317</c:v>
                </c:pt>
              </c:numCache>
            </c:numRef>
          </c:val>
          <c:smooth val="0"/>
        </c:ser>
        <c:ser>
          <c:idx val="5"/>
          <c:order val="3"/>
          <c:tx>
            <c:strRef>
              <c:f>projections!$A$11</c:f>
              <c:strCache>
                <c:ptCount val="1"/>
                <c:pt idx="0">
                  <c:v>UCC attends</c:v>
                </c:pt>
              </c:strCache>
            </c:strRef>
          </c:tx>
          <c:spPr>
            <a:ln w="28575" cap="rnd">
              <a:solidFill>
                <a:srgbClr val="7030A0"/>
              </a:solidFill>
              <a:round/>
            </a:ln>
            <a:effectLst/>
          </c:spPr>
          <c:marker>
            <c:symbol val="none"/>
          </c:marker>
          <c:cat>
            <c:strRef>
              <c:f>projections!$D$6:$H$6</c:f>
              <c:strCache>
                <c:ptCount val="5"/>
                <c:pt idx="0">
                  <c:v>2016-17</c:v>
                </c:pt>
                <c:pt idx="1">
                  <c:v>2017-18</c:v>
                </c:pt>
                <c:pt idx="2">
                  <c:v>2018-19</c:v>
                </c:pt>
                <c:pt idx="3">
                  <c:v>2019-20</c:v>
                </c:pt>
                <c:pt idx="4">
                  <c:v>2020-21</c:v>
                </c:pt>
              </c:strCache>
            </c:strRef>
          </c:cat>
          <c:val>
            <c:numRef>
              <c:f>projections!$D$11:$H$11</c:f>
              <c:numCache>
                <c:formatCode>#,##0_ ;\-#,##0\ </c:formatCode>
                <c:ptCount val="5"/>
                <c:pt idx="0">
                  <c:v>1135.8819763656938</c:v>
                </c:pt>
                <c:pt idx="1">
                  <c:v>2249.856279270025</c:v>
                </c:pt>
                <c:pt idx="2">
                  <c:v>3437.4329687158897</c:v>
                </c:pt>
                <c:pt idx="3">
                  <c:v>4651.6073043612996</c:v>
                </c:pt>
                <c:pt idx="4">
                  <c:v>5837.4370520887314</c:v>
                </c:pt>
              </c:numCache>
            </c:numRef>
          </c:val>
          <c:smooth val="0"/>
        </c:ser>
        <c:ser>
          <c:idx val="0"/>
          <c:order val="4"/>
          <c:tx>
            <c:strRef>
              <c:f>projections!$A$13</c:f>
              <c:strCache>
                <c:ptCount val="1"/>
                <c:pt idx="0">
                  <c:v>Emergency bed days</c:v>
                </c:pt>
              </c:strCache>
            </c:strRef>
          </c:tx>
          <c:spPr>
            <a:ln w="28575" cap="rnd">
              <a:solidFill>
                <a:schemeClr val="accent1">
                  <a:lumMod val="75000"/>
                </a:schemeClr>
              </a:solidFill>
              <a:prstDash val="dash"/>
              <a:round/>
            </a:ln>
            <a:effectLst/>
          </c:spPr>
          <c:marker>
            <c:symbol val="none"/>
          </c:marker>
          <c:cat>
            <c:strRef>
              <c:f>projections!$D$6:$H$6</c:f>
              <c:strCache>
                <c:ptCount val="5"/>
                <c:pt idx="0">
                  <c:v>2016-17</c:v>
                </c:pt>
                <c:pt idx="1">
                  <c:v>2017-18</c:v>
                </c:pt>
                <c:pt idx="2">
                  <c:v>2018-19</c:v>
                </c:pt>
                <c:pt idx="3">
                  <c:v>2019-20</c:v>
                </c:pt>
                <c:pt idx="4">
                  <c:v>2020-21</c:v>
                </c:pt>
              </c:strCache>
            </c:strRef>
          </c:cat>
          <c:val>
            <c:numRef>
              <c:f>projections!$D$13:$H$13</c:f>
              <c:numCache>
                <c:formatCode>#,##0_ ;\-#,##0\ </c:formatCode>
                <c:ptCount val="5"/>
                <c:pt idx="0">
                  <c:v>-21803.238192496283</c:v>
                </c:pt>
                <c:pt idx="1">
                  <c:v>6095.2244271527306</c:v>
                </c:pt>
                <c:pt idx="2">
                  <c:v>36519.734290784996</c:v>
                </c:pt>
                <c:pt idx="3">
                  <c:v>67323.158675151484</c:v>
                </c:pt>
                <c:pt idx="4">
                  <c:v>97498.737554120438</c:v>
                </c:pt>
              </c:numCache>
            </c:numRef>
          </c:val>
          <c:smooth val="0"/>
        </c:ser>
        <c:ser>
          <c:idx val="1"/>
          <c:order val="5"/>
          <c:tx>
            <c:strRef>
              <c:f>projections!$A$14</c:f>
              <c:strCache>
                <c:ptCount val="1"/>
                <c:pt idx="0">
                  <c:v>ED attends </c:v>
                </c:pt>
              </c:strCache>
            </c:strRef>
          </c:tx>
          <c:spPr>
            <a:ln w="28575" cap="rnd">
              <a:solidFill>
                <a:srgbClr val="92D050"/>
              </a:solidFill>
              <a:prstDash val="dash"/>
              <a:round/>
            </a:ln>
            <a:effectLst/>
          </c:spPr>
          <c:marker>
            <c:symbol val="none"/>
          </c:marker>
          <c:cat>
            <c:strRef>
              <c:f>projections!$D$6:$H$6</c:f>
              <c:strCache>
                <c:ptCount val="5"/>
                <c:pt idx="0">
                  <c:v>2016-17</c:v>
                </c:pt>
                <c:pt idx="1">
                  <c:v>2017-18</c:v>
                </c:pt>
                <c:pt idx="2">
                  <c:v>2018-19</c:v>
                </c:pt>
                <c:pt idx="3">
                  <c:v>2019-20</c:v>
                </c:pt>
                <c:pt idx="4">
                  <c:v>2020-21</c:v>
                </c:pt>
              </c:strCache>
            </c:strRef>
          </c:cat>
          <c:val>
            <c:numRef>
              <c:f>projections!$D$14:$H$14</c:f>
              <c:numCache>
                <c:formatCode>#,##0_ ;\-#,##0\ </c:formatCode>
                <c:ptCount val="5"/>
                <c:pt idx="0">
                  <c:v>11803.852042201872</c:v>
                </c:pt>
                <c:pt idx="1">
                  <c:v>31816.364227287668</c:v>
                </c:pt>
                <c:pt idx="2">
                  <c:v>53151.140896997145</c:v>
                </c:pt>
                <c:pt idx="3">
                  <c:v>74963.743417154968</c:v>
                </c:pt>
                <c:pt idx="4">
                  <c:v>96267.136335609452</c:v>
                </c:pt>
              </c:numCache>
            </c:numRef>
          </c:val>
          <c:smooth val="0"/>
        </c:ser>
        <c:ser>
          <c:idx val="7"/>
          <c:order val="6"/>
          <c:tx>
            <c:strRef>
              <c:f>projections!$A$15</c:f>
              <c:strCache>
                <c:ptCount val="1"/>
                <c:pt idx="0">
                  <c:v>ED Minor attends</c:v>
                </c:pt>
              </c:strCache>
            </c:strRef>
          </c:tx>
          <c:spPr>
            <a:ln w="28575" cap="rnd">
              <a:solidFill>
                <a:srgbClr val="FF0000"/>
              </a:solidFill>
              <a:prstDash val="dash"/>
              <a:round/>
            </a:ln>
            <a:effectLst/>
          </c:spPr>
          <c:marker>
            <c:symbol val="none"/>
          </c:marker>
          <c:cat>
            <c:strRef>
              <c:f>projections!$D$6:$H$6</c:f>
              <c:strCache>
                <c:ptCount val="5"/>
                <c:pt idx="0">
                  <c:v>2016-17</c:v>
                </c:pt>
                <c:pt idx="1">
                  <c:v>2017-18</c:v>
                </c:pt>
                <c:pt idx="2">
                  <c:v>2018-19</c:v>
                </c:pt>
                <c:pt idx="3">
                  <c:v>2019-20</c:v>
                </c:pt>
                <c:pt idx="4">
                  <c:v>2020-21</c:v>
                </c:pt>
              </c:strCache>
            </c:strRef>
          </c:cat>
          <c:val>
            <c:numRef>
              <c:f>projections!$D$15:$H$15</c:f>
              <c:numCache>
                <c:formatCode>#,##0_ ;\-#,##0\ </c:formatCode>
                <c:ptCount val="5"/>
                <c:pt idx="0">
                  <c:v>-31523.76133762957</c:v>
                </c:pt>
                <c:pt idx="1">
                  <c:v>-18040.076733253947</c:v>
                </c:pt>
                <c:pt idx="2">
                  <c:v>-3665.4996157674395</c:v>
                </c:pt>
                <c:pt idx="3">
                  <c:v>11031.018745460846</c:v>
                </c:pt>
                <c:pt idx="4">
                  <c:v>25384.450661399933</c:v>
                </c:pt>
              </c:numCache>
            </c:numRef>
          </c:val>
          <c:smooth val="0"/>
        </c:ser>
        <c:ser>
          <c:idx val="8"/>
          <c:order val="7"/>
          <c:tx>
            <c:strRef>
              <c:f>projections!$A$16</c:f>
              <c:strCache>
                <c:ptCount val="1"/>
                <c:pt idx="0">
                  <c:v>UCC attends +int</c:v>
                </c:pt>
              </c:strCache>
            </c:strRef>
          </c:tx>
          <c:spPr>
            <a:ln w="28575" cap="rnd">
              <a:solidFill>
                <a:srgbClr val="7030A0"/>
              </a:solidFill>
              <a:prstDash val="dash"/>
              <a:round/>
            </a:ln>
            <a:effectLst/>
          </c:spPr>
          <c:marker>
            <c:symbol val="none"/>
          </c:marker>
          <c:cat>
            <c:strRef>
              <c:f>projections!$D$6:$H$6</c:f>
              <c:strCache>
                <c:ptCount val="5"/>
                <c:pt idx="0">
                  <c:v>2016-17</c:v>
                </c:pt>
                <c:pt idx="1">
                  <c:v>2017-18</c:v>
                </c:pt>
                <c:pt idx="2">
                  <c:v>2018-19</c:v>
                </c:pt>
                <c:pt idx="3">
                  <c:v>2019-20</c:v>
                </c:pt>
                <c:pt idx="4">
                  <c:v>2020-21</c:v>
                </c:pt>
              </c:strCache>
            </c:strRef>
          </c:cat>
          <c:val>
            <c:numRef>
              <c:f>projections!$D$16:$H$16</c:f>
              <c:numCache>
                <c:formatCode>#,##0_ ;\-#,##0\ </c:formatCode>
                <c:ptCount val="5"/>
                <c:pt idx="0">
                  <c:v>34551.256316164072</c:v>
                </c:pt>
                <c:pt idx="1">
                  <c:v>35665.230619068403</c:v>
                </c:pt>
                <c:pt idx="2">
                  <c:v>36852.807308514268</c:v>
                </c:pt>
                <c:pt idx="3">
                  <c:v>38066.981644159678</c:v>
                </c:pt>
                <c:pt idx="4">
                  <c:v>39252.811391887109</c:v>
                </c:pt>
              </c:numCache>
            </c:numRef>
          </c:val>
          <c:smooth val="0"/>
        </c:ser>
        <c:dLbls>
          <c:showLegendKey val="0"/>
          <c:showVal val="0"/>
          <c:showCatName val="0"/>
          <c:showSerName val="0"/>
          <c:showPercent val="0"/>
          <c:showBubbleSize val="0"/>
        </c:dLbls>
        <c:marker val="1"/>
        <c:smooth val="0"/>
        <c:axId val="98847360"/>
        <c:axId val="98861440"/>
      </c:lineChart>
      <c:catAx>
        <c:axId val="9884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crossAx val="98861440"/>
        <c:crosses val="autoZero"/>
        <c:auto val="1"/>
        <c:lblAlgn val="ctr"/>
        <c:lblOffset val="100"/>
        <c:noMultiLvlLbl val="0"/>
      </c:catAx>
      <c:valAx>
        <c:axId val="98861440"/>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crossAx val="98847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95" r="0.70000000000000095" t="0.750000000000001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latin typeface="Arial" pitchFamily="34" charset="0"/>
                <a:cs typeface="Arial" pitchFamily="34" charset="0"/>
              </a:rPr>
              <a:t>Intervention Cost</a:t>
            </a:r>
            <a:r>
              <a:rPr lang="en-GB" sz="1400" b="1" baseline="0">
                <a:latin typeface="Arial" pitchFamily="34" charset="0"/>
                <a:cs typeface="Arial" pitchFamily="34" charset="0"/>
              </a:rPr>
              <a:t> Savings - Year 1 (including 20% of set up costs)</a:t>
            </a:r>
          </a:p>
        </c:rich>
      </c:tx>
      <c:overlay val="0"/>
      <c:spPr>
        <a:noFill/>
        <a:ln>
          <a:noFill/>
        </a:ln>
        <a:effectLst/>
      </c:spPr>
    </c:title>
    <c:autoTitleDeleted val="0"/>
    <c:plotArea>
      <c:layout>
        <c:manualLayout>
          <c:layoutTarget val="inner"/>
          <c:xMode val="edge"/>
          <c:yMode val="edge"/>
          <c:x val="3.0024269449520611E-2"/>
          <c:y val="4.8454728383013498E-2"/>
          <c:w val="0.87033276798234627"/>
          <c:h val="0.91892796404082899"/>
        </c:manualLayout>
      </c:layout>
      <c:barChart>
        <c:barDir val="bar"/>
        <c:grouping val="clustered"/>
        <c:varyColors val="0"/>
        <c:ser>
          <c:idx val="0"/>
          <c:order val="0"/>
          <c:tx>
            <c:strRef>
              <c:f>'Graph Data Sheet'!$E$55</c:f>
              <c:strCache>
                <c:ptCount val="1"/>
                <c:pt idx="0">
                  <c:v>Commissioner View</c:v>
                </c:pt>
              </c:strCache>
            </c:strRef>
          </c:tx>
          <c:spPr>
            <a:solidFill>
              <a:schemeClr val="accent1"/>
            </a:solidFill>
            <a:ln>
              <a:noFill/>
            </a:ln>
            <a:effectLst/>
            <a:scene3d>
              <a:camera prst="orthographicFront"/>
              <a:lightRig rig="threePt" dir="t"/>
            </a:scene3d>
            <a:sp3d/>
          </c:spPr>
          <c:invertIfNegative val="0"/>
          <c:cat>
            <c:strRef>
              <c:f>'Graph Data Sheet'!$B$56:$B$77</c:f>
              <c:strCache>
                <c:ptCount val="22"/>
                <c:pt idx="0">
                  <c:v>Decreasing Ambulance conveyances: Hear and Treat</c:v>
                </c:pt>
                <c:pt idx="1">
                  <c:v>Decreasing Ambulance conveyances: See and Treat</c:v>
                </c:pt>
                <c:pt idx="2">
                  <c:v>Integrated clinical hubs - Increasing Clinical advisor consultations</c:v>
                </c:pt>
                <c:pt idx="3">
                  <c:v>Integrated clinical hubs - Integration of 111 and OOH hubs</c:v>
                </c:pt>
                <c:pt idx="4">
                  <c:v>Ambulatory Emergency Care</c:v>
                </c:pt>
                <c:pt idx="5">
                  <c:v>Personalised care planning</c:v>
                </c:pt>
                <c:pt idx="6">
                  <c:v>Co-location of UTC</c:v>
                </c:pt>
                <c:pt idx="7">
                  <c:v>Enhanced urgent care standards</c:v>
                </c:pt>
                <c:pt idx="8">
                  <c:v>GP extended hours</c:v>
                </c:pt>
                <c:pt idx="9">
                  <c:v>Community pharmacy: PGD minor ailments service</c:v>
                </c:pt>
                <c:pt idx="10">
                  <c:v>Community pharmacy: Emergency medication supply</c:v>
                </c:pt>
                <c:pt idx="11">
                  <c:v>Summary care record: Use for IP drug reconciliation </c:v>
                </c:pt>
                <c:pt idx="12">
                  <c:v>Summary care record: Use in  ED</c:v>
                </c:pt>
                <c:pt idx="13">
                  <c:v>Improved Referral processes - In Ambulance Service</c:v>
                </c:pt>
                <c:pt idx="14">
                  <c:v>Improved Referral processes - In ED</c:v>
                </c:pt>
                <c:pt idx="15">
                  <c:v>Improved Referral processes - In Care Homes</c:v>
                </c:pt>
                <c:pt idx="16">
                  <c:v>Discharge to Assess</c:v>
                </c:pt>
                <c:pt idx="17">
                  <c:v>Discharge Planning</c:v>
                </c:pt>
                <c:pt idx="18">
                  <c:v>Rapid Response Services</c:v>
                </c:pt>
                <c:pt idx="19">
                  <c:v>Care homes: Falls response training</c:v>
                </c:pt>
                <c:pt idx="20">
                  <c:v>Care Home educators</c:v>
                </c:pt>
                <c:pt idx="21">
                  <c:v>Early Warning Score in Care homes</c:v>
                </c:pt>
              </c:strCache>
            </c:strRef>
          </c:cat>
          <c:val>
            <c:numRef>
              <c:f>'Graph Data Sheet'!$E$56:$E$77</c:f>
              <c:numCache>
                <c:formatCode>#,##0</c:formatCode>
                <c:ptCount val="22"/>
                <c:pt idx="0">
                  <c:v>443262.97853866644</c:v>
                </c:pt>
                <c:pt idx="1">
                  <c:v>1356607.6992623887</c:v>
                </c:pt>
                <c:pt idx="2">
                  <c:v>411478.75937072933</c:v>
                </c:pt>
                <c:pt idx="3">
                  <c:v>127182.13416366899</c:v>
                </c:pt>
                <c:pt idx="4">
                  <c:v>1055198.4786981698</c:v>
                </c:pt>
                <c:pt idx="5">
                  <c:v>1605774.0541296396</c:v>
                </c:pt>
                <c:pt idx="6">
                  <c:v>831006.94205765869</c:v>
                </c:pt>
                <c:pt idx="7">
                  <c:v>0</c:v>
                </c:pt>
                <c:pt idx="8">
                  <c:v>-42091.509282224397</c:v>
                </c:pt>
                <c:pt idx="9">
                  <c:v>335768.07394605468</c:v>
                </c:pt>
                <c:pt idx="10">
                  <c:v>442114.49393577245</c:v>
                </c:pt>
                <c:pt idx="11">
                  <c:v>2076912.140805905</c:v>
                </c:pt>
                <c:pt idx="12">
                  <c:v>271505.82811491704</c:v>
                </c:pt>
                <c:pt idx="13">
                  <c:v>842892.60793382383</c:v>
                </c:pt>
                <c:pt idx="14">
                  <c:v>301652.25677590864</c:v>
                </c:pt>
                <c:pt idx="15">
                  <c:v>247403.45067989291</c:v>
                </c:pt>
                <c:pt idx="16">
                  <c:v>10864194.603236256</c:v>
                </c:pt>
                <c:pt idx="17">
                  <c:v>-659319.53668896924</c:v>
                </c:pt>
                <c:pt idx="18">
                  <c:v>685247.56174789299</c:v>
                </c:pt>
                <c:pt idx="19">
                  <c:v>475712.26832429483</c:v>
                </c:pt>
                <c:pt idx="20">
                  <c:v>2815928.3706602454</c:v>
                </c:pt>
                <c:pt idx="21">
                  <c:v>359313.06795034517</c:v>
                </c:pt>
              </c:numCache>
            </c:numRef>
          </c:val>
        </c:ser>
        <c:ser>
          <c:idx val="1"/>
          <c:order val="1"/>
          <c:tx>
            <c:strRef>
              <c:f>'Graph Data Sheet'!$F$55</c:f>
              <c:strCache>
                <c:ptCount val="1"/>
                <c:pt idx="0">
                  <c:v>System Cost</c:v>
                </c:pt>
              </c:strCache>
            </c:strRef>
          </c:tx>
          <c:spPr>
            <a:solidFill>
              <a:schemeClr val="accent2"/>
            </a:solidFill>
            <a:ln>
              <a:noFill/>
            </a:ln>
            <a:effectLst/>
            <a:scene3d>
              <a:camera prst="orthographicFront"/>
              <a:lightRig rig="threePt" dir="t"/>
            </a:scene3d>
            <a:sp3d/>
          </c:spPr>
          <c:invertIfNegative val="0"/>
          <c:cat>
            <c:strRef>
              <c:f>'Graph Data Sheet'!$B$56:$B$77</c:f>
              <c:strCache>
                <c:ptCount val="22"/>
                <c:pt idx="0">
                  <c:v>Decreasing Ambulance conveyances: Hear and Treat</c:v>
                </c:pt>
                <c:pt idx="1">
                  <c:v>Decreasing Ambulance conveyances: See and Treat</c:v>
                </c:pt>
                <c:pt idx="2">
                  <c:v>Integrated clinical hubs - Increasing Clinical advisor consultations</c:v>
                </c:pt>
                <c:pt idx="3">
                  <c:v>Integrated clinical hubs - Integration of 111 and OOH hubs</c:v>
                </c:pt>
                <c:pt idx="4">
                  <c:v>Ambulatory Emergency Care</c:v>
                </c:pt>
                <c:pt idx="5">
                  <c:v>Personalised care planning</c:v>
                </c:pt>
                <c:pt idx="6">
                  <c:v>Co-location of UTC</c:v>
                </c:pt>
                <c:pt idx="7">
                  <c:v>Enhanced urgent care standards</c:v>
                </c:pt>
                <c:pt idx="8">
                  <c:v>GP extended hours</c:v>
                </c:pt>
                <c:pt idx="9">
                  <c:v>Community pharmacy: PGD minor ailments service</c:v>
                </c:pt>
                <c:pt idx="10">
                  <c:v>Community pharmacy: Emergency medication supply</c:v>
                </c:pt>
                <c:pt idx="11">
                  <c:v>Summary care record: Use for IP drug reconciliation </c:v>
                </c:pt>
                <c:pt idx="12">
                  <c:v>Summary care record: Use in  ED</c:v>
                </c:pt>
                <c:pt idx="13">
                  <c:v>Improved Referral processes - In Ambulance Service</c:v>
                </c:pt>
                <c:pt idx="14">
                  <c:v>Improved Referral processes - In ED</c:v>
                </c:pt>
                <c:pt idx="15">
                  <c:v>Improved Referral processes - In Care Homes</c:v>
                </c:pt>
                <c:pt idx="16">
                  <c:v>Discharge to Assess</c:v>
                </c:pt>
                <c:pt idx="17">
                  <c:v>Discharge Planning</c:v>
                </c:pt>
                <c:pt idx="18">
                  <c:v>Rapid Response Services</c:v>
                </c:pt>
                <c:pt idx="19">
                  <c:v>Care homes: Falls response training</c:v>
                </c:pt>
                <c:pt idx="20">
                  <c:v>Care Home educators</c:v>
                </c:pt>
                <c:pt idx="21">
                  <c:v>Early Warning Score in Care homes</c:v>
                </c:pt>
              </c:strCache>
            </c:strRef>
          </c:cat>
          <c:val>
            <c:numRef>
              <c:f>'Graph Data Sheet'!$F$56:$F$77</c:f>
              <c:numCache>
                <c:formatCode>#,##0</c:formatCode>
                <c:ptCount val="22"/>
                <c:pt idx="0">
                  <c:v>-57562.48573206483</c:v>
                </c:pt>
                <c:pt idx="1">
                  <c:v>-279464.87954097393</c:v>
                </c:pt>
                <c:pt idx="2">
                  <c:v>-204356.30643599707</c:v>
                </c:pt>
                <c:pt idx="3">
                  <c:v>-104291.99530357381</c:v>
                </c:pt>
                <c:pt idx="4">
                  <c:v>-1272175.2390819793</c:v>
                </c:pt>
                <c:pt idx="5">
                  <c:v>-722424.72303172119</c:v>
                </c:pt>
                <c:pt idx="6">
                  <c:v>-1764625.0018055674</c:v>
                </c:pt>
                <c:pt idx="7">
                  <c:v>0</c:v>
                </c:pt>
                <c:pt idx="8">
                  <c:v>-240137.89890012975</c:v>
                </c:pt>
                <c:pt idx="9">
                  <c:v>-78588.036160063653</c:v>
                </c:pt>
                <c:pt idx="10">
                  <c:v>-96401.433943481796</c:v>
                </c:pt>
                <c:pt idx="11">
                  <c:v>319338.401180733</c:v>
                </c:pt>
                <c:pt idx="12">
                  <c:v>29533.68314890593</c:v>
                </c:pt>
                <c:pt idx="13">
                  <c:v>44757.336961695473</c:v>
                </c:pt>
                <c:pt idx="14">
                  <c:v>38808.526684701515</c:v>
                </c:pt>
                <c:pt idx="15">
                  <c:v>24024.048358396391</c:v>
                </c:pt>
                <c:pt idx="16">
                  <c:v>-3596857.4957808396</c:v>
                </c:pt>
                <c:pt idx="17">
                  <c:v>-2243537.9766071923</c:v>
                </c:pt>
                <c:pt idx="18">
                  <c:v>-205066.23236690598</c:v>
                </c:pt>
                <c:pt idx="19">
                  <c:v>35688.281304994634</c:v>
                </c:pt>
                <c:pt idx="20">
                  <c:v>188898.48057706715</c:v>
                </c:pt>
                <c:pt idx="21">
                  <c:v>17228.403886867341</c:v>
                </c:pt>
              </c:numCache>
            </c:numRef>
          </c:val>
        </c:ser>
        <c:dLbls>
          <c:showLegendKey val="0"/>
          <c:showVal val="0"/>
          <c:showCatName val="0"/>
          <c:showSerName val="0"/>
          <c:showPercent val="0"/>
          <c:showBubbleSize val="0"/>
        </c:dLbls>
        <c:gapWidth val="60"/>
        <c:axId val="99366784"/>
        <c:axId val="99368320"/>
      </c:barChart>
      <c:catAx>
        <c:axId val="99366784"/>
        <c:scaling>
          <c:orientation val="minMax"/>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crossAx val="99368320"/>
        <c:crosses val="autoZero"/>
        <c:auto val="1"/>
        <c:lblAlgn val="ctr"/>
        <c:lblOffset val="100"/>
        <c:noMultiLvlLbl val="0"/>
      </c:catAx>
      <c:valAx>
        <c:axId val="993683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crossAx val="99366784"/>
        <c:crosses val="autoZero"/>
        <c:crossBetween val="between"/>
      </c:valAx>
      <c:spPr>
        <a:noFill/>
        <a:ln>
          <a:noFill/>
        </a:ln>
        <a:effectLst/>
        <a:sp3d/>
      </c:spPr>
    </c:plotArea>
    <c:legend>
      <c:legendPos val="r"/>
      <c:layout>
        <c:manualLayout>
          <c:xMode val="edge"/>
          <c:yMode val="edge"/>
          <c:x val="0.47498057370495866"/>
          <c:y val="0.89655191273463297"/>
          <c:w val="0.23882925482830511"/>
          <c:h val="0.101436681235109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95" r="0.70000000000000095" t="0.750000000000001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latin typeface="Arial" pitchFamily="34" charset="0"/>
                <a:cs typeface="Arial" pitchFamily="34" charset="0"/>
              </a:rPr>
              <a:t>Counterfactual</a:t>
            </a:r>
            <a:r>
              <a:rPr lang="en-GB" b="1" baseline="0">
                <a:latin typeface="Arial" pitchFamily="34" charset="0"/>
                <a:cs typeface="Arial" pitchFamily="34" charset="0"/>
              </a:rPr>
              <a:t> Cost Pressure Projections</a:t>
            </a:r>
            <a:endParaRPr lang="en-GB" b="1">
              <a:latin typeface="Arial" pitchFamily="34" charset="0"/>
              <a:cs typeface="Arial" pitchFamily="34" charset="0"/>
            </a:endParaRPr>
          </a:p>
        </c:rich>
      </c:tx>
      <c:layout>
        <c:manualLayout>
          <c:xMode val="edge"/>
          <c:yMode val="edge"/>
          <c:x val="0.36716404874776598"/>
          <c:y val="2.3882578575681601E-2"/>
        </c:manualLayout>
      </c:layout>
      <c:overlay val="0"/>
      <c:spPr>
        <a:noFill/>
        <a:ln>
          <a:noFill/>
        </a:ln>
        <a:effectLst/>
      </c:spPr>
    </c:title>
    <c:autoTitleDeleted val="0"/>
    <c:plotArea>
      <c:layout/>
      <c:barChart>
        <c:barDir val="col"/>
        <c:grouping val="clustered"/>
        <c:varyColors val="0"/>
        <c:ser>
          <c:idx val="0"/>
          <c:order val="0"/>
          <c:tx>
            <c:strRef>
              <c:f>'Graph Data Sheet'!$B$138</c:f>
              <c:strCache>
                <c:ptCount val="1"/>
                <c:pt idx="0">
                  <c:v>Commissioner View - Counterfactual Cost Change above Baseline</c:v>
                </c:pt>
              </c:strCache>
            </c:strRef>
          </c:tx>
          <c:spPr>
            <a:solidFill>
              <a:schemeClr val="accent1"/>
            </a:solidFill>
            <a:ln>
              <a:noFill/>
            </a:ln>
            <a:effectLst/>
            <a:scene3d>
              <a:camera prst="orthographicFront"/>
              <a:lightRig rig="threePt" dir="t"/>
            </a:scene3d>
            <a:sp3d/>
          </c:spPr>
          <c:invertIfNegative val="0"/>
          <c:dLbls>
            <c:spPr>
              <a:solidFill>
                <a:schemeClr val="bg1"/>
              </a:solidFill>
              <a:ln>
                <a:noFill/>
              </a:ln>
              <a:effectLst/>
            </c:spPr>
            <c:txPr>
              <a:bodyPr rot="-5400000" vert="horz" wrap="square" lIns="38100" tIns="19050" rIns="38100" bIns="19050" anchor="ctr">
                <a:spAutoFit/>
              </a:bodyPr>
              <a:lstStyle/>
              <a:p>
                <a:pPr>
                  <a:defRPr>
                    <a:latin typeface="Arial" pitchFamily="34" charset="0"/>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'Graph Data Sheet'!$C$137:$G$137</c:f>
              <c:strCache>
                <c:ptCount val="5"/>
                <c:pt idx="0">
                  <c:v>2016-17</c:v>
                </c:pt>
                <c:pt idx="1">
                  <c:v>2017-18</c:v>
                </c:pt>
                <c:pt idx="2">
                  <c:v>2018-19</c:v>
                </c:pt>
                <c:pt idx="3">
                  <c:v>2019-20</c:v>
                </c:pt>
                <c:pt idx="4">
                  <c:v>2020-21</c:v>
                </c:pt>
              </c:strCache>
            </c:strRef>
          </c:cat>
          <c:val>
            <c:numRef>
              <c:f>'Graph Data Sheet'!$C$138:$G$138</c:f>
              <c:numCache>
                <c:formatCode>"£"#,##0</c:formatCode>
                <c:ptCount val="5"/>
                <c:pt idx="0">
                  <c:v>19537950.168862909</c:v>
                </c:pt>
                <c:pt idx="1">
                  <c:v>40002644.960902564</c:v>
                </c:pt>
                <c:pt idx="2">
                  <c:v>62903168.164926067</c:v>
                </c:pt>
                <c:pt idx="3">
                  <c:v>87056768.825659588</c:v>
                </c:pt>
                <c:pt idx="4">
                  <c:v>112638059.19377647</c:v>
                </c:pt>
              </c:numCache>
            </c:numRef>
          </c:val>
        </c:ser>
        <c:ser>
          <c:idx val="1"/>
          <c:order val="1"/>
          <c:tx>
            <c:strRef>
              <c:f>'Graph Data Sheet'!$B$139</c:f>
              <c:strCache>
                <c:ptCount val="1"/>
                <c:pt idx="0">
                  <c:v>Projected cost change (system view with thresholds)</c:v>
                </c:pt>
              </c:strCache>
            </c:strRef>
          </c:tx>
          <c:spPr>
            <a:solidFill>
              <a:schemeClr val="accent2"/>
            </a:solidFill>
            <a:ln>
              <a:noFill/>
            </a:ln>
            <a:effectLst/>
            <a:scene3d>
              <a:camera prst="orthographicFront"/>
              <a:lightRig rig="threePt" dir="t"/>
            </a:scene3d>
            <a:sp3d/>
          </c:spPr>
          <c:invertIfNegative val="0"/>
          <c:dLbls>
            <c:spPr>
              <a:solidFill>
                <a:schemeClr val="bg1"/>
              </a:solidFill>
              <a:ln>
                <a:noFill/>
              </a:ln>
              <a:effectLst/>
            </c:spPr>
            <c:txPr>
              <a:bodyPr rot="-5400000" vert="horz" wrap="square" lIns="38100" tIns="19050" rIns="38100" bIns="19050" anchor="ctr">
                <a:spAutoFit/>
              </a:bodyPr>
              <a:lstStyle/>
              <a:p>
                <a:pPr>
                  <a:defRPr>
                    <a:latin typeface="Arial" pitchFamily="34" charset="0"/>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'Graph Data Sheet'!$C$137:$G$137</c:f>
              <c:strCache>
                <c:ptCount val="5"/>
                <c:pt idx="0">
                  <c:v>2016-17</c:v>
                </c:pt>
                <c:pt idx="1">
                  <c:v>2017-18</c:v>
                </c:pt>
                <c:pt idx="2">
                  <c:v>2018-19</c:v>
                </c:pt>
                <c:pt idx="3">
                  <c:v>2019-20</c:v>
                </c:pt>
                <c:pt idx="4">
                  <c:v>2020-21</c:v>
                </c:pt>
              </c:strCache>
            </c:strRef>
          </c:cat>
          <c:val>
            <c:numRef>
              <c:f>'Graph Data Sheet'!$C$139:$G$139</c:f>
              <c:numCache>
                <c:formatCode>"£"#,##0</c:formatCode>
                <c:ptCount val="5"/>
                <c:pt idx="0">
                  <c:v>2741209.4990432607</c:v>
                </c:pt>
                <c:pt idx="1">
                  <c:v>5621411.4148427462</c:v>
                </c:pt>
                <c:pt idx="2">
                  <c:v>8851614.0390393455</c:v>
                </c:pt>
                <c:pt idx="3">
                  <c:v>12255407.220975714</c:v>
                </c:pt>
                <c:pt idx="4">
                  <c:v>15861272.726964228</c:v>
                </c:pt>
              </c:numCache>
            </c:numRef>
          </c:val>
        </c:ser>
        <c:dLbls>
          <c:showLegendKey val="0"/>
          <c:showVal val="0"/>
          <c:showCatName val="0"/>
          <c:showSerName val="0"/>
          <c:showPercent val="0"/>
          <c:showBubbleSize val="0"/>
        </c:dLbls>
        <c:gapWidth val="44"/>
        <c:axId val="99406976"/>
        <c:axId val="99408512"/>
      </c:barChart>
      <c:catAx>
        <c:axId val="99406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08512"/>
        <c:crosses val="autoZero"/>
        <c:auto val="1"/>
        <c:lblAlgn val="ctr"/>
        <c:lblOffset val="100"/>
        <c:noMultiLvlLbl val="0"/>
      </c:catAx>
      <c:valAx>
        <c:axId val="9940851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crossAx val="99406976"/>
        <c:crosses val="autoZero"/>
        <c:crossBetween val="between"/>
      </c:valAx>
      <c:spPr>
        <a:noFill/>
        <a:ln>
          <a:noFill/>
        </a:ln>
        <a:effectLst/>
        <a:sp3d/>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95" r="0.70000000000000095" t="0.750000000000001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latin typeface="Arial" pitchFamily="34" charset="0"/>
                <a:cs typeface="Arial" pitchFamily="34" charset="0"/>
              </a:rPr>
              <a:t>Commissioner</a:t>
            </a:r>
            <a:r>
              <a:rPr lang="en-GB" b="1" baseline="0">
                <a:latin typeface="Arial" pitchFamily="34" charset="0"/>
                <a:cs typeface="Arial" pitchFamily="34" charset="0"/>
              </a:rPr>
              <a:t> and Provider Cost view with Interventions in place</a:t>
            </a:r>
            <a:r>
              <a:rPr lang="en-GB" b="1">
                <a:latin typeface="Arial" pitchFamily="34" charset="0"/>
                <a:cs typeface="Arial" pitchFamily="34" charset="0"/>
              </a:rPr>
              <a:t> </a:t>
            </a:r>
          </a:p>
        </c:rich>
      </c:tx>
      <c:overlay val="0"/>
      <c:spPr>
        <a:noFill/>
        <a:ln>
          <a:noFill/>
        </a:ln>
        <a:effectLst/>
      </c:spPr>
    </c:title>
    <c:autoTitleDeleted val="0"/>
    <c:plotArea>
      <c:layout>
        <c:manualLayout>
          <c:layoutTarget val="inner"/>
          <c:xMode val="edge"/>
          <c:yMode val="edge"/>
          <c:x val="8.6374324753124995E-2"/>
          <c:y val="0.17729499516112929"/>
          <c:w val="0.90267824980262457"/>
          <c:h val="0.79018201467003402"/>
        </c:manualLayout>
      </c:layout>
      <c:barChart>
        <c:barDir val="col"/>
        <c:grouping val="clustered"/>
        <c:varyColors val="0"/>
        <c:ser>
          <c:idx val="0"/>
          <c:order val="0"/>
          <c:tx>
            <c:strRef>
              <c:f>'Graph Data Sheet'!$B$143</c:f>
              <c:strCache>
                <c:ptCount val="1"/>
                <c:pt idx="0">
                  <c:v>Commissioner View - Cost Change with Interventions</c:v>
                </c:pt>
              </c:strCache>
            </c:strRef>
          </c:tx>
          <c:spPr>
            <a:solidFill>
              <a:schemeClr val="accent1"/>
            </a:solidFill>
            <a:ln>
              <a:noFill/>
            </a:ln>
            <a:effectLst/>
            <a:scene3d>
              <a:camera prst="orthographicFront"/>
              <a:lightRig rig="threePt" dir="t"/>
            </a:scene3d>
            <a:sp3d/>
          </c:spPr>
          <c:invertIfNegative val="0"/>
          <c:dLbls>
            <c:spPr>
              <a:solidFill>
                <a:sysClr val="window" lastClr="FFFFFF"/>
              </a:solid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Arial" pitchFamily="34" charset="0"/>
                    <a:ea typeface="+mn-ea"/>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 Data Sheet'!$C$142:$G$142</c:f>
              <c:strCache>
                <c:ptCount val="5"/>
                <c:pt idx="0">
                  <c:v>2016-17</c:v>
                </c:pt>
                <c:pt idx="1">
                  <c:v>2017-18</c:v>
                </c:pt>
                <c:pt idx="2">
                  <c:v>2018-19</c:v>
                </c:pt>
                <c:pt idx="3">
                  <c:v>2019-20</c:v>
                </c:pt>
                <c:pt idx="4">
                  <c:v>2020-21</c:v>
                </c:pt>
              </c:strCache>
            </c:strRef>
          </c:cat>
          <c:val>
            <c:numRef>
              <c:f>'Graph Data Sheet'!$C$143:$G$143</c:f>
              <c:numCache>
                <c:formatCode>"£"#,##0</c:formatCode>
                <c:ptCount val="5"/>
                <c:pt idx="0">
                  <c:v>-5309794.5554981306</c:v>
                </c:pt>
                <c:pt idx="1">
                  <c:v>14569891.508140456</c:v>
                </c:pt>
                <c:pt idx="2">
                  <c:v>36950011.295508049</c:v>
                </c:pt>
                <c:pt idx="3">
                  <c:v>60572800.471252538</c:v>
                </c:pt>
                <c:pt idx="4">
                  <c:v>85369020.653070644</c:v>
                </c:pt>
              </c:numCache>
            </c:numRef>
          </c:val>
        </c:ser>
        <c:ser>
          <c:idx val="1"/>
          <c:order val="1"/>
          <c:tx>
            <c:strRef>
              <c:f>'Graph Data Sheet'!$B$144</c:f>
              <c:strCache>
                <c:ptCount val="1"/>
                <c:pt idx="0">
                  <c:v>System View (with thresholds) - Intervention Impact</c:v>
                </c:pt>
              </c:strCache>
            </c:strRef>
          </c:tx>
          <c:spPr>
            <a:solidFill>
              <a:schemeClr val="accent2"/>
            </a:solidFill>
            <a:ln>
              <a:noFill/>
            </a:ln>
            <a:effectLst/>
            <a:scene3d>
              <a:camera prst="orthographicFront"/>
              <a:lightRig rig="threePt" dir="t"/>
            </a:scene3d>
            <a:sp3d/>
          </c:spPr>
          <c:invertIfNegative val="0"/>
          <c:dLbls>
            <c:spPr>
              <a:solidFill>
                <a:sysClr val="window" lastClr="FFFFFF"/>
              </a:solid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Arial" pitchFamily="34" charset="0"/>
                    <a:ea typeface="+mn-ea"/>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 Data Sheet'!$C$142:$G$142</c:f>
              <c:strCache>
                <c:ptCount val="5"/>
                <c:pt idx="0">
                  <c:v>2016-17</c:v>
                </c:pt>
                <c:pt idx="1">
                  <c:v>2017-18</c:v>
                </c:pt>
                <c:pt idx="2">
                  <c:v>2018-19</c:v>
                </c:pt>
                <c:pt idx="3">
                  <c:v>2019-20</c:v>
                </c:pt>
                <c:pt idx="4">
                  <c:v>2020-21</c:v>
                </c:pt>
              </c:strCache>
            </c:strRef>
          </c:cat>
          <c:val>
            <c:numRef>
              <c:f>'Graph Data Sheet'!$C$144:$G$144</c:f>
              <c:numCache>
                <c:formatCode>"£"#,##0</c:formatCode>
                <c:ptCount val="5"/>
                <c:pt idx="0">
                  <c:v>12908422.041630391</c:v>
                </c:pt>
                <c:pt idx="1">
                  <c:v>16008959.24616861</c:v>
                </c:pt>
                <c:pt idx="2">
                  <c:v>19435164.479391053</c:v>
                </c:pt>
                <c:pt idx="3">
                  <c:v>23038880.322533786</c:v>
                </c:pt>
                <c:pt idx="4">
                  <c:v>26940431.444446512</c:v>
                </c:pt>
              </c:numCache>
            </c:numRef>
          </c:val>
        </c:ser>
        <c:dLbls>
          <c:showLegendKey val="0"/>
          <c:showVal val="0"/>
          <c:showCatName val="0"/>
          <c:showSerName val="0"/>
          <c:showPercent val="0"/>
          <c:showBubbleSize val="0"/>
        </c:dLbls>
        <c:gapWidth val="40"/>
        <c:axId val="99186944"/>
        <c:axId val="99196928"/>
      </c:barChart>
      <c:catAx>
        <c:axId val="99186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crossAx val="99196928"/>
        <c:crosses val="autoZero"/>
        <c:auto val="1"/>
        <c:lblAlgn val="ctr"/>
        <c:lblOffset val="100"/>
        <c:noMultiLvlLbl val="0"/>
      </c:catAx>
      <c:valAx>
        <c:axId val="99196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crossAx val="991869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95" r="0.70000000000000095" t="0.750000000000001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latin typeface="Arial" pitchFamily="34" charset="0"/>
                <a:cs typeface="Arial" pitchFamily="34" charset="0"/>
              </a:rPr>
              <a:t>Threshold</a:t>
            </a:r>
            <a:r>
              <a:rPr lang="en-GB" b="1" baseline="0">
                <a:latin typeface="Arial" pitchFamily="34" charset="0"/>
                <a:cs typeface="Arial" pitchFamily="34" charset="0"/>
              </a:rPr>
              <a:t> chart. Showing activity change required to reach next step threshold by channel and thereby trigger more cash release or more investment needed</a:t>
            </a:r>
            <a:endParaRPr lang="en-GB" b="1">
              <a:latin typeface="Arial" pitchFamily="34" charset="0"/>
              <a:cs typeface="Arial" pitchFamily="34" charset="0"/>
            </a:endParaRPr>
          </a:p>
        </c:rich>
      </c:tx>
      <c:overlay val="0"/>
      <c:spPr>
        <a:noFill/>
        <a:ln>
          <a:noFill/>
        </a:ln>
        <a:effectLst/>
      </c:spPr>
    </c:title>
    <c:autoTitleDeleted val="0"/>
    <c:plotArea>
      <c:layout>
        <c:manualLayout>
          <c:layoutTarget val="inner"/>
          <c:xMode val="edge"/>
          <c:yMode val="edge"/>
          <c:x val="8.8873977080438024E-2"/>
          <c:y val="0.19915331794826288"/>
          <c:w val="0.90267824980262457"/>
          <c:h val="0.79018201467003402"/>
        </c:manualLayout>
      </c:layout>
      <c:barChart>
        <c:barDir val="col"/>
        <c:grouping val="stacked"/>
        <c:varyColors val="0"/>
        <c:ser>
          <c:idx val="1"/>
          <c:order val="0"/>
          <c:tx>
            <c:strRef>
              <c:f>outputs_by_channel!$E$62</c:f>
              <c:strCache>
                <c:ptCount val="1"/>
                <c:pt idx="0">
                  <c:v>Net activity change by channel</c:v>
                </c:pt>
              </c:strCache>
            </c:strRef>
          </c:tx>
          <c:spPr>
            <a:solidFill>
              <a:schemeClr val="accent1">
                <a:lumMod val="60000"/>
                <a:lumOff val="40000"/>
              </a:schemeClr>
            </a:solidFill>
          </c:spPr>
          <c:invertIfNegative val="0"/>
          <c:val>
            <c:numRef>
              <c:f>outputs_by_channel!$E$63:$E$79</c:f>
              <c:numCache>
                <c:formatCode>#,##0_ ;\-#,##0\ </c:formatCode>
                <c:ptCount val="17"/>
                <c:pt idx="0">
                  <c:v>-49376.344468729731</c:v>
                </c:pt>
                <c:pt idx="1">
                  <c:v>-8602.2307853567527</c:v>
                </c:pt>
                <c:pt idx="2">
                  <c:v>-45272.619167813384</c:v>
                </c:pt>
                <c:pt idx="3">
                  <c:v>33415.374339798378</c:v>
                </c:pt>
                <c:pt idx="4">
                  <c:v>-13874.506136504555</c:v>
                </c:pt>
                <c:pt idx="5">
                  <c:v>-5200.0340832551828</c:v>
                </c:pt>
                <c:pt idx="6">
                  <c:v>-35640.089376857075</c:v>
                </c:pt>
                <c:pt idx="7">
                  <c:v>77273.946948685596</c:v>
                </c:pt>
                <c:pt idx="8">
                  <c:v>25716.790689843994</c:v>
                </c:pt>
                <c:pt idx="9">
                  <c:v>1834.8827966591057</c:v>
                </c:pt>
                <c:pt idx="10">
                  <c:v>1758.0004892941849</c:v>
                </c:pt>
                <c:pt idx="11">
                  <c:v>-9551.0577833522875</c:v>
                </c:pt>
                <c:pt idx="12">
                  <c:v>14716.461179606094</c:v>
                </c:pt>
                <c:pt idx="13">
                  <c:v>-88.15558801445205</c:v>
                </c:pt>
                <c:pt idx="14">
                  <c:v>94.39354767660771</c:v>
                </c:pt>
                <c:pt idx="15">
                  <c:v>850.27157089056709</c:v>
                </c:pt>
                <c:pt idx="16">
                  <c:v>-3738.1322305375106</c:v>
                </c:pt>
              </c:numCache>
            </c:numRef>
          </c:val>
        </c:ser>
        <c:ser>
          <c:idx val="0"/>
          <c:order val="1"/>
          <c:tx>
            <c:strRef>
              <c:f>outputs_by_channel!$F$62</c:f>
              <c:strCache>
                <c:ptCount val="1"/>
                <c:pt idx="0">
                  <c:v>Additional reduction in activity required to reach next step threshold</c:v>
                </c:pt>
              </c:strCache>
            </c:strRef>
          </c:tx>
          <c:spPr>
            <a:noFill/>
            <a:ln w="25400">
              <a:solidFill>
                <a:srgbClr val="FF0000"/>
              </a:solidFill>
            </a:ln>
          </c:spPr>
          <c:invertIfNegative val="0"/>
          <c:cat>
            <c:strRef>
              <c:f>outputs_by_channel!$C$63:$C$79</c:f>
              <c:strCache>
                <c:ptCount val="17"/>
                <c:pt idx="0">
                  <c:v>Emergency bed days</c:v>
                </c:pt>
                <c:pt idx="1">
                  <c:v>ED attends</c:v>
                </c:pt>
                <c:pt idx="2">
                  <c:v>ED Minor attends</c:v>
                </c:pt>
                <c:pt idx="3">
                  <c:v>UCC attends</c:v>
                </c:pt>
                <c:pt idx="4">
                  <c:v>OOH clinic visits</c:v>
                </c:pt>
                <c:pt idx="5">
                  <c:v>OOH home visits</c:v>
                </c:pt>
                <c:pt idx="6">
                  <c:v>111 calls (call handler)</c:v>
                </c:pt>
                <c:pt idx="7">
                  <c:v>111 calls (clinical advisor)</c:v>
                </c:pt>
                <c:pt idx="8">
                  <c:v>Community pharmacy attends</c:v>
                </c:pt>
                <c:pt idx="9">
                  <c:v>Ambulance - hear and treat</c:v>
                </c:pt>
                <c:pt idx="10">
                  <c:v>Ambulance - See and treat</c:v>
                </c:pt>
                <c:pt idx="11">
                  <c:v>Ambulance - see and convey to ED</c:v>
                </c:pt>
                <c:pt idx="12">
                  <c:v>Community contacts</c:v>
                </c:pt>
                <c:pt idx="13">
                  <c:v>Intermediate care bed days</c:v>
                </c:pt>
                <c:pt idx="14">
                  <c:v>Social services domiciliary care</c:v>
                </c:pt>
                <c:pt idx="15">
                  <c:v>GP attends</c:v>
                </c:pt>
                <c:pt idx="16">
                  <c:v>GP visits</c:v>
                </c:pt>
              </c:strCache>
            </c:strRef>
          </c:cat>
          <c:val>
            <c:numRef>
              <c:f>outputs_by_channel!$F$63:$F$79</c:f>
              <c:numCache>
                <c:formatCode>#,##0_ ;\-#,##0\ </c:formatCode>
                <c:ptCount val="17"/>
                <c:pt idx="0">
                  <c:v>-1196.3444687297306</c:v>
                </c:pt>
                <c:pt idx="1">
                  <c:v>-3877.2307853567527</c:v>
                </c:pt>
                <c:pt idx="2">
                  <c:v>-1172.6191678133837</c:v>
                </c:pt>
                <c:pt idx="3">
                  <c:v>4384.6256602016219</c:v>
                </c:pt>
                <c:pt idx="4">
                  <c:v>-1274.5061365045549</c:v>
                </c:pt>
                <c:pt idx="5">
                  <c:v>-475.03408325518285</c:v>
                </c:pt>
                <c:pt idx="6">
                  <c:v>-7290.089376857075</c:v>
                </c:pt>
                <c:pt idx="7">
                  <c:v>7776.053051314404</c:v>
                </c:pt>
                <c:pt idx="8">
                  <c:v>0.20931015600581304</c:v>
                </c:pt>
                <c:pt idx="9">
                  <c:v>1315.1172033408943</c:v>
                </c:pt>
                <c:pt idx="10">
                  <c:v>1391.9995107058151</c:v>
                </c:pt>
                <c:pt idx="11">
                  <c:v>-101.05778335228752</c:v>
                </c:pt>
                <c:pt idx="12">
                  <c:v>1033.5388203939056</c:v>
                </c:pt>
                <c:pt idx="13">
                  <c:v>-88.15558801445205</c:v>
                </c:pt>
                <c:pt idx="14">
                  <c:v>3055.6064523233922</c:v>
                </c:pt>
                <c:pt idx="15">
                  <c:v>0.72842910943290917</c:v>
                </c:pt>
                <c:pt idx="16">
                  <c:v>-0.13223053751062253</c:v>
                </c:pt>
              </c:numCache>
            </c:numRef>
          </c:val>
        </c:ser>
        <c:dLbls>
          <c:showLegendKey val="0"/>
          <c:showVal val="0"/>
          <c:showCatName val="0"/>
          <c:showSerName val="0"/>
          <c:showPercent val="0"/>
          <c:showBubbleSize val="0"/>
        </c:dLbls>
        <c:gapWidth val="40"/>
        <c:overlap val="100"/>
        <c:axId val="99211904"/>
        <c:axId val="99258752"/>
      </c:barChart>
      <c:catAx>
        <c:axId val="992119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itchFamily="34" charset="0"/>
                <a:ea typeface="+mn-ea"/>
                <a:cs typeface="Arial" pitchFamily="34" charset="0"/>
              </a:defRPr>
            </a:pPr>
            <a:endParaRPr lang="en-US"/>
          </a:p>
        </c:txPr>
        <c:crossAx val="99258752"/>
        <c:crosses val="autoZero"/>
        <c:auto val="1"/>
        <c:lblAlgn val="ctr"/>
        <c:lblOffset val="100"/>
        <c:noMultiLvlLbl val="0"/>
      </c:catAx>
      <c:valAx>
        <c:axId val="99258752"/>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11904"/>
        <c:crosses val="autoZero"/>
        <c:crossBetween val="between"/>
      </c:valAx>
      <c:spPr>
        <a:noFill/>
        <a:ln>
          <a:noFill/>
        </a:ln>
        <a:effectLst>
          <a:softEdge rad="0"/>
        </a:effectLst>
      </c:spPr>
    </c:plotArea>
    <c:legend>
      <c:legendPos val="t"/>
      <c:layout>
        <c:manualLayout>
          <c:xMode val="edge"/>
          <c:yMode val="edge"/>
          <c:x val="0.233374537436986"/>
          <c:y val="5.3235379982569775E-2"/>
          <c:w val="0.51405648052465391"/>
          <c:h val="2.886746009565161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95" r="0.70000000000000095" t="0.750000000000001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itchFamily="34" charset="0"/>
                <a:ea typeface="+mn-ea"/>
                <a:cs typeface="Arial" pitchFamily="34" charset="0"/>
              </a:defRPr>
            </a:pPr>
            <a:r>
              <a:rPr lang="en-GB" sz="1200" b="1">
                <a:latin typeface="Arial" pitchFamily="34" charset="0"/>
                <a:cs typeface="Arial" pitchFamily="34" charset="0"/>
              </a:rPr>
              <a:t>Intervention</a:t>
            </a:r>
            <a:r>
              <a:rPr lang="en-GB" sz="1200" b="1" baseline="0">
                <a:latin typeface="Arial" pitchFamily="34" charset="0"/>
                <a:cs typeface="Arial" pitchFamily="34" charset="0"/>
              </a:rPr>
              <a:t> Impact on commissioner (price based) costs by channel - Annual </a:t>
            </a:r>
          </a:p>
        </c:rich>
      </c:tx>
      <c:overlay val="0"/>
      <c:spPr>
        <a:noFill/>
        <a:ln>
          <a:noFill/>
        </a:ln>
        <a:effectLst/>
      </c:spPr>
    </c:title>
    <c:autoTitleDeleted val="0"/>
    <c:plotArea>
      <c:layout>
        <c:manualLayout>
          <c:layoutTarget val="inner"/>
          <c:xMode val="edge"/>
          <c:yMode val="edge"/>
          <c:x val="8.4130331410327996E-2"/>
          <c:y val="0.42677091972163522"/>
          <c:w val="0.91235412085663037"/>
          <c:h val="0.57755535211873443"/>
        </c:manualLayout>
      </c:layout>
      <c:barChart>
        <c:barDir val="col"/>
        <c:grouping val="clustered"/>
        <c:varyColors val="0"/>
        <c:ser>
          <c:idx val="0"/>
          <c:order val="0"/>
          <c:spPr>
            <a:solidFill>
              <a:schemeClr val="accent5">
                <a:lumMod val="75000"/>
              </a:schemeClr>
            </a:solidFill>
            <a:ln>
              <a:noFill/>
            </a:ln>
            <a:effectLst/>
            <a:scene3d>
              <a:camera prst="orthographicFront"/>
              <a:lightRig rig="threePt" dir="t"/>
            </a:scene3d>
            <a:sp3d/>
          </c:spPr>
          <c:invertIfNegative val="0"/>
          <c:dPt>
            <c:idx val="18"/>
            <c:invertIfNegative val="0"/>
            <c:bubble3D val="0"/>
            <c:spPr>
              <a:solidFill>
                <a:srgbClr val="FF0000"/>
              </a:solidFill>
              <a:ln>
                <a:noFill/>
              </a:ln>
              <a:effectLst/>
              <a:scene3d>
                <a:camera prst="orthographicFront"/>
                <a:lightRig rig="threePt" dir="t"/>
              </a:scene3d>
              <a:sp3d/>
            </c:spPr>
          </c:dPt>
          <c:dPt>
            <c:idx val="19"/>
            <c:invertIfNegative val="0"/>
            <c:bubble3D val="0"/>
            <c:spPr>
              <a:solidFill>
                <a:srgbClr val="FF0000"/>
              </a:solidFill>
              <a:ln>
                <a:noFill/>
              </a:ln>
              <a:effectLst/>
              <a:scene3d>
                <a:camera prst="orthographicFront"/>
                <a:lightRig rig="threePt" dir="t"/>
              </a:scene3d>
              <a:sp3d/>
            </c:spPr>
          </c:dPt>
          <c:dPt>
            <c:idx val="20"/>
            <c:invertIfNegative val="0"/>
            <c:bubble3D val="0"/>
            <c:spPr>
              <a:solidFill>
                <a:srgbClr val="FF0000"/>
              </a:solidFill>
              <a:ln>
                <a:noFill/>
              </a:ln>
              <a:effectLst/>
              <a:scene3d>
                <a:camera prst="orthographicFront"/>
                <a:lightRig rig="threePt" dir="t"/>
              </a:scene3d>
              <a:sp3d/>
            </c:spPr>
          </c:dPt>
          <c:dLbls>
            <c:dLbl>
              <c:idx val="5"/>
              <c:layout>
                <c:manualLayout>
                  <c:x val="1.6391966774645E-3"/>
                  <c:y val="8.4865644227670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1.6391966774644998E-2"/>
                  <c:y val="2.2274388840887619E-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0"/>
                  <c:y val="-1.69730842967564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outputs_by_channel!$C$63:$C$83</c:f>
              <c:strCache>
                <c:ptCount val="21"/>
                <c:pt idx="0">
                  <c:v>Emergency bed days</c:v>
                </c:pt>
                <c:pt idx="1">
                  <c:v>ED attends</c:v>
                </c:pt>
                <c:pt idx="2">
                  <c:v>ED Minor attends</c:v>
                </c:pt>
                <c:pt idx="3">
                  <c:v>UCC attends</c:v>
                </c:pt>
                <c:pt idx="4">
                  <c:v>OOH clinic visits</c:v>
                </c:pt>
                <c:pt idx="5">
                  <c:v>OOH home visits</c:v>
                </c:pt>
                <c:pt idx="6">
                  <c:v>111 calls (call handler)</c:v>
                </c:pt>
                <c:pt idx="7">
                  <c:v>111 calls (clinical advisor)</c:v>
                </c:pt>
                <c:pt idx="8">
                  <c:v>Community pharmacy attends</c:v>
                </c:pt>
                <c:pt idx="9">
                  <c:v>Ambulance - hear and treat</c:v>
                </c:pt>
                <c:pt idx="10">
                  <c:v>Ambulance - See and treat</c:v>
                </c:pt>
                <c:pt idx="11">
                  <c:v>Ambulance - see and convey to ED</c:v>
                </c:pt>
                <c:pt idx="12">
                  <c:v>Community contacts</c:v>
                </c:pt>
                <c:pt idx="13">
                  <c:v>Intermediate care bed days</c:v>
                </c:pt>
                <c:pt idx="14">
                  <c:v>Social services domiciliary care</c:v>
                </c:pt>
                <c:pt idx="15">
                  <c:v>GP attends</c:v>
                </c:pt>
                <c:pt idx="16">
                  <c:v>GP visits</c:v>
                </c:pt>
                <c:pt idx="18">
                  <c:v>Non channel commissioner costs </c:v>
                </c:pt>
                <c:pt idx="19">
                  <c:v>Total net cost change excl set up</c:v>
                </c:pt>
                <c:pt idx="20">
                  <c:v>Cost change including 20% set up</c:v>
                </c:pt>
              </c:strCache>
            </c:strRef>
          </c:cat>
          <c:val>
            <c:numRef>
              <c:f>outputs_by_channel!$G$63:$G$83</c:f>
              <c:numCache>
                <c:formatCode>"£"#,##0_);\("£"#,##0\)</c:formatCode>
                <c:ptCount val="21"/>
                <c:pt idx="0">
                  <c:v>-23283653.582324471</c:v>
                </c:pt>
                <c:pt idx="1">
                  <c:v>-1326420.4074040281</c:v>
                </c:pt>
                <c:pt idx="2">
                  <c:v>-4053397.9775167266</c:v>
                </c:pt>
                <c:pt idx="3">
                  <c:v>1904676.3373685076</c:v>
                </c:pt>
                <c:pt idx="4">
                  <c:v>-947628.7691232611</c:v>
                </c:pt>
                <c:pt idx="5">
                  <c:v>-780005.11248827737</c:v>
                </c:pt>
                <c:pt idx="6">
                  <c:v>-249480.62563799953</c:v>
                </c:pt>
                <c:pt idx="7">
                  <c:v>1545478.9389737118</c:v>
                </c:pt>
                <c:pt idx="8">
                  <c:v>360035.06965781591</c:v>
                </c:pt>
                <c:pt idx="9">
                  <c:v>64678.891989471427</c:v>
                </c:pt>
                <c:pt idx="10">
                  <c:v>316144.07025043335</c:v>
                </c:pt>
                <c:pt idx="11">
                  <c:v>-2225587.4912399561</c:v>
                </c:pt>
                <c:pt idx="12">
                  <c:v>548400.84882972366</c:v>
                </c:pt>
                <c:pt idx="13">
                  <c:v>-24883.010837550399</c:v>
                </c:pt>
                <c:pt idx="14">
                  <c:v>2265.4451442385853</c:v>
                </c:pt>
                <c:pt idx="15">
                  <c:v>31460.048122950982</c:v>
                </c:pt>
                <c:pt idx="16">
                  <c:v>-228026.06606278816</c:v>
                </c:pt>
                <c:pt idx="18">
                  <c:v>2910781.2879036027</c:v>
                </c:pt>
                <c:pt idx="19">
                  <c:v>-25435162.1043946</c:v>
                </c:pt>
                <c:pt idx="20">
                  <c:v>-24847744.724361032</c:v>
                </c:pt>
              </c:numCache>
            </c:numRef>
          </c:val>
        </c:ser>
        <c:dLbls>
          <c:showLegendKey val="0"/>
          <c:showVal val="0"/>
          <c:showCatName val="0"/>
          <c:showSerName val="0"/>
          <c:showPercent val="0"/>
          <c:showBubbleSize val="0"/>
        </c:dLbls>
        <c:gapWidth val="40"/>
        <c:axId val="99297536"/>
        <c:axId val="99311616"/>
      </c:barChart>
      <c:catAx>
        <c:axId val="99297536"/>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itchFamily="34" charset="0"/>
                <a:ea typeface="+mn-ea"/>
                <a:cs typeface="Arial" pitchFamily="34" charset="0"/>
              </a:defRPr>
            </a:pPr>
            <a:endParaRPr lang="en-US"/>
          </a:p>
        </c:txPr>
        <c:crossAx val="99311616"/>
        <c:crosses val="autoZero"/>
        <c:auto val="1"/>
        <c:lblAlgn val="ctr"/>
        <c:lblOffset val="100"/>
        <c:noMultiLvlLbl val="0"/>
      </c:catAx>
      <c:valAx>
        <c:axId val="9931161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7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95" r="0.70000000000000095" t="0.75000000000000144" header="0.30000000000000021" footer="0.3000000000000002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1" Type="http://schemas.openxmlformats.org/officeDocument/2006/relationships/image" Target="../media/image4.emf"/></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7.emf"/></Relationships>
</file>

<file path=xl/drawings/_rels/drawing3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312128</xdr:colOff>
      <xdr:row>10</xdr:row>
      <xdr:rowOff>162658</xdr:rowOff>
    </xdr:from>
    <xdr:to>
      <xdr:col>3</xdr:col>
      <xdr:colOff>363417</xdr:colOff>
      <xdr:row>13</xdr:row>
      <xdr:rowOff>0</xdr:rowOff>
    </xdr:to>
    <xdr:sp macro="" textlink="">
      <xdr:nvSpPr>
        <xdr:cNvPr id="4" name="TextBox 3"/>
        <xdr:cNvSpPr txBox="1"/>
      </xdr:nvSpPr>
      <xdr:spPr>
        <a:xfrm>
          <a:off x="1016978" y="2029558"/>
          <a:ext cx="1460989"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FF0000"/>
              </a:solidFill>
              <a:latin typeface="Arial" pitchFamily="34" charset="0"/>
              <a:cs typeface="Arial" pitchFamily="34" charset="0"/>
            </a:rPr>
            <a:t>DISCLAIMER</a:t>
          </a:r>
        </a:p>
      </xdr:txBody>
    </xdr:sp>
    <xdr:clientData/>
  </xdr:twoCellAnchor>
  <xdr:twoCellAnchor>
    <xdr:from>
      <xdr:col>1</xdr:col>
      <xdr:colOff>233729</xdr:colOff>
      <xdr:row>17</xdr:row>
      <xdr:rowOff>66675</xdr:rowOff>
    </xdr:from>
    <xdr:to>
      <xdr:col>9</xdr:col>
      <xdr:colOff>460130</xdr:colOff>
      <xdr:row>31</xdr:row>
      <xdr:rowOff>57881</xdr:rowOff>
    </xdr:to>
    <xdr:sp macro="" textlink="">
      <xdr:nvSpPr>
        <xdr:cNvPr id="2" name="TextBox 1"/>
        <xdr:cNvSpPr txBox="1"/>
      </xdr:nvSpPr>
      <xdr:spPr>
        <a:xfrm>
          <a:off x="938579" y="2447925"/>
          <a:ext cx="5865201" cy="22581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a:latin typeface="Arial" pitchFamily="34" charset="0"/>
              <a:cs typeface="Arial" pitchFamily="34" charset="0"/>
            </a:rPr>
            <a:t>You should only have access to this template with permission from the Director of Strategic Finance NHS England.</a:t>
          </a:r>
        </a:p>
        <a:p>
          <a:pPr algn="l"/>
          <a:endParaRPr lang="en-GB" sz="1200">
            <a:latin typeface="Arial" pitchFamily="34" charset="0"/>
            <a:cs typeface="Arial" pitchFamily="34" charset="0"/>
          </a:endParaRPr>
        </a:p>
        <a:p>
          <a:pPr algn="l"/>
          <a:r>
            <a:rPr lang="en-GB" sz="1200">
              <a:latin typeface="Arial" pitchFamily="34" charset="0"/>
              <a:cs typeface="Arial" pitchFamily="34" charset="0"/>
            </a:rPr>
            <a:t>By accepting the disclaimer you are confirming that you rightfully have access to this template. If permission has not been granted, or you have received this template in error please do not accept this disclaimer and close the template. </a:t>
          </a:r>
        </a:p>
        <a:p>
          <a:pPr algn="l"/>
          <a:endParaRPr lang="en-GB" sz="1200">
            <a:latin typeface="Arial" pitchFamily="34" charset="0"/>
            <a:cs typeface="Arial" pitchFamily="34" charset="0"/>
          </a:endParaRPr>
        </a:p>
        <a:p>
          <a:pPr algn="l"/>
          <a:r>
            <a:rPr lang="en-GB" sz="1200">
              <a:latin typeface="Arial" pitchFamily="34" charset="0"/>
              <a:cs typeface="Arial" pitchFamily="34" charset="0"/>
            </a:rPr>
            <a:t>Please note that any outputs from this model should be sense-checked. </a:t>
          </a:r>
        </a:p>
        <a:p>
          <a:pPr algn="l"/>
          <a:endParaRPr lang="en-GB" sz="1200">
            <a:latin typeface="Arial" pitchFamily="34" charset="0"/>
            <a:cs typeface="Arial" pitchFamily="34" charset="0"/>
          </a:endParaRPr>
        </a:p>
        <a:p>
          <a:pPr algn="l"/>
          <a:r>
            <a:rPr lang="en-GB" sz="1200">
              <a:latin typeface="Arial" pitchFamily="34" charset="0"/>
              <a:cs typeface="Arial" pitchFamily="34" charset="0"/>
            </a:rPr>
            <a:t>Please contact NHS England if you find any discrepancies with the model.</a:t>
          </a:r>
        </a:p>
      </xdr:txBody>
    </xdr:sp>
    <xdr:clientData/>
  </xdr:twoCellAnchor>
  <xdr:twoCellAnchor>
    <xdr:from>
      <xdr:col>1</xdr:col>
      <xdr:colOff>312128</xdr:colOff>
      <xdr:row>10</xdr:row>
      <xdr:rowOff>162658</xdr:rowOff>
    </xdr:from>
    <xdr:to>
      <xdr:col>3</xdr:col>
      <xdr:colOff>363417</xdr:colOff>
      <xdr:row>13</xdr:row>
      <xdr:rowOff>0</xdr:rowOff>
    </xdr:to>
    <xdr:sp macro="" textlink="">
      <xdr:nvSpPr>
        <xdr:cNvPr id="10" name="TextBox 9"/>
        <xdr:cNvSpPr txBox="1"/>
      </xdr:nvSpPr>
      <xdr:spPr>
        <a:xfrm>
          <a:off x="975068" y="1983838"/>
          <a:ext cx="1377169" cy="3555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FF0000"/>
              </a:solidFill>
              <a:latin typeface="Arial" pitchFamily="34" charset="0"/>
              <a:cs typeface="Arial" pitchFamily="34" charset="0"/>
            </a:rPr>
            <a:t>DISCLAIMER</a:t>
          </a:r>
        </a:p>
      </xdr:txBody>
    </xdr:sp>
    <xdr:clientData/>
  </xdr:twoCellAnchor>
  <xdr:twoCellAnchor>
    <xdr:from>
      <xdr:col>1</xdr:col>
      <xdr:colOff>233729</xdr:colOff>
      <xdr:row>17</xdr:row>
      <xdr:rowOff>66675</xdr:rowOff>
    </xdr:from>
    <xdr:to>
      <xdr:col>9</xdr:col>
      <xdr:colOff>460130</xdr:colOff>
      <xdr:row>31</xdr:row>
      <xdr:rowOff>57881</xdr:rowOff>
    </xdr:to>
    <xdr:sp macro="" textlink="">
      <xdr:nvSpPr>
        <xdr:cNvPr id="11" name="TextBox 10"/>
        <xdr:cNvSpPr txBox="1"/>
      </xdr:nvSpPr>
      <xdr:spPr>
        <a:xfrm>
          <a:off x="896669" y="2406015"/>
          <a:ext cx="5529921" cy="2338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a:latin typeface="Arial" pitchFamily="34" charset="0"/>
              <a:cs typeface="Arial" pitchFamily="34" charset="0"/>
            </a:rPr>
            <a:t>You should only have access to this template with permission from the Director of Strategic Finance NHS England.</a:t>
          </a:r>
        </a:p>
        <a:p>
          <a:pPr algn="l"/>
          <a:endParaRPr lang="en-GB" sz="1200">
            <a:latin typeface="Arial" pitchFamily="34" charset="0"/>
            <a:cs typeface="Arial" pitchFamily="34" charset="0"/>
          </a:endParaRPr>
        </a:p>
        <a:p>
          <a:pPr algn="l"/>
          <a:r>
            <a:rPr lang="en-GB" sz="1200">
              <a:latin typeface="Arial" pitchFamily="34" charset="0"/>
              <a:cs typeface="Arial" pitchFamily="34" charset="0"/>
            </a:rPr>
            <a:t>By accepting the disclaimer you are confirming that you rightfully have access to this template. If permission has not been granted, or you have received this template in error please do not accept this disclaimer and close the template. </a:t>
          </a:r>
        </a:p>
        <a:p>
          <a:pPr algn="l"/>
          <a:endParaRPr lang="en-GB" sz="1200">
            <a:latin typeface="Arial" pitchFamily="34" charset="0"/>
            <a:cs typeface="Arial" pitchFamily="34" charset="0"/>
          </a:endParaRPr>
        </a:p>
        <a:p>
          <a:pPr algn="l"/>
          <a:r>
            <a:rPr lang="en-GB" sz="1200">
              <a:latin typeface="Arial" pitchFamily="34" charset="0"/>
              <a:cs typeface="Arial" pitchFamily="34" charset="0"/>
            </a:rPr>
            <a:t>Please note that any outputs from this model should be sense-checked. </a:t>
          </a:r>
        </a:p>
        <a:p>
          <a:pPr algn="l"/>
          <a:endParaRPr lang="en-GB" sz="1200">
            <a:latin typeface="Arial" pitchFamily="34" charset="0"/>
            <a:cs typeface="Arial" pitchFamily="34" charset="0"/>
          </a:endParaRPr>
        </a:p>
        <a:p>
          <a:pPr algn="l"/>
          <a:r>
            <a:rPr lang="en-GB" sz="1200">
              <a:latin typeface="Arial" pitchFamily="34" charset="0"/>
              <a:cs typeface="Arial" pitchFamily="34" charset="0"/>
            </a:rPr>
            <a:t>Please contact NHS England if you find any discrepancies with the model.</a:t>
          </a:r>
        </a:p>
      </xdr:txBody>
    </xdr:sp>
    <xdr:clientData/>
  </xdr:twoCellAnchor>
  <xdr:twoCellAnchor editAs="oneCell">
    <xdr:from>
      <xdr:col>1</xdr:col>
      <xdr:colOff>19050</xdr:colOff>
      <xdr:row>0</xdr:row>
      <xdr:rowOff>38100</xdr:rowOff>
    </xdr:from>
    <xdr:to>
      <xdr:col>3</xdr:col>
      <xdr:colOff>546354</xdr:colOff>
      <xdr:row>10</xdr:row>
      <xdr:rowOff>6096</xdr:rowOff>
    </xdr:to>
    <xdr:pic>
      <xdr:nvPicPr>
        <xdr:cNvPr id="12" name="Picture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1990" y="38100"/>
          <a:ext cx="1822704" cy="1789176"/>
        </a:xfrm>
        <a:prstGeom prst="rect">
          <a:avLst/>
        </a:prstGeom>
      </xdr:spPr>
    </xdr:pic>
    <xdr:clientData/>
  </xdr:twoCellAnchor>
  <xdr:twoCellAnchor editAs="oneCell">
    <xdr:from>
      <xdr:col>3</xdr:col>
      <xdr:colOff>628649</xdr:colOff>
      <xdr:row>1</xdr:row>
      <xdr:rowOff>209551</xdr:rowOff>
    </xdr:from>
    <xdr:to>
      <xdr:col>7</xdr:col>
      <xdr:colOff>480615</xdr:colOff>
      <xdr:row>4</xdr:row>
      <xdr:rowOff>119159</xdr:rowOff>
    </xdr:to>
    <xdr:pic>
      <xdr:nvPicPr>
        <xdr:cNvPr id="13" name="Picture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17469" y="377191"/>
          <a:ext cx="2471341" cy="488728"/>
        </a:xfrm>
        <a:prstGeom prst="rect">
          <a:avLst/>
        </a:prstGeom>
      </xdr:spPr>
    </xdr:pic>
    <xdr:clientData/>
  </xdr:twoCellAnchor>
  <xdr:twoCellAnchor editAs="oneCell">
    <xdr:from>
      <xdr:col>8</xdr:col>
      <xdr:colOff>156048</xdr:colOff>
      <xdr:row>0</xdr:row>
      <xdr:rowOff>85727</xdr:rowOff>
    </xdr:from>
    <xdr:to>
      <xdr:col>11</xdr:col>
      <xdr:colOff>284224</xdr:colOff>
      <xdr:row>9</xdr:row>
      <xdr:rowOff>47625</xdr:rowOff>
    </xdr:to>
    <xdr:pic>
      <xdr:nvPicPr>
        <xdr:cNvPr id="14" name="Pictur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59568" y="85727"/>
          <a:ext cx="2116996" cy="16001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382271</xdr:colOff>
      <xdr:row>12</xdr:row>
      <xdr:rowOff>0</xdr:rowOff>
    </xdr:from>
    <xdr:to>
      <xdr:col>0</xdr:col>
      <xdr:colOff>3530601</xdr:colOff>
      <xdr:row>17</xdr:row>
      <xdr:rowOff>0</xdr:rowOff>
    </xdr:to>
    <xdr:sp macro="" textlink="">
      <xdr:nvSpPr>
        <xdr:cNvPr id="2" name="TextBox 1"/>
        <xdr:cNvSpPr txBox="1"/>
      </xdr:nvSpPr>
      <xdr:spPr>
        <a:xfrm>
          <a:off x="382271" y="2908300"/>
          <a:ext cx="3148330" cy="9525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This is a proxy for the total number of patients in current Type 1 ED that could be seen in a UCC.</a:t>
          </a:r>
        </a:p>
      </xdr:txBody>
    </xdr:sp>
    <xdr:clientData/>
  </xdr:twoCellAnchor>
  <xdr:twoCellAnchor>
    <xdr:from>
      <xdr:col>0</xdr:col>
      <xdr:colOff>516890</xdr:colOff>
      <xdr:row>34</xdr:row>
      <xdr:rowOff>0</xdr:rowOff>
    </xdr:from>
    <xdr:to>
      <xdr:col>0</xdr:col>
      <xdr:colOff>3971868</xdr:colOff>
      <xdr:row>36</xdr:row>
      <xdr:rowOff>152400</xdr:rowOff>
    </xdr:to>
    <xdr:sp macro="" textlink="">
      <xdr:nvSpPr>
        <xdr:cNvPr id="3" name="TextBox 2"/>
        <xdr:cNvSpPr txBox="1"/>
      </xdr:nvSpPr>
      <xdr:spPr>
        <a:xfrm>
          <a:off x="516890" y="7861300"/>
          <a:ext cx="3454978" cy="5334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This is capacity to see</a:t>
          </a:r>
          <a:r>
            <a:rPr lang="en-GB" sz="1400" baseline="0"/>
            <a:t> and treat patients per hour.  </a:t>
          </a:r>
        </a:p>
        <a:p>
          <a:endParaRPr lang="en-GB" sz="1800"/>
        </a:p>
      </xdr:txBody>
    </xdr:sp>
    <xdr:clientData/>
  </xdr:twoCellAnchor>
  <xdr:twoCellAnchor>
    <xdr:from>
      <xdr:col>0</xdr:col>
      <xdr:colOff>382270</xdr:colOff>
      <xdr:row>43</xdr:row>
      <xdr:rowOff>53975</xdr:rowOff>
    </xdr:from>
    <xdr:to>
      <xdr:col>0</xdr:col>
      <xdr:colOff>3848100</xdr:colOff>
      <xdr:row>48</xdr:row>
      <xdr:rowOff>266700</xdr:rowOff>
    </xdr:to>
    <xdr:sp macro="" textlink="">
      <xdr:nvSpPr>
        <xdr:cNvPr id="4" name="TextBox 3"/>
        <xdr:cNvSpPr txBox="1"/>
      </xdr:nvSpPr>
      <xdr:spPr>
        <a:xfrm>
          <a:off x="382270" y="9629775"/>
          <a:ext cx="3465830" cy="13557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pPr>
          <a:r>
            <a:rPr lang="en-GB" sz="1400"/>
            <a:t>The utilisation will</a:t>
          </a:r>
          <a:r>
            <a:rPr lang="en-GB" sz="1400" baseline="0"/>
            <a:t> be a key input. Many UCCs operate below capacity. Expected utilisation may be lower at particular times of day and at weekends. This needs to be an average figure.</a:t>
          </a:r>
        </a:p>
      </xdr:txBody>
    </xdr:sp>
    <xdr:clientData/>
  </xdr:twoCellAnchor>
  <xdr:twoCellAnchor>
    <xdr:from>
      <xdr:col>0</xdr:col>
      <xdr:colOff>494665</xdr:colOff>
      <xdr:row>62</xdr:row>
      <xdr:rowOff>0</xdr:rowOff>
    </xdr:from>
    <xdr:to>
      <xdr:col>0</xdr:col>
      <xdr:colOff>3686649</xdr:colOff>
      <xdr:row>69</xdr:row>
      <xdr:rowOff>215900</xdr:rowOff>
    </xdr:to>
    <xdr:sp macro="" textlink="">
      <xdr:nvSpPr>
        <xdr:cNvPr id="5" name="TextBox 4"/>
        <xdr:cNvSpPr txBox="1"/>
      </xdr:nvSpPr>
      <xdr:spPr>
        <a:xfrm>
          <a:off x="494665" y="13766800"/>
          <a:ext cx="3191984" cy="19304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pPr>
          <a:r>
            <a:rPr lang="en-GB" sz="1400"/>
            <a:t>This is where patient would have gone if not attending UCC.  With</a:t>
          </a:r>
          <a:r>
            <a:rPr lang="en-GB" sz="1400" baseline="0"/>
            <a:t> a co-located UCC the assumption is that most would have attended ED.  </a:t>
          </a:r>
          <a:br>
            <a:rPr lang="en-GB" sz="1400" baseline="0"/>
          </a:br>
          <a:r>
            <a:rPr lang="en-GB" sz="1400" baseline="0"/>
            <a:t>Note: this is avoided attendances; if attendances need to be subsequently transferred to ED  then the attendance is not avoided. </a:t>
          </a:r>
          <a:endParaRPr lang="en-GB" sz="1400"/>
        </a:p>
      </xdr:txBody>
    </xdr:sp>
    <xdr:clientData/>
  </xdr:twoCellAnchor>
  <xdr:twoCellAnchor>
    <xdr:from>
      <xdr:col>0</xdr:col>
      <xdr:colOff>542290</xdr:colOff>
      <xdr:row>1</xdr:row>
      <xdr:rowOff>38100</xdr:rowOff>
    </xdr:from>
    <xdr:to>
      <xdr:col>0</xdr:col>
      <xdr:colOff>3732761</xdr:colOff>
      <xdr:row>2</xdr:row>
      <xdr:rowOff>292100</xdr:rowOff>
    </xdr:to>
    <xdr:sp macro="" textlink="">
      <xdr:nvSpPr>
        <xdr:cNvPr id="6" name="TextBox 5"/>
        <xdr:cNvSpPr txBox="1"/>
      </xdr:nvSpPr>
      <xdr:spPr>
        <a:xfrm>
          <a:off x="542290" y="220980"/>
          <a:ext cx="66271" cy="3302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407670</xdr:colOff>
      <xdr:row>24</xdr:row>
      <xdr:rowOff>255270</xdr:rowOff>
    </xdr:from>
    <xdr:to>
      <xdr:col>0</xdr:col>
      <xdr:colOff>3388498</xdr:colOff>
      <xdr:row>32</xdr:row>
      <xdr:rowOff>88900</xdr:rowOff>
    </xdr:to>
    <xdr:sp macro="" textlink="">
      <xdr:nvSpPr>
        <xdr:cNvPr id="7" name="TextBox 6"/>
        <xdr:cNvSpPr txBox="1"/>
      </xdr:nvSpPr>
      <xdr:spPr>
        <a:xfrm>
          <a:off x="407670" y="5449570"/>
          <a:ext cx="2980828" cy="173863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400" b="0" baseline="0">
              <a:solidFill>
                <a:schemeClr val="dk1"/>
              </a:solidFill>
              <a:effectLst/>
              <a:latin typeface="+mn-lt"/>
              <a:ea typeface="+mn-ea"/>
              <a:cs typeface="+mn-cs"/>
            </a:rPr>
            <a:t>Input staffing figures needed to provide additional service.</a:t>
          </a:r>
          <a:endParaRPr lang="en-GB" sz="1400">
            <a:effectLst/>
          </a:endParaRPr>
        </a:p>
        <a:p>
          <a:pPr eaLnBrk="1" fontAlgn="auto" latinLnBrk="0" hangingPunct="1"/>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endParaRPr lang="en-GB" sz="1400">
            <a:effectLst/>
          </a:endParaRPr>
        </a:p>
      </xdr:txBody>
    </xdr:sp>
    <xdr:clientData/>
  </xdr:twoCellAnchor>
  <xdr:twoCellAnchor>
    <xdr:from>
      <xdr:col>0</xdr:col>
      <xdr:colOff>404495</xdr:colOff>
      <xdr:row>48</xdr:row>
      <xdr:rowOff>466724</xdr:rowOff>
    </xdr:from>
    <xdr:to>
      <xdr:col>0</xdr:col>
      <xdr:colOff>3582035</xdr:colOff>
      <xdr:row>57</xdr:row>
      <xdr:rowOff>50799</xdr:rowOff>
    </xdr:to>
    <xdr:sp macro="" textlink="">
      <xdr:nvSpPr>
        <xdr:cNvPr id="8" name="TextBox 7"/>
        <xdr:cNvSpPr txBox="1"/>
      </xdr:nvSpPr>
      <xdr:spPr>
        <a:xfrm>
          <a:off x="404495" y="11185524"/>
          <a:ext cx="3177540" cy="16795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Users can  input a number or a formula</a:t>
          </a:r>
          <a:r>
            <a:rPr lang="en-GB" sz="1400" baseline="0">
              <a:solidFill>
                <a:schemeClr val="dk1"/>
              </a:solidFill>
              <a:effectLst/>
              <a:latin typeface="+mn-lt"/>
              <a:ea typeface="+mn-ea"/>
              <a:cs typeface="+mn-cs"/>
            </a:rPr>
            <a:t> in the Unit column </a:t>
          </a:r>
          <a:r>
            <a:rPr lang="en-GB" sz="1400">
              <a:solidFill>
                <a:schemeClr val="dk1"/>
              </a:solidFill>
              <a:effectLst/>
              <a:latin typeface="+mn-lt"/>
              <a:ea typeface="+mn-ea"/>
              <a:cs typeface="+mn-cs"/>
            </a:rPr>
            <a:t>as appropriate. If an additional cost is </a:t>
          </a:r>
          <a:r>
            <a:rPr lang="en-GB" sz="1400" b="1">
              <a:solidFill>
                <a:schemeClr val="dk1"/>
              </a:solidFill>
              <a:effectLst/>
              <a:latin typeface="+mn-lt"/>
              <a:ea typeface="+mn-ea"/>
              <a:cs typeface="+mn-cs"/>
            </a:rPr>
            <a:t>per patient</a:t>
          </a:r>
          <a:r>
            <a:rPr lang="en-GB" sz="1400">
              <a:solidFill>
                <a:schemeClr val="dk1"/>
              </a:solidFill>
              <a:effectLst/>
              <a:latin typeface="+mn-lt"/>
              <a:ea typeface="+mn-ea"/>
              <a:cs typeface="+mn-cs"/>
            </a:rPr>
            <a:t> the Unit can</a:t>
          </a:r>
          <a:r>
            <a:rPr lang="en-GB" sz="1400" baseline="0">
              <a:solidFill>
                <a:schemeClr val="dk1"/>
              </a:solidFill>
              <a:effectLst/>
              <a:latin typeface="+mn-lt"/>
              <a:ea typeface="+mn-ea"/>
              <a:cs typeface="+mn-cs"/>
            </a:rPr>
            <a:t> be</a:t>
          </a:r>
          <a:r>
            <a:rPr lang="en-GB" sz="1400">
              <a:solidFill>
                <a:schemeClr val="dk1"/>
              </a:solidFill>
              <a:effectLst/>
              <a:latin typeface="+mn-lt"/>
              <a:ea typeface="+mn-ea"/>
              <a:cs typeface="+mn-cs"/>
            </a:rPr>
            <a:t> linked to Cases</a:t>
          </a:r>
          <a:r>
            <a:rPr lang="en-GB" sz="1400" baseline="0">
              <a:solidFill>
                <a:schemeClr val="dk1"/>
              </a:solidFill>
              <a:effectLst/>
              <a:latin typeface="+mn-lt"/>
              <a:ea typeface="+mn-ea"/>
              <a:cs typeface="+mn-cs"/>
            </a:rPr>
            <a:t> seen</a:t>
          </a:r>
          <a:r>
            <a:rPr lang="en-GB" sz="1400">
              <a:solidFill>
                <a:schemeClr val="dk1"/>
              </a:solidFill>
              <a:effectLst/>
              <a:latin typeface="+mn-lt"/>
              <a:ea typeface="+mn-ea"/>
              <a:cs typeface="+mn-cs"/>
            </a:rPr>
            <a:t> (cell L47). If an additional cost is </a:t>
          </a:r>
          <a:r>
            <a:rPr lang="en-GB" sz="1400" b="1">
              <a:solidFill>
                <a:schemeClr val="dk1"/>
              </a:solidFill>
              <a:effectLst/>
              <a:latin typeface="+mn-lt"/>
              <a:ea typeface="+mn-ea"/>
              <a:cs typeface="+mn-cs"/>
            </a:rPr>
            <a:t>per WTE</a:t>
          </a:r>
          <a:r>
            <a:rPr lang="en-GB" sz="1400">
              <a:solidFill>
                <a:schemeClr val="dk1"/>
              </a:solidFill>
              <a:effectLst/>
              <a:latin typeface="+mn-lt"/>
              <a:ea typeface="+mn-ea"/>
              <a:cs typeface="+mn-cs"/>
            </a:rPr>
            <a:t> the Unit can be linked to the sum of WTEs (cell E32). </a:t>
          </a:r>
          <a:r>
            <a:rPr lang="en-GB" sz="1400" baseline="0">
              <a:solidFill>
                <a:schemeClr val="dk1"/>
              </a:solidFill>
              <a:effectLst/>
              <a:latin typeface="+mn-lt"/>
              <a:ea typeface="+mn-ea"/>
              <a:cs typeface="+mn-cs"/>
            </a:rPr>
            <a:t> </a:t>
          </a:r>
          <a:endParaRPr lang="en-GB" sz="1400">
            <a:effectLst/>
          </a:endParaRPr>
        </a:p>
      </xdr:txBody>
    </xdr:sp>
    <xdr:clientData/>
  </xdr:twoCellAnchor>
  <xdr:twoCellAnchor>
    <xdr:from>
      <xdr:col>0</xdr:col>
      <xdr:colOff>692785</xdr:colOff>
      <xdr:row>20</xdr:row>
      <xdr:rowOff>114301</xdr:rowOff>
    </xdr:from>
    <xdr:to>
      <xdr:col>0</xdr:col>
      <xdr:colOff>3797300</xdr:colOff>
      <xdr:row>23</xdr:row>
      <xdr:rowOff>152401</xdr:rowOff>
    </xdr:to>
    <xdr:sp macro="" textlink="">
      <xdr:nvSpPr>
        <xdr:cNvPr id="9" name="TextBox 8"/>
        <xdr:cNvSpPr txBox="1"/>
      </xdr:nvSpPr>
      <xdr:spPr>
        <a:xfrm>
          <a:off x="692785" y="4546601"/>
          <a:ext cx="3104515" cy="609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Set up cost will</a:t>
          </a:r>
          <a:r>
            <a:rPr lang="en-GB" sz="1400" baseline="0"/>
            <a:t> be dependent on local circumstances and plans.</a:t>
          </a:r>
          <a:endParaRPr lang="en-GB" sz="1400"/>
        </a:p>
      </xdr:txBody>
    </xdr:sp>
    <xdr:clientData/>
  </xdr:twoCellAnchor>
  <xdr:twoCellAnchor>
    <xdr:from>
      <xdr:col>0</xdr:col>
      <xdr:colOff>458470</xdr:colOff>
      <xdr:row>73</xdr:row>
      <xdr:rowOff>101600</xdr:rowOff>
    </xdr:from>
    <xdr:to>
      <xdr:col>0</xdr:col>
      <xdr:colOff>3656555</xdr:colOff>
      <xdr:row>78</xdr:row>
      <xdr:rowOff>419100</xdr:rowOff>
    </xdr:to>
    <xdr:sp macro="" textlink="">
      <xdr:nvSpPr>
        <xdr:cNvPr id="10" name="TextBox 9"/>
        <xdr:cNvSpPr txBox="1"/>
      </xdr:nvSpPr>
      <xdr:spPr>
        <a:xfrm>
          <a:off x="458470" y="16535400"/>
          <a:ext cx="3198085" cy="14351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pPr>
          <a:r>
            <a:rPr lang="en-GB" sz="1400"/>
            <a:t>There is some evidence that with increased GP input some admissions</a:t>
          </a:r>
          <a:r>
            <a:rPr lang="en-GB" sz="1400" baseline="0"/>
            <a:t> </a:t>
          </a:r>
          <a:r>
            <a:rPr lang="en-GB" sz="1400"/>
            <a:t>may be avoided. It is considered here that the patients channelled to UCC would not have been admitted.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304800</xdr:colOff>
      <xdr:row>12</xdr:row>
      <xdr:rowOff>50800</xdr:rowOff>
    </xdr:from>
    <xdr:to>
      <xdr:col>0</xdr:col>
      <xdr:colOff>3556000</xdr:colOff>
      <xdr:row>19</xdr:row>
      <xdr:rowOff>38100</xdr:rowOff>
    </xdr:to>
    <xdr:sp macro="" textlink="">
      <xdr:nvSpPr>
        <xdr:cNvPr id="2" name="TextBox 1"/>
        <xdr:cNvSpPr txBox="1"/>
      </xdr:nvSpPr>
      <xdr:spPr>
        <a:xfrm>
          <a:off x="304800" y="2933700"/>
          <a:ext cx="3251200" cy="13208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This is the total number of patients in current Type 1 ED that could be seen in a UCC.  Extended</a:t>
          </a:r>
          <a:r>
            <a:rPr lang="en-GB" sz="1400" baseline="0"/>
            <a:t> hours at UCC will not be able to see all of these patients but could see a proportion.</a:t>
          </a:r>
          <a:endParaRPr lang="en-GB" sz="1400"/>
        </a:p>
      </xdr:txBody>
    </xdr:sp>
    <xdr:clientData/>
  </xdr:twoCellAnchor>
  <xdr:twoCellAnchor>
    <xdr:from>
      <xdr:col>0</xdr:col>
      <xdr:colOff>723900</xdr:colOff>
      <xdr:row>34</xdr:row>
      <xdr:rowOff>76200</xdr:rowOff>
    </xdr:from>
    <xdr:to>
      <xdr:col>0</xdr:col>
      <xdr:colOff>3975100</xdr:colOff>
      <xdr:row>37</xdr:row>
      <xdr:rowOff>88900</xdr:rowOff>
    </xdr:to>
    <xdr:sp macro="" textlink="">
      <xdr:nvSpPr>
        <xdr:cNvPr id="3" name="TextBox 2"/>
        <xdr:cNvSpPr txBox="1"/>
      </xdr:nvSpPr>
      <xdr:spPr>
        <a:xfrm>
          <a:off x="723900" y="8102600"/>
          <a:ext cx="3251200" cy="5842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This is capacity to see</a:t>
          </a:r>
          <a:r>
            <a:rPr lang="en-GB" sz="1400" baseline="0"/>
            <a:t> and treat patients per hour.  </a:t>
          </a:r>
        </a:p>
        <a:p>
          <a:endParaRPr lang="en-GB" sz="1800"/>
        </a:p>
      </xdr:txBody>
    </xdr:sp>
    <xdr:clientData/>
  </xdr:twoCellAnchor>
  <xdr:twoCellAnchor>
    <xdr:from>
      <xdr:col>0</xdr:col>
      <xdr:colOff>711200</xdr:colOff>
      <xdr:row>42</xdr:row>
      <xdr:rowOff>152400</xdr:rowOff>
    </xdr:from>
    <xdr:to>
      <xdr:col>0</xdr:col>
      <xdr:colOff>3962400</xdr:colOff>
      <xdr:row>48</xdr:row>
      <xdr:rowOff>165100</xdr:rowOff>
    </xdr:to>
    <xdr:sp macro="" textlink="">
      <xdr:nvSpPr>
        <xdr:cNvPr id="4" name="TextBox 3"/>
        <xdr:cNvSpPr txBox="1"/>
      </xdr:nvSpPr>
      <xdr:spPr>
        <a:xfrm>
          <a:off x="711200" y="9702800"/>
          <a:ext cx="3251200" cy="13462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The utilisation will</a:t>
          </a:r>
          <a:r>
            <a:rPr lang="en-GB" sz="1400" baseline="0">
              <a:solidFill>
                <a:schemeClr val="dk1"/>
              </a:solidFill>
              <a:effectLst/>
              <a:latin typeface="+mn-lt"/>
              <a:ea typeface="+mn-ea"/>
              <a:cs typeface="+mn-cs"/>
            </a:rPr>
            <a:t> be a key input. Many UCCs operate below capacity. Expected utilisation may be lower at particular times of day and at weekends. This needs to be an average figure.</a:t>
          </a:r>
          <a:endParaRPr lang="en-GB" sz="1400">
            <a:effectLst/>
          </a:endParaRPr>
        </a:p>
      </xdr:txBody>
    </xdr:sp>
    <xdr:clientData/>
  </xdr:twoCellAnchor>
  <xdr:twoCellAnchor>
    <xdr:from>
      <xdr:col>0</xdr:col>
      <xdr:colOff>647700</xdr:colOff>
      <xdr:row>64</xdr:row>
      <xdr:rowOff>38100</xdr:rowOff>
    </xdr:from>
    <xdr:to>
      <xdr:col>0</xdr:col>
      <xdr:colOff>3898900</xdr:colOff>
      <xdr:row>69</xdr:row>
      <xdr:rowOff>304800</xdr:rowOff>
    </xdr:to>
    <xdr:sp macro="" textlink="">
      <xdr:nvSpPr>
        <xdr:cNvPr id="5" name="TextBox 4"/>
        <xdr:cNvSpPr txBox="1"/>
      </xdr:nvSpPr>
      <xdr:spPr>
        <a:xfrm>
          <a:off x="647700" y="14338300"/>
          <a:ext cx="3251200" cy="12192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This is where patient would have gone if not attending UCC.  Some evidence is available (see evidence tab)</a:t>
          </a:r>
          <a:r>
            <a:rPr lang="en-GB" sz="1400" baseline="0"/>
            <a:t> but will need to be locally determined.</a:t>
          </a:r>
          <a:endParaRPr lang="en-GB" sz="1400"/>
        </a:p>
      </xdr:txBody>
    </xdr:sp>
    <xdr:clientData/>
  </xdr:twoCellAnchor>
  <xdr:twoCellAnchor>
    <xdr:from>
      <xdr:col>0</xdr:col>
      <xdr:colOff>546100</xdr:colOff>
      <xdr:row>1</xdr:row>
      <xdr:rowOff>38100</xdr:rowOff>
    </xdr:from>
    <xdr:to>
      <xdr:col>0</xdr:col>
      <xdr:colOff>3797300</xdr:colOff>
      <xdr:row>2</xdr:row>
      <xdr:rowOff>292100</xdr:rowOff>
    </xdr:to>
    <xdr:sp macro="" textlink="">
      <xdr:nvSpPr>
        <xdr:cNvPr id="6" name="TextBox 5"/>
        <xdr:cNvSpPr txBox="1"/>
      </xdr:nvSpPr>
      <xdr:spPr>
        <a:xfrm>
          <a:off x="546100" y="220980"/>
          <a:ext cx="66040" cy="3302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571500</xdr:colOff>
      <xdr:row>24</xdr:row>
      <xdr:rowOff>619124</xdr:rowOff>
    </xdr:from>
    <xdr:to>
      <xdr:col>0</xdr:col>
      <xdr:colOff>3594100</xdr:colOff>
      <xdr:row>33</xdr:row>
      <xdr:rowOff>38100</xdr:rowOff>
    </xdr:to>
    <xdr:sp macro="" textlink="">
      <xdr:nvSpPr>
        <xdr:cNvPr id="7" name="TextBox 6"/>
        <xdr:cNvSpPr txBox="1"/>
      </xdr:nvSpPr>
      <xdr:spPr>
        <a:xfrm>
          <a:off x="571500" y="5788024"/>
          <a:ext cx="3022600" cy="170497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400" b="0" baseline="0">
              <a:solidFill>
                <a:schemeClr val="dk1"/>
              </a:solidFill>
              <a:effectLst/>
              <a:latin typeface="+mn-lt"/>
              <a:ea typeface="+mn-ea"/>
              <a:cs typeface="+mn-cs"/>
            </a:rPr>
            <a:t>Input staffing figures needed to provide additional service.</a:t>
          </a:r>
          <a:endParaRPr lang="en-GB" sz="1400">
            <a:effectLst/>
          </a:endParaRPr>
        </a:p>
        <a:p>
          <a:pPr eaLnBrk="1" fontAlgn="auto" latinLnBrk="0" hangingPunct="1"/>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endParaRPr lang="en-GB" sz="1400">
            <a:effectLst/>
          </a:endParaRPr>
        </a:p>
      </xdr:txBody>
    </xdr:sp>
    <xdr:clientData/>
  </xdr:twoCellAnchor>
  <xdr:twoCellAnchor>
    <xdr:from>
      <xdr:col>0</xdr:col>
      <xdr:colOff>419100</xdr:colOff>
      <xdr:row>49</xdr:row>
      <xdr:rowOff>161925</xdr:rowOff>
    </xdr:from>
    <xdr:to>
      <xdr:col>0</xdr:col>
      <xdr:colOff>3657600</xdr:colOff>
      <xdr:row>57</xdr:row>
      <xdr:rowOff>165100</xdr:rowOff>
    </xdr:to>
    <xdr:sp macro="" textlink="">
      <xdr:nvSpPr>
        <xdr:cNvPr id="8" name="TextBox 7"/>
        <xdr:cNvSpPr txBox="1"/>
      </xdr:nvSpPr>
      <xdr:spPr>
        <a:xfrm>
          <a:off x="419100" y="11236325"/>
          <a:ext cx="3238500" cy="15271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Users can  input a number or a formula</a:t>
          </a:r>
          <a:r>
            <a:rPr lang="en-GB" sz="1400" baseline="0">
              <a:solidFill>
                <a:schemeClr val="dk1"/>
              </a:solidFill>
              <a:effectLst/>
              <a:latin typeface="+mn-lt"/>
              <a:ea typeface="+mn-ea"/>
              <a:cs typeface="+mn-cs"/>
            </a:rPr>
            <a:t> in the Unit column </a:t>
          </a:r>
          <a:r>
            <a:rPr lang="en-GB" sz="1400">
              <a:solidFill>
                <a:schemeClr val="dk1"/>
              </a:solidFill>
              <a:effectLst/>
              <a:latin typeface="+mn-lt"/>
              <a:ea typeface="+mn-ea"/>
              <a:cs typeface="+mn-cs"/>
            </a:rPr>
            <a:t>as appropriate. If an additional cost is </a:t>
          </a:r>
          <a:r>
            <a:rPr lang="en-GB" sz="1400" b="1">
              <a:solidFill>
                <a:schemeClr val="dk1"/>
              </a:solidFill>
              <a:effectLst/>
              <a:latin typeface="+mn-lt"/>
              <a:ea typeface="+mn-ea"/>
              <a:cs typeface="+mn-cs"/>
            </a:rPr>
            <a:t>per patient</a:t>
          </a:r>
          <a:r>
            <a:rPr lang="en-GB" sz="1400">
              <a:solidFill>
                <a:schemeClr val="dk1"/>
              </a:solidFill>
              <a:effectLst/>
              <a:latin typeface="+mn-lt"/>
              <a:ea typeface="+mn-ea"/>
              <a:cs typeface="+mn-cs"/>
            </a:rPr>
            <a:t> the Unit can</a:t>
          </a:r>
          <a:r>
            <a:rPr lang="en-GB" sz="1400" baseline="0">
              <a:solidFill>
                <a:schemeClr val="dk1"/>
              </a:solidFill>
              <a:effectLst/>
              <a:latin typeface="+mn-lt"/>
              <a:ea typeface="+mn-ea"/>
              <a:cs typeface="+mn-cs"/>
            </a:rPr>
            <a:t> be</a:t>
          </a:r>
          <a:r>
            <a:rPr lang="en-GB" sz="1400">
              <a:solidFill>
                <a:schemeClr val="dk1"/>
              </a:solidFill>
              <a:effectLst/>
              <a:latin typeface="+mn-lt"/>
              <a:ea typeface="+mn-ea"/>
              <a:cs typeface="+mn-cs"/>
            </a:rPr>
            <a:t> linked to Cases</a:t>
          </a:r>
          <a:r>
            <a:rPr lang="en-GB" sz="1400" baseline="0">
              <a:solidFill>
                <a:schemeClr val="dk1"/>
              </a:solidFill>
              <a:effectLst/>
              <a:latin typeface="+mn-lt"/>
              <a:ea typeface="+mn-ea"/>
              <a:cs typeface="+mn-cs"/>
            </a:rPr>
            <a:t> seen</a:t>
          </a:r>
          <a:r>
            <a:rPr lang="en-GB" sz="1400">
              <a:solidFill>
                <a:schemeClr val="dk1"/>
              </a:solidFill>
              <a:effectLst/>
              <a:latin typeface="+mn-lt"/>
              <a:ea typeface="+mn-ea"/>
              <a:cs typeface="+mn-cs"/>
            </a:rPr>
            <a:t> (cell L46). If an additional cost is </a:t>
          </a:r>
          <a:r>
            <a:rPr lang="en-GB" sz="1400" b="1">
              <a:solidFill>
                <a:schemeClr val="dk1"/>
              </a:solidFill>
              <a:effectLst/>
              <a:latin typeface="+mn-lt"/>
              <a:ea typeface="+mn-ea"/>
              <a:cs typeface="+mn-cs"/>
            </a:rPr>
            <a:t>per WTE</a:t>
          </a:r>
          <a:r>
            <a:rPr lang="en-GB" sz="1400">
              <a:solidFill>
                <a:schemeClr val="dk1"/>
              </a:solidFill>
              <a:effectLst/>
              <a:latin typeface="+mn-lt"/>
              <a:ea typeface="+mn-ea"/>
              <a:cs typeface="+mn-cs"/>
            </a:rPr>
            <a:t> the Unit can be linked to the sum of WTEs (cell E32). </a:t>
          </a:r>
          <a:r>
            <a:rPr lang="en-GB" sz="1400" baseline="0">
              <a:solidFill>
                <a:schemeClr val="dk1"/>
              </a:solidFill>
              <a:effectLst/>
              <a:latin typeface="+mn-lt"/>
              <a:ea typeface="+mn-ea"/>
              <a:cs typeface="+mn-cs"/>
            </a:rPr>
            <a:t> </a:t>
          </a:r>
          <a:endParaRPr lang="en-GB" sz="1400"/>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12</xdr:col>
      <xdr:colOff>0</xdr:colOff>
      <xdr:row>61</xdr:row>
      <xdr:rowOff>0</xdr:rowOff>
    </xdr:from>
    <xdr:ext cx="6091790" cy="264560"/>
    <xdr:sp macro="" textlink="">
      <xdr:nvSpPr>
        <xdr:cNvPr id="2" name="TextBox 1"/>
        <xdr:cNvSpPr txBox="1"/>
      </xdr:nvSpPr>
      <xdr:spPr>
        <a:xfrm>
          <a:off x="9144000" y="12070080"/>
          <a:ext cx="609179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twoCellAnchor>
    <xdr:from>
      <xdr:col>0</xdr:col>
      <xdr:colOff>0</xdr:colOff>
      <xdr:row>1</xdr:row>
      <xdr:rowOff>158748</xdr:rowOff>
    </xdr:from>
    <xdr:to>
      <xdr:col>0</xdr:col>
      <xdr:colOff>0</xdr:colOff>
      <xdr:row>3</xdr:row>
      <xdr:rowOff>255955</xdr:rowOff>
    </xdr:to>
    <xdr:sp macro="" textlink="">
      <xdr:nvSpPr>
        <xdr:cNvPr id="3" name="TextBox 2"/>
        <xdr:cNvSpPr txBox="1"/>
      </xdr:nvSpPr>
      <xdr:spPr>
        <a:xfrm>
          <a:off x="0" y="341628"/>
          <a:ext cx="0" cy="38676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299721</xdr:colOff>
      <xdr:row>11</xdr:row>
      <xdr:rowOff>187322</xdr:rowOff>
    </xdr:from>
    <xdr:to>
      <xdr:col>0</xdr:col>
      <xdr:colOff>4203701</xdr:colOff>
      <xdr:row>28</xdr:row>
      <xdr:rowOff>317500</xdr:rowOff>
    </xdr:to>
    <xdr:sp macro="" textlink="">
      <xdr:nvSpPr>
        <xdr:cNvPr id="4" name="TextBox 3"/>
        <xdr:cNvSpPr txBox="1"/>
      </xdr:nvSpPr>
      <xdr:spPr>
        <a:xfrm>
          <a:off x="299721" y="2905122"/>
          <a:ext cx="3903980" cy="335597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This question examines the scope of the intervention i.e. how many people might be affected. The numbers generated should be used to guide inputs further down. For example evidence (see evidence tab) suggests that 15 to 18% of GP consultations are minor ailments and that minor ailment services could deflect 35% of these. However for the specific local scheme modelled it was for a particular set of prescription only drugs and was considered to cover around 1% of GP contacts.</a:t>
          </a:r>
          <a:r>
            <a:rPr lang="en-GB" sz="1400" baseline="0"/>
            <a:t> </a:t>
          </a:r>
        </a:p>
        <a:p>
          <a:endParaRPr lang="en-GB" sz="1400" baseline="0"/>
        </a:p>
        <a:p>
          <a:r>
            <a:rPr lang="en-GB" sz="1400"/>
            <a:t>This could be used as a target which would inform the scope of extension (number of PGD Ailment contacts) input below.</a:t>
          </a:r>
        </a:p>
      </xdr:txBody>
    </xdr:sp>
    <xdr:clientData/>
  </xdr:twoCellAnchor>
  <xdr:twoCellAnchor>
    <xdr:from>
      <xdr:col>0</xdr:col>
      <xdr:colOff>0</xdr:colOff>
      <xdr:row>27</xdr:row>
      <xdr:rowOff>189439</xdr:rowOff>
    </xdr:from>
    <xdr:to>
      <xdr:col>0</xdr:col>
      <xdr:colOff>0</xdr:colOff>
      <xdr:row>31</xdr:row>
      <xdr:rowOff>75183</xdr:rowOff>
    </xdr:to>
    <xdr:sp macro="" textlink="">
      <xdr:nvSpPr>
        <xdr:cNvPr id="5" name="TextBox 4"/>
        <xdr:cNvSpPr txBox="1"/>
      </xdr:nvSpPr>
      <xdr:spPr>
        <a:xfrm>
          <a:off x="0" y="5668219"/>
          <a:ext cx="0" cy="80776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lang="en-GB" sz="1400"/>
            <a:t>The Scope of extension inputs should be informed by the targets in the box above but do not need to be equal to them as you may wish to provide more capacity to increase your chances of hitting the target.  For example you might want to commission capacity to deliver 20% more minor ailment contacts than the deflection target since it is unlikely that every contact will achieve the objective and actual demand for GP services may be higher than forecasted. We have used values from the Devon evaluation report, scaled to one year,  as default values</a:t>
          </a:r>
        </a:p>
      </xdr:txBody>
    </xdr:sp>
    <xdr:clientData/>
  </xdr:twoCellAnchor>
  <xdr:twoCellAnchor>
    <xdr:from>
      <xdr:col>0</xdr:col>
      <xdr:colOff>368301</xdr:colOff>
      <xdr:row>52</xdr:row>
      <xdr:rowOff>0</xdr:rowOff>
    </xdr:from>
    <xdr:to>
      <xdr:col>0</xdr:col>
      <xdr:colOff>3721101</xdr:colOff>
      <xdr:row>58</xdr:row>
      <xdr:rowOff>88900</xdr:rowOff>
    </xdr:to>
    <xdr:sp macro="" textlink="">
      <xdr:nvSpPr>
        <xdr:cNvPr id="6" name="TextBox 5"/>
        <xdr:cNvSpPr txBox="1"/>
      </xdr:nvSpPr>
      <xdr:spPr>
        <a:xfrm>
          <a:off x="368301" y="12217400"/>
          <a:ext cx="3352800" cy="12065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pPr>
          <a:r>
            <a:rPr lang="en-GB" sz="1400"/>
            <a:t>Values from the Devon evaluation are</a:t>
          </a:r>
          <a:r>
            <a:rPr lang="en-GB" sz="1400" baseline="0"/>
            <a:t> used </a:t>
          </a:r>
          <a:r>
            <a:rPr lang="en-GB" sz="1400"/>
            <a:t>as default values to inform the % channel shift. These are based on patient reports on where</a:t>
          </a:r>
          <a:r>
            <a:rPr lang="en-GB" sz="1400" baseline="0"/>
            <a:t> they would have gone if community pharmacy service not available. </a:t>
          </a:r>
          <a:endParaRPr lang="en-GB" sz="1400"/>
        </a:p>
      </xdr:txBody>
    </xdr:sp>
    <xdr:clientData/>
  </xdr:twoCellAnchor>
  <xdr:twoCellAnchor>
    <xdr:from>
      <xdr:col>0</xdr:col>
      <xdr:colOff>0</xdr:colOff>
      <xdr:row>62</xdr:row>
      <xdr:rowOff>0</xdr:rowOff>
    </xdr:from>
    <xdr:to>
      <xdr:col>0</xdr:col>
      <xdr:colOff>0</xdr:colOff>
      <xdr:row>63</xdr:row>
      <xdr:rowOff>0</xdr:rowOff>
    </xdr:to>
    <xdr:sp macro="" textlink="">
      <xdr:nvSpPr>
        <xdr:cNvPr id="7" name="TextBox 6"/>
        <xdr:cNvSpPr txBox="1"/>
      </xdr:nvSpPr>
      <xdr:spPr>
        <a:xfrm>
          <a:off x="0" y="12252960"/>
          <a:ext cx="0" cy="21809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Note this is really unmet need rather than supply induced demand. See Devon Pharmacy First Evaluation page 5 for a guide The evidence says that 14% would have gone without medication had the service not been in place</a:t>
          </a:r>
        </a:p>
      </xdr:txBody>
    </xdr:sp>
    <xdr:clientData/>
  </xdr:twoCellAnchor>
  <xdr:twoCellAnchor>
    <xdr:from>
      <xdr:col>0</xdr:col>
      <xdr:colOff>25401</xdr:colOff>
      <xdr:row>38</xdr:row>
      <xdr:rowOff>103186</xdr:rowOff>
    </xdr:from>
    <xdr:to>
      <xdr:col>0</xdr:col>
      <xdr:colOff>4178301</xdr:colOff>
      <xdr:row>51</xdr:row>
      <xdr:rowOff>368300</xdr:rowOff>
    </xdr:to>
    <xdr:sp macro="" textlink="">
      <xdr:nvSpPr>
        <xdr:cNvPr id="8" name="TextBox 7"/>
        <xdr:cNvSpPr txBox="1"/>
      </xdr:nvSpPr>
      <xdr:spPr>
        <a:xfrm>
          <a:off x="25401" y="8713786"/>
          <a:ext cx="4152900" cy="310991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pPr>
          <a:r>
            <a:rPr lang="en-GB" sz="1400"/>
            <a:t>The</a:t>
          </a:r>
          <a:r>
            <a:rPr lang="en-GB" sz="1400" baseline="0"/>
            <a:t> cost of the drugs prescribed are excluded as it is assumed that these would have been prescribed wherever the patient received the service. However the VAT paid for these drugs needs to be included as there is a 20% VAT to be paid for over the counter drugs obtained from pharmacy versus those prescribed </a:t>
          </a:r>
          <a:r>
            <a:rPr lang="en-GB" sz="1400" baseline="0">
              <a:solidFill>
                <a:schemeClr val="dk1"/>
              </a:solidFill>
              <a:latin typeface="+mn-lt"/>
              <a:ea typeface="+mn-ea"/>
              <a:cs typeface="+mn-cs"/>
            </a:rPr>
            <a:t>by GP. For Devon the fee for service for PGD was £10, average drug cost £4,09, Average VAT on drug cost 82p hence net cost is £10.82.</a:t>
          </a:r>
        </a:p>
        <a:p>
          <a:pPr marL="0" marR="0" indent="0" defTabSz="914400" eaLnBrk="1" fontAlgn="auto" latinLnBrk="0" hangingPunct="1">
            <a:lnSpc>
              <a:spcPct val="100000"/>
            </a:lnSpc>
            <a:spcBef>
              <a:spcPts val="0"/>
            </a:spcBef>
            <a:spcAft>
              <a:spcPts val="0"/>
            </a:spcAft>
            <a:buClrTx/>
            <a:buSzTx/>
            <a:buFontTx/>
            <a:buNone/>
            <a:tabLst/>
            <a:defRPr/>
          </a:pPr>
          <a:r>
            <a:rPr lang="en-GB" sz="1400" baseline="0">
              <a:solidFill>
                <a:schemeClr val="dk1"/>
              </a:solidFill>
              <a:latin typeface="+mn-lt"/>
              <a:ea typeface="+mn-ea"/>
              <a:cs typeface="+mn-cs"/>
            </a:rPr>
            <a:t>For Urgent prescriptions, Average fee was £10.82 was £10, average drug cost £4,09, Average VAT on drug cost 82p hence net cost is £11.53.</a:t>
          </a:r>
        </a:p>
      </xdr:txBody>
    </xdr:sp>
    <xdr:clientData/>
  </xdr:twoCellAnchor>
  <xdr:twoCellAnchor>
    <xdr:from>
      <xdr:col>0</xdr:col>
      <xdr:colOff>421640</xdr:colOff>
      <xdr:row>29</xdr:row>
      <xdr:rowOff>104776</xdr:rowOff>
    </xdr:from>
    <xdr:to>
      <xdr:col>0</xdr:col>
      <xdr:colOff>4127500</xdr:colOff>
      <xdr:row>34</xdr:row>
      <xdr:rowOff>50800</xdr:rowOff>
    </xdr:to>
    <xdr:sp macro="" textlink="">
      <xdr:nvSpPr>
        <xdr:cNvPr id="9" name="TextBox 8"/>
        <xdr:cNvSpPr txBox="1"/>
      </xdr:nvSpPr>
      <xdr:spPr>
        <a:xfrm>
          <a:off x="421640" y="6429376"/>
          <a:ext cx="3705860" cy="127952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These figures should be informed by local data. eg Requirement for emergency prescriptions is</a:t>
          </a:r>
          <a:r>
            <a:rPr lang="en-GB" sz="1400" baseline="0"/>
            <a:t> likely to be higher where there is a high tourist population where people are unable to obtain emergency prescriptions from own GP practice.</a:t>
          </a:r>
          <a:endParaRPr lang="en-GB" sz="1400"/>
        </a:p>
      </xdr:txBody>
    </xdr:sp>
    <xdr:clientData/>
  </xdr:twoCellAnchor>
  <xdr:twoCellAnchor>
    <xdr:from>
      <xdr:col>0</xdr:col>
      <xdr:colOff>254000</xdr:colOff>
      <xdr:row>35</xdr:row>
      <xdr:rowOff>25400</xdr:rowOff>
    </xdr:from>
    <xdr:to>
      <xdr:col>0</xdr:col>
      <xdr:colOff>3994150</xdr:colOff>
      <xdr:row>38</xdr:row>
      <xdr:rowOff>14817</xdr:rowOff>
    </xdr:to>
    <xdr:sp macro="" textlink="">
      <xdr:nvSpPr>
        <xdr:cNvPr id="10" name="TextBox 9"/>
        <xdr:cNvSpPr txBox="1"/>
      </xdr:nvSpPr>
      <xdr:spPr>
        <a:xfrm>
          <a:off x="254000" y="7874000"/>
          <a:ext cx="3740150" cy="75141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Set up costs may include</a:t>
          </a:r>
          <a:r>
            <a:rPr lang="en-GB" sz="1400" baseline="0"/>
            <a:t> project management and  communications to service providers and to general population about availability of services.</a:t>
          </a:r>
          <a:endParaRPr lang="en-GB" sz="1400"/>
        </a:p>
      </xdr:txBody>
    </xdr:sp>
    <xdr:clientData/>
  </xdr:twoCellAnchor>
  <xdr:twoCellAnchor>
    <xdr:from>
      <xdr:col>0</xdr:col>
      <xdr:colOff>266700</xdr:colOff>
      <xdr:row>1</xdr:row>
      <xdr:rowOff>152400</xdr:rowOff>
    </xdr:from>
    <xdr:to>
      <xdr:col>0</xdr:col>
      <xdr:colOff>3517900</xdr:colOff>
      <xdr:row>3</xdr:row>
      <xdr:rowOff>114300</xdr:rowOff>
    </xdr:to>
    <xdr:sp macro="" textlink="">
      <xdr:nvSpPr>
        <xdr:cNvPr id="11" name="TextBox 10"/>
        <xdr:cNvSpPr txBox="1"/>
      </xdr:nvSpPr>
      <xdr:spPr>
        <a:xfrm>
          <a:off x="266700" y="698500"/>
          <a:ext cx="3251200" cy="5588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292100</xdr:colOff>
      <xdr:row>19</xdr:row>
      <xdr:rowOff>114300</xdr:rowOff>
    </xdr:from>
    <xdr:to>
      <xdr:col>0</xdr:col>
      <xdr:colOff>3492500</xdr:colOff>
      <xdr:row>23</xdr:row>
      <xdr:rowOff>114300</xdr:rowOff>
    </xdr:to>
    <xdr:sp macro="" textlink="">
      <xdr:nvSpPr>
        <xdr:cNvPr id="2" name="TextBox 1"/>
        <xdr:cNvSpPr txBox="1"/>
      </xdr:nvSpPr>
      <xdr:spPr>
        <a:xfrm>
          <a:off x="292100" y="4330700"/>
          <a:ext cx="3200400" cy="7620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0">
              <a:solidFill>
                <a:schemeClr val="dk1"/>
              </a:solidFill>
              <a:effectLst/>
              <a:latin typeface="+mn-lt"/>
              <a:ea typeface="+mn-ea"/>
              <a:cs typeface="+mn-cs"/>
            </a:rPr>
            <a:t>Evaluation</a:t>
          </a:r>
          <a:r>
            <a:rPr lang="en-GB" sz="1400" b="0" baseline="0">
              <a:solidFill>
                <a:schemeClr val="dk1"/>
              </a:solidFill>
              <a:effectLst/>
              <a:latin typeface="+mn-lt"/>
              <a:ea typeface="+mn-ea"/>
              <a:cs typeface="+mn-cs"/>
            </a:rPr>
            <a:t> of scheme in Bury has set up costs of £142K. Local input needed here. </a:t>
          </a:r>
          <a:endParaRPr lang="en-GB" sz="1400" b="0"/>
        </a:p>
      </xdr:txBody>
    </xdr:sp>
    <xdr:clientData/>
  </xdr:twoCellAnchor>
  <xdr:twoCellAnchor>
    <xdr:from>
      <xdr:col>0</xdr:col>
      <xdr:colOff>0</xdr:colOff>
      <xdr:row>2</xdr:row>
      <xdr:rowOff>0</xdr:rowOff>
    </xdr:from>
    <xdr:to>
      <xdr:col>0</xdr:col>
      <xdr:colOff>3251200</xdr:colOff>
      <xdr:row>4</xdr:row>
      <xdr:rowOff>165100</xdr:rowOff>
    </xdr:to>
    <xdr:sp macro="" textlink="">
      <xdr:nvSpPr>
        <xdr:cNvPr id="3" name="TextBox 2"/>
        <xdr:cNvSpPr txBox="1"/>
      </xdr:nvSpPr>
      <xdr:spPr>
        <a:xfrm>
          <a:off x="0" y="365760"/>
          <a:ext cx="607060" cy="53086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381000</xdr:colOff>
      <xdr:row>72</xdr:row>
      <xdr:rowOff>596900</xdr:rowOff>
    </xdr:from>
    <xdr:to>
      <xdr:col>0</xdr:col>
      <xdr:colOff>2984500</xdr:colOff>
      <xdr:row>77</xdr:row>
      <xdr:rowOff>723900</xdr:rowOff>
    </xdr:to>
    <xdr:sp macro="" textlink="">
      <xdr:nvSpPr>
        <xdr:cNvPr id="4" name="TextBox 3"/>
        <xdr:cNvSpPr txBox="1"/>
      </xdr:nvSpPr>
      <xdr:spPr>
        <a:xfrm>
          <a:off x="381000" y="10426700"/>
          <a:ext cx="226060" cy="91186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0">
              <a:solidFill>
                <a:schemeClr val="dk1"/>
              </a:solidFill>
              <a:effectLst/>
              <a:latin typeface="+mn-lt"/>
              <a:ea typeface="+mn-ea"/>
              <a:cs typeface="+mn-cs"/>
            </a:rPr>
            <a:t>Bury scheme evaluation suggests that 38% would have attended GP OOH, 14% WIC and 4% A&amp;E. Will be</a:t>
          </a:r>
          <a:r>
            <a:rPr lang="en-GB" sz="1400" b="0" baseline="0">
              <a:solidFill>
                <a:schemeClr val="dk1"/>
              </a:solidFill>
              <a:effectLst/>
              <a:latin typeface="+mn-lt"/>
              <a:ea typeface="+mn-ea"/>
              <a:cs typeface="+mn-cs"/>
            </a:rPr>
            <a:t> different in other areas.</a:t>
          </a:r>
          <a:endParaRPr lang="en-GB" sz="1400" b="0"/>
        </a:p>
      </xdr:txBody>
    </xdr:sp>
    <xdr:clientData/>
  </xdr:twoCellAnchor>
  <xdr:twoCellAnchor>
    <xdr:from>
      <xdr:col>0</xdr:col>
      <xdr:colOff>914400</xdr:colOff>
      <xdr:row>39</xdr:row>
      <xdr:rowOff>355600</xdr:rowOff>
    </xdr:from>
    <xdr:to>
      <xdr:col>0</xdr:col>
      <xdr:colOff>3632200</xdr:colOff>
      <xdr:row>57</xdr:row>
      <xdr:rowOff>266700</xdr:rowOff>
    </xdr:to>
    <xdr:sp macro="" textlink="">
      <xdr:nvSpPr>
        <xdr:cNvPr id="5" name="TextBox 4"/>
        <xdr:cNvSpPr txBox="1"/>
      </xdr:nvSpPr>
      <xdr:spPr>
        <a:xfrm>
          <a:off x="914400" y="9309100"/>
          <a:ext cx="2717800" cy="2006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400" b="0" baseline="0">
              <a:solidFill>
                <a:schemeClr val="dk1"/>
              </a:solidFill>
              <a:effectLst/>
              <a:latin typeface="+mn-lt"/>
              <a:ea typeface="+mn-ea"/>
              <a:cs typeface="+mn-cs"/>
            </a:rPr>
            <a:t>Input staffing figures needed to provide additional service.</a:t>
          </a:r>
          <a:endParaRPr lang="en-GB" sz="1400">
            <a:effectLst/>
          </a:endParaRPr>
        </a:p>
        <a:p>
          <a:pPr eaLnBrk="1" fontAlgn="auto" latinLnBrk="0" hangingPunct="1"/>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endParaRPr lang="en-GB" sz="1400">
            <a:effectLst/>
          </a:endParaRPr>
        </a:p>
      </xdr:txBody>
    </xdr:sp>
    <xdr:clientData/>
  </xdr:twoCellAnchor>
  <xdr:twoCellAnchor>
    <xdr:from>
      <xdr:col>0</xdr:col>
      <xdr:colOff>342900</xdr:colOff>
      <xdr:row>12</xdr:row>
      <xdr:rowOff>0</xdr:rowOff>
    </xdr:from>
    <xdr:to>
      <xdr:col>0</xdr:col>
      <xdr:colOff>3251200</xdr:colOff>
      <xdr:row>18</xdr:row>
      <xdr:rowOff>254000</xdr:rowOff>
    </xdr:to>
    <xdr:sp macro="" textlink="">
      <xdr:nvSpPr>
        <xdr:cNvPr id="6" name="TextBox 5"/>
        <xdr:cNvSpPr txBox="1"/>
      </xdr:nvSpPr>
      <xdr:spPr>
        <a:xfrm>
          <a:off x="342900" y="2560320"/>
          <a:ext cx="264160" cy="91694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This is the total number of patients in current Type 1 ED that could be seen in a UCC.  Extended</a:t>
          </a:r>
          <a:r>
            <a:rPr lang="en-GB" sz="1400" baseline="0"/>
            <a:t> hours at GP will not be able to see all of these patients but could see a proportion.</a:t>
          </a:r>
          <a:endParaRPr lang="en-GB" sz="1400"/>
        </a:p>
      </xdr:txBody>
    </xdr:sp>
    <xdr:clientData/>
  </xdr:twoCellAnchor>
  <xdr:twoCellAnchor>
    <xdr:from>
      <xdr:col>0</xdr:col>
      <xdr:colOff>914400</xdr:colOff>
      <xdr:row>60</xdr:row>
      <xdr:rowOff>41274</xdr:rowOff>
    </xdr:from>
    <xdr:to>
      <xdr:col>0</xdr:col>
      <xdr:colOff>3556000</xdr:colOff>
      <xdr:row>68</xdr:row>
      <xdr:rowOff>12699</xdr:rowOff>
    </xdr:to>
    <xdr:sp macro="" textlink="">
      <xdr:nvSpPr>
        <xdr:cNvPr id="7" name="TextBox 6"/>
        <xdr:cNvSpPr txBox="1"/>
      </xdr:nvSpPr>
      <xdr:spPr>
        <a:xfrm>
          <a:off x="914400" y="11852274"/>
          <a:ext cx="2641600" cy="14827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Utilisation (booked</a:t>
          </a:r>
          <a:r>
            <a:rPr lang="en-GB" sz="1400" baseline="0"/>
            <a:t> minus DNAs) </a:t>
          </a:r>
          <a:r>
            <a:rPr lang="en-GB" sz="1400"/>
            <a:t>will</a:t>
          </a:r>
          <a:r>
            <a:rPr lang="en-GB" sz="1400" baseline="0"/>
            <a:t> be a key input. Expected utilisation may be lower at particular times of day and at weekends. This needs to be an average figure.</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12</xdr:col>
      <xdr:colOff>0</xdr:colOff>
      <xdr:row>58</xdr:row>
      <xdr:rowOff>0</xdr:rowOff>
    </xdr:from>
    <xdr:ext cx="6091790" cy="264560"/>
    <xdr:sp macro="" textlink="">
      <xdr:nvSpPr>
        <xdr:cNvPr id="2" name="TextBox 1"/>
        <xdr:cNvSpPr txBox="1"/>
      </xdr:nvSpPr>
      <xdr:spPr>
        <a:xfrm>
          <a:off x="9144000" y="12984480"/>
          <a:ext cx="609179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twoCellAnchor>
    <xdr:from>
      <xdr:col>0</xdr:col>
      <xdr:colOff>641984</xdr:colOff>
      <xdr:row>1</xdr:row>
      <xdr:rowOff>158748</xdr:rowOff>
    </xdr:from>
    <xdr:to>
      <xdr:col>0</xdr:col>
      <xdr:colOff>4625287</xdr:colOff>
      <xdr:row>3</xdr:row>
      <xdr:rowOff>246405</xdr:rowOff>
    </xdr:to>
    <xdr:sp macro="" textlink="">
      <xdr:nvSpPr>
        <xdr:cNvPr id="3" name="TextBox 2"/>
        <xdr:cNvSpPr txBox="1"/>
      </xdr:nvSpPr>
      <xdr:spPr>
        <a:xfrm>
          <a:off x="611504" y="341628"/>
          <a:ext cx="0" cy="39245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0</xdr:colOff>
      <xdr:row>23</xdr:row>
      <xdr:rowOff>179914</xdr:rowOff>
    </xdr:from>
    <xdr:to>
      <xdr:col>0</xdr:col>
      <xdr:colOff>0</xdr:colOff>
      <xdr:row>27</xdr:row>
      <xdr:rowOff>75141</xdr:rowOff>
    </xdr:to>
    <xdr:sp macro="" textlink="">
      <xdr:nvSpPr>
        <xdr:cNvPr id="5" name="TextBox 4"/>
        <xdr:cNvSpPr txBox="1"/>
      </xdr:nvSpPr>
      <xdr:spPr>
        <a:xfrm>
          <a:off x="0" y="4934794"/>
          <a:ext cx="0" cy="80962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en-GB" sz="1400"/>
            <a:t>The Scope of extension inputs should be informed by the targets in the box above but do not need to be equal to them as you may wish to provide more capacity to increase your chances of hitting the target.  For example you might want to commission capacity to deliver 20% more minor ailment contacts than the deflection target since it is unlikely that every contact will achieve the objective and actual demand for GP services may be higher than forecasted. We have used values from the Devon evaluation report, scaled to one year,  as default values</a:t>
          </a:r>
        </a:p>
      </xdr:txBody>
    </xdr:sp>
    <xdr:clientData/>
  </xdr:twoCellAnchor>
  <xdr:twoCellAnchor>
    <xdr:from>
      <xdr:col>0</xdr:col>
      <xdr:colOff>0</xdr:colOff>
      <xdr:row>59</xdr:row>
      <xdr:rowOff>0</xdr:rowOff>
    </xdr:from>
    <xdr:to>
      <xdr:col>0</xdr:col>
      <xdr:colOff>3467100</xdr:colOff>
      <xdr:row>65</xdr:row>
      <xdr:rowOff>63500</xdr:rowOff>
    </xdr:to>
    <xdr:sp macro="" textlink="">
      <xdr:nvSpPr>
        <xdr:cNvPr id="6" name="TextBox 5"/>
        <xdr:cNvSpPr txBox="1"/>
      </xdr:nvSpPr>
      <xdr:spPr>
        <a:xfrm>
          <a:off x="0" y="14249400"/>
          <a:ext cx="3467100" cy="15875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Note: this is really unmet need rather than supply induced demand. See Devon Pharmacy First Evaluation page 5 for a guide.</a:t>
          </a:r>
          <a:r>
            <a:rPr lang="en-GB" sz="1400" baseline="0"/>
            <a:t> </a:t>
          </a:r>
          <a:r>
            <a:rPr lang="en-GB" sz="1400"/>
            <a:t>The evidence says that 14% would have gone without medication had the service not been in place.</a:t>
          </a:r>
        </a:p>
      </xdr:txBody>
    </xdr:sp>
    <xdr:clientData/>
  </xdr:twoCellAnchor>
  <xdr:twoCellAnchor>
    <xdr:from>
      <xdr:col>0</xdr:col>
      <xdr:colOff>0</xdr:colOff>
      <xdr:row>26</xdr:row>
      <xdr:rowOff>76199</xdr:rowOff>
    </xdr:from>
    <xdr:to>
      <xdr:col>0</xdr:col>
      <xdr:colOff>3632200</xdr:colOff>
      <xdr:row>34</xdr:row>
      <xdr:rowOff>101600</xdr:rowOff>
    </xdr:to>
    <xdr:sp macro="" textlink="">
      <xdr:nvSpPr>
        <xdr:cNvPr id="7" name="TextBox 6"/>
        <xdr:cNvSpPr txBox="1"/>
      </xdr:nvSpPr>
      <xdr:spPr>
        <a:xfrm>
          <a:off x="0" y="6032499"/>
          <a:ext cx="3632200" cy="250190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400"/>
            <a:t>The</a:t>
          </a:r>
          <a:r>
            <a:rPr lang="en-GB" sz="1400" baseline="0"/>
            <a:t> cost of the drugs prescribed are excluded as it is assumed that these would have been prescribed wherever the patient received the service. However the VAT paid for these drugs needs to be included as there is a 20% VAT to be paid for over the counter drugs obtained from pharmacy versus those prescribed </a:t>
          </a:r>
          <a:r>
            <a:rPr lang="en-GB" sz="1400" baseline="0">
              <a:solidFill>
                <a:schemeClr val="dk1"/>
              </a:solidFill>
              <a:latin typeface="+mn-lt"/>
              <a:ea typeface="+mn-ea"/>
              <a:cs typeface="+mn-cs"/>
            </a:rPr>
            <a:t>by GP. For urgent prescriptions, Average fee was £10.82, average drug cost £4,09, Average VAT on drug cost 82p hence net cost is £11.64, (£10.82 + £0.82.</a:t>
          </a:r>
        </a:p>
      </xdr:txBody>
    </xdr:sp>
    <xdr:clientData/>
  </xdr:twoCellAnchor>
  <xdr:twoCellAnchor>
    <xdr:from>
      <xdr:col>0</xdr:col>
      <xdr:colOff>218440</xdr:colOff>
      <xdr:row>11</xdr:row>
      <xdr:rowOff>177800</xdr:rowOff>
    </xdr:from>
    <xdr:to>
      <xdr:col>0</xdr:col>
      <xdr:colOff>3523796</xdr:colOff>
      <xdr:row>17</xdr:row>
      <xdr:rowOff>88900</xdr:rowOff>
    </xdr:to>
    <xdr:sp macro="" textlink="">
      <xdr:nvSpPr>
        <xdr:cNvPr id="8" name="TextBox 7"/>
        <xdr:cNvSpPr txBox="1"/>
      </xdr:nvSpPr>
      <xdr:spPr>
        <a:xfrm>
          <a:off x="218440" y="2895600"/>
          <a:ext cx="3305356" cy="14351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These figures should be informed by local data. eg Requirement for emergency prescriptions is</a:t>
          </a:r>
          <a:r>
            <a:rPr lang="en-GB" sz="1400" baseline="0"/>
            <a:t> likely to be higher where there is a high tourist population where people are unable to obtain emergency prescription from own GP practice.</a:t>
          </a:r>
          <a:endParaRPr lang="en-GB" sz="1400"/>
        </a:p>
      </xdr:txBody>
    </xdr:sp>
    <xdr:clientData/>
  </xdr:twoCellAnchor>
  <xdr:twoCellAnchor>
    <xdr:from>
      <xdr:col>0</xdr:col>
      <xdr:colOff>12700</xdr:colOff>
      <xdr:row>19</xdr:row>
      <xdr:rowOff>152398</xdr:rowOff>
    </xdr:from>
    <xdr:to>
      <xdr:col>0</xdr:col>
      <xdr:colOff>3670300</xdr:colOff>
      <xdr:row>25</xdr:row>
      <xdr:rowOff>0</xdr:rowOff>
    </xdr:to>
    <xdr:sp macro="" textlink="">
      <xdr:nvSpPr>
        <xdr:cNvPr id="9" name="TextBox 8"/>
        <xdr:cNvSpPr txBox="1"/>
      </xdr:nvSpPr>
      <xdr:spPr>
        <a:xfrm>
          <a:off x="12700" y="4775198"/>
          <a:ext cx="3657600" cy="99060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Set up costs may include</a:t>
          </a:r>
          <a:r>
            <a:rPr lang="en-GB" sz="1400" baseline="0"/>
            <a:t> project management and  communications to service providers and to general population about availability of services.</a:t>
          </a:r>
          <a:endParaRPr lang="en-GB" sz="1400"/>
        </a:p>
      </xdr:txBody>
    </xdr:sp>
    <xdr:clientData/>
  </xdr:twoCellAnchor>
  <xdr:twoCellAnchor>
    <xdr:from>
      <xdr:col>0</xdr:col>
      <xdr:colOff>38100</xdr:colOff>
      <xdr:row>35</xdr:row>
      <xdr:rowOff>79374</xdr:rowOff>
    </xdr:from>
    <xdr:to>
      <xdr:col>0</xdr:col>
      <xdr:colOff>3640138</xdr:colOff>
      <xdr:row>43</xdr:row>
      <xdr:rowOff>174625</xdr:rowOff>
    </xdr:to>
    <xdr:sp macro="" textlink="">
      <xdr:nvSpPr>
        <xdr:cNvPr id="11" name="TextBox 10"/>
        <xdr:cNvSpPr txBox="1"/>
      </xdr:nvSpPr>
      <xdr:spPr>
        <a:xfrm>
          <a:off x="38100" y="8702674"/>
          <a:ext cx="3602038" cy="17970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400" baseline="0">
              <a:solidFill>
                <a:schemeClr val="dk1"/>
              </a:solidFill>
              <a:latin typeface="+mn-lt"/>
              <a:ea typeface="+mn-ea"/>
              <a:cs typeface="+mn-cs"/>
            </a:rPr>
            <a:t>The impact figures are based on an evaluation of the scheme (see evidence). This reported  that 53.3% would have contacted the out of hours GP, 17.9% their GP practice, 5.4 % would have visited ED or a UCC, 8.9% a pharmacy, 1.4 % another service and 13.9% would have gone without.</a:t>
          </a:r>
        </a:p>
        <a:p>
          <a:pPr marL="0" marR="0" indent="0" defTabSz="914400" eaLnBrk="1" fontAlgn="auto" latinLnBrk="0" hangingPunct="1">
            <a:lnSpc>
              <a:spcPts val="1400"/>
            </a:lnSpc>
            <a:spcBef>
              <a:spcPts val="0"/>
            </a:spcBef>
            <a:spcAft>
              <a:spcPts val="0"/>
            </a:spcAft>
            <a:buClrTx/>
            <a:buSzTx/>
            <a:buFontTx/>
            <a:buNone/>
            <a:tabLst/>
            <a:defRPr/>
          </a:pPr>
          <a:endParaRPr lang="en-GB" sz="1400" baseline="0">
            <a:solidFill>
              <a:schemeClr val="dk1"/>
            </a:solidFill>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639535</xdr:colOff>
      <xdr:row>56</xdr:row>
      <xdr:rowOff>368300</xdr:rowOff>
    </xdr:from>
    <xdr:to>
      <xdr:col>0</xdr:col>
      <xdr:colOff>2959100</xdr:colOff>
      <xdr:row>68</xdr:row>
      <xdr:rowOff>114300</xdr:rowOff>
    </xdr:to>
    <xdr:sp macro="" textlink="">
      <xdr:nvSpPr>
        <xdr:cNvPr id="2" name="TextBox 1"/>
        <xdr:cNvSpPr txBox="1"/>
      </xdr:nvSpPr>
      <xdr:spPr>
        <a:xfrm>
          <a:off x="639535" y="14312900"/>
          <a:ext cx="2319565" cy="2476500"/>
        </a:xfrm>
        <a:prstGeom prst="rect">
          <a:avLst/>
        </a:prstGeom>
        <a:solidFill>
          <a:srgbClr val="FFFF00">
            <a:alpha val="34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Note: Indications are that time</a:t>
          </a:r>
          <a:r>
            <a:rPr lang="en-GB" sz="1400" baseline="0"/>
            <a:t> saved </a:t>
          </a:r>
          <a:r>
            <a:rPr lang="en-GB" sz="1400"/>
            <a:t>would be used to increase medicines</a:t>
          </a:r>
          <a:r>
            <a:rPr lang="en-GB" sz="1400" baseline="0"/>
            <a:t> reconciliation rates </a:t>
          </a:r>
          <a:r>
            <a:rPr lang="en-GB" sz="1400"/>
            <a:t> (as above)  or redirected to support patient care , possibly releasing time for junior doctors  So though the time saved is costed it</a:t>
          </a:r>
          <a:r>
            <a:rPr lang="en-GB" sz="1400" baseline="0"/>
            <a:t> is</a:t>
          </a:r>
          <a:r>
            <a:rPr lang="en-GB" sz="1400"/>
            <a:t> </a:t>
          </a:r>
          <a:r>
            <a:rPr lang="en-GB" sz="1400" baseline="0"/>
            <a:t> unlikely to be cash releasing.</a:t>
          </a:r>
          <a:endParaRPr lang="en-GB" sz="1400"/>
        </a:p>
      </xdr:txBody>
    </xdr:sp>
    <xdr:clientData/>
  </xdr:twoCellAnchor>
  <xdr:twoCellAnchor>
    <xdr:from>
      <xdr:col>0</xdr:col>
      <xdr:colOff>533400</xdr:colOff>
      <xdr:row>12</xdr:row>
      <xdr:rowOff>12700</xdr:rowOff>
    </xdr:from>
    <xdr:to>
      <xdr:col>0</xdr:col>
      <xdr:colOff>2933700</xdr:colOff>
      <xdr:row>22</xdr:row>
      <xdr:rowOff>38100</xdr:rowOff>
    </xdr:to>
    <xdr:sp macro="" textlink="">
      <xdr:nvSpPr>
        <xdr:cNvPr id="3" name="TextBox 2"/>
        <xdr:cNvSpPr txBox="1"/>
      </xdr:nvSpPr>
      <xdr:spPr>
        <a:xfrm>
          <a:off x="533400" y="2921000"/>
          <a:ext cx="2400300" cy="1917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There is evidence that 4% of bed days are due to adverse drug reactions. Only a proportion of these will arise</a:t>
          </a:r>
          <a:r>
            <a:rPr lang="en-GB" sz="1400" baseline="0"/>
            <a:t> because of </a:t>
          </a:r>
          <a:r>
            <a:rPr lang="en-GB" sz="1400"/>
            <a:t>incorrect recording of existing prescriptions. 1% thought to be</a:t>
          </a:r>
          <a:r>
            <a:rPr lang="en-GB" sz="1400" baseline="0"/>
            <a:t> reasonable estimate of potential impact.</a:t>
          </a:r>
          <a:endParaRPr lang="en-GB" sz="1400"/>
        </a:p>
      </xdr:txBody>
    </xdr:sp>
    <xdr:clientData/>
  </xdr:twoCellAnchor>
  <xdr:twoCellAnchor>
    <xdr:from>
      <xdr:col>0</xdr:col>
      <xdr:colOff>508000</xdr:colOff>
      <xdr:row>24</xdr:row>
      <xdr:rowOff>12700</xdr:rowOff>
    </xdr:from>
    <xdr:to>
      <xdr:col>0</xdr:col>
      <xdr:colOff>2908300</xdr:colOff>
      <xdr:row>29</xdr:row>
      <xdr:rowOff>9525</xdr:rowOff>
    </xdr:to>
    <xdr:sp macro="" textlink="">
      <xdr:nvSpPr>
        <xdr:cNvPr id="4" name="TextBox 3"/>
        <xdr:cNvSpPr txBox="1"/>
      </xdr:nvSpPr>
      <xdr:spPr>
        <a:xfrm>
          <a:off x="508000" y="5194300"/>
          <a:ext cx="2400300" cy="11398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Some</a:t>
          </a:r>
          <a:r>
            <a:rPr lang="en-GB" sz="1400" baseline="0"/>
            <a:t> example costs are in the intervention set-up tab. These need to be informed by local circumstances.</a:t>
          </a:r>
          <a:endParaRPr lang="en-GB" sz="1400"/>
        </a:p>
      </xdr:txBody>
    </xdr:sp>
    <xdr:clientData/>
  </xdr:twoCellAnchor>
  <xdr:twoCellAnchor>
    <xdr:from>
      <xdr:col>0</xdr:col>
      <xdr:colOff>241300</xdr:colOff>
      <xdr:row>37</xdr:row>
      <xdr:rowOff>177800</xdr:rowOff>
    </xdr:from>
    <xdr:to>
      <xdr:col>0</xdr:col>
      <xdr:colOff>2641600</xdr:colOff>
      <xdr:row>39</xdr:row>
      <xdr:rowOff>88900</xdr:rowOff>
    </xdr:to>
    <xdr:sp macro="" textlink="">
      <xdr:nvSpPr>
        <xdr:cNvPr id="5" name="TextBox 4"/>
        <xdr:cNvSpPr txBox="1"/>
      </xdr:nvSpPr>
      <xdr:spPr>
        <a:xfrm>
          <a:off x="241300" y="8407400"/>
          <a:ext cx="2400300" cy="482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See evidence</a:t>
          </a:r>
          <a:r>
            <a:rPr lang="en-GB" sz="1400" baseline="0"/>
            <a:t> tab for rationale.</a:t>
          </a:r>
          <a:endParaRPr lang="en-GB" sz="14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647700</xdr:colOff>
      <xdr:row>32</xdr:row>
      <xdr:rowOff>50800</xdr:rowOff>
    </xdr:from>
    <xdr:to>
      <xdr:col>0</xdr:col>
      <xdr:colOff>3022600</xdr:colOff>
      <xdr:row>39</xdr:row>
      <xdr:rowOff>63500</xdr:rowOff>
    </xdr:to>
    <xdr:sp macro="" textlink="">
      <xdr:nvSpPr>
        <xdr:cNvPr id="3" name="TextBox 2"/>
        <xdr:cNvSpPr txBox="1"/>
      </xdr:nvSpPr>
      <xdr:spPr>
        <a:xfrm>
          <a:off x="647700" y="6908800"/>
          <a:ext cx="2374900" cy="21463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There is evidence that 4% of bed days are due to adverse drug reactions. Only a proportion of these will arise</a:t>
          </a:r>
          <a:r>
            <a:rPr lang="en-GB" sz="1400" baseline="0"/>
            <a:t> because of </a:t>
          </a:r>
          <a:r>
            <a:rPr lang="en-GB" sz="1400"/>
            <a:t>incorrect recording of existing prescriptions. 1% thought to be</a:t>
          </a:r>
          <a:r>
            <a:rPr lang="en-GB" sz="1400" baseline="0"/>
            <a:t> reasonable estimate of potential impact.</a:t>
          </a:r>
          <a:endParaRPr lang="en-GB" sz="1400"/>
        </a:p>
      </xdr:txBody>
    </xdr:sp>
    <xdr:clientData/>
  </xdr:twoCellAnchor>
  <xdr:twoCellAnchor>
    <xdr:from>
      <xdr:col>0</xdr:col>
      <xdr:colOff>685800</xdr:colOff>
      <xdr:row>24</xdr:row>
      <xdr:rowOff>12700</xdr:rowOff>
    </xdr:from>
    <xdr:to>
      <xdr:col>0</xdr:col>
      <xdr:colOff>2867025</xdr:colOff>
      <xdr:row>30</xdr:row>
      <xdr:rowOff>50800</xdr:rowOff>
    </xdr:to>
    <xdr:sp macro="" textlink="">
      <xdr:nvSpPr>
        <xdr:cNvPr id="4" name="TextBox 3"/>
        <xdr:cNvSpPr txBox="1"/>
      </xdr:nvSpPr>
      <xdr:spPr>
        <a:xfrm>
          <a:off x="685800" y="5359400"/>
          <a:ext cx="2181225" cy="11684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Some</a:t>
          </a:r>
          <a:r>
            <a:rPr lang="en-GB" sz="1400" baseline="0">
              <a:solidFill>
                <a:schemeClr val="dk1"/>
              </a:solidFill>
              <a:effectLst/>
              <a:latin typeface="+mn-lt"/>
              <a:ea typeface="+mn-ea"/>
              <a:cs typeface="+mn-cs"/>
            </a:rPr>
            <a:t> example costs are in the intervention set-up tab. These need to be informed by local circumstances.</a:t>
          </a:r>
          <a:endParaRPr lang="en-GB" sz="1400">
            <a:effectLst/>
          </a:endParaRPr>
        </a:p>
      </xdr:txBody>
    </xdr:sp>
    <xdr:clientData/>
  </xdr:twoCellAnchor>
  <xdr:twoCellAnchor>
    <xdr:from>
      <xdr:col>0</xdr:col>
      <xdr:colOff>571500</xdr:colOff>
      <xdr:row>12</xdr:row>
      <xdr:rowOff>63500</xdr:rowOff>
    </xdr:from>
    <xdr:to>
      <xdr:col>0</xdr:col>
      <xdr:colOff>2971800</xdr:colOff>
      <xdr:row>14</xdr:row>
      <xdr:rowOff>66675</xdr:rowOff>
    </xdr:to>
    <xdr:sp macro="" textlink="">
      <xdr:nvSpPr>
        <xdr:cNvPr id="5" name="TextBox 4"/>
        <xdr:cNvSpPr txBox="1"/>
      </xdr:nvSpPr>
      <xdr:spPr>
        <a:xfrm>
          <a:off x="571500" y="2946400"/>
          <a:ext cx="2400300" cy="3841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Input ED attender numbers</a:t>
          </a:r>
        </a:p>
      </xdr:txBody>
    </xdr:sp>
    <xdr:clientData/>
  </xdr:twoCellAnchor>
  <xdr:twoCellAnchor>
    <xdr:from>
      <xdr:col>0</xdr:col>
      <xdr:colOff>469900</xdr:colOff>
      <xdr:row>14</xdr:row>
      <xdr:rowOff>152400</xdr:rowOff>
    </xdr:from>
    <xdr:to>
      <xdr:col>0</xdr:col>
      <xdr:colOff>2870200</xdr:colOff>
      <xdr:row>22</xdr:row>
      <xdr:rowOff>101600</xdr:rowOff>
    </xdr:to>
    <xdr:sp macro="" textlink="">
      <xdr:nvSpPr>
        <xdr:cNvPr id="6" name="TextBox 5"/>
        <xdr:cNvSpPr txBox="1"/>
      </xdr:nvSpPr>
      <xdr:spPr>
        <a:xfrm>
          <a:off x="469900" y="3416300"/>
          <a:ext cx="2400300" cy="14605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SCR not checked routinely in ED as there will be a need to log in to system</a:t>
          </a:r>
          <a:r>
            <a:rPr lang="en-GB" sz="1400" baseline="0"/>
            <a:t> for each patient which can be time consuming</a:t>
          </a:r>
          <a:endParaRPr lang="en-GB" sz="14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912090</xdr:colOff>
      <xdr:row>92</xdr:row>
      <xdr:rowOff>127000</xdr:rowOff>
    </xdr:from>
    <xdr:to>
      <xdr:col>11</xdr:col>
      <xdr:colOff>0</xdr:colOff>
      <xdr:row>100</xdr:row>
      <xdr:rowOff>254000</xdr:rowOff>
    </xdr:to>
    <xdr:sp macro="" textlink="">
      <xdr:nvSpPr>
        <xdr:cNvPr id="2" name="TextBox 1"/>
        <xdr:cNvSpPr txBox="1"/>
      </xdr:nvSpPr>
      <xdr:spPr>
        <a:xfrm>
          <a:off x="1845540" y="17437100"/>
          <a:ext cx="5973040" cy="153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is not applicable here.</a:t>
          </a:r>
        </a:p>
        <a:p>
          <a:r>
            <a:rPr lang="en-GB" sz="1100" baseline="0"/>
            <a:t>the patients already have an ambulance attendance so would not have otherwise have self cared.</a:t>
          </a:r>
        </a:p>
      </xdr:txBody>
    </xdr:sp>
    <xdr:clientData/>
  </xdr:twoCellAnchor>
  <xdr:twoCellAnchor>
    <xdr:from>
      <xdr:col>0</xdr:col>
      <xdr:colOff>54907</xdr:colOff>
      <xdr:row>43</xdr:row>
      <xdr:rowOff>186264</xdr:rowOff>
    </xdr:from>
    <xdr:to>
      <xdr:col>0</xdr:col>
      <xdr:colOff>3619501</xdr:colOff>
      <xdr:row>62</xdr:row>
      <xdr:rowOff>114299</xdr:rowOff>
    </xdr:to>
    <xdr:sp macro="" textlink="">
      <xdr:nvSpPr>
        <xdr:cNvPr id="3" name="TextBox 2"/>
        <xdr:cNvSpPr txBox="1"/>
      </xdr:nvSpPr>
      <xdr:spPr>
        <a:xfrm>
          <a:off x="54907" y="9889064"/>
          <a:ext cx="3564594" cy="385233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This is the</a:t>
          </a:r>
          <a:r>
            <a:rPr lang="en-GB" sz="1400" baseline="0"/>
            <a:t> impact on having a DOS on services used. The figures are as examples only, we have found </a:t>
          </a:r>
          <a:r>
            <a:rPr lang="en-GB" sz="1400" b="1" baseline="0"/>
            <a:t>no published evidence to support</a:t>
          </a:r>
          <a:r>
            <a:rPr lang="en-GB" sz="1400" baseline="0"/>
            <a:t>. The figures represent that for 100 ambulance attendances where MiDoS accessed would expect to save 70 conveyances to ED (0.4), and subsequent ED attendances (0.7). These ED attendances are likely to be minor if they could be treated elsewhere.</a:t>
          </a:r>
        </a:p>
        <a:p>
          <a:r>
            <a:rPr lang="en-GB" sz="1400" baseline="0"/>
            <a:t>We have modelled a reduction of just 1 bed day per 100 accesses.</a:t>
          </a:r>
          <a:br>
            <a:rPr lang="en-GB" sz="1400" baseline="0"/>
          </a:br>
          <a:r>
            <a:rPr lang="en-GB" sz="1400" baseline="0"/>
            <a:t>We have modelled increase elsewhere of 20 UCC attendances,  20 community contacts (eg rapid response service), 10 GP practice attendances and 10 5 out of hours home visits.</a:t>
          </a:r>
        </a:p>
      </xdr:txBody>
    </xdr:sp>
    <xdr:clientData/>
  </xdr:twoCellAnchor>
  <xdr:twoCellAnchor>
    <xdr:from>
      <xdr:col>0</xdr:col>
      <xdr:colOff>292100</xdr:colOff>
      <xdr:row>1</xdr:row>
      <xdr:rowOff>304800</xdr:rowOff>
    </xdr:from>
    <xdr:to>
      <xdr:col>0</xdr:col>
      <xdr:colOff>3543300</xdr:colOff>
      <xdr:row>2</xdr:row>
      <xdr:rowOff>381000</xdr:rowOff>
    </xdr:to>
    <xdr:sp macro="" textlink="">
      <xdr:nvSpPr>
        <xdr:cNvPr id="4" name="TextBox 3"/>
        <xdr:cNvSpPr txBox="1"/>
      </xdr:nvSpPr>
      <xdr:spPr>
        <a:xfrm>
          <a:off x="292100" y="368300"/>
          <a:ext cx="323850" cy="1841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321734</xdr:colOff>
      <xdr:row>21</xdr:row>
      <xdr:rowOff>179918</xdr:rowOff>
    </xdr:from>
    <xdr:to>
      <xdr:col>0</xdr:col>
      <xdr:colOff>3060700</xdr:colOff>
      <xdr:row>26</xdr:row>
      <xdr:rowOff>50800</xdr:rowOff>
    </xdr:to>
    <xdr:sp macro="" textlink="">
      <xdr:nvSpPr>
        <xdr:cNvPr id="5" name="TextBox 4"/>
        <xdr:cNvSpPr txBox="1"/>
      </xdr:nvSpPr>
      <xdr:spPr>
        <a:xfrm>
          <a:off x="321734" y="4739218"/>
          <a:ext cx="2738966" cy="82338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lang="en-GB" sz="1400"/>
            <a:t>Please</a:t>
          </a:r>
          <a:r>
            <a:rPr lang="en-GB" sz="1400" baseline="0"/>
            <a:t> set out the costs in the intervention cost tab (Set_up_IR).</a:t>
          </a:r>
          <a:endParaRPr lang="en-GB" sz="1400"/>
        </a:p>
      </xdr:txBody>
    </xdr:sp>
    <xdr:clientData/>
  </xdr:twoCellAnchor>
  <xdr:twoCellAnchor>
    <xdr:from>
      <xdr:col>0</xdr:col>
      <xdr:colOff>0</xdr:colOff>
      <xdr:row>32</xdr:row>
      <xdr:rowOff>14815</xdr:rowOff>
    </xdr:from>
    <xdr:to>
      <xdr:col>0</xdr:col>
      <xdr:colOff>3695700</xdr:colOff>
      <xdr:row>39</xdr:row>
      <xdr:rowOff>38100</xdr:rowOff>
    </xdr:to>
    <xdr:sp macro="" textlink="">
      <xdr:nvSpPr>
        <xdr:cNvPr id="6" name="TextBox 5"/>
        <xdr:cNvSpPr txBox="1"/>
      </xdr:nvSpPr>
      <xdr:spPr>
        <a:xfrm>
          <a:off x="0" y="6656915"/>
          <a:ext cx="3695700" cy="232198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NB we have other models looking at increasing green</a:t>
          </a:r>
          <a:r>
            <a:rPr lang="en-GB" sz="1400" baseline="0"/>
            <a:t> ambulance triage for hear and treat, and up-skilling for paramedics for see and treat. This model is about additional shift beyond those interventions. </a:t>
          </a:r>
        </a:p>
        <a:p>
          <a:r>
            <a:rPr lang="en-GB" sz="1400" baseline="0"/>
            <a:t>As well as access to MiDoS there will need to be a behaviour change. Currently the default in many places is to convey the patient to ED even though another service may be more appropriate.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848590</xdr:colOff>
      <xdr:row>98</xdr:row>
      <xdr:rowOff>7408</xdr:rowOff>
    </xdr:from>
    <xdr:to>
      <xdr:col>11</xdr:col>
      <xdr:colOff>279400</xdr:colOff>
      <xdr:row>106</xdr:row>
      <xdr:rowOff>63500</xdr:rowOff>
    </xdr:to>
    <xdr:sp macro="" textlink="">
      <xdr:nvSpPr>
        <xdr:cNvPr id="2" name="TextBox 1"/>
        <xdr:cNvSpPr txBox="1"/>
      </xdr:nvSpPr>
      <xdr:spPr>
        <a:xfrm>
          <a:off x="1140690" y="20505208"/>
          <a:ext cx="13121410" cy="1491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There</a:t>
          </a:r>
          <a:r>
            <a:rPr lang="en-GB" sz="1400" baseline="0"/>
            <a:t> may be additional impact of enabling more efficient referrals to other services.</a:t>
          </a:r>
        </a:p>
        <a:p>
          <a:r>
            <a:rPr lang="en-GB" sz="1400"/>
            <a:t>This </a:t>
          </a:r>
          <a:r>
            <a:rPr lang="en-GB" sz="1400">
              <a:solidFill>
                <a:sysClr val="windowText" lastClr="000000"/>
              </a:solidFill>
            </a:rPr>
            <a:t>in turn may free up time for clinicians and thus</a:t>
          </a:r>
          <a:r>
            <a:rPr lang="en-GB" sz="1400" baseline="0">
              <a:solidFill>
                <a:sysClr val="windowText" lastClr="000000"/>
              </a:solidFill>
            </a:rPr>
            <a:t> lead to lower waiting times which may lead to to supply induced demand.</a:t>
          </a:r>
        </a:p>
        <a:p>
          <a:endParaRPr lang="en-GB" sz="1400"/>
        </a:p>
        <a:p>
          <a:endParaRPr lang="en-GB" sz="1400"/>
        </a:p>
        <a:p>
          <a:endParaRPr lang="en-GB" sz="1400" baseline="0"/>
        </a:p>
      </xdr:txBody>
    </xdr:sp>
    <xdr:clientData/>
  </xdr:twoCellAnchor>
  <xdr:twoCellAnchor>
    <xdr:from>
      <xdr:col>0</xdr:col>
      <xdr:colOff>283507</xdr:colOff>
      <xdr:row>38</xdr:row>
      <xdr:rowOff>427564</xdr:rowOff>
    </xdr:from>
    <xdr:to>
      <xdr:col>0</xdr:col>
      <xdr:colOff>3695699</xdr:colOff>
      <xdr:row>52</xdr:row>
      <xdr:rowOff>38100</xdr:rowOff>
    </xdr:to>
    <xdr:sp macro="" textlink="">
      <xdr:nvSpPr>
        <xdr:cNvPr id="3" name="TextBox 2"/>
        <xdr:cNvSpPr txBox="1"/>
      </xdr:nvSpPr>
      <xdr:spPr>
        <a:xfrm>
          <a:off x="283507" y="8619064"/>
          <a:ext cx="3412192" cy="265853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We have found </a:t>
          </a:r>
          <a:r>
            <a:rPr lang="en-GB" sz="1400" b="1"/>
            <a:t>no quantified evidence of impact</a:t>
          </a:r>
          <a:r>
            <a:rPr lang="en-GB" sz="1400" b="1" baseline="0"/>
            <a:t> </a:t>
          </a:r>
          <a:r>
            <a:rPr lang="en-GB" sz="1400" b="0" baseline="0"/>
            <a:t>so figures modelled are illustrative only.</a:t>
          </a:r>
          <a:endParaRPr lang="en-GB" sz="1400" b="0"/>
        </a:p>
        <a:p>
          <a:r>
            <a:rPr lang="en-GB" sz="1400"/>
            <a:t>We have modelled</a:t>
          </a:r>
          <a:r>
            <a:rPr lang="en-GB" sz="1400" baseline="0"/>
            <a:t> a reduction in short stay patients (achieved by enabling safe return home with support from alternative services) which are identified using MiDoS. </a:t>
          </a:r>
        </a:p>
        <a:p>
          <a:r>
            <a:rPr lang="en-GB" sz="1400" baseline="0"/>
            <a:t>Have modelled an increase in community contacts (possible rapid response services).</a:t>
          </a:r>
        </a:p>
        <a:p>
          <a:r>
            <a:rPr lang="en-GB" sz="1400" baseline="0"/>
            <a:t>Other patients may be diverted to other services, eg</a:t>
          </a:r>
          <a:r>
            <a:rPr lang="en-GB" sz="1400" baseline="0">
              <a:solidFill>
                <a:sysClr val="windowText" lastClr="000000"/>
              </a:solidFill>
            </a:rPr>
            <a:t> community pharmacy.</a:t>
          </a:r>
        </a:p>
      </xdr:txBody>
    </xdr:sp>
    <xdr:clientData/>
  </xdr:twoCellAnchor>
  <xdr:twoCellAnchor>
    <xdr:from>
      <xdr:col>0</xdr:col>
      <xdr:colOff>292100</xdr:colOff>
      <xdr:row>1</xdr:row>
      <xdr:rowOff>304800</xdr:rowOff>
    </xdr:from>
    <xdr:to>
      <xdr:col>0</xdr:col>
      <xdr:colOff>3543300</xdr:colOff>
      <xdr:row>2</xdr:row>
      <xdr:rowOff>381000</xdr:rowOff>
    </xdr:to>
    <xdr:sp macro="" textlink="">
      <xdr:nvSpPr>
        <xdr:cNvPr id="4" name="TextBox 3"/>
        <xdr:cNvSpPr txBox="1"/>
      </xdr:nvSpPr>
      <xdr:spPr>
        <a:xfrm>
          <a:off x="292100" y="368300"/>
          <a:ext cx="323850" cy="1841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321734</xdr:colOff>
      <xdr:row>21</xdr:row>
      <xdr:rowOff>179918</xdr:rowOff>
    </xdr:from>
    <xdr:to>
      <xdr:col>0</xdr:col>
      <xdr:colOff>3035300</xdr:colOff>
      <xdr:row>25</xdr:row>
      <xdr:rowOff>152400</xdr:rowOff>
    </xdr:to>
    <xdr:sp macro="" textlink="">
      <xdr:nvSpPr>
        <xdr:cNvPr id="5" name="TextBox 4"/>
        <xdr:cNvSpPr txBox="1"/>
      </xdr:nvSpPr>
      <xdr:spPr>
        <a:xfrm>
          <a:off x="321734" y="4764618"/>
          <a:ext cx="2713566" cy="73448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Please</a:t>
          </a:r>
          <a:r>
            <a:rPr lang="en-GB" sz="1400" baseline="0">
              <a:solidFill>
                <a:schemeClr val="dk1"/>
              </a:solidFill>
              <a:effectLst/>
              <a:latin typeface="+mn-lt"/>
              <a:ea typeface="+mn-ea"/>
              <a:cs typeface="+mn-cs"/>
            </a:rPr>
            <a:t> set out the costs in the intervention cost tab (Set_up_IR).</a:t>
          </a:r>
          <a:endParaRPr lang="en-GB" sz="1400">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912090</xdr:colOff>
      <xdr:row>96</xdr:row>
      <xdr:rowOff>127000</xdr:rowOff>
    </xdr:from>
    <xdr:to>
      <xdr:col>11</xdr:col>
      <xdr:colOff>609600</xdr:colOff>
      <xdr:row>104</xdr:row>
      <xdr:rowOff>187325</xdr:rowOff>
    </xdr:to>
    <xdr:sp macro="" textlink="">
      <xdr:nvSpPr>
        <xdr:cNvPr id="2" name="TextBox 1"/>
        <xdr:cNvSpPr txBox="1"/>
      </xdr:nvSpPr>
      <xdr:spPr>
        <a:xfrm>
          <a:off x="1204190" y="21018500"/>
          <a:ext cx="13553210" cy="1495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Not modelled</a:t>
          </a:r>
        </a:p>
        <a:p>
          <a:r>
            <a:rPr lang="en-GB" sz="1400"/>
            <a:t>some services in DoS might be new which might lead to supply induced</a:t>
          </a:r>
          <a:r>
            <a:rPr lang="en-GB" sz="1400" baseline="0"/>
            <a:t> demand</a:t>
          </a:r>
        </a:p>
      </xdr:txBody>
    </xdr:sp>
    <xdr:clientData/>
  </xdr:twoCellAnchor>
  <xdr:twoCellAnchor>
    <xdr:from>
      <xdr:col>0</xdr:col>
      <xdr:colOff>292100</xdr:colOff>
      <xdr:row>1</xdr:row>
      <xdr:rowOff>304800</xdr:rowOff>
    </xdr:from>
    <xdr:to>
      <xdr:col>0</xdr:col>
      <xdr:colOff>3543300</xdr:colOff>
      <xdr:row>2</xdr:row>
      <xdr:rowOff>381000</xdr:rowOff>
    </xdr:to>
    <xdr:sp macro="" textlink="">
      <xdr:nvSpPr>
        <xdr:cNvPr id="3" name="TextBox 2"/>
        <xdr:cNvSpPr txBox="1"/>
      </xdr:nvSpPr>
      <xdr:spPr>
        <a:xfrm>
          <a:off x="292100" y="368300"/>
          <a:ext cx="323850" cy="1841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321734</xdr:colOff>
      <xdr:row>21</xdr:row>
      <xdr:rowOff>179918</xdr:rowOff>
    </xdr:from>
    <xdr:to>
      <xdr:col>0</xdr:col>
      <xdr:colOff>2984500</xdr:colOff>
      <xdr:row>25</xdr:row>
      <xdr:rowOff>177800</xdr:rowOff>
    </xdr:to>
    <xdr:sp macro="" textlink="">
      <xdr:nvSpPr>
        <xdr:cNvPr id="4" name="TextBox 3"/>
        <xdr:cNvSpPr txBox="1"/>
      </xdr:nvSpPr>
      <xdr:spPr>
        <a:xfrm>
          <a:off x="321734" y="4878918"/>
          <a:ext cx="2662766" cy="75988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Please</a:t>
          </a:r>
          <a:r>
            <a:rPr lang="en-GB" sz="1400" baseline="0">
              <a:solidFill>
                <a:schemeClr val="dk1"/>
              </a:solidFill>
              <a:effectLst/>
              <a:latin typeface="+mn-lt"/>
              <a:ea typeface="+mn-ea"/>
              <a:cs typeface="+mn-cs"/>
            </a:rPr>
            <a:t> set out the costs in the intervention cost tab (Set_up_IR).</a:t>
          </a:r>
          <a:endParaRPr lang="en-GB" sz="1400">
            <a:effectLst/>
          </a:endParaRPr>
        </a:p>
      </xdr:txBody>
    </xdr:sp>
    <xdr:clientData/>
  </xdr:twoCellAnchor>
  <xdr:twoCellAnchor>
    <xdr:from>
      <xdr:col>0</xdr:col>
      <xdr:colOff>228600</xdr:colOff>
      <xdr:row>38</xdr:row>
      <xdr:rowOff>38101</xdr:rowOff>
    </xdr:from>
    <xdr:to>
      <xdr:col>0</xdr:col>
      <xdr:colOff>3640792</xdr:colOff>
      <xdr:row>44</xdr:row>
      <xdr:rowOff>50800</xdr:rowOff>
    </xdr:to>
    <xdr:sp macro="" textlink="">
      <xdr:nvSpPr>
        <xdr:cNvPr id="5" name="TextBox 4"/>
        <xdr:cNvSpPr txBox="1"/>
      </xdr:nvSpPr>
      <xdr:spPr>
        <a:xfrm>
          <a:off x="228600" y="8724901"/>
          <a:ext cx="3412192" cy="115569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With access to MiDoS the care home providers have more alternatives to call for an ambulance. </a:t>
          </a:r>
        </a:p>
        <a:p>
          <a:r>
            <a:rPr lang="en-GB" sz="1400" baseline="0"/>
            <a:t>There is no quantified evidence of impact.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311728</xdr:colOff>
      <xdr:row>40</xdr:row>
      <xdr:rowOff>136233</xdr:rowOff>
    </xdr:from>
    <xdr:to>
      <xdr:col>7</xdr:col>
      <xdr:colOff>881063</xdr:colOff>
      <xdr:row>64</xdr:row>
      <xdr:rowOff>119062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489289</xdr:colOff>
      <xdr:row>11</xdr:row>
      <xdr:rowOff>173741</xdr:rowOff>
    </xdr:from>
    <xdr:to>
      <xdr:col>7</xdr:col>
      <xdr:colOff>642938</xdr:colOff>
      <xdr:row>32</xdr:row>
      <xdr:rowOff>47625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362525</xdr:colOff>
      <xdr:row>68</xdr:row>
      <xdr:rowOff>52530</xdr:rowOff>
    </xdr:from>
    <xdr:to>
      <xdr:col>6</xdr:col>
      <xdr:colOff>1212273</xdr:colOff>
      <xdr:row>93</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448253</xdr:colOff>
      <xdr:row>94</xdr:row>
      <xdr:rowOff>165387</xdr:rowOff>
    </xdr:from>
    <xdr:to>
      <xdr:col>6</xdr:col>
      <xdr:colOff>1178357</xdr:colOff>
      <xdr:row>117</xdr:row>
      <xdr:rowOff>171738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535710</xdr:colOff>
      <xdr:row>119</xdr:row>
      <xdr:rowOff>135946</xdr:rowOff>
    </xdr:from>
    <xdr:to>
      <xdr:col>6</xdr:col>
      <xdr:colOff>1333500</xdr:colOff>
      <xdr:row>143</xdr:row>
      <xdr:rowOff>138545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539574</xdr:colOff>
      <xdr:row>145</xdr:row>
      <xdr:rowOff>164259</xdr:rowOff>
    </xdr:from>
    <xdr:to>
      <xdr:col>6</xdr:col>
      <xdr:colOff>1299883</xdr:colOff>
      <xdr:row>172</xdr:row>
      <xdr:rowOff>78441</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1008530</xdr:colOff>
      <xdr:row>12</xdr:row>
      <xdr:rowOff>142567</xdr:rowOff>
    </xdr:from>
    <xdr:to>
      <xdr:col>9</xdr:col>
      <xdr:colOff>1059321</xdr:colOff>
      <xdr:row>24</xdr:row>
      <xdr:rowOff>33617</xdr:rowOff>
    </xdr:to>
    <xdr:sp macro="" textlink="">
      <xdr:nvSpPr>
        <xdr:cNvPr id="2" name="TextBox 1"/>
        <xdr:cNvSpPr txBox="1"/>
      </xdr:nvSpPr>
      <xdr:spPr>
        <a:xfrm>
          <a:off x="10656795" y="4322361"/>
          <a:ext cx="2807438" cy="2042580"/>
        </a:xfrm>
        <a:prstGeom prst="rect">
          <a:avLst/>
        </a:prstGeom>
        <a:solidFill>
          <a:schemeClr val="accent1">
            <a:lumMod val="40000"/>
            <a:lumOff val="60000"/>
          </a:schemeClr>
        </a:solidFill>
        <a:ln w="952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This shows the impact across the interventions on activity</a:t>
          </a:r>
          <a:r>
            <a:rPr lang="en-GB" sz="1100" baseline="0">
              <a:latin typeface="Arial" pitchFamily="34" charset="0"/>
              <a:cs typeface="Arial" pitchFamily="34" charset="0"/>
            </a:rPr>
            <a:t> in the different UEC channels.</a:t>
          </a:r>
        </a:p>
        <a:p>
          <a:endParaRPr lang="en-GB" sz="1100" baseline="0">
            <a:latin typeface="Arial" pitchFamily="34" charset="0"/>
            <a:cs typeface="Arial" pitchFamily="34" charset="0"/>
          </a:endParaRPr>
        </a:p>
        <a:p>
          <a:r>
            <a:rPr lang="en-GB" sz="1100" baseline="0">
              <a:latin typeface="Arial" pitchFamily="34" charset="0"/>
              <a:cs typeface="Arial" pitchFamily="34" charset="0"/>
            </a:rPr>
            <a:t>It should be noted that there are different units of activity for each channel so the volume changes are not directly comparable. eg a small decrease in emergency bed days might well be more significant  than a much larger increase in community pharmacy attends. </a:t>
          </a:r>
          <a:endParaRPr lang="en-GB" sz="1100">
            <a:latin typeface="Arial" pitchFamily="34" charset="0"/>
            <a:cs typeface="Arial" pitchFamily="34" charset="0"/>
          </a:endParaRPr>
        </a:p>
      </xdr:txBody>
    </xdr:sp>
    <xdr:clientData/>
  </xdr:twoCellAnchor>
  <xdr:twoCellAnchor>
    <xdr:from>
      <xdr:col>7</xdr:col>
      <xdr:colOff>1214437</xdr:colOff>
      <xdr:row>40</xdr:row>
      <xdr:rowOff>131513</xdr:rowOff>
    </xdr:from>
    <xdr:to>
      <xdr:col>9</xdr:col>
      <xdr:colOff>1095375</xdr:colOff>
      <xdr:row>48</xdr:row>
      <xdr:rowOff>166688</xdr:rowOff>
    </xdr:to>
    <xdr:sp macro="" textlink="">
      <xdr:nvSpPr>
        <xdr:cNvPr id="9" name="TextBox 8"/>
        <xdr:cNvSpPr txBox="1"/>
      </xdr:nvSpPr>
      <xdr:spPr>
        <a:xfrm>
          <a:off x="10882312" y="13704638"/>
          <a:ext cx="2643188" cy="1559175"/>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This shows the 'do nothing' counterfactual activity growth</a:t>
          </a:r>
          <a:r>
            <a:rPr lang="en-GB" sz="1100" baseline="0">
              <a:latin typeface="Arial" pitchFamily="34" charset="0"/>
              <a:cs typeface="Arial" pitchFamily="34" charset="0"/>
            </a:rPr>
            <a:t> for the channel selected (green bars) without the intervention and how this growth is modelled to change as a result of the interventions.</a:t>
          </a:r>
        </a:p>
        <a:p>
          <a:endParaRPr lang="en-GB" sz="1100" baseline="0">
            <a:latin typeface="Arial" pitchFamily="34" charset="0"/>
            <a:cs typeface="Arial" pitchFamily="34" charset="0"/>
          </a:endParaRPr>
        </a:p>
        <a:p>
          <a:r>
            <a:rPr lang="en-GB" sz="1100" baseline="0">
              <a:latin typeface="Arial" pitchFamily="34" charset="0"/>
              <a:cs typeface="Arial" pitchFamily="34" charset="0"/>
            </a:rPr>
            <a:t>Note counterfactual growth only modelled here for main UEC channels</a:t>
          </a:r>
        </a:p>
      </xdr:txBody>
    </xdr:sp>
    <xdr:clientData/>
  </xdr:twoCellAnchor>
  <xdr:twoCellAnchor>
    <xdr:from>
      <xdr:col>7</xdr:col>
      <xdr:colOff>268941</xdr:colOff>
      <xdr:row>68</xdr:row>
      <xdr:rowOff>72141</xdr:rowOff>
    </xdr:from>
    <xdr:to>
      <xdr:col>9</xdr:col>
      <xdr:colOff>961669</xdr:colOff>
      <xdr:row>74</xdr:row>
      <xdr:rowOff>168088</xdr:rowOff>
    </xdr:to>
    <xdr:sp macro="" textlink="">
      <xdr:nvSpPr>
        <xdr:cNvPr id="13" name="TextBox 12"/>
        <xdr:cNvSpPr txBox="1"/>
      </xdr:nvSpPr>
      <xdr:spPr>
        <a:xfrm>
          <a:off x="9917206" y="18371347"/>
          <a:ext cx="3449375" cy="1171712"/>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This shows the 'do nothing' counterfactual activity growth</a:t>
          </a:r>
          <a:r>
            <a:rPr lang="en-GB" sz="1100" baseline="0">
              <a:latin typeface="Arial" pitchFamily="34" charset="0"/>
              <a:cs typeface="Arial" pitchFamily="34" charset="0"/>
            </a:rPr>
            <a:t> for key UEC channels as a solid line (emergency bed days, and ED/ UCC attends)</a:t>
          </a:r>
        </a:p>
        <a:p>
          <a:endParaRPr lang="en-GB" sz="1100" baseline="0">
            <a:latin typeface="Arial" pitchFamily="34" charset="0"/>
            <a:cs typeface="Arial" pitchFamily="34" charset="0"/>
          </a:endParaRPr>
        </a:p>
        <a:p>
          <a:r>
            <a:rPr lang="en-GB" sz="1100" baseline="0">
              <a:latin typeface="Arial" pitchFamily="34" charset="0"/>
              <a:cs typeface="Arial" pitchFamily="34" charset="0"/>
            </a:rPr>
            <a:t>the impact of the interventions on these channels is shown as the dashed line.</a:t>
          </a:r>
        </a:p>
        <a:p>
          <a:endParaRPr lang="en-GB" sz="1100" baseline="0"/>
        </a:p>
      </xdr:txBody>
    </xdr:sp>
    <xdr:clientData/>
  </xdr:twoCellAnchor>
  <xdr:twoCellAnchor>
    <xdr:from>
      <xdr:col>7</xdr:col>
      <xdr:colOff>133582</xdr:colOff>
      <xdr:row>95</xdr:row>
      <xdr:rowOff>13669</xdr:rowOff>
    </xdr:from>
    <xdr:to>
      <xdr:col>9</xdr:col>
      <xdr:colOff>930088</xdr:colOff>
      <xdr:row>102</xdr:row>
      <xdr:rowOff>627529</xdr:rowOff>
    </xdr:to>
    <xdr:sp macro="" textlink="">
      <xdr:nvSpPr>
        <xdr:cNvPr id="16" name="TextBox 15"/>
        <xdr:cNvSpPr txBox="1"/>
      </xdr:nvSpPr>
      <xdr:spPr>
        <a:xfrm>
          <a:off x="9781847" y="23153816"/>
          <a:ext cx="3553153" cy="1868919"/>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latin typeface="Arial" pitchFamily="34" charset="0"/>
              <a:cs typeface="Arial" pitchFamily="34" charset="0"/>
            </a:rPr>
            <a:t>This shows the modelled cost savings by intervention.</a:t>
          </a:r>
        </a:p>
        <a:p>
          <a:endParaRPr lang="en-GB" sz="1100" baseline="0">
            <a:latin typeface="Arial" pitchFamily="34" charset="0"/>
            <a:cs typeface="Arial" pitchFamily="34" charset="0"/>
          </a:endParaRPr>
        </a:p>
        <a:p>
          <a:r>
            <a:rPr lang="en-GB" sz="1100" baseline="0">
              <a:latin typeface="Arial" pitchFamily="34" charset="0"/>
              <a:cs typeface="Arial" pitchFamily="34" charset="0"/>
            </a:rPr>
            <a:t>The blue bars illustrate a commissioner or price based view where savings are modelled at full tariff / price base. the orange bars show a system impact which considers what costs can potentially be extracted.</a:t>
          </a:r>
        </a:p>
        <a:p>
          <a:endParaRPr lang="en-GB" sz="1100" baseline="0">
            <a:latin typeface="Arial" pitchFamily="34" charset="0"/>
            <a:cs typeface="Arial" pitchFamily="34" charset="0"/>
          </a:endParaRPr>
        </a:p>
        <a:p>
          <a:r>
            <a:rPr lang="en-GB" sz="1100" baseline="0">
              <a:latin typeface="Arial" pitchFamily="34" charset="0"/>
              <a:cs typeface="Arial" pitchFamily="34" charset="0"/>
            </a:rPr>
            <a:t>20% (1/5th)  of setup costs or intervention have been included to comply with guidance that these should be considered against savings over a 5 year period</a:t>
          </a:r>
        </a:p>
      </xdr:txBody>
    </xdr:sp>
    <xdr:clientData/>
  </xdr:twoCellAnchor>
  <xdr:twoCellAnchor>
    <xdr:from>
      <xdr:col>7</xdr:col>
      <xdr:colOff>152554</xdr:colOff>
      <xdr:row>119</xdr:row>
      <xdr:rowOff>148138</xdr:rowOff>
    </xdr:from>
    <xdr:to>
      <xdr:col>9</xdr:col>
      <xdr:colOff>1109383</xdr:colOff>
      <xdr:row>126</xdr:row>
      <xdr:rowOff>67236</xdr:rowOff>
    </xdr:to>
    <xdr:sp macro="" textlink="">
      <xdr:nvSpPr>
        <xdr:cNvPr id="17" name="TextBox 16"/>
        <xdr:cNvSpPr txBox="1"/>
      </xdr:nvSpPr>
      <xdr:spPr>
        <a:xfrm>
          <a:off x="9800819" y="31255667"/>
          <a:ext cx="3713476" cy="1174157"/>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latin typeface="Arial" pitchFamily="34" charset="0"/>
              <a:cs typeface="Arial" pitchFamily="34" charset="0"/>
            </a:rPr>
            <a:t>This shows the cost pressures over 5 years where growth and inflation are applied to baseline activity figures across main UEC channels .</a:t>
          </a:r>
        </a:p>
        <a:p>
          <a:endParaRPr lang="en-GB" sz="1100" baseline="0">
            <a:latin typeface="Arial" pitchFamily="34" charset="0"/>
            <a:cs typeface="Arial" pitchFamily="34" charset="0"/>
          </a:endParaRPr>
        </a:p>
        <a:p>
          <a:r>
            <a:rPr lang="en-GB" sz="1100" baseline="0">
              <a:latin typeface="Arial" pitchFamily="34" charset="0"/>
              <a:cs typeface="Arial" pitchFamily="34" charset="0"/>
            </a:rPr>
            <a:t>the blue bars show a commissioner ' price based' view and the orange a system implication </a:t>
          </a:r>
          <a:r>
            <a:rPr lang="en-GB" sz="1100" baseline="0"/>
            <a:t>view</a:t>
          </a:r>
        </a:p>
      </xdr:txBody>
    </xdr:sp>
    <xdr:clientData/>
  </xdr:twoCellAnchor>
  <xdr:twoCellAnchor>
    <xdr:from>
      <xdr:col>7</xdr:col>
      <xdr:colOff>297343</xdr:colOff>
      <xdr:row>145</xdr:row>
      <xdr:rowOff>151552</xdr:rowOff>
    </xdr:from>
    <xdr:to>
      <xdr:col>9</xdr:col>
      <xdr:colOff>784412</xdr:colOff>
      <xdr:row>153</xdr:row>
      <xdr:rowOff>168089</xdr:rowOff>
    </xdr:to>
    <xdr:sp macro="" textlink="">
      <xdr:nvSpPr>
        <xdr:cNvPr id="18" name="TextBox 17"/>
        <xdr:cNvSpPr txBox="1"/>
      </xdr:nvSpPr>
      <xdr:spPr>
        <a:xfrm>
          <a:off x="9945608" y="35920728"/>
          <a:ext cx="3243716" cy="1450890"/>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latin typeface="Arial" pitchFamily="34" charset="0"/>
              <a:cs typeface="Arial" pitchFamily="34" charset="0"/>
            </a:rPr>
            <a:t>This shows the cost pressures over 5 years including the impact of interventions.  Growth and inflation are applied to baseline activity figures across main UEC channels  and savings form interventions netted off.</a:t>
          </a:r>
        </a:p>
        <a:p>
          <a:endParaRPr lang="en-GB" sz="1100" baseline="0">
            <a:latin typeface="Arial" pitchFamily="34" charset="0"/>
            <a:cs typeface="Arial" pitchFamily="34" charset="0"/>
          </a:endParaRPr>
        </a:p>
        <a:p>
          <a:r>
            <a:rPr lang="en-GB" sz="1100" baseline="0">
              <a:latin typeface="Arial" pitchFamily="34" charset="0"/>
              <a:cs typeface="Arial" pitchFamily="34" charset="0"/>
            </a:rPr>
            <a:t>the blue bars show a commissioner ' price based' view and the orange a system implication view</a:t>
          </a:r>
        </a:p>
      </xdr:txBody>
    </xdr:sp>
    <xdr:clientData/>
  </xdr:twoCellAnchor>
  <xdr:twoCellAnchor>
    <xdr:from>
      <xdr:col>0</xdr:col>
      <xdr:colOff>583723</xdr:colOff>
      <xdr:row>173</xdr:row>
      <xdr:rowOff>77421</xdr:rowOff>
    </xdr:from>
    <xdr:to>
      <xdr:col>6</xdr:col>
      <xdr:colOff>1434353</xdr:colOff>
      <xdr:row>214</xdr:row>
      <xdr:rowOff>145676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235324</xdr:colOff>
      <xdr:row>173</xdr:row>
      <xdr:rowOff>105848</xdr:rowOff>
    </xdr:from>
    <xdr:to>
      <xdr:col>9</xdr:col>
      <xdr:colOff>896470</xdr:colOff>
      <xdr:row>181</xdr:row>
      <xdr:rowOff>100853</xdr:rowOff>
    </xdr:to>
    <xdr:sp macro="" textlink="">
      <xdr:nvSpPr>
        <xdr:cNvPr id="21" name="TextBox 20"/>
        <xdr:cNvSpPr txBox="1"/>
      </xdr:nvSpPr>
      <xdr:spPr>
        <a:xfrm>
          <a:off x="9883589" y="40895260"/>
          <a:ext cx="3417793" cy="1429358"/>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latin typeface="Arial" pitchFamily="34" charset="0"/>
              <a:cs typeface="Arial" pitchFamily="34" charset="0"/>
            </a:rPr>
            <a:t>This shows the required activity to reach the next step threshold. Reaching the next step threshold may result in significant additional modelled savings. For channels where this (the blue band) is narrow, then users may want to try increasing the % implementation for the models that impact these channels, or revisit the models themselves to view changes in outputs that may occur.</a:t>
          </a:r>
        </a:p>
      </xdr:txBody>
    </xdr:sp>
    <xdr:clientData/>
  </xdr:twoCellAnchor>
  <xdr:twoCellAnchor>
    <xdr:from>
      <xdr:col>0</xdr:col>
      <xdr:colOff>495399</xdr:colOff>
      <xdr:row>32</xdr:row>
      <xdr:rowOff>217009</xdr:rowOff>
    </xdr:from>
    <xdr:to>
      <xdr:col>7</xdr:col>
      <xdr:colOff>1333500</xdr:colOff>
      <xdr:row>37</xdr:row>
      <xdr:rowOff>145675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448235</xdr:colOff>
      <xdr:row>32</xdr:row>
      <xdr:rowOff>367546</xdr:rowOff>
    </xdr:from>
    <xdr:to>
      <xdr:col>13</xdr:col>
      <xdr:colOff>402423</xdr:colOff>
      <xdr:row>32</xdr:row>
      <xdr:rowOff>2420471</xdr:rowOff>
    </xdr:to>
    <xdr:sp macro="" textlink="">
      <xdr:nvSpPr>
        <xdr:cNvPr id="24" name="TextBox 23"/>
        <xdr:cNvSpPr txBox="1"/>
      </xdr:nvSpPr>
      <xdr:spPr>
        <a:xfrm>
          <a:off x="16483853" y="8133222"/>
          <a:ext cx="2710835" cy="2052925"/>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100">
              <a:solidFill>
                <a:schemeClr val="dk1"/>
              </a:solidFill>
              <a:latin typeface="Arial" pitchFamily="34" charset="0"/>
              <a:ea typeface="+mn-ea"/>
              <a:cs typeface="Arial" pitchFamily="34" charset="0"/>
            </a:rPr>
            <a:t>This shows the impact across the interventions on price based costs when commissioner prices are applied to </a:t>
          </a:r>
        </a:p>
        <a:p>
          <a:pPr marL="0" indent="0"/>
          <a:endParaRPr lang="en-GB" sz="1100">
            <a:solidFill>
              <a:schemeClr val="dk1"/>
            </a:solidFill>
            <a:latin typeface="Arial" pitchFamily="34" charset="0"/>
            <a:ea typeface="+mn-ea"/>
            <a:cs typeface="Arial" pitchFamily="34" charset="0"/>
          </a:endParaRPr>
        </a:p>
        <a:p>
          <a:pPr marL="0" indent="0"/>
          <a:r>
            <a:rPr lang="en-GB" sz="1100">
              <a:solidFill>
                <a:schemeClr val="dk1"/>
              </a:solidFill>
              <a:latin typeface="Arial" pitchFamily="34" charset="0"/>
              <a:ea typeface="+mn-ea"/>
              <a:cs typeface="Arial" pitchFamily="34" charset="0"/>
            </a:rPr>
            <a:t>It should be noted that there are different units of activity for each channel so the volume changes are not directly comparable. eg a small decrease in emergency bed days might well be more significant  than a much larger increase in community pharmacy attends.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447040</xdr:colOff>
      <xdr:row>1</xdr:row>
      <xdr:rowOff>17780</xdr:rowOff>
    </xdr:from>
    <xdr:to>
      <xdr:col>0</xdr:col>
      <xdr:colOff>3912992</xdr:colOff>
      <xdr:row>2</xdr:row>
      <xdr:rowOff>114327</xdr:rowOff>
    </xdr:to>
    <xdr:sp macro="" textlink="">
      <xdr:nvSpPr>
        <xdr:cNvPr id="2" name="TextBox 1"/>
        <xdr:cNvSpPr txBox="1"/>
      </xdr:nvSpPr>
      <xdr:spPr>
        <a:xfrm>
          <a:off x="447040" y="201930"/>
          <a:ext cx="163952" cy="28069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474980</xdr:colOff>
      <xdr:row>29</xdr:row>
      <xdr:rowOff>0</xdr:rowOff>
    </xdr:from>
    <xdr:to>
      <xdr:col>0</xdr:col>
      <xdr:colOff>3502669</xdr:colOff>
      <xdr:row>29</xdr:row>
      <xdr:rowOff>0</xdr:rowOff>
    </xdr:to>
    <xdr:sp macro="" textlink="">
      <xdr:nvSpPr>
        <xdr:cNvPr id="3" name="TextBox 2"/>
        <xdr:cNvSpPr txBox="1"/>
      </xdr:nvSpPr>
      <xdr:spPr>
        <a:xfrm>
          <a:off x="474980" y="8102600"/>
          <a:ext cx="132089" cy="165607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800" b="0" baseline="0">
              <a:solidFill>
                <a:schemeClr val="dk1"/>
              </a:solidFill>
              <a:effectLst/>
              <a:latin typeface="+mn-lt"/>
              <a:ea typeface="+mn-ea"/>
              <a:cs typeface="+mn-cs"/>
            </a:rPr>
            <a:t>Input staffing figures needed to provide additional service.</a:t>
          </a:r>
        </a:p>
        <a:p>
          <a:r>
            <a:rPr lang="en-GB" sz="1800" b="0" baseline="0">
              <a:solidFill>
                <a:schemeClr val="dk1"/>
              </a:solidFill>
              <a:effectLst/>
              <a:latin typeface="+mn-lt"/>
              <a:ea typeface="+mn-ea"/>
              <a:cs typeface="+mn-cs"/>
            </a:rPr>
            <a:t>staff cost is based on Agenda for change mid range value for band plus adjustment for pension and on cost. Users can select to add on further uplift for high cost areas (cell C18 Resource and cost assumptions tab)</a:t>
          </a:r>
          <a:endParaRPr lang="en-GB" sz="1800" b="0"/>
        </a:p>
      </xdr:txBody>
    </xdr:sp>
    <xdr:clientData/>
  </xdr:twoCellAnchor>
  <xdr:twoCellAnchor>
    <xdr:from>
      <xdr:col>0</xdr:col>
      <xdr:colOff>370840</xdr:colOff>
      <xdr:row>29</xdr:row>
      <xdr:rowOff>0</xdr:rowOff>
    </xdr:from>
    <xdr:to>
      <xdr:col>0</xdr:col>
      <xdr:colOff>4312428</xdr:colOff>
      <xdr:row>30</xdr:row>
      <xdr:rowOff>38100</xdr:rowOff>
    </xdr:to>
    <xdr:sp macro="" textlink="">
      <xdr:nvSpPr>
        <xdr:cNvPr id="4" name="TextBox 3"/>
        <xdr:cNvSpPr txBox="1"/>
      </xdr:nvSpPr>
      <xdr:spPr>
        <a:xfrm>
          <a:off x="370840" y="9909175"/>
          <a:ext cx="239538" cy="13620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a:t>Users can  input a number or a formula</a:t>
          </a:r>
          <a:r>
            <a:rPr lang="en-GB" sz="1800" baseline="0"/>
            <a:t> in unit </a:t>
          </a:r>
          <a:r>
            <a:rPr lang="en-GB" sz="1800"/>
            <a:t>as appropriate. </a:t>
          </a:r>
        </a:p>
        <a:p>
          <a:r>
            <a:rPr lang="en-GB" sz="1800"/>
            <a:t>The proportion of patients  discharged to an intermediate care setting will vary,  and should be amended by users where appropriate.</a:t>
          </a:r>
          <a:r>
            <a:rPr lang="en-GB" sz="1800" baseline="0"/>
            <a:t> </a:t>
          </a:r>
        </a:p>
        <a:p>
          <a:pPr>
            <a:lnSpc>
              <a:spcPts val="2100"/>
            </a:lnSpc>
          </a:pPr>
          <a:r>
            <a:rPr lang="en-GB" sz="1800" baseline="0"/>
            <a:t>The average length of stay for patients in intermediate setting is included at 20 days, which may vary based on local data.</a:t>
          </a:r>
          <a:endParaRPr lang="en-GB" sz="1800"/>
        </a:p>
      </xdr:txBody>
    </xdr:sp>
    <xdr:clientData/>
  </xdr:twoCellAnchor>
  <xdr:twoCellAnchor>
    <xdr:from>
      <xdr:col>0</xdr:col>
      <xdr:colOff>375285</xdr:colOff>
      <xdr:row>43</xdr:row>
      <xdr:rowOff>0</xdr:rowOff>
    </xdr:from>
    <xdr:to>
      <xdr:col>0</xdr:col>
      <xdr:colOff>4457802</xdr:colOff>
      <xdr:row>43</xdr:row>
      <xdr:rowOff>0</xdr:rowOff>
    </xdr:to>
    <xdr:sp macro="" textlink="">
      <xdr:nvSpPr>
        <xdr:cNvPr id="5" name="TextBox 4"/>
        <xdr:cNvSpPr txBox="1"/>
      </xdr:nvSpPr>
      <xdr:spPr>
        <a:xfrm>
          <a:off x="375285" y="12338050"/>
          <a:ext cx="234417" cy="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000"/>
            </a:lnSpc>
          </a:pPr>
          <a:r>
            <a:rPr lang="en-GB" sz="1800"/>
            <a:t>The cost of intermediate care for the appropriate proportion of patients is included above, so is not duplicated here as a channel shift.</a:t>
          </a:r>
        </a:p>
      </xdr:txBody>
    </xdr:sp>
    <xdr:clientData/>
  </xdr:twoCellAnchor>
  <xdr:twoCellAnchor>
    <xdr:from>
      <xdr:col>0</xdr:col>
      <xdr:colOff>306070</xdr:colOff>
      <xdr:row>45</xdr:row>
      <xdr:rowOff>11430</xdr:rowOff>
    </xdr:from>
    <xdr:to>
      <xdr:col>0</xdr:col>
      <xdr:colOff>4374570</xdr:colOff>
      <xdr:row>46</xdr:row>
      <xdr:rowOff>0</xdr:rowOff>
    </xdr:to>
    <xdr:sp macro="" textlink="">
      <xdr:nvSpPr>
        <xdr:cNvPr id="6" name="TextBox 5"/>
        <xdr:cNvSpPr txBox="1"/>
      </xdr:nvSpPr>
      <xdr:spPr>
        <a:xfrm>
          <a:off x="306070" y="12717780"/>
          <a:ext cx="302950" cy="172720"/>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ts val="2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a:ea typeface="+mn-ea"/>
              <a:cs typeface="+mn-cs"/>
            </a:rPr>
            <a:t>Local Provider costs are based on  local data which sets  local costs at 11% and semi-fixed at 68% of  XXXXXXXX</a:t>
          </a:r>
        </a:p>
      </xdr:txBody>
    </xdr:sp>
    <xdr:clientData/>
  </xdr:twoCellAnchor>
  <xdr:twoCellAnchor>
    <xdr:from>
      <xdr:col>0</xdr:col>
      <xdr:colOff>219710</xdr:colOff>
      <xdr:row>18</xdr:row>
      <xdr:rowOff>0</xdr:rowOff>
    </xdr:from>
    <xdr:to>
      <xdr:col>0</xdr:col>
      <xdr:colOff>4294584</xdr:colOff>
      <xdr:row>18</xdr:row>
      <xdr:rowOff>0</xdr:rowOff>
    </xdr:to>
    <xdr:sp macro="" textlink="">
      <xdr:nvSpPr>
        <xdr:cNvPr id="7" name="TextBox 6"/>
        <xdr:cNvSpPr txBox="1"/>
      </xdr:nvSpPr>
      <xdr:spPr>
        <a:xfrm>
          <a:off x="219710" y="3807460"/>
          <a:ext cx="391874" cy="1010949"/>
        </a:xfrm>
        <a:prstGeom prst="rect">
          <a:avLst/>
        </a:prstGeom>
        <a:solidFill>
          <a:srgbClr val="FFFFCC"/>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ts val="19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mn-lt"/>
              <a:ea typeface="+mn-ea"/>
              <a:cs typeface="+mn-cs"/>
            </a:rPr>
            <a:t>Front Door impact is from reducing length of stay  from the average of 4 down to 1, for  </a:t>
          </a:r>
          <a:r>
            <a:rPr kumimoji="0" lang="en-GB" sz="1800" b="0" i="0" u="none" strike="noStrike" kern="0" cap="none" spc="0" normalizeH="0" baseline="0" noProof="0">
              <a:ln>
                <a:noFill/>
              </a:ln>
              <a:solidFill>
                <a:sysClr val="windowText" lastClr="000000"/>
              </a:solidFill>
              <a:effectLst/>
              <a:uLnTx/>
              <a:uFillTx/>
              <a:latin typeface="Calibri"/>
              <a:ea typeface="+mn-ea"/>
              <a:cs typeface="+mn-cs"/>
            </a:rPr>
            <a:t>37% (Sheffield evidence) of  Emergency Short Stay and Ambulatory admissions,  for patients aged over 65.</a:t>
          </a: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11</xdr:col>
      <xdr:colOff>76200</xdr:colOff>
      <xdr:row>20</xdr:row>
      <xdr:rowOff>95250</xdr:rowOff>
    </xdr:from>
    <xdr:ext cx="6553200" cy="468013"/>
    <xdr:sp macro="" textlink="">
      <xdr:nvSpPr>
        <xdr:cNvPr id="2" name="TextBox 1"/>
        <xdr:cNvSpPr txBox="1"/>
      </xdr:nvSpPr>
      <xdr:spPr>
        <a:xfrm>
          <a:off x="8699500" y="3778250"/>
          <a:ext cx="6553200" cy="4680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2400"/>
        </a:p>
      </xdr:txBody>
    </xdr:sp>
    <xdr:clientData/>
  </xdr:oneCellAnchor>
  <xdr:oneCellAnchor>
    <xdr:from>
      <xdr:col>11</xdr:col>
      <xdr:colOff>152400</xdr:colOff>
      <xdr:row>73</xdr:row>
      <xdr:rowOff>209550</xdr:rowOff>
    </xdr:from>
    <xdr:ext cx="6543159" cy="468013"/>
    <xdr:sp macro="" textlink="">
      <xdr:nvSpPr>
        <xdr:cNvPr id="3" name="TextBox 2"/>
        <xdr:cNvSpPr txBox="1"/>
      </xdr:nvSpPr>
      <xdr:spPr>
        <a:xfrm>
          <a:off x="8775700" y="13442950"/>
          <a:ext cx="6543159" cy="4680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2400"/>
        </a:p>
      </xdr:txBody>
    </xdr:sp>
    <xdr:clientData/>
  </xdr:oneCellAnchor>
  <xdr:twoCellAnchor>
    <xdr:from>
      <xdr:col>0</xdr:col>
      <xdr:colOff>596900</xdr:colOff>
      <xdr:row>1</xdr:row>
      <xdr:rowOff>63500</xdr:rowOff>
    </xdr:from>
    <xdr:to>
      <xdr:col>0</xdr:col>
      <xdr:colOff>3175000</xdr:colOff>
      <xdr:row>3</xdr:row>
      <xdr:rowOff>101600</xdr:rowOff>
    </xdr:to>
    <xdr:sp macro="" textlink="">
      <xdr:nvSpPr>
        <xdr:cNvPr id="5" name="TextBox 4"/>
        <xdr:cNvSpPr txBox="1"/>
      </xdr:nvSpPr>
      <xdr:spPr>
        <a:xfrm>
          <a:off x="596900" y="609600"/>
          <a:ext cx="2578100" cy="6350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520700</xdr:colOff>
      <xdr:row>15</xdr:row>
      <xdr:rowOff>0</xdr:rowOff>
    </xdr:from>
    <xdr:to>
      <xdr:col>0</xdr:col>
      <xdr:colOff>3505200</xdr:colOff>
      <xdr:row>18</xdr:row>
      <xdr:rowOff>114300</xdr:rowOff>
    </xdr:to>
    <xdr:sp macro="" textlink="">
      <xdr:nvSpPr>
        <xdr:cNvPr id="6" name="TextBox 5"/>
        <xdr:cNvSpPr txBox="1"/>
      </xdr:nvSpPr>
      <xdr:spPr>
        <a:xfrm>
          <a:off x="520700" y="3695700"/>
          <a:ext cx="2984500" cy="8763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0">
              <a:solidFill>
                <a:schemeClr val="dk1"/>
              </a:solidFill>
              <a:effectLst/>
              <a:latin typeface="+mn-lt"/>
              <a:ea typeface="+mn-ea"/>
              <a:cs typeface="+mn-cs"/>
            </a:rPr>
            <a:t>The inputs here don't drive the model but attempt</a:t>
          </a:r>
          <a:r>
            <a:rPr lang="en-GB" sz="1400" b="0" baseline="0">
              <a:solidFill>
                <a:schemeClr val="dk1"/>
              </a:solidFill>
              <a:effectLst/>
              <a:latin typeface="+mn-lt"/>
              <a:ea typeface="+mn-ea"/>
              <a:cs typeface="+mn-cs"/>
            </a:rPr>
            <a:t> to set out the activity that the intervention can address. </a:t>
          </a:r>
          <a:endParaRPr lang="en-GB" sz="1800">
            <a:effectLst/>
          </a:endParaRPr>
        </a:p>
      </xdr:txBody>
    </xdr:sp>
    <xdr:clientData/>
  </xdr:twoCellAnchor>
  <xdr:twoCellAnchor>
    <xdr:from>
      <xdr:col>0</xdr:col>
      <xdr:colOff>139700</xdr:colOff>
      <xdr:row>19</xdr:row>
      <xdr:rowOff>50800</xdr:rowOff>
    </xdr:from>
    <xdr:to>
      <xdr:col>0</xdr:col>
      <xdr:colOff>3568700</xdr:colOff>
      <xdr:row>27</xdr:row>
      <xdr:rowOff>38100</xdr:rowOff>
    </xdr:to>
    <xdr:sp macro="" textlink="">
      <xdr:nvSpPr>
        <xdr:cNvPr id="7" name="TextBox 6"/>
        <xdr:cNvSpPr txBox="1"/>
      </xdr:nvSpPr>
      <xdr:spPr>
        <a:xfrm>
          <a:off x="139700" y="4699000"/>
          <a:ext cx="3429000" cy="15113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Set up costs need to be determined locally.</a:t>
          </a:r>
        </a:p>
        <a:p>
          <a:endParaRPr lang="en-GB" sz="1400"/>
        </a:p>
        <a:p>
          <a:r>
            <a:rPr lang="en-GB" sz="1400"/>
            <a:t>If</a:t>
          </a:r>
          <a:r>
            <a:rPr lang="en-GB" sz="1400" baseline="0"/>
            <a:t> a simple extension of a team then set up costs may be minimal. </a:t>
          </a:r>
        </a:p>
        <a:p>
          <a:r>
            <a:rPr lang="en-GB" sz="1400" baseline="0"/>
            <a:t>Other set up costs may include initial training and change management.</a:t>
          </a:r>
          <a:endParaRPr lang="en-GB" sz="1400"/>
        </a:p>
      </xdr:txBody>
    </xdr:sp>
    <xdr:clientData/>
  </xdr:twoCellAnchor>
  <xdr:twoCellAnchor>
    <xdr:from>
      <xdr:col>0</xdr:col>
      <xdr:colOff>139700</xdr:colOff>
      <xdr:row>27</xdr:row>
      <xdr:rowOff>165100</xdr:rowOff>
    </xdr:from>
    <xdr:to>
      <xdr:col>0</xdr:col>
      <xdr:colOff>3565525</xdr:colOff>
      <xdr:row>42</xdr:row>
      <xdr:rowOff>88900</xdr:rowOff>
    </xdr:to>
    <xdr:sp macro="" textlink="">
      <xdr:nvSpPr>
        <xdr:cNvPr id="9" name="TextBox 8"/>
        <xdr:cNvSpPr txBox="1"/>
      </xdr:nvSpPr>
      <xdr:spPr>
        <a:xfrm>
          <a:off x="139700" y="6337300"/>
          <a:ext cx="3425825" cy="37338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Evidence Source</a:t>
          </a:r>
        </a:p>
        <a:p>
          <a:r>
            <a:rPr lang="en-GB" sz="1400"/>
            <a:t>Resource Required:</a:t>
          </a:r>
          <a:r>
            <a:rPr lang="en-GB" sz="1400" baseline="0"/>
            <a:t> t</a:t>
          </a:r>
          <a:r>
            <a:rPr lang="en-GB" sz="1400"/>
            <a:t>his is based on the Centre  for Workforce Intelligence  Care Pathways Case Study (November 2011)</a:t>
          </a:r>
        </a:p>
        <a:p>
          <a:r>
            <a:rPr lang="en-GB" sz="1400"/>
            <a:t>Resources for the Discharge Planning Team are given on page 18</a:t>
          </a:r>
        </a:p>
        <a:p>
          <a:r>
            <a:rPr lang="en-GB" sz="1400"/>
            <a:t>The caseload of complex discharges handled by the team is given on page 8 (being 4,193).</a:t>
          </a:r>
        </a:p>
        <a:p>
          <a:r>
            <a:rPr lang="en-GB" sz="1400"/>
            <a:t>It has been assumed that improved discharge planning would not have a material impact on other hospital teams referenced in the evidence: transport; physio; OT and Admin. </a:t>
          </a:r>
        </a:p>
        <a:p>
          <a:r>
            <a:rPr lang="en-GB" sz="1400"/>
            <a:t>The Locality Reablement team is detailed on p30 of the source - costs exclude Care Assistants.</a:t>
          </a:r>
        </a:p>
        <a:p>
          <a:endParaRPr lang="en-GB" sz="1400"/>
        </a:p>
      </xdr:txBody>
    </xdr:sp>
    <xdr:clientData/>
  </xdr:twoCellAnchor>
  <xdr:twoCellAnchor>
    <xdr:from>
      <xdr:col>0</xdr:col>
      <xdr:colOff>228600</xdr:colOff>
      <xdr:row>46</xdr:row>
      <xdr:rowOff>149224</xdr:rowOff>
    </xdr:from>
    <xdr:to>
      <xdr:col>0</xdr:col>
      <xdr:colOff>3543300</xdr:colOff>
      <xdr:row>57</xdr:row>
      <xdr:rowOff>38100</xdr:rowOff>
    </xdr:to>
    <xdr:sp macro="" textlink="">
      <xdr:nvSpPr>
        <xdr:cNvPr id="10" name="TextBox 9"/>
        <xdr:cNvSpPr txBox="1"/>
      </xdr:nvSpPr>
      <xdr:spPr>
        <a:xfrm>
          <a:off x="228600" y="11274424"/>
          <a:ext cx="3314700" cy="198437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Evidence Source:</a:t>
          </a:r>
          <a:r>
            <a:rPr lang="en-GB" sz="1400" baseline="0"/>
            <a:t> </a:t>
          </a:r>
          <a:r>
            <a:rPr lang="en-GB" sz="1400"/>
            <a:t>Centre  for Workforce Intelligence  Care Pathways Case Study (November 2011)</a:t>
          </a:r>
        </a:p>
        <a:p>
          <a:r>
            <a:rPr lang="en-GB" sz="1400" baseline="0">
              <a:solidFill>
                <a:schemeClr val="dk1"/>
              </a:solidFill>
              <a:effectLst/>
              <a:latin typeface="+mn-lt"/>
              <a:ea typeface="+mn-ea"/>
              <a:cs typeface="+mn-cs"/>
            </a:rPr>
            <a:t>Page 8 of the Cambridge case study said that the team handled 4,193 complex discharges - this works out at 84 per WTE across all teams. In total there were 1000 care packages.</a:t>
          </a:r>
          <a:endParaRPr lang="en-GB" sz="1400">
            <a:effectLst/>
          </a:endParaRPr>
        </a:p>
      </xdr:txBody>
    </xdr:sp>
    <xdr:clientData/>
  </xdr:twoCellAnchor>
  <xdr:twoCellAnchor>
    <xdr:from>
      <xdr:col>0</xdr:col>
      <xdr:colOff>254000</xdr:colOff>
      <xdr:row>58</xdr:row>
      <xdr:rowOff>114300</xdr:rowOff>
    </xdr:from>
    <xdr:to>
      <xdr:col>0</xdr:col>
      <xdr:colOff>3187700</xdr:colOff>
      <xdr:row>69</xdr:row>
      <xdr:rowOff>139700</xdr:rowOff>
    </xdr:to>
    <xdr:sp macro="" textlink="">
      <xdr:nvSpPr>
        <xdr:cNvPr id="11" name="TextBox 10"/>
        <xdr:cNvSpPr txBox="1"/>
      </xdr:nvSpPr>
      <xdr:spPr>
        <a:xfrm>
          <a:off x="254000" y="13525500"/>
          <a:ext cx="2933700" cy="23114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Treatment of Fines and excess bed days:</a:t>
          </a:r>
          <a:r>
            <a:rPr lang="en-GB" sz="1400" baseline="0"/>
            <a:t> t</a:t>
          </a:r>
          <a:r>
            <a:rPr lang="en-GB" sz="1400"/>
            <a:t>he evidence source notes that the DFT helped the local authority to avoid fines and the health provider unfunded costs iro excess bed days (page 69). These have not been included in the modelling on the grounds that they are a transfer of funding within the public sector.</a:t>
          </a:r>
        </a:p>
      </xdr:txBody>
    </xdr:sp>
    <xdr:clientData/>
  </xdr:twoCellAnchor>
  <xdr:twoCellAnchor>
    <xdr:from>
      <xdr:col>0</xdr:col>
      <xdr:colOff>152400</xdr:colOff>
      <xdr:row>70</xdr:row>
      <xdr:rowOff>114299</xdr:rowOff>
    </xdr:from>
    <xdr:to>
      <xdr:col>0</xdr:col>
      <xdr:colOff>3362325</xdr:colOff>
      <xdr:row>81</xdr:row>
      <xdr:rowOff>660400</xdr:rowOff>
    </xdr:to>
    <xdr:sp macro="" textlink="">
      <xdr:nvSpPr>
        <xdr:cNvPr id="12" name="TextBox 11"/>
        <xdr:cNvSpPr txBox="1"/>
      </xdr:nvSpPr>
      <xdr:spPr>
        <a:xfrm>
          <a:off x="152400" y="16001999"/>
          <a:ext cx="3209925" cy="314960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Evidence Source</a:t>
          </a:r>
        </a:p>
        <a:p>
          <a:r>
            <a:rPr lang="en-GB" sz="1400"/>
            <a:t>Reduced LoS:</a:t>
          </a:r>
          <a:r>
            <a:rPr lang="en-GB" sz="1400" baseline="0"/>
            <a:t> t</a:t>
          </a:r>
          <a:r>
            <a:rPr lang="en-GB" sz="1400"/>
            <a:t>he primary source is the Cochrane Library Discharge Planning from Hospital (Review) (2016). The findings are that there is moderate evidence of an impact in mean LoS of a reduction of 0.73 days, (95% CI: -1.33 to  - 0.12) on older people with medical conditions.</a:t>
          </a:r>
        </a:p>
        <a:p>
          <a:r>
            <a:rPr lang="en-GB" sz="1400"/>
            <a:t>Reduced Readmission rate</a:t>
          </a:r>
        </a:p>
        <a:p>
          <a:r>
            <a:rPr lang="en-GB" sz="1400"/>
            <a:t>The same source, (page 17), found moderate evidence, of a reduction of 3% of participants (ie target population).</a:t>
          </a:r>
        </a:p>
      </xdr:txBody>
    </xdr:sp>
    <xdr:clientData/>
  </xdr:twoCellAnchor>
  <xdr:twoCellAnchor>
    <xdr:from>
      <xdr:col>0</xdr:col>
      <xdr:colOff>168275</xdr:colOff>
      <xdr:row>43</xdr:row>
      <xdr:rowOff>19051</xdr:rowOff>
    </xdr:from>
    <xdr:to>
      <xdr:col>0</xdr:col>
      <xdr:colOff>3517900</xdr:colOff>
      <xdr:row>46</xdr:row>
      <xdr:rowOff>76201</xdr:rowOff>
    </xdr:to>
    <xdr:sp macro="" textlink="">
      <xdr:nvSpPr>
        <xdr:cNvPr id="13" name="TextBox 12"/>
        <xdr:cNvSpPr txBox="1"/>
      </xdr:nvSpPr>
      <xdr:spPr>
        <a:xfrm>
          <a:off x="168275" y="10191751"/>
          <a:ext cx="3349625" cy="10096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The community services team provide the reablement packages where needed. Evidence suggests</a:t>
          </a:r>
          <a:r>
            <a:rPr lang="en-GB" sz="1400" baseline="0"/>
            <a:t> that these are needed for around 25% of DTOC patients.</a:t>
          </a:r>
          <a:endParaRPr lang="en-GB" sz="14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3465952</xdr:colOff>
      <xdr:row>1</xdr:row>
      <xdr:rowOff>579147</xdr:rowOff>
    </xdr:to>
    <xdr:sp macro="" textlink="">
      <xdr:nvSpPr>
        <xdr:cNvPr id="2" name="TextBox 1"/>
        <xdr:cNvSpPr txBox="1"/>
      </xdr:nvSpPr>
      <xdr:spPr>
        <a:xfrm>
          <a:off x="0" y="546100"/>
          <a:ext cx="3465952" cy="57914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0</xdr:colOff>
      <xdr:row>15</xdr:row>
      <xdr:rowOff>0</xdr:rowOff>
    </xdr:from>
    <xdr:to>
      <xdr:col>0</xdr:col>
      <xdr:colOff>3465952</xdr:colOff>
      <xdr:row>18</xdr:row>
      <xdr:rowOff>7647</xdr:rowOff>
    </xdr:to>
    <xdr:sp macro="" textlink="">
      <xdr:nvSpPr>
        <xdr:cNvPr id="3" name="TextBox 2"/>
        <xdr:cNvSpPr txBox="1"/>
      </xdr:nvSpPr>
      <xdr:spPr>
        <a:xfrm>
          <a:off x="0" y="3670300"/>
          <a:ext cx="3465952" cy="57914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Avoidable</a:t>
          </a:r>
          <a:r>
            <a:rPr lang="en-GB" sz="1400" baseline="0"/>
            <a:t> admissions from list. See evidence tab for details.</a:t>
          </a:r>
          <a:endParaRPr lang="en-GB" sz="14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165100</xdr:colOff>
      <xdr:row>1</xdr:row>
      <xdr:rowOff>50800</xdr:rowOff>
    </xdr:from>
    <xdr:to>
      <xdr:col>0</xdr:col>
      <xdr:colOff>3454403</xdr:colOff>
      <xdr:row>2</xdr:row>
      <xdr:rowOff>152400</xdr:rowOff>
    </xdr:to>
    <xdr:sp macro="" textlink="">
      <xdr:nvSpPr>
        <xdr:cNvPr id="2" name="TextBox 1"/>
        <xdr:cNvSpPr txBox="1"/>
      </xdr:nvSpPr>
      <xdr:spPr>
        <a:xfrm>
          <a:off x="165100" y="596900"/>
          <a:ext cx="3289303" cy="4953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638175</xdr:colOff>
      <xdr:row>45</xdr:row>
      <xdr:rowOff>-1</xdr:rowOff>
    </xdr:from>
    <xdr:to>
      <xdr:col>0</xdr:col>
      <xdr:colOff>3660629</xdr:colOff>
      <xdr:row>55</xdr:row>
      <xdr:rowOff>93132</xdr:rowOff>
    </xdr:to>
    <xdr:sp macro="" textlink="">
      <xdr:nvSpPr>
        <xdr:cNvPr id="3" name="TextBox 2"/>
        <xdr:cNvSpPr txBox="1"/>
      </xdr:nvSpPr>
      <xdr:spPr>
        <a:xfrm>
          <a:off x="638175" y="10041466"/>
          <a:ext cx="3022454" cy="2125133"/>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dk1"/>
              </a:solidFill>
              <a:effectLst/>
              <a:latin typeface="+mn-lt"/>
              <a:ea typeface="+mn-ea"/>
              <a:cs typeface="+mn-cs"/>
            </a:rPr>
            <a:t>Input staffing figures needed to provide additional service. </a:t>
          </a:r>
        </a:p>
        <a:p>
          <a:pPr marL="0" marR="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dk1"/>
              </a:solidFill>
              <a:effectLst/>
              <a:latin typeface="+mn-lt"/>
              <a:ea typeface="+mn-ea"/>
              <a:cs typeface="+mn-cs"/>
            </a:rPr>
            <a:t>WTE requirement guidance in the Set Up Sheet.</a:t>
          </a:r>
        </a:p>
        <a:p>
          <a:pPr eaLnBrk="1" fontAlgn="auto" latinLnBrk="0" hangingPunct="1"/>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endParaRPr lang="en-GB" sz="1400">
            <a:effectLst/>
          </a:endParaRPr>
        </a:p>
      </xdr:txBody>
    </xdr:sp>
    <xdr:clientData/>
  </xdr:twoCellAnchor>
  <xdr:twoCellAnchor>
    <xdr:from>
      <xdr:col>0</xdr:col>
      <xdr:colOff>190500</xdr:colOff>
      <xdr:row>57</xdr:row>
      <xdr:rowOff>279400</xdr:rowOff>
    </xdr:from>
    <xdr:to>
      <xdr:col>0</xdr:col>
      <xdr:colOff>3502032</xdr:colOff>
      <xdr:row>65</xdr:row>
      <xdr:rowOff>114300</xdr:rowOff>
    </xdr:to>
    <xdr:sp macro="" textlink="">
      <xdr:nvSpPr>
        <xdr:cNvPr id="4" name="TextBox 3"/>
        <xdr:cNvSpPr txBox="1"/>
      </xdr:nvSpPr>
      <xdr:spPr>
        <a:xfrm>
          <a:off x="190500" y="12522200"/>
          <a:ext cx="3311532" cy="15494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Users can  input a number or a formula</a:t>
          </a:r>
          <a:r>
            <a:rPr lang="en-GB" sz="1400" baseline="0">
              <a:solidFill>
                <a:schemeClr val="dk1"/>
              </a:solidFill>
              <a:effectLst/>
              <a:latin typeface="+mn-lt"/>
              <a:ea typeface="+mn-ea"/>
              <a:cs typeface="+mn-cs"/>
            </a:rPr>
            <a:t> in the Unit column </a:t>
          </a:r>
          <a:r>
            <a:rPr lang="en-GB" sz="1400">
              <a:solidFill>
                <a:schemeClr val="dk1"/>
              </a:solidFill>
              <a:effectLst/>
              <a:latin typeface="+mn-lt"/>
              <a:ea typeface="+mn-ea"/>
              <a:cs typeface="+mn-cs"/>
            </a:rPr>
            <a:t>as appropriate. If an additional cost is </a:t>
          </a:r>
          <a:r>
            <a:rPr lang="en-GB" sz="1400" b="1">
              <a:solidFill>
                <a:schemeClr val="dk1"/>
              </a:solidFill>
              <a:effectLst/>
              <a:latin typeface="+mn-lt"/>
              <a:ea typeface="+mn-ea"/>
              <a:cs typeface="+mn-cs"/>
            </a:rPr>
            <a:t>per admission</a:t>
          </a:r>
          <a:r>
            <a:rPr lang="en-GB" sz="1400">
              <a:solidFill>
                <a:schemeClr val="dk1"/>
              </a:solidFill>
              <a:effectLst/>
              <a:latin typeface="+mn-lt"/>
              <a:ea typeface="+mn-ea"/>
              <a:cs typeface="+mn-cs"/>
            </a:rPr>
            <a:t> the Unit can</a:t>
          </a:r>
          <a:r>
            <a:rPr lang="en-GB" sz="1400" baseline="0">
              <a:solidFill>
                <a:schemeClr val="dk1"/>
              </a:solidFill>
              <a:effectLst/>
              <a:latin typeface="+mn-lt"/>
              <a:ea typeface="+mn-ea"/>
              <a:cs typeface="+mn-cs"/>
            </a:rPr>
            <a:t> be</a:t>
          </a:r>
          <a:r>
            <a:rPr lang="en-GB" sz="1400">
              <a:solidFill>
                <a:schemeClr val="dk1"/>
              </a:solidFill>
              <a:effectLst/>
              <a:latin typeface="+mn-lt"/>
              <a:ea typeface="+mn-ea"/>
              <a:cs typeface="+mn-cs"/>
            </a:rPr>
            <a:t> linked to admissions (cell J68). If an additional cost is </a:t>
          </a:r>
          <a:r>
            <a:rPr lang="en-GB" sz="1400" b="1">
              <a:solidFill>
                <a:schemeClr val="dk1"/>
              </a:solidFill>
              <a:effectLst/>
              <a:latin typeface="+mn-lt"/>
              <a:ea typeface="+mn-ea"/>
              <a:cs typeface="+mn-cs"/>
            </a:rPr>
            <a:t>per WTE</a:t>
          </a:r>
          <a:r>
            <a:rPr lang="en-GB" sz="1400">
              <a:solidFill>
                <a:schemeClr val="dk1"/>
              </a:solidFill>
              <a:effectLst/>
              <a:latin typeface="+mn-lt"/>
              <a:ea typeface="+mn-ea"/>
              <a:cs typeface="+mn-cs"/>
            </a:rPr>
            <a:t> the Unit can be linked to the sum of WTEs (cell E46). </a:t>
          </a:r>
          <a:r>
            <a:rPr lang="en-GB" sz="1400" baseline="0">
              <a:solidFill>
                <a:schemeClr val="dk1"/>
              </a:solidFill>
              <a:effectLst/>
              <a:latin typeface="+mn-lt"/>
              <a:ea typeface="+mn-ea"/>
              <a:cs typeface="+mn-cs"/>
            </a:rPr>
            <a:t> </a:t>
          </a:r>
          <a:endParaRPr lang="en-GB" sz="1400">
            <a:effectLst/>
          </a:endParaRPr>
        </a:p>
      </xdr:txBody>
    </xdr:sp>
    <xdr:clientData/>
  </xdr:twoCellAnchor>
  <xdr:twoCellAnchor>
    <xdr:from>
      <xdr:col>0</xdr:col>
      <xdr:colOff>146050</xdr:colOff>
      <xdr:row>74</xdr:row>
      <xdr:rowOff>88900</xdr:rowOff>
    </xdr:from>
    <xdr:to>
      <xdr:col>0</xdr:col>
      <xdr:colOff>3603779</xdr:colOff>
      <xdr:row>90</xdr:row>
      <xdr:rowOff>101600</xdr:rowOff>
    </xdr:to>
    <xdr:sp macro="" textlink="">
      <xdr:nvSpPr>
        <xdr:cNvPr id="5" name="TextBox 4"/>
        <xdr:cNvSpPr txBox="1"/>
      </xdr:nvSpPr>
      <xdr:spPr>
        <a:xfrm>
          <a:off x="146050" y="15951200"/>
          <a:ext cx="3457729" cy="36195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pPr>
          <a:r>
            <a:rPr lang="en-GB" sz="1400"/>
            <a:t>These are the channel shifts</a:t>
          </a:r>
          <a:r>
            <a:rPr lang="en-GB" sz="1400" baseline="0"/>
            <a:t> expected.  Some evidence is available, but impact on all channels is generally not robustly quantified.</a:t>
          </a:r>
        </a:p>
        <a:p>
          <a:pPr>
            <a:lnSpc>
              <a:spcPct val="100000"/>
            </a:lnSpc>
          </a:pPr>
          <a:endParaRPr lang="en-GB" sz="1400" baseline="0">
            <a:solidFill>
              <a:sysClr val="windowText" lastClr="000000"/>
            </a:solidFill>
          </a:endParaRPr>
        </a:p>
        <a:p>
          <a:pPr>
            <a:lnSpc>
              <a:spcPct val="100000"/>
            </a:lnSpc>
          </a:pPr>
          <a:r>
            <a:rPr lang="en-GB" sz="1400" baseline="0">
              <a:solidFill>
                <a:sysClr val="windowText" lastClr="000000"/>
              </a:solidFill>
            </a:rPr>
            <a:t>National data suggests emergency  admission rates for care home residents is  0.57 per person. Brownhill paper reports a reduction of  51% would take this to be 0.29. - which translates to a channel shift of 0.28 admissions per person. Each admissions may be accompanied by an ambulance conveyance and an ED attendance. Paper also reported reduction in GP and community nurse contacts. Have modelled increase in 111 advice contacts.</a:t>
          </a:r>
          <a:endParaRPr lang="en-GB" sz="1400">
            <a:solidFill>
              <a:sysClr val="windowText" lastClr="000000"/>
            </a:solidFill>
          </a:endParaRPr>
        </a:p>
      </xdr:txBody>
    </xdr:sp>
    <xdr:clientData/>
  </xdr:twoCellAnchor>
  <xdr:twoCellAnchor>
    <xdr:from>
      <xdr:col>0</xdr:col>
      <xdr:colOff>317500</xdr:colOff>
      <xdr:row>14</xdr:row>
      <xdr:rowOff>0</xdr:rowOff>
    </xdr:from>
    <xdr:to>
      <xdr:col>0</xdr:col>
      <xdr:colOff>3511718</xdr:colOff>
      <xdr:row>26</xdr:row>
      <xdr:rowOff>25401</xdr:rowOff>
    </xdr:to>
    <xdr:sp macro="" textlink="">
      <xdr:nvSpPr>
        <xdr:cNvPr id="7" name="TextBox 6"/>
        <xdr:cNvSpPr txBox="1"/>
      </xdr:nvSpPr>
      <xdr:spPr>
        <a:xfrm>
          <a:off x="317500" y="3759201"/>
          <a:ext cx="3194218" cy="26035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lang="en-GB" sz="1400"/>
            <a:t>Where concerns about coding of source of admission data, care home admissions can be estimated locally by using postcodes</a:t>
          </a:r>
          <a:r>
            <a:rPr lang="en-GB" sz="1400" baseline="0"/>
            <a:t> of care homes and limiting to admissions for age&gt;=75.   The Quality watch paper suggests that 13.4% of all emergency admissions for people aged &gt;=75 come from postcodes containing care homes which could be the basis of  an alternative methodology to estimate care home admissions.</a:t>
          </a:r>
          <a:endParaRPr lang="en-GB" sz="1400"/>
        </a:p>
      </xdr:txBody>
    </xdr:sp>
    <xdr:clientData/>
  </xdr:twoCellAnchor>
  <xdr:twoCellAnchor>
    <xdr:from>
      <xdr:col>0</xdr:col>
      <xdr:colOff>384175</xdr:colOff>
      <xdr:row>91</xdr:row>
      <xdr:rowOff>139700</xdr:rowOff>
    </xdr:from>
    <xdr:to>
      <xdr:col>0</xdr:col>
      <xdr:colOff>3238371</xdr:colOff>
      <xdr:row>94</xdr:row>
      <xdr:rowOff>50800</xdr:rowOff>
    </xdr:to>
    <xdr:sp macro="" textlink="">
      <xdr:nvSpPr>
        <xdr:cNvPr id="11" name="TextBox 10"/>
        <xdr:cNvSpPr txBox="1"/>
      </xdr:nvSpPr>
      <xdr:spPr>
        <a:xfrm>
          <a:off x="384175" y="19799300"/>
          <a:ext cx="2854196" cy="6731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ysClr val="windowText" lastClr="000000"/>
              </a:solidFill>
            </a:rPr>
            <a:t>Clinical advice calls costed at OOH call cost. </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317500</xdr:colOff>
      <xdr:row>1</xdr:row>
      <xdr:rowOff>76200</xdr:rowOff>
    </xdr:from>
    <xdr:to>
      <xdr:col>0</xdr:col>
      <xdr:colOff>3606803</xdr:colOff>
      <xdr:row>2</xdr:row>
      <xdr:rowOff>177800</xdr:rowOff>
    </xdr:to>
    <xdr:sp macro="" textlink="">
      <xdr:nvSpPr>
        <xdr:cNvPr id="2" name="TextBox 1"/>
        <xdr:cNvSpPr txBox="1"/>
      </xdr:nvSpPr>
      <xdr:spPr>
        <a:xfrm>
          <a:off x="317500" y="622300"/>
          <a:ext cx="3289303" cy="5842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279400</xdr:colOff>
      <xdr:row>42</xdr:row>
      <xdr:rowOff>101600</xdr:rowOff>
    </xdr:from>
    <xdr:to>
      <xdr:col>0</xdr:col>
      <xdr:colOff>3590932</xdr:colOff>
      <xdr:row>49</xdr:row>
      <xdr:rowOff>76200</xdr:rowOff>
    </xdr:to>
    <xdr:sp macro="" textlink="">
      <xdr:nvSpPr>
        <xdr:cNvPr id="3" name="TextBox 2"/>
        <xdr:cNvSpPr txBox="1"/>
      </xdr:nvSpPr>
      <xdr:spPr>
        <a:xfrm>
          <a:off x="279400" y="9372600"/>
          <a:ext cx="3311532" cy="1498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Users can  input a number or a formula</a:t>
          </a:r>
          <a:r>
            <a:rPr lang="en-GB" sz="1400" baseline="0">
              <a:solidFill>
                <a:schemeClr val="dk1"/>
              </a:solidFill>
              <a:effectLst/>
              <a:latin typeface="+mn-lt"/>
              <a:ea typeface="+mn-ea"/>
              <a:cs typeface="+mn-cs"/>
            </a:rPr>
            <a:t> in the Unit column </a:t>
          </a:r>
          <a:r>
            <a:rPr lang="en-GB" sz="1400">
              <a:solidFill>
                <a:schemeClr val="dk1"/>
              </a:solidFill>
              <a:effectLst/>
              <a:latin typeface="+mn-lt"/>
              <a:ea typeface="+mn-ea"/>
              <a:cs typeface="+mn-cs"/>
            </a:rPr>
            <a:t>as appropriate. If an additional cost is </a:t>
          </a:r>
          <a:r>
            <a:rPr lang="en-GB" sz="1400" b="1">
              <a:solidFill>
                <a:schemeClr val="dk1"/>
              </a:solidFill>
              <a:effectLst/>
              <a:latin typeface="+mn-lt"/>
              <a:ea typeface="+mn-ea"/>
              <a:cs typeface="+mn-cs"/>
            </a:rPr>
            <a:t>per resident</a:t>
          </a:r>
          <a:r>
            <a:rPr lang="en-GB" sz="1400">
              <a:solidFill>
                <a:schemeClr val="dk1"/>
              </a:solidFill>
              <a:effectLst/>
              <a:latin typeface="+mn-lt"/>
              <a:ea typeface="+mn-ea"/>
              <a:cs typeface="+mn-cs"/>
            </a:rPr>
            <a:t> the Unit can</a:t>
          </a:r>
          <a:r>
            <a:rPr lang="en-GB" sz="1400" baseline="0">
              <a:solidFill>
                <a:schemeClr val="dk1"/>
              </a:solidFill>
              <a:effectLst/>
              <a:latin typeface="+mn-lt"/>
              <a:ea typeface="+mn-ea"/>
              <a:cs typeface="+mn-cs"/>
            </a:rPr>
            <a:t> be</a:t>
          </a:r>
          <a:r>
            <a:rPr lang="en-GB" sz="1400">
              <a:solidFill>
                <a:schemeClr val="dk1"/>
              </a:solidFill>
              <a:effectLst/>
              <a:latin typeface="+mn-lt"/>
              <a:ea typeface="+mn-ea"/>
              <a:cs typeface="+mn-cs"/>
            </a:rPr>
            <a:t> linked to admissions (cell J45). If an additional cost is </a:t>
          </a:r>
          <a:r>
            <a:rPr lang="en-GB" sz="1400" b="1">
              <a:solidFill>
                <a:schemeClr val="dk1"/>
              </a:solidFill>
              <a:effectLst/>
              <a:latin typeface="+mn-lt"/>
              <a:ea typeface="+mn-ea"/>
              <a:cs typeface="+mn-cs"/>
            </a:rPr>
            <a:t>per WTE</a:t>
          </a:r>
          <a:r>
            <a:rPr lang="en-GB" sz="1400">
              <a:solidFill>
                <a:schemeClr val="dk1"/>
              </a:solidFill>
              <a:effectLst/>
              <a:latin typeface="+mn-lt"/>
              <a:ea typeface="+mn-ea"/>
              <a:cs typeface="+mn-cs"/>
            </a:rPr>
            <a:t> the Unit can be linked to the sum of WTEs (cell E34). </a:t>
          </a:r>
          <a:r>
            <a:rPr lang="en-GB" sz="1400" baseline="0">
              <a:solidFill>
                <a:schemeClr val="dk1"/>
              </a:solidFill>
              <a:effectLst/>
              <a:latin typeface="+mn-lt"/>
              <a:ea typeface="+mn-ea"/>
              <a:cs typeface="+mn-cs"/>
            </a:rPr>
            <a:t> </a:t>
          </a:r>
          <a:endParaRPr lang="en-GB" sz="1400">
            <a:effectLst/>
          </a:endParaRPr>
        </a:p>
      </xdr:txBody>
    </xdr:sp>
    <xdr:clientData/>
  </xdr:twoCellAnchor>
  <xdr:twoCellAnchor>
    <xdr:from>
      <xdr:col>0</xdr:col>
      <xdr:colOff>120650</xdr:colOff>
      <xdr:row>63</xdr:row>
      <xdr:rowOff>177800</xdr:rowOff>
    </xdr:from>
    <xdr:to>
      <xdr:col>0</xdr:col>
      <xdr:colOff>3578379</xdr:colOff>
      <xdr:row>78</xdr:row>
      <xdr:rowOff>25400</xdr:rowOff>
    </xdr:to>
    <xdr:sp macro="" textlink="">
      <xdr:nvSpPr>
        <xdr:cNvPr id="4" name="TextBox 3"/>
        <xdr:cNvSpPr txBox="1"/>
      </xdr:nvSpPr>
      <xdr:spPr>
        <a:xfrm>
          <a:off x="120650" y="14020800"/>
          <a:ext cx="3457729" cy="3441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These are the channel shifts</a:t>
          </a:r>
          <a:r>
            <a:rPr lang="en-GB" sz="1400" baseline="0">
              <a:solidFill>
                <a:schemeClr val="dk1"/>
              </a:solidFill>
              <a:effectLst/>
              <a:latin typeface="+mn-lt"/>
              <a:ea typeface="+mn-ea"/>
              <a:cs typeface="+mn-cs"/>
            </a:rPr>
            <a:t> expected.  Some evidence is available, but impact on all channels is generally not robustly quantified.</a:t>
          </a:r>
          <a:endParaRPr lang="en-GB" sz="1400">
            <a:effectLst/>
          </a:endParaRPr>
        </a:p>
        <a:p>
          <a:r>
            <a:rPr lang="en-GB" sz="1400" baseline="0">
              <a:solidFill>
                <a:schemeClr val="dk1"/>
              </a:solidFill>
              <a:effectLst/>
              <a:latin typeface="+mn-lt"/>
              <a:ea typeface="+mn-ea"/>
              <a:cs typeface="+mn-cs"/>
            </a:rPr>
            <a:t>National data suggests emergency  admission rates for care home residents is  0.57 per person. Brownhill paper reports a reduction of  51% would take this to be 0.29. - which translates to a channel shift of 0.28 admissions per person. Each admissions may be accompanied by an ambulance conveyance and an ED attendance. Paper also reported reduction in GP and community nurse contacts. Have modelled increase in 111 advice contacts.</a:t>
          </a:r>
          <a:endParaRPr lang="en-GB" sz="1400">
            <a:effectLst/>
          </a:endParaRPr>
        </a:p>
      </xdr:txBody>
    </xdr:sp>
    <xdr:clientData/>
  </xdr:twoCellAnchor>
  <xdr:twoCellAnchor>
    <xdr:from>
      <xdr:col>0</xdr:col>
      <xdr:colOff>241300</xdr:colOff>
      <xdr:row>13</xdr:row>
      <xdr:rowOff>152400</xdr:rowOff>
    </xdr:from>
    <xdr:to>
      <xdr:col>0</xdr:col>
      <xdr:colOff>3435518</xdr:colOff>
      <xdr:row>26</xdr:row>
      <xdr:rowOff>127000</xdr:rowOff>
    </xdr:to>
    <xdr:sp macro="" textlink="">
      <xdr:nvSpPr>
        <xdr:cNvPr id="5" name="TextBox 4"/>
        <xdr:cNvSpPr txBox="1"/>
      </xdr:nvSpPr>
      <xdr:spPr>
        <a:xfrm>
          <a:off x="241300" y="3517900"/>
          <a:ext cx="3194218" cy="24511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lang="en-GB" sz="1400"/>
            <a:t>Where concerns about coding of source of admission data, care home admissions can be estimated locally by using postcodes</a:t>
          </a:r>
          <a:r>
            <a:rPr lang="en-GB" sz="1400" baseline="0"/>
            <a:t> of care homes and limiting to admissions for age&gt;=75.   The Quality watch paper suggests that 13.4% of all emergency admissions for people aged &gt;=75 come from postcodes containing care homes which could be the basis of  an alternative methodology to estimate care home admissions.</a:t>
          </a:r>
          <a:endParaRPr lang="en-GB" sz="1400"/>
        </a:p>
      </xdr:txBody>
    </xdr:sp>
    <xdr:clientData/>
  </xdr:twoCellAnchor>
  <xdr:twoCellAnchor>
    <xdr:from>
      <xdr:col>3</xdr:col>
      <xdr:colOff>593725</xdr:colOff>
      <xdr:row>90</xdr:row>
      <xdr:rowOff>107950</xdr:rowOff>
    </xdr:from>
    <xdr:to>
      <xdr:col>8</xdr:col>
      <xdr:colOff>606425</xdr:colOff>
      <xdr:row>96</xdr:row>
      <xdr:rowOff>25400</xdr:rowOff>
    </xdr:to>
    <xdr:sp macro="" textlink="">
      <xdr:nvSpPr>
        <xdr:cNvPr id="6" name="TextBox 5"/>
        <xdr:cNvSpPr txBox="1"/>
      </xdr:nvSpPr>
      <xdr:spPr>
        <a:xfrm>
          <a:off x="4695825" y="20593050"/>
          <a:ext cx="5549900" cy="106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0">
              <a:solidFill>
                <a:sysClr val="windowText" lastClr="000000"/>
              </a:solidFill>
            </a:rPr>
            <a:t>There will</a:t>
          </a:r>
          <a:r>
            <a:rPr lang="en-GB" sz="1400" b="0" baseline="0">
              <a:solidFill>
                <a:sysClr val="windowText" lastClr="000000"/>
              </a:solidFill>
            </a:rPr>
            <a:t> be some supply induced demand, i</a:t>
          </a:r>
          <a:r>
            <a:rPr lang="en-GB" sz="1400" b="0">
              <a:solidFill>
                <a:sysClr val="windowText" lastClr="000000"/>
              </a:solidFill>
            </a:rPr>
            <a:t>n that</a:t>
          </a:r>
          <a:r>
            <a:rPr lang="en-GB" sz="1400" b="0" baseline="0">
              <a:solidFill>
                <a:sysClr val="windowText" lastClr="000000"/>
              </a:solidFill>
            </a:rPr>
            <a:t> there will be proactive care which otherwise would not have happened without an early warning sign - there may be some patients who were having some kind of blip that would have resolved without input.</a:t>
          </a:r>
          <a:endParaRPr lang="en-GB" sz="1400" b="0">
            <a:solidFill>
              <a:sysClr val="windowText" lastClr="000000"/>
            </a:solidFill>
          </a:endParaRPr>
        </a:p>
      </xdr:txBody>
    </xdr:sp>
    <xdr:clientData/>
  </xdr:twoCellAnchor>
  <xdr:twoCellAnchor>
    <xdr:from>
      <xdr:col>0</xdr:col>
      <xdr:colOff>473075</xdr:colOff>
      <xdr:row>81</xdr:row>
      <xdr:rowOff>152400</xdr:rowOff>
    </xdr:from>
    <xdr:to>
      <xdr:col>0</xdr:col>
      <xdr:colOff>3327271</xdr:colOff>
      <xdr:row>85</xdr:row>
      <xdr:rowOff>85725</xdr:rowOff>
    </xdr:to>
    <xdr:sp macro="" textlink="">
      <xdr:nvSpPr>
        <xdr:cNvPr id="7" name="TextBox 6"/>
        <xdr:cNvSpPr txBox="1"/>
      </xdr:nvSpPr>
      <xdr:spPr>
        <a:xfrm>
          <a:off x="473075" y="18923000"/>
          <a:ext cx="2854196" cy="6953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Clinical advice calls costed at OOH call cost. </a:t>
          </a:r>
        </a:p>
      </xdr:txBody>
    </xdr:sp>
    <xdr:clientData/>
  </xdr:twoCellAnchor>
  <xdr:twoCellAnchor>
    <xdr:from>
      <xdr:col>0</xdr:col>
      <xdr:colOff>304800</xdr:colOff>
      <xdr:row>33</xdr:row>
      <xdr:rowOff>174625</xdr:rowOff>
    </xdr:from>
    <xdr:to>
      <xdr:col>0</xdr:col>
      <xdr:colOff>3371850</xdr:colOff>
      <xdr:row>41</xdr:row>
      <xdr:rowOff>180975</xdr:rowOff>
    </xdr:to>
    <xdr:sp macro="" textlink="">
      <xdr:nvSpPr>
        <xdr:cNvPr id="8" name="TextBox 7"/>
        <xdr:cNvSpPr txBox="1"/>
      </xdr:nvSpPr>
      <xdr:spPr>
        <a:xfrm>
          <a:off x="304800" y="7540625"/>
          <a:ext cx="3067050" cy="17208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400" b="0" baseline="0">
              <a:solidFill>
                <a:schemeClr val="dk1"/>
              </a:solidFill>
              <a:effectLst/>
              <a:latin typeface="+mn-lt"/>
              <a:ea typeface="+mn-ea"/>
              <a:cs typeface="+mn-cs"/>
            </a:rPr>
            <a:t>Input staffing figures needed to provide additional service.</a:t>
          </a:r>
          <a:endParaRPr lang="en-GB" sz="1400">
            <a:effectLst/>
          </a:endParaRPr>
        </a:p>
        <a:p>
          <a:pPr eaLnBrk="1" fontAlgn="auto" latinLnBrk="0" hangingPunct="1"/>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endParaRPr lang="en-GB" sz="1400">
            <a:effectLst/>
          </a:endParaRPr>
        </a:p>
      </xdr:txBody>
    </xdr:sp>
    <xdr:clientData/>
  </xdr:twoCellAnchor>
  <xdr:twoCellAnchor>
    <xdr:from>
      <xdr:col>0</xdr:col>
      <xdr:colOff>254000</xdr:colOff>
      <xdr:row>27</xdr:row>
      <xdr:rowOff>50800</xdr:rowOff>
    </xdr:from>
    <xdr:to>
      <xdr:col>0</xdr:col>
      <xdr:colOff>3425825</xdr:colOff>
      <xdr:row>33</xdr:row>
      <xdr:rowOff>12700</xdr:rowOff>
    </xdr:to>
    <xdr:sp macro="" textlink="">
      <xdr:nvSpPr>
        <xdr:cNvPr id="9" name="TextBox 8"/>
        <xdr:cNvSpPr txBox="1"/>
      </xdr:nvSpPr>
      <xdr:spPr>
        <a:xfrm>
          <a:off x="254000" y="6083300"/>
          <a:ext cx="3171825" cy="12954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dk1"/>
              </a:solidFill>
              <a:effectLst/>
              <a:latin typeface="+mn-lt"/>
              <a:ea typeface="+mn-ea"/>
              <a:cs typeface="+mn-cs"/>
            </a:rPr>
            <a:t>Suggest set up costs include half proposed running costs, on the assumption that results scale up from zero to max over a year as training covers more care homes.</a:t>
          </a:r>
          <a:endParaRPr lang="en-GB" sz="1400" b="0"/>
        </a:p>
      </xdr:txBody>
    </xdr:sp>
    <xdr:clientData/>
  </xdr:twoCellAnchor>
  <xdr:twoCellAnchor>
    <xdr:from>
      <xdr:col>0</xdr:col>
      <xdr:colOff>241300</xdr:colOff>
      <xdr:row>49</xdr:row>
      <xdr:rowOff>152400</xdr:rowOff>
    </xdr:from>
    <xdr:to>
      <xdr:col>0</xdr:col>
      <xdr:colOff>3295657</xdr:colOff>
      <xdr:row>54</xdr:row>
      <xdr:rowOff>25400</xdr:rowOff>
    </xdr:to>
    <xdr:sp macro="" textlink="">
      <xdr:nvSpPr>
        <xdr:cNvPr id="10" name="TextBox 9"/>
        <xdr:cNvSpPr txBox="1"/>
      </xdr:nvSpPr>
      <xdr:spPr>
        <a:xfrm>
          <a:off x="241300" y="10947400"/>
          <a:ext cx="3054357" cy="8255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Data</a:t>
          </a:r>
          <a:r>
            <a:rPr lang="en-GB" sz="1400" baseline="0"/>
            <a:t> for one local vanguard is average 41 residents per care home. Local data should be input.</a:t>
          </a:r>
          <a:endParaRPr lang="en-GB" sz="14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88900</xdr:colOff>
      <xdr:row>1</xdr:row>
      <xdr:rowOff>88900</xdr:rowOff>
    </xdr:from>
    <xdr:to>
      <xdr:col>0</xdr:col>
      <xdr:colOff>3378203</xdr:colOff>
      <xdr:row>3</xdr:row>
      <xdr:rowOff>0</xdr:rowOff>
    </xdr:to>
    <xdr:sp macro="" textlink="">
      <xdr:nvSpPr>
        <xdr:cNvPr id="2" name="TextBox 1"/>
        <xdr:cNvSpPr txBox="1"/>
      </xdr:nvSpPr>
      <xdr:spPr>
        <a:xfrm>
          <a:off x="88900" y="635000"/>
          <a:ext cx="3289303" cy="4953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520700</xdr:colOff>
      <xdr:row>36</xdr:row>
      <xdr:rowOff>114300</xdr:rowOff>
    </xdr:from>
    <xdr:to>
      <xdr:col>0</xdr:col>
      <xdr:colOff>3540286</xdr:colOff>
      <xdr:row>43</xdr:row>
      <xdr:rowOff>50800</xdr:rowOff>
    </xdr:to>
    <xdr:sp macro="" textlink="">
      <xdr:nvSpPr>
        <xdr:cNvPr id="3" name="TextBox 2"/>
        <xdr:cNvSpPr txBox="1"/>
      </xdr:nvSpPr>
      <xdr:spPr>
        <a:xfrm>
          <a:off x="520700" y="7620000"/>
          <a:ext cx="3019586" cy="16129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400" b="0" baseline="0">
              <a:solidFill>
                <a:schemeClr val="dk1"/>
              </a:solidFill>
              <a:effectLst/>
              <a:latin typeface="+mn-lt"/>
              <a:ea typeface="+mn-ea"/>
              <a:cs typeface="+mn-cs"/>
            </a:rPr>
            <a:t>Input staffing figures needed to provide additional service.</a:t>
          </a:r>
          <a:endParaRPr lang="en-GB" sz="1400">
            <a:effectLst/>
          </a:endParaRPr>
        </a:p>
        <a:p>
          <a:pPr eaLnBrk="1" fontAlgn="auto" latinLnBrk="0" hangingPunct="1"/>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endParaRPr lang="en-GB" sz="1400">
            <a:effectLst/>
          </a:endParaRPr>
        </a:p>
      </xdr:txBody>
    </xdr:sp>
    <xdr:clientData/>
  </xdr:twoCellAnchor>
  <xdr:twoCellAnchor>
    <xdr:from>
      <xdr:col>0</xdr:col>
      <xdr:colOff>254000</xdr:colOff>
      <xdr:row>44</xdr:row>
      <xdr:rowOff>187324</xdr:rowOff>
    </xdr:from>
    <xdr:to>
      <xdr:col>0</xdr:col>
      <xdr:colOff>3619502</xdr:colOff>
      <xdr:row>50</xdr:row>
      <xdr:rowOff>177799</xdr:rowOff>
    </xdr:to>
    <xdr:sp macro="" textlink="">
      <xdr:nvSpPr>
        <xdr:cNvPr id="4" name="TextBox 3"/>
        <xdr:cNvSpPr txBox="1"/>
      </xdr:nvSpPr>
      <xdr:spPr>
        <a:xfrm>
          <a:off x="254000" y="9559924"/>
          <a:ext cx="3365502" cy="15144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Users can  input a number or a formula</a:t>
          </a:r>
          <a:r>
            <a:rPr lang="en-GB" sz="1400" baseline="0">
              <a:solidFill>
                <a:schemeClr val="dk1"/>
              </a:solidFill>
              <a:effectLst/>
              <a:latin typeface="+mn-lt"/>
              <a:ea typeface="+mn-ea"/>
              <a:cs typeface="+mn-cs"/>
            </a:rPr>
            <a:t> in the Unit column </a:t>
          </a:r>
          <a:r>
            <a:rPr lang="en-GB" sz="1400">
              <a:solidFill>
                <a:schemeClr val="dk1"/>
              </a:solidFill>
              <a:effectLst/>
              <a:latin typeface="+mn-lt"/>
              <a:ea typeface="+mn-ea"/>
              <a:cs typeface="+mn-cs"/>
            </a:rPr>
            <a:t>as appropriate. If an additional cost is </a:t>
          </a:r>
          <a:r>
            <a:rPr lang="en-GB" sz="1400" b="1">
              <a:solidFill>
                <a:schemeClr val="dk1"/>
              </a:solidFill>
              <a:effectLst/>
              <a:latin typeface="+mn-lt"/>
              <a:ea typeface="+mn-ea"/>
              <a:cs typeface="+mn-cs"/>
            </a:rPr>
            <a:t>per home</a:t>
          </a:r>
          <a:r>
            <a:rPr lang="en-GB" sz="1400" b="1" baseline="0">
              <a:solidFill>
                <a:schemeClr val="dk1"/>
              </a:solidFill>
              <a:effectLst/>
              <a:latin typeface="+mn-lt"/>
              <a:ea typeface="+mn-ea"/>
              <a:cs typeface="+mn-cs"/>
            </a:rPr>
            <a:t> covered</a:t>
          </a:r>
          <a:r>
            <a:rPr lang="en-GB" sz="1400">
              <a:solidFill>
                <a:schemeClr val="dk1"/>
              </a:solidFill>
              <a:effectLst/>
              <a:latin typeface="+mn-lt"/>
              <a:ea typeface="+mn-ea"/>
              <a:cs typeface="+mn-cs"/>
            </a:rPr>
            <a:t> the Unit can</a:t>
          </a:r>
          <a:r>
            <a:rPr lang="en-GB" sz="1400" baseline="0">
              <a:solidFill>
                <a:schemeClr val="dk1"/>
              </a:solidFill>
              <a:effectLst/>
              <a:latin typeface="+mn-lt"/>
              <a:ea typeface="+mn-ea"/>
              <a:cs typeface="+mn-cs"/>
            </a:rPr>
            <a:t> be</a:t>
          </a:r>
          <a:r>
            <a:rPr lang="en-GB" sz="1400">
              <a:solidFill>
                <a:schemeClr val="dk1"/>
              </a:solidFill>
              <a:effectLst/>
              <a:latin typeface="+mn-lt"/>
              <a:ea typeface="+mn-ea"/>
              <a:cs typeface="+mn-cs"/>
            </a:rPr>
            <a:t> linked to homes (cell E33). If an additional cost is </a:t>
          </a:r>
          <a:r>
            <a:rPr lang="en-GB" sz="1400" b="1">
              <a:solidFill>
                <a:schemeClr val="dk1"/>
              </a:solidFill>
              <a:effectLst/>
              <a:latin typeface="+mn-lt"/>
              <a:ea typeface="+mn-ea"/>
              <a:cs typeface="+mn-cs"/>
            </a:rPr>
            <a:t>per WTE</a:t>
          </a:r>
          <a:r>
            <a:rPr lang="en-GB" sz="1400">
              <a:solidFill>
                <a:schemeClr val="dk1"/>
              </a:solidFill>
              <a:effectLst/>
              <a:latin typeface="+mn-lt"/>
              <a:ea typeface="+mn-ea"/>
              <a:cs typeface="+mn-cs"/>
            </a:rPr>
            <a:t> the Unit can be linked to the sum of WTEs (cell E41). </a:t>
          </a:r>
          <a:r>
            <a:rPr lang="en-GB" sz="1400" baseline="0">
              <a:solidFill>
                <a:schemeClr val="dk1"/>
              </a:solidFill>
              <a:effectLst/>
              <a:latin typeface="+mn-lt"/>
              <a:ea typeface="+mn-ea"/>
              <a:cs typeface="+mn-cs"/>
            </a:rPr>
            <a:t> </a:t>
          </a:r>
          <a:endParaRPr lang="en-GB" sz="1400">
            <a:effectLst/>
          </a:endParaRPr>
        </a:p>
      </xdr:txBody>
    </xdr:sp>
    <xdr:clientData/>
  </xdr:twoCellAnchor>
  <xdr:twoCellAnchor>
    <xdr:from>
      <xdr:col>0</xdr:col>
      <xdr:colOff>285751</xdr:colOff>
      <xdr:row>58</xdr:row>
      <xdr:rowOff>0</xdr:rowOff>
    </xdr:from>
    <xdr:to>
      <xdr:col>0</xdr:col>
      <xdr:colOff>3441701</xdr:colOff>
      <xdr:row>72</xdr:row>
      <xdr:rowOff>50800</xdr:rowOff>
    </xdr:to>
    <xdr:sp macro="" textlink="">
      <xdr:nvSpPr>
        <xdr:cNvPr id="5" name="TextBox 4"/>
        <xdr:cNvSpPr txBox="1"/>
      </xdr:nvSpPr>
      <xdr:spPr>
        <a:xfrm>
          <a:off x="285751" y="12395200"/>
          <a:ext cx="3155950" cy="34544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pPr>
          <a:r>
            <a:rPr lang="en-GB" sz="1400"/>
            <a:t>These are the channel shifts</a:t>
          </a:r>
          <a:r>
            <a:rPr lang="en-GB" sz="1400" baseline="0"/>
            <a:t> expected.  Some evidence is available, but impact on all channels is generally not robustly quantified.</a:t>
          </a:r>
        </a:p>
        <a:p>
          <a:pPr>
            <a:lnSpc>
              <a:spcPct val="100000"/>
            </a:lnSpc>
          </a:pPr>
          <a:endParaRPr lang="en-GB" sz="1400" baseline="0"/>
        </a:p>
        <a:p>
          <a:pPr>
            <a:lnSpc>
              <a:spcPct val="100000"/>
            </a:lnSpc>
          </a:pPr>
          <a:r>
            <a:rPr lang="en-GB" sz="1400" baseline="0"/>
            <a:t>Sussex pilot found that there were 8.3 alerts per patient per year that could result in phone advice or a visit.</a:t>
          </a:r>
          <a:br>
            <a:rPr lang="en-GB" sz="1400" baseline="0"/>
          </a:br>
          <a:r>
            <a:rPr lang="en-GB" sz="1400" baseline="0"/>
            <a:t>They also found a reduction in 1.7 admissions per patient per year. However this scheme targets patients highly likely to be admitted. If targeting a more general care home population the reduction in admissions will be lower.</a:t>
          </a:r>
          <a:endParaRPr lang="en-GB" sz="1400"/>
        </a:p>
      </xdr:txBody>
    </xdr:sp>
    <xdr:clientData/>
  </xdr:twoCellAnchor>
  <xdr:twoCellAnchor>
    <xdr:from>
      <xdr:col>0</xdr:col>
      <xdr:colOff>231775</xdr:colOff>
      <xdr:row>14</xdr:row>
      <xdr:rowOff>50800</xdr:rowOff>
    </xdr:from>
    <xdr:to>
      <xdr:col>0</xdr:col>
      <xdr:colOff>3616328</xdr:colOff>
      <xdr:row>20</xdr:row>
      <xdr:rowOff>63500</xdr:rowOff>
    </xdr:to>
    <xdr:sp macro="" textlink="">
      <xdr:nvSpPr>
        <xdr:cNvPr id="6" name="TextBox 5"/>
        <xdr:cNvSpPr txBox="1"/>
      </xdr:nvSpPr>
      <xdr:spPr>
        <a:xfrm>
          <a:off x="231775" y="3556000"/>
          <a:ext cx="3384553" cy="9652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Analysis of NE data suggests around 5.5% of all emergency</a:t>
          </a:r>
          <a:r>
            <a:rPr lang="en-GB" sz="1400" baseline="0"/>
            <a:t> </a:t>
          </a:r>
          <a:r>
            <a:rPr lang="en-GB" sz="1400"/>
            <a:t>admissions are from care homes.</a:t>
          </a:r>
        </a:p>
      </xdr:txBody>
    </xdr:sp>
    <xdr:clientData/>
  </xdr:twoCellAnchor>
  <xdr:twoCellAnchor>
    <xdr:from>
      <xdr:col>3</xdr:col>
      <xdr:colOff>44451</xdr:colOff>
      <xdr:row>97</xdr:row>
      <xdr:rowOff>82550</xdr:rowOff>
    </xdr:from>
    <xdr:to>
      <xdr:col>8</xdr:col>
      <xdr:colOff>1879600</xdr:colOff>
      <xdr:row>104</xdr:row>
      <xdr:rowOff>38100</xdr:rowOff>
    </xdr:to>
    <xdr:sp macro="" textlink="">
      <xdr:nvSpPr>
        <xdr:cNvPr id="7" name="TextBox 6"/>
        <xdr:cNvSpPr txBox="1"/>
      </xdr:nvSpPr>
      <xdr:spPr>
        <a:xfrm>
          <a:off x="4146551" y="21316950"/>
          <a:ext cx="7372349"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0">
              <a:solidFill>
                <a:sysClr val="windowText" lastClr="000000"/>
              </a:solidFill>
            </a:rPr>
            <a:t>There will</a:t>
          </a:r>
          <a:r>
            <a:rPr lang="en-GB" sz="1400" b="0" baseline="0">
              <a:solidFill>
                <a:sysClr val="windowText" lastClr="000000"/>
              </a:solidFill>
            </a:rPr>
            <a:t> be some supply induced demand, i</a:t>
          </a:r>
          <a:r>
            <a:rPr lang="en-GB" sz="1400" b="0">
              <a:solidFill>
                <a:sysClr val="windowText" lastClr="000000"/>
              </a:solidFill>
            </a:rPr>
            <a:t>n that</a:t>
          </a:r>
          <a:r>
            <a:rPr lang="en-GB" sz="1400" b="0" baseline="0">
              <a:solidFill>
                <a:sysClr val="windowText" lastClr="000000"/>
              </a:solidFill>
            </a:rPr>
            <a:t> there will be proactive care which otherwise would not have happened without an early warning sign - there may be patients who were having some kind of blip that would have resolved without input.</a:t>
          </a:r>
          <a:endParaRPr lang="en-GB" sz="1400" b="0">
            <a:solidFill>
              <a:sysClr val="windowText" lastClr="000000"/>
            </a:solidFill>
          </a:endParaRPr>
        </a:p>
      </xdr:txBody>
    </xdr:sp>
    <xdr:clientData/>
  </xdr:twoCellAnchor>
  <xdr:twoCellAnchor>
    <xdr:from>
      <xdr:col>0</xdr:col>
      <xdr:colOff>168275</xdr:colOff>
      <xdr:row>85</xdr:row>
      <xdr:rowOff>127000</xdr:rowOff>
    </xdr:from>
    <xdr:to>
      <xdr:col>0</xdr:col>
      <xdr:colOff>3019302</xdr:colOff>
      <xdr:row>88</xdr:row>
      <xdr:rowOff>152400</xdr:rowOff>
    </xdr:to>
    <xdr:sp macro="" textlink="">
      <xdr:nvSpPr>
        <xdr:cNvPr id="8" name="TextBox 7"/>
        <xdr:cNvSpPr txBox="1"/>
      </xdr:nvSpPr>
      <xdr:spPr>
        <a:xfrm>
          <a:off x="168275" y="19151600"/>
          <a:ext cx="2851027" cy="5969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Clinical advice calls costed at OOH call cost.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787400</xdr:colOff>
      <xdr:row>22</xdr:row>
      <xdr:rowOff>241300</xdr:rowOff>
    </xdr:from>
    <xdr:to>
      <xdr:col>0</xdr:col>
      <xdr:colOff>3809854</xdr:colOff>
      <xdr:row>29</xdr:row>
      <xdr:rowOff>88900</xdr:rowOff>
    </xdr:to>
    <xdr:sp macro="" textlink="">
      <xdr:nvSpPr>
        <xdr:cNvPr id="2" name="TextBox 1"/>
        <xdr:cNvSpPr txBox="1"/>
      </xdr:nvSpPr>
      <xdr:spPr>
        <a:xfrm>
          <a:off x="787400" y="5245100"/>
          <a:ext cx="3022454" cy="1752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dk1"/>
              </a:solidFill>
              <a:effectLst/>
              <a:latin typeface="+mn-lt"/>
              <a:ea typeface="+mn-ea"/>
              <a:cs typeface="+mn-cs"/>
            </a:rPr>
            <a:t>Input staffing figures needed to provide additional service.</a:t>
          </a:r>
        </a:p>
        <a:p>
          <a:pPr eaLnBrk="1" fontAlgn="auto" latinLnBrk="0" hangingPunct="1"/>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endParaRPr lang="en-GB" sz="1400">
            <a:effectLst/>
          </a:endParaRPr>
        </a:p>
      </xdr:txBody>
    </xdr:sp>
    <xdr:clientData/>
  </xdr:twoCellAnchor>
  <xdr:twoCellAnchor>
    <xdr:from>
      <xdr:col>0</xdr:col>
      <xdr:colOff>368300</xdr:colOff>
      <xdr:row>31</xdr:row>
      <xdr:rowOff>50800</xdr:rowOff>
    </xdr:from>
    <xdr:to>
      <xdr:col>0</xdr:col>
      <xdr:colOff>3679832</xdr:colOff>
      <xdr:row>33</xdr:row>
      <xdr:rowOff>25400</xdr:rowOff>
    </xdr:to>
    <xdr:sp macro="" textlink="">
      <xdr:nvSpPr>
        <xdr:cNvPr id="3" name="TextBox 2"/>
        <xdr:cNvSpPr txBox="1"/>
      </xdr:nvSpPr>
      <xdr:spPr>
        <a:xfrm>
          <a:off x="368300" y="7340600"/>
          <a:ext cx="3311532" cy="736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Users can  input a number or a formula</a:t>
          </a:r>
          <a:r>
            <a:rPr lang="en-GB" sz="1400" baseline="0">
              <a:solidFill>
                <a:schemeClr val="dk1"/>
              </a:solidFill>
              <a:effectLst/>
              <a:latin typeface="+mn-lt"/>
              <a:ea typeface="+mn-ea"/>
              <a:cs typeface="+mn-cs"/>
            </a:rPr>
            <a:t> in the Unit column </a:t>
          </a:r>
          <a:r>
            <a:rPr lang="en-GB" sz="1400">
              <a:solidFill>
                <a:schemeClr val="dk1"/>
              </a:solidFill>
              <a:effectLst/>
              <a:latin typeface="+mn-lt"/>
              <a:ea typeface="+mn-ea"/>
              <a:cs typeface="+mn-cs"/>
            </a:rPr>
            <a:t>as appropriate.</a:t>
          </a:r>
          <a:endParaRPr lang="en-GB" sz="1400">
            <a:effectLst/>
          </a:endParaRP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28</xdr:col>
      <xdr:colOff>60960</xdr:colOff>
      <xdr:row>4</xdr:row>
      <xdr:rowOff>15240</xdr:rowOff>
    </xdr:from>
    <xdr:ext cx="4838700" cy="5096087"/>
    <xdr:pic>
      <xdr:nvPicPr>
        <xdr:cNvPr id="2" name="Picture 2"/>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39360" y="381000"/>
          <a:ext cx="4838700" cy="5096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18</xdr:row>
      <xdr:rowOff>120651</xdr:rowOff>
    </xdr:from>
    <xdr:to>
      <xdr:col>5</xdr:col>
      <xdr:colOff>581025</xdr:colOff>
      <xdr:row>27</xdr:row>
      <xdr:rowOff>142876</xdr:rowOff>
    </xdr:to>
    <xdr:sp macro="" textlink="">
      <xdr:nvSpPr>
        <xdr:cNvPr id="2" name="TextBox 1"/>
        <xdr:cNvSpPr txBox="1"/>
      </xdr:nvSpPr>
      <xdr:spPr>
        <a:xfrm>
          <a:off x="0" y="3425826"/>
          <a:ext cx="6057900" cy="1651000"/>
        </a:xfrm>
        <a:prstGeom prst="rect">
          <a:avLst/>
        </a:prstGeom>
        <a:solidFill>
          <a:schemeClr val="accent1">
            <a:lumMod val="40000"/>
            <a:lumOff val="60000"/>
            <a:alpha val="34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Implementation should be straightforward. There is some effort around getting smartcards (if people don’t already have them)</a:t>
          </a:r>
          <a:r>
            <a:rPr lang="en-GB" sz="1100" baseline="0"/>
            <a:t>. </a:t>
          </a:r>
        </a:p>
        <a:p>
          <a:endParaRPr lang="en-GB" sz="1100" baseline="0"/>
        </a:p>
        <a:p>
          <a:r>
            <a:rPr lang="en-GB" sz="1100"/>
            <a:t>Training is approximately 20 mins for each user, including using the systems and IG awareness. The figures above are very</a:t>
          </a:r>
          <a:r>
            <a:rPr lang="en-GB" sz="1100" baseline="0"/>
            <a:t> much estimates as staff numbers needed to be trained are not available. </a:t>
          </a:r>
        </a:p>
        <a:p>
          <a:endParaRPr lang="en-GB" sz="1100"/>
        </a:p>
        <a:p>
          <a:r>
            <a:rPr lang="en-GB" sz="1100"/>
            <a:t>A privacy officer role is required to check that the system is being used correctly and that emergency accesses are appropriate. This is estimated this to be around 3 hours a month (26</a:t>
          </a:r>
          <a:r>
            <a:rPr lang="en-GB" sz="1100" baseline="0"/>
            <a:t> hours per year) </a:t>
          </a:r>
          <a:r>
            <a:rPr lang="en-GB" sz="1100"/>
            <a:t>of a band 6. Where SCR is integrated into another system this takes approximately 30 mins</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171450</xdr:colOff>
      <xdr:row>7</xdr:row>
      <xdr:rowOff>447675</xdr:rowOff>
    </xdr:from>
    <xdr:to>
      <xdr:col>4</xdr:col>
      <xdr:colOff>261938</xdr:colOff>
      <xdr:row>7</xdr:row>
      <xdr:rowOff>2266950</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8875" y="6838950"/>
          <a:ext cx="535305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927100</xdr:colOff>
      <xdr:row>73</xdr:row>
      <xdr:rowOff>190500</xdr:rowOff>
    </xdr:from>
    <xdr:to>
      <xdr:col>26</xdr:col>
      <xdr:colOff>228600</xdr:colOff>
      <xdr:row>83</xdr:row>
      <xdr:rowOff>76200</xdr:rowOff>
    </xdr:to>
    <xdr:sp macro="" textlink="">
      <xdr:nvSpPr>
        <xdr:cNvPr id="3" name="TextBox 2"/>
        <xdr:cNvSpPr txBox="1"/>
      </xdr:nvSpPr>
      <xdr:spPr>
        <a:xfrm>
          <a:off x="24307800" y="17068800"/>
          <a:ext cx="3670300" cy="2171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Not applicable: - displacing activity is costed using the recurring costs from the individual intervention models</a:t>
          </a:r>
          <a:r>
            <a:rPr lang="en-GB" sz="1100" baseline="0"/>
            <a:t> and captured in the table below.</a:t>
          </a:r>
          <a:endParaRPr lang="en-GB"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150820</xdr:colOff>
      <xdr:row>6</xdr:row>
      <xdr:rowOff>56445</xdr:rowOff>
    </xdr:from>
    <xdr:to>
      <xdr:col>1</xdr:col>
      <xdr:colOff>3172177</xdr:colOff>
      <xdr:row>6</xdr:row>
      <xdr:rowOff>677333</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0987" y="7634112"/>
          <a:ext cx="3021357" cy="62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357621</xdr:colOff>
      <xdr:row>28</xdr:row>
      <xdr:rowOff>900546</xdr:rowOff>
    </xdr:from>
    <xdr:to>
      <xdr:col>12</xdr:col>
      <xdr:colOff>1062471</xdr:colOff>
      <xdr:row>42</xdr:row>
      <xdr:rowOff>159327</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7439" y="10027228"/>
          <a:ext cx="2817668" cy="2878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19050</xdr:colOff>
      <xdr:row>7</xdr:row>
      <xdr:rowOff>50800</xdr:rowOff>
    </xdr:from>
    <xdr:to>
      <xdr:col>1</xdr:col>
      <xdr:colOff>64769</xdr:colOff>
      <xdr:row>7</xdr:row>
      <xdr:rowOff>96519</xdr:rowOff>
    </xdr:to>
    <xdr:sp macro="" textlink="">
      <xdr:nvSpPr>
        <xdr:cNvPr id="2" name="TextBox 1"/>
        <xdr:cNvSpPr txBox="1"/>
      </xdr:nvSpPr>
      <xdr:spPr>
        <a:xfrm>
          <a:off x="1333500" y="1289050"/>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0</xdr:col>
      <xdr:colOff>184150</xdr:colOff>
      <xdr:row>3</xdr:row>
      <xdr:rowOff>555625</xdr:rowOff>
    </xdr:from>
    <xdr:ext cx="3606800" cy="1498600"/>
    <xdr:pic>
      <xdr:nvPicPr>
        <xdr:cNvPr id="2"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150" y="3736975"/>
          <a:ext cx="3606800" cy="149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179070</xdr:colOff>
      <xdr:row>24</xdr:row>
      <xdr:rowOff>161925</xdr:rowOff>
    </xdr:from>
    <xdr:to>
      <xdr:col>0</xdr:col>
      <xdr:colOff>3152255</xdr:colOff>
      <xdr:row>32</xdr:row>
      <xdr:rowOff>12700</xdr:rowOff>
    </xdr:to>
    <xdr:sp macro="" textlink="">
      <xdr:nvSpPr>
        <xdr:cNvPr id="3" name="TextBox 2"/>
        <xdr:cNvSpPr txBox="1"/>
      </xdr:nvSpPr>
      <xdr:spPr>
        <a:xfrm>
          <a:off x="179070" y="5318125"/>
          <a:ext cx="2973185" cy="19335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dk1"/>
              </a:solidFill>
              <a:effectLst/>
              <a:latin typeface="+mn-lt"/>
              <a:ea typeface="+mn-ea"/>
              <a:cs typeface="+mn-cs"/>
            </a:rPr>
            <a:t>Input staffing figures needed to provide additional service.</a:t>
          </a:r>
        </a:p>
        <a:p>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endParaRPr lang="en-GB" sz="1400" b="0"/>
        </a:p>
      </xdr:txBody>
    </xdr:sp>
    <xdr:clientData/>
  </xdr:twoCellAnchor>
  <xdr:twoCellAnchor>
    <xdr:from>
      <xdr:col>0</xdr:col>
      <xdr:colOff>280670</xdr:colOff>
      <xdr:row>55</xdr:row>
      <xdr:rowOff>0</xdr:rowOff>
    </xdr:from>
    <xdr:to>
      <xdr:col>0</xdr:col>
      <xdr:colOff>3746332</xdr:colOff>
      <xdr:row>77</xdr:row>
      <xdr:rowOff>165100</xdr:rowOff>
    </xdr:to>
    <xdr:sp macro="" textlink="">
      <xdr:nvSpPr>
        <xdr:cNvPr id="4" name="TextBox 3"/>
        <xdr:cNvSpPr txBox="1"/>
      </xdr:nvSpPr>
      <xdr:spPr>
        <a:xfrm>
          <a:off x="280670" y="11811000"/>
          <a:ext cx="3465662" cy="59690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000"/>
            </a:lnSpc>
          </a:pPr>
          <a:r>
            <a:rPr lang="en-GB" sz="1400"/>
            <a:t>This is where the patient would have gone if not for the intervention.  Some evidence is available (see evidence tab)</a:t>
          </a:r>
          <a:r>
            <a:rPr lang="en-GB" sz="1400" baseline="0"/>
            <a:t> that  for 25% of calls triaged an ambulance journey is avoided, but this will need to be locally determined. These avoided journeys will be partly see and convey (where the patients would otherwise have been conveyed to the ED) or see and treat, where the patient would have been treated by the paramedic but not conveyed to ED).  These callers may well be advised to attend elsewhere. We have included some possible channels of referral e.g</a:t>
          </a:r>
          <a:r>
            <a:rPr lang="en-GB" sz="1400" baseline="0">
              <a:solidFill>
                <a:srgbClr val="FF0000"/>
              </a:solidFill>
            </a:rPr>
            <a:t>. if for 10% of calls an ambulance journey is avoided but this results in the patient attending GP then this can be modelled by putting a -0.10 in the green box next to advise attend GP.</a:t>
          </a:r>
        </a:p>
        <a:p>
          <a:pPr>
            <a:lnSpc>
              <a:spcPts val="1900"/>
            </a:lnSpc>
          </a:pPr>
          <a:r>
            <a:rPr lang="en-GB" sz="1400" baseline="0"/>
            <a:t>We have chosen not to put a line for savings in admissions as patients whose care can be resolved on the phone by 'hear and treat' are likely to be more minor cases that would not have required admission.</a:t>
          </a:r>
          <a:endParaRPr lang="en-GB" sz="1400"/>
        </a:p>
      </xdr:txBody>
    </xdr:sp>
    <xdr:clientData/>
  </xdr:twoCellAnchor>
  <xdr:twoCellAnchor>
    <xdr:from>
      <xdr:col>0</xdr:col>
      <xdr:colOff>0</xdr:colOff>
      <xdr:row>11</xdr:row>
      <xdr:rowOff>76200</xdr:rowOff>
    </xdr:from>
    <xdr:to>
      <xdr:col>0</xdr:col>
      <xdr:colOff>3445933</xdr:colOff>
      <xdr:row>21</xdr:row>
      <xdr:rowOff>59266</xdr:rowOff>
    </xdr:to>
    <xdr:sp macro="" textlink="">
      <xdr:nvSpPr>
        <xdr:cNvPr id="7" name="TextBox 6"/>
        <xdr:cNvSpPr txBox="1"/>
      </xdr:nvSpPr>
      <xdr:spPr>
        <a:xfrm>
          <a:off x="0" y="3725333"/>
          <a:ext cx="3445933" cy="17018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Minimum targets to be achieved by 2020  that have been agreed with The Association of Ambulance Chief Executives</a:t>
          </a:r>
          <a:r>
            <a:rPr lang="en-GB" sz="1400" baseline="0"/>
            <a:t> are:</a:t>
          </a:r>
          <a:endParaRPr lang="en-GB" sz="1400"/>
        </a:p>
        <a:p>
          <a:r>
            <a:rPr lang="en-GB" sz="1400"/>
            <a:t> </a:t>
          </a:r>
        </a:p>
        <a:p>
          <a:r>
            <a:rPr lang="en-GB" sz="1400"/>
            <a:t>11% ‘hear and treat’; </a:t>
          </a:r>
        </a:p>
        <a:p>
          <a:r>
            <a:rPr lang="en-GB" sz="1400"/>
            <a:t>40% ‘see and treat’; </a:t>
          </a:r>
        </a:p>
        <a:p>
          <a:r>
            <a:rPr lang="en-GB" sz="1400"/>
            <a:t>40.8% conveyance to Type 1 and 2 ED;</a:t>
          </a:r>
        </a:p>
        <a:p>
          <a:r>
            <a:rPr lang="en-GB" sz="1400"/>
            <a:t>6.2% conveyance to other settings</a:t>
          </a:r>
        </a:p>
      </xdr:txBody>
    </xdr:sp>
    <xdr:clientData/>
  </xdr:twoCellAnchor>
  <xdr:twoCellAnchor>
    <xdr:from>
      <xdr:col>0</xdr:col>
      <xdr:colOff>889000</xdr:colOff>
      <xdr:row>1</xdr:row>
      <xdr:rowOff>12700</xdr:rowOff>
    </xdr:from>
    <xdr:to>
      <xdr:col>0</xdr:col>
      <xdr:colOff>2966258</xdr:colOff>
      <xdr:row>2</xdr:row>
      <xdr:rowOff>139700</xdr:rowOff>
    </xdr:to>
    <xdr:sp macro="" textlink="">
      <xdr:nvSpPr>
        <xdr:cNvPr id="5" name="TextBox 4"/>
        <xdr:cNvSpPr txBox="1"/>
      </xdr:nvSpPr>
      <xdr:spPr>
        <a:xfrm>
          <a:off x="889000" y="558800"/>
          <a:ext cx="2077258" cy="5334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445770</xdr:colOff>
      <xdr:row>1</xdr:row>
      <xdr:rowOff>0</xdr:rowOff>
    </xdr:from>
    <xdr:to>
      <xdr:col>0</xdr:col>
      <xdr:colOff>2523028</xdr:colOff>
      <xdr:row>2</xdr:row>
      <xdr:rowOff>139700</xdr:rowOff>
    </xdr:to>
    <xdr:sp macro="" textlink="">
      <xdr:nvSpPr>
        <xdr:cNvPr id="2" name="TextBox 1"/>
        <xdr:cNvSpPr txBox="1"/>
      </xdr:nvSpPr>
      <xdr:spPr>
        <a:xfrm>
          <a:off x="445770" y="546100"/>
          <a:ext cx="2077258" cy="5334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445770</xdr:colOff>
      <xdr:row>20</xdr:row>
      <xdr:rowOff>0</xdr:rowOff>
    </xdr:from>
    <xdr:to>
      <xdr:col>0</xdr:col>
      <xdr:colOff>3426598</xdr:colOff>
      <xdr:row>20</xdr:row>
      <xdr:rowOff>0</xdr:rowOff>
    </xdr:to>
    <xdr:sp macro="" textlink="">
      <xdr:nvSpPr>
        <xdr:cNvPr id="3" name="TextBox 2"/>
        <xdr:cNvSpPr txBox="1"/>
      </xdr:nvSpPr>
      <xdr:spPr>
        <a:xfrm>
          <a:off x="445770" y="3840480"/>
          <a:ext cx="161428" cy="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800" b="0" baseline="0">
              <a:solidFill>
                <a:schemeClr val="dk1"/>
              </a:solidFill>
              <a:effectLst/>
              <a:latin typeface="+mn-lt"/>
              <a:ea typeface="+mn-ea"/>
              <a:cs typeface="+mn-cs"/>
            </a:rPr>
            <a:t>Input staffing figures needed to provide additional service.</a:t>
          </a:r>
        </a:p>
        <a:p>
          <a:r>
            <a:rPr lang="en-GB" sz="1800" b="0" baseline="0">
              <a:solidFill>
                <a:schemeClr val="dk1"/>
              </a:solidFill>
              <a:effectLst/>
              <a:latin typeface="+mn-lt"/>
              <a:ea typeface="+mn-ea"/>
              <a:cs typeface="+mn-cs"/>
            </a:rPr>
            <a:t>staff cost is based on Agenda for change mid range value for band plus adjustment for pension and on cost. Users can select to add on further uplift for high cost areas (cell C18 Resource and cost assumptions tab)</a:t>
          </a:r>
          <a:endParaRPr lang="en-GB" sz="1800" b="0"/>
        </a:p>
      </xdr:txBody>
    </xdr:sp>
    <xdr:clientData/>
  </xdr:twoCellAnchor>
  <xdr:twoCellAnchor>
    <xdr:from>
      <xdr:col>0</xdr:col>
      <xdr:colOff>242570</xdr:colOff>
      <xdr:row>25</xdr:row>
      <xdr:rowOff>88900</xdr:rowOff>
    </xdr:from>
    <xdr:to>
      <xdr:col>0</xdr:col>
      <xdr:colOff>3340100</xdr:colOff>
      <xdr:row>31</xdr:row>
      <xdr:rowOff>114300</xdr:rowOff>
    </xdr:to>
    <xdr:sp macro="" textlink="">
      <xdr:nvSpPr>
        <xdr:cNvPr id="4" name="TextBox 3"/>
        <xdr:cNvSpPr txBox="1"/>
      </xdr:nvSpPr>
      <xdr:spPr>
        <a:xfrm>
          <a:off x="242570" y="5461000"/>
          <a:ext cx="3097530" cy="16891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dk1"/>
              </a:solidFill>
              <a:effectLst/>
              <a:latin typeface="+mn-lt"/>
              <a:ea typeface="+mn-ea"/>
              <a:cs typeface="+mn-cs"/>
            </a:rPr>
            <a:t>Input staffing figures needed to provide additional service.</a:t>
          </a:r>
        </a:p>
        <a:p>
          <a:pPr eaLnBrk="1" fontAlgn="auto" latinLnBrk="0" hangingPunct="1"/>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endParaRPr lang="en-GB" sz="1400">
            <a:effectLst/>
          </a:endParaRPr>
        </a:p>
      </xdr:txBody>
    </xdr:sp>
    <xdr:clientData/>
  </xdr:twoCellAnchor>
  <xdr:twoCellAnchor>
    <xdr:from>
      <xdr:col>0</xdr:col>
      <xdr:colOff>153670</xdr:colOff>
      <xdr:row>33</xdr:row>
      <xdr:rowOff>22224</xdr:rowOff>
    </xdr:from>
    <xdr:to>
      <xdr:col>0</xdr:col>
      <xdr:colOff>3524309</xdr:colOff>
      <xdr:row>41</xdr:row>
      <xdr:rowOff>12700</xdr:rowOff>
    </xdr:to>
    <xdr:sp macro="" textlink="">
      <xdr:nvSpPr>
        <xdr:cNvPr id="5" name="TextBox 4"/>
        <xdr:cNvSpPr txBox="1"/>
      </xdr:nvSpPr>
      <xdr:spPr>
        <a:xfrm>
          <a:off x="153670" y="7439024"/>
          <a:ext cx="3370639" cy="170497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Users can  input a number or a formula</a:t>
          </a:r>
          <a:r>
            <a:rPr lang="en-GB" sz="1400" baseline="0"/>
            <a:t> in the Unit column </a:t>
          </a:r>
          <a:r>
            <a:rPr lang="en-GB" sz="1400"/>
            <a:t>as appropriate. If an additional cost is </a:t>
          </a:r>
          <a:r>
            <a:rPr lang="en-GB" sz="1400" b="1"/>
            <a:t>per patient</a:t>
          </a:r>
          <a:r>
            <a:rPr lang="en-GB" sz="1400" b="1" baseline="0"/>
            <a:t> seen</a:t>
          </a:r>
          <a:r>
            <a:rPr lang="en-GB" sz="1400"/>
            <a:t> the Unit can</a:t>
          </a:r>
          <a:r>
            <a:rPr lang="en-GB" sz="1400" baseline="0"/>
            <a:t> be</a:t>
          </a:r>
          <a:r>
            <a:rPr lang="en-GB" sz="1400"/>
            <a:t> linked to Patients</a:t>
          </a:r>
          <a:r>
            <a:rPr lang="en-GB" sz="1400" baseline="0"/>
            <a:t> seen</a:t>
          </a:r>
          <a:r>
            <a:rPr lang="en-GB" sz="1400"/>
            <a:t> (cell L46). If an additional cost is </a:t>
          </a:r>
          <a:r>
            <a:rPr lang="en-GB" sz="1400" b="1"/>
            <a:t>per WTE</a:t>
          </a:r>
          <a:r>
            <a:rPr lang="en-GB" sz="1400"/>
            <a:t> the Unit can be linked to the sum of WTEs (cell E33). </a:t>
          </a:r>
          <a:r>
            <a:rPr lang="en-GB" sz="1400" baseline="0"/>
            <a:t> </a:t>
          </a:r>
          <a:endParaRPr lang="en-GB" sz="1400"/>
        </a:p>
      </xdr:txBody>
    </xdr:sp>
    <xdr:clientData/>
  </xdr:twoCellAnchor>
  <xdr:twoCellAnchor>
    <xdr:from>
      <xdr:col>0</xdr:col>
      <xdr:colOff>110490</xdr:colOff>
      <xdr:row>55</xdr:row>
      <xdr:rowOff>120650</xdr:rowOff>
    </xdr:from>
    <xdr:to>
      <xdr:col>0</xdr:col>
      <xdr:colOff>3450431</xdr:colOff>
      <xdr:row>67</xdr:row>
      <xdr:rowOff>0</xdr:rowOff>
    </xdr:to>
    <xdr:sp macro="" textlink="">
      <xdr:nvSpPr>
        <xdr:cNvPr id="7" name="TextBox 6"/>
        <xdr:cNvSpPr txBox="1"/>
      </xdr:nvSpPr>
      <xdr:spPr>
        <a:xfrm>
          <a:off x="110490" y="12096750"/>
          <a:ext cx="3339941" cy="27749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lang="en-GB" sz="1400"/>
            <a:t>These are the main channel shifts expected. There may be some patients</a:t>
          </a:r>
          <a:r>
            <a:rPr lang="en-GB" sz="1400" baseline="0"/>
            <a:t> that follow other pathways and the results may need to be slightly caveated to account for this.</a:t>
          </a:r>
        </a:p>
        <a:p>
          <a:pPr>
            <a:lnSpc>
              <a:spcPts val="1900"/>
            </a:lnSpc>
          </a:pPr>
          <a:r>
            <a:rPr lang="en-GB" sz="1400" baseline="0"/>
            <a:t>See evidence: would expect reduction in emergency admissions of around 0.14 per patient, assuming an average Length of Stay of 5 days this translates to an reduction in bed days of around 0.7 per patient (cell F58).</a:t>
          </a:r>
          <a:endParaRPr lang="en-GB" sz="1400"/>
        </a:p>
      </xdr:txBody>
    </xdr:sp>
    <xdr:clientData/>
  </xdr:twoCellAnchor>
  <xdr:twoCellAnchor>
    <xdr:from>
      <xdr:col>0</xdr:col>
      <xdr:colOff>0</xdr:colOff>
      <xdr:row>12</xdr:row>
      <xdr:rowOff>0</xdr:rowOff>
    </xdr:from>
    <xdr:to>
      <xdr:col>0</xdr:col>
      <xdr:colOff>3445933</xdr:colOff>
      <xdr:row>21</xdr:row>
      <xdr:rowOff>279400</xdr:rowOff>
    </xdr:to>
    <xdr:sp macro="" textlink="">
      <xdr:nvSpPr>
        <xdr:cNvPr id="9" name="TextBox 8"/>
        <xdr:cNvSpPr txBox="1"/>
      </xdr:nvSpPr>
      <xdr:spPr>
        <a:xfrm>
          <a:off x="0" y="4174067"/>
          <a:ext cx="3445933" cy="188806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Minimum targets to be achieved by 2020  that have been agreed with The Association of Ambulance Chief Executives</a:t>
          </a:r>
          <a:r>
            <a:rPr lang="en-GB" sz="1400" baseline="0"/>
            <a:t> are:</a:t>
          </a:r>
          <a:endParaRPr lang="en-GB" sz="1400"/>
        </a:p>
        <a:p>
          <a:r>
            <a:rPr lang="en-GB" sz="1400"/>
            <a:t> </a:t>
          </a:r>
        </a:p>
        <a:p>
          <a:r>
            <a:rPr lang="en-GB" sz="1400"/>
            <a:t>11% ‘hear and treat’; </a:t>
          </a:r>
        </a:p>
        <a:p>
          <a:r>
            <a:rPr lang="en-GB" sz="1400"/>
            <a:t>40% ‘see and treat’; </a:t>
          </a:r>
        </a:p>
        <a:p>
          <a:r>
            <a:rPr lang="en-GB" sz="1400"/>
            <a:t>40.8% conveyance to Type 1 and 2 ED;</a:t>
          </a:r>
        </a:p>
        <a:p>
          <a:r>
            <a:rPr lang="en-GB" sz="1400"/>
            <a:t>6.2% conveyance to other settings</a:t>
          </a:r>
        </a:p>
      </xdr:txBody>
    </xdr:sp>
    <xdr:clientData/>
  </xdr:twoCellAnchor>
  <xdr:twoCellAnchor>
    <xdr:from>
      <xdr:col>0</xdr:col>
      <xdr:colOff>88900</xdr:colOff>
      <xdr:row>2</xdr:row>
      <xdr:rowOff>187112</xdr:rowOff>
    </xdr:from>
    <xdr:to>
      <xdr:col>0</xdr:col>
      <xdr:colOff>3505199</xdr:colOff>
      <xdr:row>9</xdr:row>
      <xdr:rowOff>88900</xdr:rowOff>
    </xdr:to>
    <xdr:sp macro="" textlink="">
      <xdr:nvSpPr>
        <xdr:cNvPr id="10" name="TextBox 9"/>
        <xdr:cNvSpPr txBox="1"/>
      </xdr:nvSpPr>
      <xdr:spPr>
        <a:xfrm>
          <a:off x="88900" y="1126912"/>
          <a:ext cx="3416299" cy="128608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rPr>
            <a:t>Population of 700,000</a:t>
          </a:r>
          <a:r>
            <a:rPr lang="en-GB" sz="1200" baseline="0">
              <a:solidFill>
                <a:srgbClr val="FF0000"/>
              </a:solidFill>
            </a:rPr>
            <a:t> is that addressed for Northamptonshire in intervention modelled - see evidence.</a:t>
          </a:r>
        </a:p>
        <a:p>
          <a:r>
            <a:rPr lang="en-GB" sz="1200" baseline="0"/>
            <a:t>Scope figures are for east Midlands ambulance service (population 4.8 million) scaled down to Northamptonshire.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988289</xdr:colOff>
      <xdr:row>82</xdr:row>
      <xdr:rowOff>79375</xdr:rowOff>
    </xdr:from>
    <xdr:to>
      <xdr:col>10</xdr:col>
      <xdr:colOff>638174</xdr:colOff>
      <xdr:row>89</xdr:row>
      <xdr:rowOff>104775</xdr:rowOff>
    </xdr:to>
    <xdr:sp macro="" textlink="">
      <xdr:nvSpPr>
        <xdr:cNvPr id="2" name="TextBox 1"/>
        <xdr:cNvSpPr txBox="1"/>
      </xdr:nvSpPr>
      <xdr:spPr>
        <a:xfrm>
          <a:off x="2036039" y="18643600"/>
          <a:ext cx="10032135" cy="1358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Not modelled</a:t>
          </a:r>
        </a:p>
        <a:p>
          <a:r>
            <a:rPr lang="en-GB" sz="1400"/>
            <a:t>- there may well be a level of supply induced demand by</a:t>
          </a:r>
          <a:r>
            <a:rPr lang="en-GB" sz="1400" baseline="0"/>
            <a:t> consolidating services and increasing public awareness / decreased public confusion by provision of single number.</a:t>
          </a:r>
        </a:p>
        <a:p>
          <a:r>
            <a:rPr lang="en-GB" sz="1400" baseline="0"/>
            <a:t>- Increased clinical consultation rates  may also lead to increased use of service.</a:t>
          </a:r>
          <a:endParaRPr lang="en-GB" sz="1400"/>
        </a:p>
      </xdr:txBody>
    </xdr:sp>
    <xdr:clientData/>
  </xdr:twoCellAnchor>
  <xdr:twoCellAnchor>
    <xdr:from>
      <xdr:col>0</xdr:col>
      <xdr:colOff>107825</xdr:colOff>
      <xdr:row>51</xdr:row>
      <xdr:rowOff>570753</xdr:rowOff>
    </xdr:from>
    <xdr:to>
      <xdr:col>0</xdr:col>
      <xdr:colOff>3527425</xdr:colOff>
      <xdr:row>70</xdr:row>
      <xdr:rowOff>127000</xdr:rowOff>
    </xdr:to>
    <xdr:sp macro="" textlink="">
      <xdr:nvSpPr>
        <xdr:cNvPr id="3" name="TextBox 2"/>
        <xdr:cNvSpPr txBox="1"/>
      </xdr:nvSpPr>
      <xdr:spPr>
        <a:xfrm>
          <a:off x="107825" y="12623053"/>
          <a:ext cx="3419600" cy="414094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Users can use this</a:t>
          </a:r>
          <a:r>
            <a:rPr lang="en-GB" sz="1400" baseline="0"/>
            <a:t> table</a:t>
          </a:r>
          <a:r>
            <a:rPr lang="en-GB" sz="1400"/>
            <a:t> for an increase in activity as well as decrease.</a:t>
          </a:r>
          <a:r>
            <a:rPr lang="en-GB" sz="1400" baseline="0"/>
            <a:t> E.g. if there was a switch from ED to UCC as a result of the intervention the user could put in a negative number for UCC (negative reduction = an increase) matched by an additional reduction in ED. </a:t>
          </a:r>
        </a:p>
        <a:p>
          <a:r>
            <a:rPr lang="en-GB" sz="1400"/>
            <a:t>Note: data collected on 111 refers to where patients</a:t>
          </a:r>
          <a:r>
            <a:rPr lang="en-GB" sz="1400" baseline="0"/>
            <a:t> are </a:t>
          </a:r>
          <a:r>
            <a:rPr lang="en-GB" sz="1400" b="1" baseline="0"/>
            <a:t>recommended</a:t>
          </a:r>
          <a:r>
            <a:rPr lang="en-GB" sz="1400" baseline="0"/>
            <a:t> to attend. Users should model changes expected in </a:t>
          </a:r>
          <a:r>
            <a:rPr lang="en-GB" sz="1400" b="1" baseline="0"/>
            <a:t>actual</a:t>
          </a:r>
          <a:r>
            <a:rPr lang="en-GB" sz="1400" baseline="0"/>
            <a:t> attendance.</a:t>
          </a:r>
        </a:p>
        <a:p>
          <a:r>
            <a:rPr lang="en-GB" sz="1400" baseline="0"/>
            <a:t>Some evidence is available that suggests  could expect a decrease in ambulance attendances of 0.06 per triage and recommendations to attend A&amp;E of 0.02.  (see evidence tab). However, other evidence conflicts with this.</a:t>
          </a:r>
          <a:endParaRPr lang="en-GB" sz="1400"/>
        </a:p>
      </xdr:txBody>
    </xdr:sp>
    <xdr:clientData/>
  </xdr:twoCellAnchor>
  <xdr:twoCellAnchor>
    <xdr:from>
      <xdr:col>0</xdr:col>
      <xdr:colOff>139700</xdr:colOff>
      <xdr:row>42</xdr:row>
      <xdr:rowOff>152152</xdr:rowOff>
    </xdr:from>
    <xdr:to>
      <xdr:col>0</xdr:col>
      <xdr:colOff>3581400</xdr:colOff>
      <xdr:row>50</xdr:row>
      <xdr:rowOff>139700</xdr:rowOff>
    </xdr:to>
    <xdr:sp macro="" textlink="">
      <xdr:nvSpPr>
        <xdr:cNvPr id="4" name="TextBox 3"/>
        <xdr:cNvSpPr txBox="1"/>
      </xdr:nvSpPr>
      <xdr:spPr>
        <a:xfrm>
          <a:off x="139700" y="10121652"/>
          <a:ext cx="3441700" cy="187984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Users can  input a number or a formula</a:t>
          </a:r>
          <a:r>
            <a:rPr lang="en-GB" sz="1400" baseline="0">
              <a:solidFill>
                <a:schemeClr val="dk1"/>
              </a:solidFill>
              <a:effectLst/>
              <a:latin typeface="+mn-lt"/>
              <a:ea typeface="+mn-ea"/>
              <a:cs typeface="+mn-cs"/>
            </a:rPr>
            <a:t> in the Unit column </a:t>
          </a:r>
          <a:r>
            <a:rPr lang="en-GB" sz="1400">
              <a:solidFill>
                <a:schemeClr val="dk1"/>
              </a:solidFill>
              <a:effectLst/>
              <a:latin typeface="+mn-lt"/>
              <a:ea typeface="+mn-ea"/>
              <a:cs typeface="+mn-cs"/>
            </a:rPr>
            <a:t>as appropriate. If an additional cost is </a:t>
          </a:r>
          <a:r>
            <a:rPr lang="en-GB" sz="1400" b="1">
              <a:solidFill>
                <a:schemeClr val="dk1"/>
              </a:solidFill>
              <a:effectLst/>
              <a:latin typeface="+mn-lt"/>
              <a:ea typeface="+mn-ea"/>
              <a:cs typeface="+mn-cs"/>
            </a:rPr>
            <a:t>per call</a:t>
          </a:r>
          <a:r>
            <a:rPr lang="en-GB" sz="1400">
              <a:solidFill>
                <a:schemeClr val="dk1"/>
              </a:solidFill>
              <a:effectLst/>
              <a:latin typeface="+mn-lt"/>
              <a:ea typeface="+mn-ea"/>
              <a:cs typeface="+mn-cs"/>
            </a:rPr>
            <a:t> the Unit can</a:t>
          </a:r>
          <a:r>
            <a:rPr lang="en-GB" sz="1400" baseline="0">
              <a:solidFill>
                <a:schemeClr val="dk1"/>
              </a:solidFill>
              <a:effectLst/>
              <a:latin typeface="+mn-lt"/>
              <a:ea typeface="+mn-ea"/>
              <a:cs typeface="+mn-cs"/>
            </a:rPr>
            <a:t> be</a:t>
          </a:r>
          <a:r>
            <a:rPr lang="en-GB" sz="1400">
              <a:solidFill>
                <a:schemeClr val="dk1"/>
              </a:solidFill>
              <a:effectLst/>
              <a:latin typeface="+mn-lt"/>
              <a:ea typeface="+mn-ea"/>
              <a:cs typeface="+mn-cs"/>
            </a:rPr>
            <a:t> linked to Total</a:t>
          </a:r>
          <a:r>
            <a:rPr lang="en-GB" sz="1400" baseline="0">
              <a:solidFill>
                <a:schemeClr val="dk1"/>
              </a:solidFill>
              <a:effectLst/>
              <a:latin typeface="+mn-lt"/>
              <a:ea typeface="+mn-ea"/>
              <a:cs typeface="+mn-cs"/>
            </a:rPr>
            <a:t> additional calls</a:t>
          </a:r>
          <a:r>
            <a:rPr lang="en-GB" sz="1400">
              <a:solidFill>
                <a:schemeClr val="dk1"/>
              </a:solidFill>
              <a:effectLst/>
              <a:latin typeface="+mn-lt"/>
              <a:ea typeface="+mn-ea"/>
              <a:cs typeface="+mn-cs"/>
            </a:rPr>
            <a:t> (cell L43). If an additional cost is </a:t>
          </a:r>
          <a:r>
            <a:rPr lang="en-GB" sz="1400" b="1">
              <a:solidFill>
                <a:schemeClr val="dk1"/>
              </a:solidFill>
              <a:effectLst/>
              <a:latin typeface="+mn-lt"/>
              <a:ea typeface="+mn-ea"/>
              <a:cs typeface="+mn-cs"/>
            </a:rPr>
            <a:t>per WTE</a:t>
          </a:r>
          <a:r>
            <a:rPr lang="en-GB" sz="1400">
              <a:solidFill>
                <a:schemeClr val="dk1"/>
              </a:solidFill>
              <a:effectLst/>
              <a:latin typeface="+mn-lt"/>
              <a:ea typeface="+mn-ea"/>
              <a:cs typeface="+mn-cs"/>
            </a:rPr>
            <a:t> the Unit can be linked to the sum of WTEs (cell E34). </a:t>
          </a:r>
          <a:r>
            <a:rPr lang="en-GB" sz="1400" baseline="0">
              <a:solidFill>
                <a:schemeClr val="dk1"/>
              </a:solidFill>
              <a:effectLst/>
              <a:latin typeface="+mn-lt"/>
              <a:ea typeface="+mn-ea"/>
              <a:cs typeface="+mn-cs"/>
            </a:rPr>
            <a:t> </a:t>
          </a:r>
          <a:endParaRPr lang="en-GB" sz="1400">
            <a:effectLst/>
          </a:endParaRPr>
        </a:p>
      </xdr:txBody>
    </xdr:sp>
    <xdr:clientData/>
  </xdr:twoCellAnchor>
  <xdr:twoCellAnchor>
    <xdr:from>
      <xdr:col>0</xdr:col>
      <xdr:colOff>817033</xdr:colOff>
      <xdr:row>1</xdr:row>
      <xdr:rowOff>48684</xdr:rowOff>
    </xdr:from>
    <xdr:to>
      <xdr:col>0</xdr:col>
      <xdr:colOff>4068233</xdr:colOff>
      <xdr:row>2</xdr:row>
      <xdr:rowOff>162984</xdr:rowOff>
    </xdr:to>
    <xdr:sp macro="" textlink="">
      <xdr:nvSpPr>
        <xdr:cNvPr id="5" name="TextBox 4"/>
        <xdr:cNvSpPr txBox="1"/>
      </xdr:nvSpPr>
      <xdr:spPr>
        <a:xfrm>
          <a:off x="611293" y="231564"/>
          <a:ext cx="0" cy="29718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342900</xdr:colOff>
      <xdr:row>14</xdr:row>
      <xdr:rowOff>14817</xdr:rowOff>
    </xdr:from>
    <xdr:to>
      <xdr:col>0</xdr:col>
      <xdr:colOff>3365500</xdr:colOff>
      <xdr:row>16</xdr:row>
      <xdr:rowOff>76200</xdr:rowOff>
    </xdr:to>
    <xdr:sp macro="" textlink="">
      <xdr:nvSpPr>
        <xdr:cNvPr id="6" name="TextBox 5"/>
        <xdr:cNvSpPr txBox="1"/>
      </xdr:nvSpPr>
      <xdr:spPr>
        <a:xfrm>
          <a:off x="342900" y="2935817"/>
          <a:ext cx="3022600" cy="442383"/>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Input local data</a:t>
          </a:r>
        </a:p>
      </xdr:txBody>
    </xdr:sp>
    <xdr:clientData/>
  </xdr:twoCellAnchor>
  <xdr:twoCellAnchor>
    <xdr:from>
      <xdr:col>0</xdr:col>
      <xdr:colOff>131232</xdr:colOff>
      <xdr:row>26</xdr:row>
      <xdr:rowOff>355600</xdr:rowOff>
    </xdr:from>
    <xdr:to>
      <xdr:col>0</xdr:col>
      <xdr:colOff>3644899</xdr:colOff>
      <xdr:row>37</xdr:row>
      <xdr:rowOff>101599</xdr:rowOff>
    </xdr:to>
    <xdr:sp macro="" textlink="">
      <xdr:nvSpPr>
        <xdr:cNvPr id="7" name="TextBox 6"/>
        <xdr:cNvSpPr txBox="1"/>
      </xdr:nvSpPr>
      <xdr:spPr>
        <a:xfrm>
          <a:off x="131232" y="5943600"/>
          <a:ext cx="3513667" cy="317499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400" b="0" baseline="0">
              <a:solidFill>
                <a:schemeClr val="dk1"/>
              </a:solidFill>
              <a:effectLst/>
              <a:latin typeface="+mn-lt"/>
              <a:ea typeface="+mn-ea"/>
              <a:cs typeface="+mn-cs"/>
            </a:rPr>
            <a:t>Input staffing figures needed to provide additional service.</a:t>
          </a:r>
        </a:p>
        <a:p>
          <a:pPr marL="0" marR="0" indent="0" defTabSz="914400" eaLnBrk="1" fontAlgn="auto" latinLnBrk="0" hangingPunct="1">
            <a:lnSpc>
              <a:spcPct val="100000"/>
            </a:lnSpc>
            <a:spcBef>
              <a:spcPts val="0"/>
            </a:spcBef>
            <a:spcAft>
              <a:spcPts val="0"/>
            </a:spcAft>
            <a:buClrTx/>
            <a:buSzTx/>
            <a:buFontTx/>
            <a:buNone/>
            <a:tabLst/>
            <a:defRPr/>
          </a:pPr>
          <a:endParaRPr lang="en-GB" sz="1400" b="0" baseline="0">
            <a:solidFill>
              <a:schemeClr val="dk1"/>
            </a:solidFill>
            <a:effectLst/>
            <a:latin typeface="+mn-lt"/>
            <a:ea typeface="+mn-ea"/>
            <a:cs typeface="+mn-cs"/>
          </a:endParaRPr>
        </a:p>
        <a:p>
          <a:pPr eaLnBrk="1" fontAlgn="auto" latinLnBrk="0" hangingPunct="1"/>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p>
        <a:p>
          <a:pPr eaLnBrk="1" fontAlgn="auto" latinLnBrk="0" hangingPunct="1"/>
          <a:endParaRPr lang="en-GB" sz="1400" b="0" baseline="0">
            <a:solidFill>
              <a:schemeClr val="dk1"/>
            </a:solidFill>
            <a:effectLst/>
            <a:latin typeface="+mn-lt"/>
            <a:ea typeface="+mn-ea"/>
            <a:cs typeface="+mn-cs"/>
          </a:endParaRPr>
        </a:p>
        <a:p>
          <a:pPr eaLnBrk="1" fontAlgn="auto" latinLnBrk="0" hangingPunct="1"/>
          <a:r>
            <a:rPr lang="en-GB" sz="1400" b="0" baseline="0">
              <a:solidFill>
                <a:srgbClr val="FF0000"/>
              </a:solidFill>
              <a:effectLst/>
              <a:latin typeface="+mn-lt"/>
              <a:ea typeface="+mn-ea"/>
              <a:cs typeface="+mn-cs"/>
            </a:rPr>
            <a:t>The other staff cost field can be used if users wish to input an additional annual  staff cost without using the individual staff lines  shown.</a:t>
          </a:r>
          <a:endParaRPr lang="en-GB" sz="1400">
            <a:solidFill>
              <a:srgbClr val="FF0000"/>
            </a:solidFill>
            <a:effectLst/>
          </a:endParaRPr>
        </a:p>
      </xdr:txBody>
    </xdr:sp>
    <xdr:clientData/>
  </xdr:twoCellAnchor>
  <xdr:twoCellAnchor>
    <xdr:from>
      <xdr:col>0</xdr:col>
      <xdr:colOff>241300</xdr:colOff>
      <xdr:row>38</xdr:row>
      <xdr:rowOff>130175</xdr:rowOff>
    </xdr:from>
    <xdr:to>
      <xdr:col>0</xdr:col>
      <xdr:colOff>3311525</xdr:colOff>
      <xdr:row>41</xdr:row>
      <xdr:rowOff>152400</xdr:rowOff>
    </xdr:to>
    <xdr:sp macro="" textlink="">
      <xdr:nvSpPr>
        <xdr:cNvPr id="8" name="TextBox 7"/>
        <xdr:cNvSpPr txBox="1"/>
      </xdr:nvSpPr>
      <xdr:spPr>
        <a:xfrm>
          <a:off x="241300" y="9337675"/>
          <a:ext cx="3070225" cy="5937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Table L36:K43 generates total calls</a:t>
          </a:r>
          <a:r>
            <a:rPr lang="en-GB" sz="1400" baseline="0"/>
            <a:t> with a clinical advisor consultation. </a:t>
          </a:r>
        </a:p>
        <a:p>
          <a:endParaRPr lang="en-GB" sz="1400"/>
        </a:p>
      </xdr:txBody>
    </xdr:sp>
    <xdr:clientData/>
  </xdr:twoCellAnchor>
  <xdr:twoCellAnchor>
    <xdr:from>
      <xdr:col>0</xdr:col>
      <xdr:colOff>381000</xdr:colOff>
      <xdr:row>22</xdr:row>
      <xdr:rowOff>25400</xdr:rowOff>
    </xdr:from>
    <xdr:to>
      <xdr:col>0</xdr:col>
      <xdr:colOff>3390900</xdr:colOff>
      <xdr:row>25</xdr:row>
      <xdr:rowOff>63500</xdr:rowOff>
    </xdr:to>
    <xdr:sp macro="" textlink="">
      <xdr:nvSpPr>
        <xdr:cNvPr id="9" name="TextBox 8"/>
        <xdr:cNvSpPr txBox="1"/>
      </xdr:nvSpPr>
      <xdr:spPr>
        <a:xfrm>
          <a:off x="381000" y="4851400"/>
          <a:ext cx="3009900" cy="609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The set up costs </a:t>
          </a:r>
          <a:r>
            <a:rPr lang="en-GB" sz="1400" baseline="0"/>
            <a:t>will need to be locally determined - use Set_up_ICH tab.</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817033</xdr:colOff>
      <xdr:row>1</xdr:row>
      <xdr:rowOff>48684</xdr:rowOff>
    </xdr:from>
    <xdr:to>
      <xdr:col>0</xdr:col>
      <xdr:colOff>3479800</xdr:colOff>
      <xdr:row>3</xdr:row>
      <xdr:rowOff>127000</xdr:rowOff>
    </xdr:to>
    <xdr:sp macro="" textlink="">
      <xdr:nvSpPr>
        <xdr:cNvPr id="4" name="TextBox 3"/>
        <xdr:cNvSpPr txBox="1"/>
      </xdr:nvSpPr>
      <xdr:spPr>
        <a:xfrm>
          <a:off x="817033" y="594784"/>
          <a:ext cx="2662767" cy="67521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296334</xdr:colOff>
      <xdr:row>13</xdr:row>
      <xdr:rowOff>101600</xdr:rowOff>
    </xdr:from>
    <xdr:to>
      <xdr:col>0</xdr:col>
      <xdr:colOff>3517900</xdr:colOff>
      <xdr:row>26</xdr:row>
      <xdr:rowOff>0</xdr:rowOff>
    </xdr:to>
    <xdr:sp macro="" textlink="">
      <xdr:nvSpPr>
        <xdr:cNvPr id="6" name="TextBox 5"/>
        <xdr:cNvSpPr txBox="1"/>
      </xdr:nvSpPr>
      <xdr:spPr>
        <a:xfrm>
          <a:off x="296334" y="3200400"/>
          <a:ext cx="3221566" cy="23749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nSpc>
              <a:spcPct val="100000"/>
            </a:lnSpc>
          </a:pPr>
          <a:r>
            <a:rPr lang="en-GB" sz="1400" baseline="0">
              <a:solidFill>
                <a:schemeClr val="dk1"/>
              </a:solidFill>
              <a:latin typeface="+mn-lt"/>
              <a:ea typeface="+mn-ea"/>
              <a:cs typeface="+mn-cs"/>
            </a:rPr>
            <a:t>This input drives the calculation of savings for integrating 111 and OOH hubs. Where hubs are already integrated these numbers will be zero.</a:t>
          </a:r>
        </a:p>
        <a:p>
          <a:pPr marL="0" indent="0">
            <a:lnSpc>
              <a:spcPct val="100000"/>
            </a:lnSpc>
          </a:pPr>
          <a:endParaRPr lang="en-GB" sz="1400" baseline="0">
            <a:solidFill>
              <a:schemeClr val="dk1"/>
            </a:solidFill>
            <a:latin typeface="+mn-lt"/>
            <a:ea typeface="+mn-ea"/>
            <a:cs typeface="+mn-cs"/>
          </a:endParaRPr>
        </a:p>
        <a:p>
          <a:pPr marL="0" indent="0">
            <a:lnSpc>
              <a:spcPct val="100000"/>
            </a:lnSpc>
          </a:pPr>
          <a:r>
            <a:rPr lang="en-GB" sz="1400" baseline="0">
              <a:solidFill>
                <a:schemeClr val="dk1"/>
              </a:solidFill>
              <a:latin typeface="+mn-lt"/>
              <a:ea typeface="+mn-ea"/>
              <a:cs typeface="+mn-cs"/>
            </a:rPr>
            <a:t>Some areas may also be planning to integrate with Ambulance service hubs.</a:t>
          </a:r>
        </a:p>
        <a:p>
          <a:pPr marL="0" indent="0">
            <a:lnSpc>
              <a:spcPct val="100000"/>
            </a:lnSpc>
          </a:pPr>
          <a:r>
            <a:rPr lang="en-GB" sz="1400" baseline="0">
              <a:solidFill>
                <a:schemeClr val="dk1"/>
              </a:solidFill>
              <a:latin typeface="+mn-lt"/>
              <a:ea typeface="+mn-ea"/>
              <a:cs typeface="+mn-cs"/>
            </a:rPr>
            <a:t>Where this is the case the number of transferred called between Ambulance and other hubs can also be included</a:t>
          </a:r>
          <a:r>
            <a:rPr lang="en-GB" sz="1400" baseline="0"/>
            <a:t>. </a:t>
          </a:r>
          <a:endParaRPr lang="en-GB" sz="1400"/>
        </a:p>
      </xdr:txBody>
    </xdr:sp>
    <xdr:clientData/>
  </xdr:twoCellAnchor>
  <xdr:twoCellAnchor>
    <xdr:from>
      <xdr:col>0</xdr:col>
      <xdr:colOff>0</xdr:colOff>
      <xdr:row>27</xdr:row>
      <xdr:rowOff>152400</xdr:rowOff>
    </xdr:from>
    <xdr:to>
      <xdr:col>0</xdr:col>
      <xdr:colOff>3641725</xdr:colOff>
      <xdr:row>32</xdr:row>
      <xdr:rowOff>63500</xdr:rowOff>
    </xdr:to>
    <xdr:sp macro="" textlink="">
      <xdr:nvSpPr>
        <xdr:cNvPr id="9" name="TextBox 8"/>
        <xdr:cNvSpPr txBox="1"/>
      </xdr:nvSpPr>
      <xdr:spPr>
        <a:xfrm>
          <a:off x="0" y="5918200"/>
          <a:ext cx="3641725" cy="15113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The set up costs </a:t>
          </a:r>
          <a:r>
            <a:rPr lang="en-GB" sz="1400" baseline="0"/>
            <a:t>will be locally determined.</a:t>
          </a:r>
        </a:p>
        <a:p>
          <a:endParaRPr lang="en-GB" sz="1400" baseline="0"/>
        </a:p>
        <a:p>
          <a:r>
            <a:rPr lang="en-GB" sz="1400" baseline="0"/>
            <a:t>Where there are set up and recurring costs for 'enabling services'  that support several interventions these should be split across the interventions concerned.</a:t>
          </a:r>
        </a:p>
      </xdr:txBody>
    </xdr:sp>
    <xdr:clientData/>
  </xdr:twoCellAnchor>
  <xdr:twoCellAnchor>
    <xdr:from>
      <xdr:col>0</xdr:col>
      <xdr:colOff>50800</xdr:colOff>
      <xdr:row>32</xdr:row>
      <xdr:rowOff>202952</xdr:rowOff>
    </xdr:from>
    <xdr:to>
      <xdr:col>0</xdr:col>
      <xdr:colOff>3637492</xdr:colOff>
      <xdr:row>38</xdr:row>
      <xdr:rowOff>88900</xdr:rowOff>
    </xdr:to>
    <xdr:sp macro="" textlink="">
      <xdr:nvSpPr>
        <xdr:cNvPr id="10" name="TextBox 9"/>
        <xdr:cNvSpPr txBox="1"/>
      </xdr:nvSpPr>
      <xdr:spPr>
        <a:xfrm>
          <a:off x="50800" y="7568952"/>
          <a:ext cx="3586692" cy="160044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aseline="0"/>
            <a:t>It is assumed that once integrated there will be no additional recurring cost. Indeed there may well be recurring cost savings from reduced overheads and increased efficiency, in which case please set out in intervention cost tab and include in this box as a negative figure.</a:t>
          </a:r>
          <a:endParaRPr lang="en-GB"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48</xdr:row>
      <xdr:rowOff>371475</xdr:rowOff>
    </xdr:from>
    <xdr:to>
      <xdr:col>0</xdr:col>
      <xdr:colOff>0</xdr:colOff>
      <xdr:row>53</xdr:row>
      <xdr:rowOff>174587</xdr:rowOff>
    </xdr:to>
    <xdr:sp macro="" textlink="">
      <xdr:nvSpPr>
        <xdr:cNvPr id="2" name="TextBox 1"/>
        <xdr:cNvSpPr txBox="1"/>
      </xdr:nvSpPr>
      <xdr:spPr>
        <a:xfrm>
          <a:off x="0" y="8593455"/>
          <a:ext cx="0" cy="90801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t>Input other cost here. The units field as input links to the number of patient treated., - but could</a:t>
          </a:r>
          <a:r>
            <a:rPr lang="en-GB" sz="1600" baseline="0"/>
            <a:t> be la training cost linked to WTE,</a:t>
          </a:r>
        </a:p>
      </xdr:txBody>
    </xdr:sp>
    <xdr:clientData/>
  </xdr:twoCellAnchor>
  <xdr:twoCellAnchor>
    <xdr:from>
      <xdr:col>0</xdr:col>
      <xdr:colOff>12700</xdr:colOff>
      <xdr:row>67</xdr:row>
      <xdr:rowOff>127001</xdr:rowOff>
    </xdr:from>
    <xdr:to>
      <xdr:col>0</xdr:col>
      <xdr:colOff>3594100</xdr:colOff>
      <xdr:row>70</xdr:row>
      <xdr:rowOff>254001</xdr:rowOff>
    </xdr:to>
    <xdr:sp macro="" textlink="">
      <xdr:nvSpPr>
        <xdr:cNvPr id="3" name="TextBox 2"/>
        <xdr:cNvSpPr txBox="1"/>
      </xdr:nvSpPr>
      <xdr:spPr>
        <a:xfrm>
          <a:off x="12700" y="15049501"/>
          <a:ext cx="3581400" cy="10795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Inappropriate referrals</a:t>
          </a:r>
          <a:r>
            <a:rPr lang="en-GB" sz="1400" baseline="0"/>
            <a:t> are</a:t>
          </a:r>
          <a:r>
            <a:rPr lang="en-GB" sz="1400"/>
            <a:t> patients who would not have been admitted without attendance at AEC.  Possible reasons for AEC attendance will be to ease pressure in </a:t>
          </a:r>
          <a:r>
            <a:rPr lang="en-GB" sz="1600"/>
            <a:t>A&amp;E.</a:t>
          </a:r>
        </a:p>
      </xdr:txBody>
    </xdr:sp>
    <xdr:clientData/>
  </xdr:twoCellAnchor>
  <xdr:twoCellAnchor>
    <xdr:from>
      <xdr:col>0</xdr:col>
      <xdr:colOff>0</xdr:colOff>
      <xdr:row>70</xdr:row>
      <xdr:rowOff>457201</xdr:rowOff>
    </xdr:from>
    <xdr:to>
      <xdr:col>0</xdr:col>
      <xdr:colOff>3619500</xdr:colOff>
      <xdr:row>72</xdr:row>
      <xdr:rowOff>508000</xdr:rowOff>
    </xdr:to>
    <xdr:sp macro="" textlink="">
      <xdr:nvSpPr>
        <xdr:cNvPr id="4" name="TextBox 3"/>
        <xdr:cNvSpPr txBox="1"/>
      </xdr:nvSpPr>
      <xdr:spPr>
        <a:xfrm>
          <a:off x="0" y="16332201"/>
          <a:ext cx="3619500" cy="100329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Number of average bed days is not evidence based,</a:t>
          </a:r>
          <a:r>
            <a:rPr lang="en-GB" sz="1400" baseline="0"/>
            <a:t> but</a:t>
          </a:r>
          <a:r>
            <a:rPr lang="en-GB" sz="1400"/>
            <a:t> an assumption that most stays avoided would be at shorte</a:t>
          </a:r>
          <a:r>
            <a:rPr lang="en-GB" sz="1400" baseline="0"/>
            <a:t>r than average stay.</a:t>
          </a:r>
          <a:endParaRPr lang="en-GB" sz="1400"/>
        </a:p>
      </xdr:txBody>
    </xdr:sp>
    <xdr:clientData/>
  </xdr:twoCellAnchor>
  <xdr:twoCellAnchor>
    <xdr:from>
      <xdr:col>0</xdr:col>
      <xdr:colOff>0</xdr:colOff>
      <xdr:row>66</xdr:row>
      <xdr:rowOff>203201</xdr:rowOff>
    </xdr:from>
    <xdr:to>
      <xdr:col>0</xdr:col>
      <xdr:colOff>3378200</xdr:colOff>
      <xdr:row>67</xdr:row>
      <xdr:rowOff>38100</xdr:rowOff>
    </xdr:to>
    <xdr:sp macro="" textlink="">
      <xdr:nvSpPr>
        <xdr:cNvPr id="5" name="TextBox 4"/>
        <xdr:cNvSpPr txBox="1"/>
      </xdr:nvSpPr>
      <xdr:spPr>
        <a:xfrm>
          <a:off x="0" y="14554201"/>
          <a:ext cx="3378200" cy="40639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See evidence tab for further explanation.</a:t>
          </a:r>
        </a:p>
      </xdr:txBody>
    </xdr:sp>
    <xdr:clientData/>
  </xdr:twoCellAnchor>
  <xdr:twoCellAnchor>
    <xdr:from>
      <xdr:col>0</xdr:col>
      <xdr:colOff>0</xdr:colOff>
      <xdr:row>73</xdr:row>
      <xdr:rowOff>3175</xdr:rowOff>
    </xdr:from>
    <xdr:to>
      <xdr:col>0</xdr:col>
      <xdr:colOff>3619500</xdr:colOff>
      <xdr:row>80</xdr:row>
      <xdr:rowOff>939800</xdr:rowOff>
    </xdr:to>
    <xdr:sp macro="" textlink="">
      <xdr:nvSpPr>
        <xdr:cNvPr id="6" name="TextBox 5"/>
        <xdr:cNvSpPr txBox="1"/>
      </xdr:nvSpPr>
      <xdr:spPr>
        <a:xfrm>
          <a:off x="0" y="17402175"/>
          <a:ext cx="3619500" cy="2638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lang="en-GB" sz="1400"/>
            <a:t>Number of additional out of hospital contacts is not evidence based.  It</a:t>
          </a:r>
          <a:r>
            <a:rPr lang="en-GB" sz="1400" baseline="0"/>
            <a:t> is</a:t>
          </a:r>
          <a:r>
            <a:rPr lang="en-GB" sz="1400"/>
            <a:t> an assumption that some patients will require out of hospital care to be arranged so they can be safely discharged</a:t>
          </a:r>
          <a:r>
            <a:rPr lang="en-GB" sz="1400" baseline="0"/>
            <a:t> (e.g.</a:t>
          </a:r>
          <a:r>
            <a:rPr lang="en-GB" sz="1400"/>
            <a:t> a respite bed</a:t>
          </a:r>
          <a:r>
            <a:rPr lang="en-GB" sz="1400" baseline="0"/>
            <a:t> /</a:t>
          </a:r>
          <a:r>
            <a:rPr lang="en-GB" sz="1400"/>
            <a:t> domiciliary visit</a:t>
          </a:r>
          <a:r>
            <a:rPr lang="en-GB" sz="1400" baseline="0"/>
            <a:t> /</a:t>
          </a:r>
          <a:r>
            <a:rPr lang="en-GB" sz="1400"/>
            <a:t> OT assessment / outpatient appointment). This should only count what a patient would receive in addition because they had been discharged on the same day from AEC rather than being admitted.</a:t>
          </a:r>
        </a:p>
      </xdr:txBody>
    </xdr:sp>
    <xdr:clientData/>
  </xdr:twoCellAnchor>
  <xdr:twoCellAnchor>
    <xdr:from>
      <xdr:col>0</xdr:col>
      <xdr:colOff>1003300</xdr:colOff>
      <xdr:row>43</xdr:row>
      <xdr:rowOff>133350</xdr:rowOff>
    </xdr:from>
    <xdr:to>
      <xdr:col>0</xdr:col>
      <xdr:colOff>3179233</xdr:colOff>
      <xdr:row>52</xdr:row>
      <xdr:rowOff>127000</xdr:rowOff>
    </xdr:to>
    <xdr:sp macro="" textlink="">
      <xdr:nvSpPr>
        <xdr:cNvPr id="7" name="TextBox 6"/>
        <xdr:cNvSpPr txBox="1"/>
      </xdr:nvSpPr>
      <xdr:spPr>
        <a:xfrm>
          <a:off x="1003300" y="9721850"/>
          <a:ext cx="2175933" cy="20891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lang="en-GB" sz="1400"/>
            <a:t>The 4 hours per patient figure is not evidence based.</a:t>
          </a:r>
        </a:p>
        <a:p>
          <a:pPr>
            <a:lnSpc>
              <a:spcPts val="1700"/>
            </a:lnSpc>
          </a:pPr>
          <a:endParaRPr lang="en-GB" sz="1400"/>
        </a:p>
        <a:p>
          <a:pPr>
            <a:lnSpc>
              <a:spcPts val="1600"/>
            </a:lnSpc>
          </a:pPr>
          <a:r>
            <a:rPr lang="en-GB" sz="1400"/>
            <a:t>Peak times for admission to AEC units tend to be from</a:t>
          </a:r>
          <a:r>
            <a:rPr lang="en-GB" sz="1400" baseline="0"/>
            <a:t> 4-6pm. Before 4pm there may be unused capacity within unit.</a:t>
          </a:r>
        </a:p>
        <a:p>
          <a:pPr>
            <a:lnSpc>
              <a:spcPts val="1400"/>
            </a:lnSpc>
          </a:pPr>
          <a:endParaRPr lang="en-GB" sz="1200"/>
        </a:p>
      </xdr:txBody>
    </xdr:sp>
    <xdr:clientData/>
  </xdr:twoCellAnchor>
  <xdr:twoCellAnchor>
    <xdr:from>
      <xdr:col>0</xdr:col>
      <xdr:colOff>0</xdr:colOff>
      <xdr:row>1</xdr:row>
      <xdr:rowOff>0</xdr:rowOff>
    </xdr:from>
    <xdr:to>
      <xdr:col>0</xdr:col>
      <xdr:colOff>3545706</xdr:colOff>
      <xdr:row>2</xdr:row>
      <xdr:rowOff>101600</xdr:rowOff>
    </xdr:to>
    <xdr:sp macro="" textlink="">
      <xdr:nvSpPr>
        <xdr:cNvPr id="8" name="TextBox 7"/>
        <xdr:cNvSpPr txBox="1"/>
      </xdr:nvSpPr>
      <xdr:spPr>
        <a:xfrm>
          <a:off x="0" y="182880"/>
          <a:ext cx="612006" cy="28448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0</xdr:colOff>
      <xdr:row>27</xdr:row>
      <xdr:rowOff>547370</xdr:rowOff>
    </xdr:from>
    <xdr:to>
      <xdr:col>0</xdr:col>
      <xdr:colOff>0</xdr:colOff>
      <xdr:row>37</xdr:row>
      <xdr:rowOff>190340</xdr:rowOff>
    </xdr:to>
    <xdr:sp macro="" textlink="">
      <xdr:nvSpPr>
        <xdr:cNvPr id="9" name="TextBox 8"/>
        <xdr:cNvSpPr txBox="1"/>
      </xdr:nvSpPr>
      <xdr:spPr>
        <a:xfrm>
          <a:off x="0" y="4753610"/>
          <a:ext cx="0" cy="182991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800" b="0" baseline="0">
              <a:solidFill>
                <a:schemeClr val="dk1"/>
              </a:solidFill>
              <a:effectLst/>
              <a:latin typeface="+mn-lt"/>
              <a:ea typeface="+mn-ea"/>
              <a:cs typeface="+mn-cs"/>
            </a:rPr>
            <a:t>Input staffing figures needed to provide additional service.</a:t>
          </a:r>
        </a:p>
        <a:p>
          <a:pPr marL="0" marR="0" indent="0" defTabSz="914400" eaLnBrk="1" fontAlgn="auto" latinLnBrk="0" hangingPunct="1">
            <a:lnSpc>
              <a:spcPct val="100000"/>
            </a:lnSpc>
            <a:spcBef>
              <a:spcPts val="0"/>
            </a:spcBef>
            <a:spcAft>
              <a:spcPts val="0"/>
            </a:spcAft>
            <a:buClrTx/>
            <a:buSzTx/>
            <a:buFontTx/>
            <a:buNone/>
            <a:tabLst/>
            <a:defRPr/>
          </a:pPr>
          <a:r>
            <a:rPr lang="en-GB" sz="1800" b="0" baseline="0">
              <a:solidFill>
                <a:schemeClr val="dk1"/>
              </a:solidFill>
              <a:effectLst/>
              <a:latin typeface="+mn-lt"/>
              <a:ea typeface="+mn-ea"/>
              <a:cs typeface="+mn-cs"/>
            </a:rPr>
            <a:t>staff cost is based on Agenda for change mid range value for band plus adjustment for pension and on cost. Users can select to add on further uplift for high cost areas (see pan interventions, staff cost tan</a:t>
          </a:r>
          <a:r>
            <a:rPr lang="en-GB" sz="1100" b="0" baseline="0">
              <a:solidFill>
                <a:schemeClr val="dk1"/>
              </a:solidFill>
              <a:effectLst/>
              <a:latin typeface="+mn-lt"/>
              <a:ea typeface="+mn-ea"/>
              <a:cs typeface="+mn-cs"/>
            </a:rPr>
            <a:t>)</a:t>
          </a:r>
          <a:endParaRPr lang="en-GB" sz="1800">
            <a:effectLst/>
          </a:endParaRPr>
        </a:p>
        <a:p>
          <a:pPr>
            <a:lnSpc>
              <a:spcPts val="2100"/>
            </a:lnSpc>
          </a:pPr>
          <a:endParaRPr lang="en-GB" sz="1800" b="0"/>
        </a:p>
      </xdr:txBody>
    </xdr:sp>
    <xdr:clientData/>
  </xdr:twoCellAnchor>
  <xdr:twoCellAnchor>
    <xdr:from>
      <xdr:col>0</xdr:col>
      <xdr:colOff>110067</xdr:colOff>
      <xdr:row>2</xdr:row>
      <xdr:rowOff>198755</xdr:rowOff>
    </xdr:from>
    <xdr:to>
      <xdr:col>0</xdr:col>
      <xdr:colOff>3124201</xdr:colOff>
      <xdr:row>6</xdr:row>
      <xdr:rowOff>152401</xdr:rowOff>
    </xdr:to>
    <xdr:sp macro="" textlink="">
      <xdr:nvSpPr>
        <xdr:cNvPr id="10" name="TextBox 9"/>
        <xdr:cNvSpPr txBox="1"/>
      </xdr:nvSpPr>
      <xdr:spPr>
        <a:xfrm>
          <a:off x="110067" y="1138555"/>
          <a:ext cx="3014134" cy="94424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the population</a:t>
          </a:r>
          <a:r>
            <a:rPr lang="en-GB" sz="1400" baseline="0"/>
            <a:t> figure represents the population covered by the acute trust modelled: - not whole vanguard</a:t>
          </a:r>
        </a:p>
      </xdr:txBody>
    </xdr:sp>
    <xdr:clientData/>
  </xdr:twoCellAnchor>
  <xdr:twoCellAnchor>
    <xdr:from>
      <xdr:col>0</xdr:col>
      <xdr:colOff>0</xdr:colOff>
      <xdr:row>54</xdr:row>
      <xdr:rowOff>0</xdr:rowOff>
    </xdr:from>
    <xdr:to>
      <xdr:col>0</xdr:col>
      <xdr:colOff>3441700</xdr:colOff>
      <xdr:row>63</xdr:row>
      <xdr:rowOff>165348</xdr:rowOff>
    </xdr:to>
    <xdr:sp macro="" textlink="">
      <xdr:nvSpPr>
        <xdr:cNvPr id="11" name="TextBox 10"/>
        <xdr:cNvSpPr txBox="1"/>
      </xdr:nvSpPr>
      <xdr:spPr>
        <a:xfrm>
          <a:off x="0" y="12065000"/>
          <a:ext cx="3441700" cy="187984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Users can  input a number or a formula</a:t>
          </a:r>
          <a:r>
            <a:rPr lang="en-GB" sz="1400" baseline="0">
              <a:solidFill>
                <a:schemeClr val="dk1"/>
              </a:solidFill>
              <a:effectLst/>
              <a:latin typeface="+mn-lt"/>
              <a:ea typeface="+mn-ea"/>
              <a:cs typeface="+mn-cs"/>
            </a:rPr>
            <a:t> in the Unit column </a:t>
          </a:r>
          <a:r>
            <a:rPr lang="en-GB" sz="1400">
              <a:solidFill>
                <a:schemeClr val="dk1"/>
              </a:solidFill>
              <a:effectLst/>
              <a:latin typeface="+mn-lt"/>
              <a:ea typeface="+mn-ea"/>
              <a:cs typeface="+mn-cs"/>
            </a:rPr>
            <a:t>as appropriate. If an additional cost is </a:t>
          </a:r>
          <a:r>
            <a:rPr lang="en-GB" sz="1400" b="1">
              <a:solidFill>
                <a:schemeClr val="dk1"/>
              </a:solidFill>
              <a:effectLst/>
              <a:latin typeface="+mn-lt"/>
              <a:ea typeface="+mn-ea"/>
              <a:cs typeface="+mn-cs"/>
            </a:rPr>
            <a:t>per patient</a:t>
          </a:r>
          <a:r>
            <a:rPr lang="en-GB" sz="1400">
              <a:solidFill>
                <a:schemeClr val="dk1"/>
              </a:solidFill>
              <a:effectLst/>
              <a:latin typeface="+mn-lt"/>
              <a:ea typeface="+mn-ea"/>
              <a:cs typeface="+mn-cs"/>
            </a:rPr>
            <a:t> the Unit can</a:t>
          </a:r>
          <a:r>
            <a:rPr lang="en-GB" sz="1400" baseline="0">
              <a:solidFill>
                <a:schemeClr val="dk1"/>
              </a:solidFill>
              <a:effectLst/>
              <a:latin typeface="+mn-lt"/>
              <a:ea typeface="+mn-ea"/>
              <a:cs typeface="+mn-cs"/>
            </a:rPr>
            <a:t> be</a:t>
          </a:r>
          <a:r>
            <a:rPr lang="en-GB" sz="1400">
              <a:solidFill>
                <a:schemeClr val="dk1"/>
              </a:solidFill>
              <a:effectLst/>
              <a:latin typeface="+mn-lt"/>
              <a:ea typeface="+mn-ea"/>
              <a:cs typeface="+mn-cs"/>
            </a:rPr>
            <a:t> linked to patients</a:t>
          </a:r>
          <a:r>
            <a:rPr lang="en-GB" sz="1400" baseline="0">
              <a:solidFill>
                <a:schemeClr val="dk1"/>
              </a:solidFill>
              <a:effectLst/>
              <a:latin typeface="+mn-lt"/>
              <a:ea typeface="+mn-ea"/>
              <a:cs typeface="+mn-cs"/>
            </a:rPr>
            <a:t> treated</a:t>
          </a:r>
          <a:r>
            <a:rPr lang="en-GB" sz="1400">
              <a:solidFill>
                <a:schemeClr val="dk1"/>
              </a:solidFill>
              <a:effectLst/>
              <a:latin typeface="+mn-lt"/>
              <a:ea typeface="+mn-ea"/>
              <a:cs typeface="+mn-cs"/>
            </a:rPr>
            <a:t> (cell L46). If an additional cost is </a:t>
          </a:r>
          <a:r>
            <a:rPr lang="en-GB" sz="1400" b="1">
              <a:solidFill>
                <a:schemeClr val="dk1"/>
              </a:solidFill>
              <a:effectLst/>
              <a:latin typeface="+mn-lt"/>
              <a:ea typeface="+mn-ea"/>
              <a:cs typeface="+mn-cs"/>
            </a:rPr>
            <a:t>per WTE</a:t>
          </a:r>
          <a:r>
            <a:rPr lang="en-GB" sz="1400">
              <a:solidFill>
                <a:schemeClr val="dk1"/>
              </a:solidFill>
              <a:effectLst/>
              <a:latin typeface="+mn-lt"/>
              <a:ea typeface="+mn-ea"/>
              <a:cs typeface="+mn-cs"/>
            </a:rPr>
            <a:t> the Unit can be linked to the sum of WTEs (cell E39). </a:t>
          </a:r>
          <a:r>
            <a:rPr lang="en-GB" sz="1400" baseline="0">
              <a:solidFill>
                <a:schemeClr val="dk1"/>
              </a:solidFill>
              <a:effectLst/>
              <a:latin typeface="+mn-lt"/>
              <a:ea typeface="+mn-ea"/>
              <a:cs typeface="+mn-cs"/>
            </a:rPr>
            <a:t> </a:t>
          </a:r>
          <a:endParaRPr lang="en-GB" sz="1400">
            <a:effectLst/>
          </a:endParaRPr>
        </a:p>
      </xdr:txBody>
    </xdr:sp>
    <xdr:clientData/>
  </xdr:twoCellAnchor>
  <xdr:twoCellAnchor>
    <xdr:from>
      <xdr:col>0</xdr:col>
      <xdr:colOff>546100</xdr:colOff>
      <xdr:row>28</xdr:row>
      <xdr:rowOff>12700</xdr:rowOff>
    </xdr:from>
    <xdr:to>
      <xdr:col>0</xdr:col>
      <xdr:colOff>3526928</xdr:colOff>
      <xdr:row>37</xdr:row>
      <xdr:rowOff>36830</xdr:rowOff>
    </xdr:to>
    <xdr:sp macro="" textlink="">
      <xdr:nvSpPr>
        <xdr:cNvPr id="12" name="TextBox 11"/>
        <xdr:cNvSpPr txBox="1"/>
      </xdr:nvSpPr>
      <xdr:spPr>
        <a:xfrm>
          <a:off x="546100" y="6743700"/>
          <a:ext cx="2980828" cy="173863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400" b="0" baseline="0">
              <a:solidFill>
                <a:schemeClr val="dk1"/>
              </a:solidFill>
              <a:effectLst/>
              <a:latin typeface="+mn-lt"/>
              <a:ea typeface="+mn-ea"/>
              <a:cs typeface="+mn-cs"/>
            </a:rPr>
            <a:t>Input staffing figures needed to provide additional service.</a:t>
          </a:r>
          <a:endParaRPr lang="en-GB" sz="1400">
            <a:effectLst/>
          </a:endParaRPr>
        </a:p>
        <a:p>
          <a:pPr eaLnBrk="1" fontAlgn="auto" latinLnBrk="0" hangingPunct="1"/>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endParaRPr lang="en-GB" sz="14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86</xdr:row>
      <xdr:rowOff>436824</xdr:rowOff>
    </xdr:from>
    <xdr:to>
      <xdr:col>0</xdr:col>
      <xdr:colOff>0</xdr:colOff>
      <xdr:row>90</xdr:row>
      <xdr:rowOff>190507</xdr:rowOff>
    </xdr:to>
    <xdr:sp macro="" textlink="">
      <xdr:nvSpPr>
        <xdr:cNvPr id="2" name="TextBox 1"/>
        <xdr:cNvSpPr txBox="1"/>
      </xdr:nvSpPr>
      <xdr:spPr>
        <a:xfrm>
          <a:off x="0" y="16461684"/>
          <a:ext cx="0" cy="729043"/>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t>there is</a:t>
          </a:r>
          <a:r>
            <a:rPr lang="en-GB" sz="1600" baseline="0"/>
            <a:t> some evidence that  care plans and proactive management lead to increased contacts in primary  and community care.</a:t>
          </a:r>
        </a:p>
        <a:p>
          <a:r>
            <a:rPr lang="en-GB" sz="1600" baseline="0"/>
            <a:t> these figures feed from input data above</a:t>
          </a:r>
          <a:endParaRPr lang="en-GB" sz="1600"/>
        </a:p>
      </xdr:txBody>
    </xdr:sp>
    <xdr:clientData/>
  </xdr:twoCellAnchor>
  <xdr:twoCellAnchor>
    <xdr:from>
      <xdr:col>0</xdr:col>
      <xdr:colOff>354330</xdr:colOff>
      <xdr:row>11</xdr:row>
      <xdr:rowOff>182130</xdr:rowOff>
    </xdr:from>
    <xdr:to>
      <xdr:col>0</xdr:col>
      <xdr:colOff>3378200</xdr:colOff>
      <xdr:row>20</xdr:row>
      <xdr:rowOff>25400</xdr:rowOff>
    </xdr:to>
    <xdr:sp macro="" textlink="">
      <xdr:nvSpPr>
        <xdr:cNvPr id="3" name="TextBox 2"/>
        <xdr:cNvSpPr txBox="1"/>
      </xdr:nvSpPr>
      <xdr:spPr>
        <a:xfrm>
          <a:off x="354330" y="2899930"/>
          <a:ext cx="3023870" cy="174827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pPr>
          <a:r>
            <a:rPr lang="en-GB" sz="1400"/>
            <a:t>Size of Target Client Group - National Intervention definition suggests targeting 5% of the population, however, savings are sensitive to the number of  admissions avoided, hence population targeted needs to reflect a sufficient level of morbidity. </a:t>
          </a:r>
        </a:p>
      </xdr:txBody>
    </xdr:sp>
    <xdr:clientData/>
  </xdr:twoCellAnchor>
  <xdr:twoCellAnchor>
    <xdr:from>
      <xdr:col>0</xdr:col>
      <xdr:colOff>203430</xdr:colOff>
      <xdr:row>61</xdr:row>
      <xdr:rowOff>358198</xdr:rowOff>
    </xdr:from>
    <xdr:to>
      <xdr:col>0</xdr:col>
      <xdr:colOff>3149599</xdr:colOff>
      <xdr:row>71</xdr:row>
      <xdr:rowOff>12700</xdr:rowOff>
    </xdr:to>
    <xdr:sp macro="" textlink="">
      <xdr:nvSpPr>
        <xdr:cNvPr id="4" name="TextBox 3"/>
        <xdr:cNvSpPr txBox="1"/>
      </xdr:nvSpPr>
      <xdr:spPr>
        <a:xfrm>
          <a:off x="203430" y="14277398"/>
          <a:ext cx="2946169" cy="192780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lang="en-GB" sz="1400"/>
            <a:t> Estimate Number Needed to Treat:</a:t>
          </a:r>
          <a:r>
            <a:rPr lang="en-GB" sz="1400" baseline="0"/>
            <a:t> t</a:t>
          </a:r>
          <a:r>
            <a:rPr lang="en-GB" sz="1400"/>
            <a:t>he evidence tab provides examples of randomised control trials for this client group and intervention. These quote the number of clients who need to receive the intervention to avoid one admission. These can be used as a guide to set a range.</a:t>
          </a:r>
        </a:p>
      </xdr:txBody>
    </xdr:sp>
    <xdr:clientData/>
  </xdr:twoCellAnchor>
  <xdr:twoCellAnchor>
    <xdr:from>
      <xdr:col>0</xdr:col>
      <xdr:colOff>80818</xdr:colOff>
      <xdr:row>1</xdr:row>
      <xdr:rowOff>203893</xdr:rowOff>
    </xdr:from>
    <xdr:to>
      <xdr:col>0</xdr:col>
      <xdr:colOff>3423173</xdr:colOff>
      <xdr:row>3</xdr:row>
      <xdr:rowOff>53542</xdr:rowOff>
    </xdr:to>
    <xdr:sp macro="" textlink="">
      <xdr:nvSpPr>
        <xdr:cNvPr id="5" name="TextBox 4"/>
        <xdr:cNvSpPr txBox="1"/>
      </xdr:nvSpPr>
      <xdr:spPr>
        <a:xfrm>
          <a:off x="80818" y="363913"/>
          <a:ext cx="530575" cy="23826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click on '</a:t>
          </a:r>
          <a:r>
            <a:rPr lang="en-GB" sz="1400" baseline="0"/>
            <a:t> - ' symbol above to hide guidance</a:t>
          </a:r>
          <a:endParaRPr lang="en-GB" sz="1400"/>
        </a:p>
      </xdr:txBody>
    </xdr:sp>
    <xdr:clientData/>
  </xdr:twoCellAnchor>
  <xdr:twoCellAnchor>
    <xdr:from>
      <xdr:col>0</xdr:col>
      <xdr:colOff>0</xdr:colOff>
      <xdr:row>27</xdr:row>
      <xdr:rowOff>1127125</xdr:rowOff>
    </xdr:from>
    <xdr:to>
      <xdr:col>0</xdr:col>
      <xdr:colOff>0</xdr:colOff>
      <xdr:row>37</xdr:row>
      <xdr:rowOff>304809</xdr:rowOff>
    </xdr:to>
    <xdr:sp macro="" textlink="">
      <xdr:nvSpPr>
        <xdr:cNvPr id="6" name="TextBox 5"/>
        <xdr:cNvSpPr txBox="1"/>
      </xdr:nvSpPr>
      <xdr:spPr>
        <a:xfrm>
          <a:off x="0" y="4937125"/>
          <a:ext cx="0" cy="182944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800" b="0" baseline="0">
              <a:solidFill>
                <a:schemeClr val="dk1"/>
              </a:solidFill>
              <a:effectLst/>
              <a:latin typeface="+mn-lt"/>
              <a:ea typeface="+mn-ea"/>
              <a:cs typeface="+mn-cs"/>
            </a:rPr>
            <a:t>Input staffing figures needed to provide additional service.</a:t>
          </a:r>
        </a:p>
        <a:p>
          <a:r>
            <a:rPr lang="en-GB" sz="1800" b="0" baseline="0">
              <a:solidFill>
                <a:schemeClr val="dk1"/>
              </a:solidFill>
              <a:effectLst/>
              <a:latin typeface="+mn-lt"/>
              <a:ea typeface="+mn-ea"/>
              <a:cs typeface="+mn-cs"/>
            </a:rPr>
            <a:t>staff cost is based on Agenda for change mid range value for band plus adjustment for pension and on cost. Users can select to add on further uplift for high cost areas (cell C18 Resource and cost assumptions tab)</a:t>
          </a:r>
          <a:endParaRPr lang="en-GB" sz="1800" b="0"/>
        </a:p>
      </xdr:txBody>
    </xdr:sp>
    <xdr:clientData/>
  </xdr:twoCellAnchor>
  <xdr:twoCellAnchor>
    <xdr:from>
      <xdr:col>0</xdr:col>
      <xdr:colOff>185420</xdr:colOff>
      <xdr:row>55</xdr:row>
      <xdr:rowOff>101600</xdr:rowOff>
    </xdr:from>
    <xdr:to>
      <xdr:col>0</xdr:col>
      <xdr:colOff>3528203</xdr:colOff>
      <xdr:row>61</xdr:row>
      <xdr:rowOff>101600</xdr:rowOff>
    </xdr:to>
    <xdr:sp macro="" textlink="">
      <xdr:nvSpPr>
        <xdr:cNvPr id="7" name="TextBox 6"/>
        <xdr:cNvSpPr txBox="1"/>
      </xdr:nvSpPr>
      <xdr:spPr>
        <a:xfrm>
          <a:off x="185420" y="12496800"/>
          <a:ext cx="3342783" cy="15240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These are the additional</a:t>
          </a:r>
          <a:r>
            <a:rPr lang="en-GB" sz="1400" baseline="0"/>
            <a:t> contacts due to the patient having a care plan and more proactive care. Do not count the contacts a patient would have had anyway if not on a care plan, or contacts that are within the resources of the intervention above.</a:t>
          </a:r>
          <a:endParaRPr lang="en-GB" sz="1400"/>
        </a:p>
      </xdr:txBody>
    </xdr:sp>
    <xdr:clientData/>
  </xdr:twoCellAnchor>
  <xdr:twoCellAnchor>
    <xdr:from>
      <xdr:col>0</xdr:col>
      <xdr:colOff>50800</xdr:colOff>
      <xdr:row>35</xdr:row>
      <xdr:rowOff>12700</xdr:rowOff>
    </xdr:from>
    <xdr:to>
      <xdr:col>0</xdr:col>
      <xdr:colOff>3378200</xdr:colOff>
      <xdr:row>41</xdr:row>
      <xdr:rowOff>127000</xdr:rowOff>
    </xdr:to>
    <xdr:sp macro="" textlink="">
      <xdr:nvSpPr>
        <xdr:cNvPr id="8" name="TextBox 7"/>
        <xdr:cNvSpPr txBox="1"/>
      </xdr:nvSpPr>
      <xdr:spPr>
        <a:xfrm>
          <a:off x="50800" y="7861300"/>
          <a:ext cx="3327400" cy="16383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Users can  input a number or a formula</a:t>
          </a:r>
          <a:r>
            <a:rPr lang="en-GB" sz="1400" baseline="0">
              <a:solidFill>
                <a:schemeClr val="dk1"/>
              </a:solidFill>
              <a:effectLst/>
              <a:latin typeface="+mn-lt"/>
              <a:ea typeface="+mn-ea"/>
              <a:cs typeface="+mn-cs"/>
            </a:rPr>
            <a:t> in the Unit column </a:t>
          </a:r>
          <a:r>
            <a:rPr lang="en-GB" sz="1400">
              <a:solidFill>
                <a:schemeClr val="dk1"/>
              </a:solidFill>
              <a:effectLst/>
              <a:latin typeface="+mn-lt"/>
              <a:ea typeface="+mn-ea"/>
              <a:cs typeface="+mn-cs"/>
            </a:rPr>
            <a:t>as appropriate. If an additional cost is </a:t>
          </a:r>
          <a:r>
            <a:rPr lang="en-GB" sz="1400" b="1">
              <a:solidFill>
                <a:schemeClr val="dk1"/>
              </a:solidFill>
              <a:effectLst/>
              <a:latin typeface="+mn-lt"/>
              <a:ea typeface="+mn-ea"/>
              <a:cs typeface="+mn-cs"/>
            </a:rPr>
            <a:t>per patient</a:t>
          </a:r>
          <a:r>
            <a:rPr lang="en-GB" sz="1400">
              <a:solidFill>
                <a:schemeClr val="dk1"/>
              </a:solidFill>
              <a:effectLst/>
              <a:latin typeface="+mn-lt"/>
              <a:ea typeface="+mn-ea"/>
              <a:cs typeface="+mn-cs"/>
            </a:rPr>
            <a:t> the Unit can</a:t>
          </a:r>
          <a:r>
            <a:rPr lang="en-GB" sz="1400" baseline="0">
              <a:solidFill>
                <a:schemeClr val="dk1"/>
              </a:solidFill>
              <a:effectLst/>
              <a:latin typeface="+mn-lt"/>
              <a:ea typeface="+mn-ea"/>
              <a:cs typeface="+mn-cs"/>
            </a:rPr>
            <a:t> be</a:t>
          </a:r>
          <a:r>
            <a:rPr lang="en-GB" sz="1400">
              <a:solidFill>
                <a:schemeClr val="dk1"/>
              </a:solidFill>
              <a:effectLst/>
              <a:latin typeface="+mn-lt"/>
              <a:ea typeface="+mn-ea"/>
              <a:cs typeface="+mn-cs"/>
            </a:rPr>
            <a:t> linked to Number</a:t>
          </a:r>
          <a:r>
            <a:rPr lang="en-GB" sz="1400" baseline="0">
              <a:solidFill>
                <a:schemeClr val="dk1"/>
              </a:solidFill>
              <a:effectLst/>
              <a:latin typeface="+mn-lt"/>
              <a:ea typeface="+mn-ea"/>
              <a:cs typeface="+mn-cs"/>
            </a:rPr>
            <a:t> of patients</a:t>
          </a:r>
          <a:r>
            <a:rPr lang="en-GB" sz="1400">
              <a:solidFill>
                <a:schemeClr val="dk1"/>
              </a:solidFill>
              <a:effectLst/>
              <a:latin typeface="+mn-lt"/>
              <a:ea typeface="+mn-ea"/>
              <a:cs typeface="+mn-cs"/>
            </a:rPr>
            <a:t> (cell L45). If an additional cost is </a:t>
          </a:r>
          <a:r>
            <a:rPr lang="en-GB" sz="1400" b="1">
              <a:solidFill>
                <a:schemeClr val="dk1"/>
              </a:solidFill>
              <a:effectLst/>
              <a:latin typeface="+mn-lt"/>
              <a:ea typeface="+mn-ea"/>
              <a:cs typeface="+mn-cs"/>
            </a:rPr>
            <a:t>per WTE</a:t>
          </a:r>
          <a:r>
            <a:rPr lang="en-GB" sz="1400">
              <a:solidFill>
                <a:schemeClr val="dk1"/>
              </a:solidFill>
              <a:effectLst/>
              <a:latin typeface="+mn-lt"/>
              <a:ea typeface="+mn-ea"/>
              <a:cs typeface="+mn-cs"/>
            </a:rPr>
            <a:t> the Unit can be linked to the sum of WTEs (cell E34). </a:t>
          </a:r>
          <a:r>
            <a:rPr lang="en-GB" sz="1400" baseline="0">
              <a:solidFill>
                <a:schemeClr val="dk1"/>
              </a:solidFill>
              <a:effectLst/>
              <a:latin typeface="+mn-lt"/>
              <a:ea typeface="+mn-ea"/>
              <a:cs typeface="+mn-cs"/>
            </a:rPr>
            <a:t> </a:t>
          </a:r>
          <a:endParaRPr lang="en-GB" sz="1400">
            <a:effectLst/>
          </a:endParaRPr>
        </a:p>
      </xdr:txBody>
    </xdr:sp>
    <xdr:clientData/>
  </xdr:twoCellAnchor>
  <xdr:twoCellAnchor>
    <xdr:from>
      <xdr:col>0</xdr:col>
      <xdr:colOff>317500</xdr:colOff>
      <xdr:row>24</xdr:row>
      <xdr:rowOff>190500</xdr:rowOff>
    </xdr:from>
    <xdr:to>
      <xdr:col>0</xdr:col>
      <xdr:colOff>3298328</xdr:colOff>
      <xdr:row>32</xdr:row>
      <xdr:rowOff>24130</xdr:rowOff>
    </xdr:to>
    <xdr:sp macro="" textlink="">
      <xdr:nvSpPr>
        <xdr:cNvPr id="9" name="TextBox 8"/>
        <xdr:cNvSpPr txBox="1"/>
      </xdr:nvSpPr>
      <xdr:spPr>
        <a:xfrm>
          <a:off x="317500" y="5575300"/>
          <a:ext cx="2980828" cy="173863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400" b="0" baseline="0">
              <a:solidFill>
                <a:schemeClr val="dk1"/>
              </a:solidFill>
              <a:effectLst/>
              <a:latin typeface="+mn-lt"/>
              <a:ea typeface="+mn-ea"/>
              <a:cs typeface="+mn-cs"/>
            </a:rPr>
            <a:t>Input staffing figures needed to provide additional service.</a:t>
          </a:r>
          <a:endParaRPr lang="en-GB" sz="1400">
            <a:effectLst/>
          </a:endParaRPr>
        </a:p>
        <a:p>
          <a:pPr eaLnBrk="1" fontAlgn="auto" latinLnBrk="0" hangingPunct="1"/>
          <a:r>
            <a:rPr lang="en-GB" sz="1400" b="0" baseline="0">
              <a:solidFill>
                <a:schemeClr val="dk1"/>
              </a:solidFill>
              <a:effectLst/>
              <a:latin typeface="+mn-lt"/>
              <a:ea typeface="+mn-ea"/>
              <a:cs typeface="+mn-cs"/>
            </a:rPr>
            <a:t>Staff cost is based on Agenda for Change mid-range value for band plus adjustment for pension and on-cost. Users can add on further uplift for high cost areas (see staff_costs tab).</a:t>
          </a:r>
          <a:endParaRPr lang="en-GB" sz="140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Documents%20and%20Settings/senevij/Local%20Settings/Temporary%20Internet%20Files/OLK6D/FertAssCha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ikesavage/Downloads/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forecast/hist20/CHSPD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RAFT2/Rev03/Unified%20Allocations/Data/Weights/2003MFFWeigh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RAFT2/Rev03/Unified%20Allocations/Components/2003HC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ikesavage/Downloads/oasisdata7/homedirs/Program%20Files/FileNET/IDM/Cache/2003012410152300001/all%20the%20char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rkyv/CheckOut/Long-term%20model%202009%7bdb5-doc3966101-ma1-mi14%7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VAIDS"/>
      <sheetName val="Table 1"/>
      <sheetName val="Table 2"/>
      <sheetName val="Table 3"/>
      <sheetName val="Table 3.1"/>
      <sheetName val="Table 4"/>
      <sheetName val="Table 5"/>
      <sheetName val="Table 6"/>
      <sheetName val="Table 7.9"/>
      <sheetName val="Table 4%"/>
      <sheetName val="Table_1"/>
      <sheetName val="Table_2"/>
      <sheetName val="Table_3"/>
      <sheetName val="Table_3_1"/>
      <sheetName val="Table_4"/>
      <sheetName val="Table_5"/>
      <sheetName val="Table_6"/>
      <sheetName val="Table_7_9"/>
      <sheetName val="Table_4%"/>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2"/>
      <sheetName val="Table 5.3 &amp; 5.4"/>
      <sheetName val="Table 5.5 "/>
      <sheetName val="Table 5.6"/>
      <sheetName val="Table 5.15"/>
      <sheetName val="Table 5.16"/>
      <sheetName val="Table 5.17"/>
      <sheetName val="Table 5.18"/>
      <sheetName val="Table 5.19"/>
      <sheetName val="Table 5.20"/>
      <sheetName val="Table 5.5"/>
      <sheetName val="Table 5.7"/>
      <sheetName val="Table 5.8"/>
      <sheetName val="Table 5.9"/>
      <sheetName val="Table 5.10"/>
      <sheetName val="Table 5.11"/>
      <sheetName val="Table 5.12"/>
      <sheetName val="Table 5.13"/>
      <sheetName val="Table 5.14"/>
      <sheetName val="2003HCHS"/>
      <sheetName val="#REF"/>
      <sheetName val="Table_5_6"/>
      <sheetName val="Table_5_2"/>
      <sheetName val="Table_5_3_&amp;_5_4"/>
      <sheetName val="Table_5_5_"/>
      <sheetName val="Table_5_15"/>
      <sheetName val="Table_5_16"/>
      <sheetName val="Table_5_17"/>
      <sheetName val="Table_5_18"/>
      <sheetName val="Table_5_19"/>
      <sheetName val="Table_5_20"/>
      <sheetName val="Table_5_5"/>
      <sheetName val="Table_5_7"/>
      <sheetName val="Table_5_8"/>
      <sheetName val="Table_5_9"/>
      <sheetName val="Table_5_10"/>
      <sheetName val="Table_5_11"/>
      <sheetName val="Table_5_12"/>
      <sheetName val="Table_5_13"/>
      <sheetName val="Table_5_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 ten year bond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4.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5.bin"/><Relationship Id="rId4" Type="http://schemas.openxmlformats.org/officeDocument/2006/relationships/comments" Target="../comments19.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hyperlink" Target="https://www.nice.org.uk/Media/Default/About/Who-we-are/Local%20Practice/13-0010-qpcs-crisis-falls.pdf" TargetMode="Externa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http://www.primarycarefoundation.co.uk/commissioning-urgent-care.html"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www.ambulatoryemergencycare.org.uk/" TargetMode="Externa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7.xml.rels><?xml version="1.0" encoding="UTF-8" standalone="yes"?>
<Relationships xmlns="http://schemas.openxmlformats.org/package/2006/relationships"><Relationship Id="rId1" Type="http://schemas.openxmlformats.org/officeDocument/2006/relationships/hyperlink" Target="https://www.nao.org.uk/wp-content/uploads/2015/11/Stocktake-of-access-to-general-practice-in-England.pdf" TargetMode="Externa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s://www.nice.org.uk/guidance/ng5/chapter/1-Recommendations"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nwas.nhs.uk/professionals/paramedic-pathfind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2.xml.rels><?xml version="1.0" encoding="UTF-8" standalone="yes"?>
<Relationships xmlns="http://schemas.openxmlformats.org/package/2006/relationships"><Relationship Id="rId1" Type="http://schemas.openxmlformats.org/officeDocument/2006/relationships/hyperlink" Target="https://www.gov.uk/guidance/moving-healthcare-closer-to-home"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hyperlink" Target="http://www.nursingtimes.net/roles/older-people-nursing/training-in-care-homes-to-reduce-avoidable-harm/5064668.article" TargetMode="External"/><Relationship Id="rId1" Type="http://schemas.openxmlformats.org/officeDocument/2006/relationships/hyperlink" Target="http://www.qualitywatch.org.uk/content/about-hospital-admissions-care-homes" TargetMode="External"/></Relationships>
</file>

<file path=xl/worksheets/_rels/sheet64.xml.rels><?xml version="1.0" encoding="UTF-8" standalone="yes"?>
<Relationships xmlns="http://schemas.openxmlformats.org/package/2006/relationships"><Relationship Id="rId2" Type="http://schemas.openxmlformats.org/officeDocument/2006/relationships/hyperlink" Target="http://www.nursingtimes.net/roles/older-people-nursing/training-in-care-homes-to-reduce-avoidable-harm/5064668.article" TargetMode="External"/><Relationship Id="rId1" Type="http://schemas.openxmlformats.org/officeDocument/2006/relationships/hyperlink" Target="http://www.qualitywatch.org.uk/content/about-hospital-admissions-care-homes"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www.qualitywatch.org.uk/content/about-hospital-admissions-care-home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38"/>
  <sheetViews>
    <sheetView showGridLines="0" tabSelected="1" zoomScaleSheetLayoutView="100" workbookViewId="0">
      <selection activeCell="L29" sqref="L29"/>
    </sheetView>
  </sheetViews>
  <sheetFormatPr defaultColWidth="9.7109375" defaultRowHeight="12.75"/>
  <cols>
    <col min="1" max="5" width="9.7109375" style="8" customWidth="1"/>
    <col min="6" max="6" width="10.140625" style="8" customWidth="1"/>
    <col min="7" max="8" width="9.7109375" style="8" customWidth="1"/>
    <col min="9" max="16384" width="9.7109375" style="8"/>
  </cols>
  <sheetData>
    <row r="1" spans="1:12">
      <c r="A1" s="25"/>
      <c r="B1" s="25"/>
      <c r="C1" s="25"/>
      <c r="D1" s="25"/>
      <c r="E1" s="25"/>
      <c r="F1" s="25"/>
      <c r="G1" s="25"/>
      <c r="H1" s="25"/>
      <c r="I1" s="25"/>
      <c r="J1" s="25"/>
      <c r="K1" s="25"/>
      <c r="L1" s="25"/>
    </row>
    <row r="2" spans="1:12" ht="18.75">
      <c r="A2" s="25"/>
      <c r="B2" s="25"/>
      <c r="C2" s="25"/>
      <c r="D2" s="25"/>
      <c r="E2" s="25"/>
      <c r="F2" s="26">
        <v>0</v>
      </c>
      <c r="G2" s="25"/>
      <c r="H2" s="25"/>
      <c r="I2" s="25"/>
      <c r="J2" s="25"/>
      <c r="K2" s="25"/>
      <c r="L2" s="25"/>
    </row>
    <row r="3" spans="1:12">
      <c r="A3" s="25"/>
      <c r="B3" s="25"/>
      <c r="C3" s="25"/>
      <c r="D3" s="25"/>
      <c r="E3" s="25"/>
      <c r="F3" s="27"/>
      <c r="G3" s="27"/>
      <c r="H3" s="25"/>
      <c r="I3" s="25"/>
      <c r="J3" s="25"/>
      <c r="K3" s="25"/>
      <c r="L3" s="25"/>
    </row>
    <row r="4" spans="1:12" ht="15">
      <c r="A4" s="1"/>
      <c r="B4" s="1"/>
      <c r="C4" s="1"/>
      <c r="D4" s="1"/>
      <c r="E4" s="1"/>
      <c r="F4" s="27"/>
      <c r="G4" s="28"/>
      <c r="H4" s="28"/>
      <c r="I4" s="25"/>
      <c r="J4" s="25"/>
      <c r="K4" s="25"/>
      <c r="L4" s="25"/>
    </row>
    <row r="5" spans="1:12" ht="15">
      <c r="A5" s="1"/>
      <c r="B5" s="1"/>
      <c r="C5" s="1"/>
      <c r="D5" s="1"/>
      <c r="E5" s="1"/>
      <c r="F5" s="27"/>
      <c r="G5" s="28"/>
      <c r="H5" s="28"/>
      <c r="I5" s="25"/>
      <c r="J5" s="25"/>
      <c r="K5" s="25"/>
      <c r="L5" s="25"/>
    </row>
    <row r="6" spans="1:12" ht="15">
      <c r="A6" s="1"/>
      <c r="B6" s="1"/>
      <c r="C6" s="1"/>
      <c r="D6" s="1"/>
      <c r="E6" s="1"/>
      <c r="F6" s="27"/>
      <c r="G6" s="28"/>
      <c r="H6" s="28"/>
      <c r="I6" s="25"/>
      <c r="J6" s="25"/>
      <c r="K6" s="25"/>
      <c r="L6" s="25"/>
    </row>
    <row r="7" spans="1:12" ht="12.75" customHeight="1">
      <c r="A7" s="1"/>
      <c r="B7" s="1"/>
      <c r="C7" s="1"/>
      <c r="D7" s="1"/>
      <c r="E7" s="1"/>
      <c r="F7" s="27"/>
      <c r="G7" s="28"/>
      <c r="H7" s="28"/>
      <c r="I7" s="25"/>
      <c r="J7" s="25"/>
      <c r="K7" s="25"/>
      <c r="L7" s="25"/>
    </row>
    <row r="8" spans="1:12" ht="15">
      <c r="A8" s="1"/>
      <c r="B8" s="1"/>
      <c r="C8" s="1"/>
      <c r="D8" s="1"/>
      <c r="E8" s="1"/>
      <c r="F8" s="27"/>
      <c r="G8" s="28"/>
      <c r="H8" s="28"/>
      <c r="I8" s="25"/>
      <c r="J8" s="25"/>
      <c r="K8" s="25"/>
      <c r="L8" s="25"/>
    </row>
    <row r="9" spans="1:12" ht="15">
      <c r="A9" s="1"/>
      <c r="B9" s="1"/>
      <c r="C9" s="1"/>
      <c r="D9" s="1"/>
      <c r="E9" s="1"/>
      <c r="F9" s="2248" t="s">
        <v>1331</v>
      </c>
      <c r="G9" s="28"/>
      <c r="H9" s="28"/>
      <c r="I9" s="25"/>
      <c r="J9" s="25"/>
      <c r="K9" s="25"/>
      <c r="L9" s="25"/>
    </row>
    <row r="10" spans="1:12" ht="15">
      <c r="A10" s="1"/>
      <c r="B10" s="1"/>
      <c r="C10" s="1"/>
      <c r="D10" s="1"/>
      <c r="E10" s="1"/>
      <c r="F10" s="27"/>
      <c r="G10" s="28"/>
      <c r="H10" s="28"/>
      <c r="I10" s="25"/>
      <c r="J10" s="25"/>
      <c r="K10" s="25"/>
      <c r="L10" s="25"/>
    </row>
    <row r="11" spans="1:12" ht="15">
      <c r="A11" s="1"/>
      <c r="B11" s="1"/>
      <c r="C11" s="1"/>
      <c r="D11" s="1"/>
      <c r="E11" s="1"/>
      <c r="F11" s="27"/>
      <c r="G11" s="28"/>
      <c r="H11" s="28"/>
      <c r="I11" s="25"/>
      <c r="J11" s="25"/>
      <c r="K11" s="25"/>
      <c r="L11" s="25"/>
    </row>
    <row r="12" spans="1:12">
      <c r="A12" s="25"/>
      <c r="B12" s="25"/>
      <c r="C12" s="27"/>
      <c r="D12" s="28"/>
      <c r="E12" s="29"/>
      <c r="F12" s="27"/>
      <c r="G12" s="28"/>
      <c r="H12" s="28"/>
      <c r="I12" s="25"/>
      <c r="J12" s="25"/>
      <c r="K12" s="25"/>
      <c r="L12" s="25"/>
    </row>
    <row r="13" spans="1:12">
      <c r="A13" s="25"/>
      <c r="B13" s="25"/>
      <c r="C13" s="30"/>
      <c r="D13" s="28"/>
      <c r="E13" s="28"/>
      <c r="F13" s="27"/>
      <c r="G13" s="28"/>
      <c r="H13" s="28"/>
      <c r="I13" s="25"/>
      <c r="J13" s="25"/>
      <c r="K13" s="25"/>
      <c r="L13" s="25"/>
    </row>
    <row r="14" spans="1:12" ht="26.25" hidden="1" customHeight="1">
      <c r="A14" s="25"/>
      <c r="B14" s="25"/>
      <c r="C14" s="31"/>
      <c r="D14" s="28"/>
      <c r="E14" s="28"/>
      <c r="F14" s="27"/>
      <c r="G14" s="28"/>
      <c r="H14" s="28"/>
      <c r="I14" s="25"/>
      <c r="J14" s="25"/>
      <c r="K14" s="25"/>
      <c r="L14" s="25"/>
    </row>
    <row r="15" spans="1:12" ht="12.75" hidden="1" customHeight="1">
      <c r="A15" s="25"/>
      <c r="B15" s="25"/>
      <c r="C15" s="30"/>
      <c r="D15" s="28"/>
      <c r="E15" s="28"/>
      <c r="F15" s="27"/>
      <c r="G15" s="28"/>
      <c r="H15" s="28"/>
      <c r="I15" s="25"/>
      <c r="J15" s="25"/>
      <c r="K15" s="25"/>
      <c r="L15" s="25"/>
    </row>
    <row r="16" spans="1:12" ht="12.75" hidden="1" customHeight="1">
      <c r="A16" s="25"/>
      <c r="B16" s="25"/>
      <c r="C16" s="32"/>
      <c r="D16" s="28"/>
      <c r="E16" s="28"/>
      <c r="F16" s="27"/>
      <c r="G16" s="28"/>
      <c r="H16" s="28"/>
      <c r="I16" s="25"/>
      <c r="J16" s="25"/>
      <c r="K16" s="25"/>
      <c r="L16" s="25"/>
    </row>
    <row r="17" spans="1:24" ht="12.75" hidden="1" customHeight="1">
      <c r="A17" s="25"/>
      <c r="B17" s="25"/>
      <c r="C17" s="33"/>
      <c r="D17" s="28"/>
      <c r="E17" s="28"/>
      <c r="F17" s="27"/>
      <c r="G17" s="28"/>
      <c r="H17" s="28"/>
      <c r="I17" s="25"/>
      <c r="J17" s="25"/>
      <c r="K17" s="25"/>
      <c r="L17" s="25"/>
    </row>
    <row r="18" spans="1:24">
      <c r="A18" s="25"/>
      <c r="B18" s="25"/>
      <c r="C18" s="33"/>
      <c r="D18" s="28"/>
      <c r="E18" s="28"/>
      <c r="F18" s="27"/>
      <c r="G18" s="28"/>
      <c r="H18" s="28"/>
      <c r="I18" s="25"/>
      <c r="J18" s="25"/>
      <c r="K18" s="25"/>
      <c r="L18" s="25"/>
    </row>
    <row r="19" spans="1:24">
      <c r="A19" s="25"/>
      <c r="B19" s="25"/>
      <c r="C19" s="33"/>
      <c r="D19" s="28"/>
      <c r="E19" s="28"/>
      <c r="F19" s="30"/>
      <c r="G19" s="28"/>
      <c r="H19" s="28"/>
      <c r="I19" s="25"/>
      <c r="J19" s="25"/>
      <c r="K19" s="25"/>
      <c r="L19" s="25"/>
    </row>
    <row r="20" spans="1:24">
      <c r="A20" s="25"/>
      <c r="B20" s="25"/>
      <c r="C20" s="33"/>
      <c r="D20" s="27"/>
      <c r="E20" s="27"/>
      <c r="F20" s="27"/>
      <c r="G20" s="27"/>
      <c r="H20" s="27"/>
      <c r="I20" s="25"/>
      <c r="J20" s="25"/>
      <c r="K20" s="25"/>
      <c r="L20" s="25"/>
    </row>
    <row r="21" spans="1:24">
      <c r="A21" s="25"/>
      <c r="B21" s="25"/>
      <c r="C21" s="33"/>
      <c r="D21" s="27"/>
      <c r="E21" s="27"/>
      <c r="F21" s="27"/>
      <c r="G21" s="27"/>
      <c r="H21" s="27"/>
      <c r="I21" s="27"/>
      <c r="J21" s="27"/>
      <c r="K21" s="27"/>
      <c r="L21" s="27"/>
      <c r="M21" s="9"/>
      <c r="N21" s="9"/>
      <c r="O21" s="9"/>
      <c r="P21" s="9"/>
      <c r="Q21" s="9"/>
      <c r="R21" s="9"/>
      <c r="S21" s="9"/>
      <c r="T21" s="9"/>
      <c r="U21" s="9"/>
      <c r="V21" s="9"/>
      <c r="W21" s="9"/>
      <c r="X21" s="9"/>
    </row>
    <row r="22" spans="1:24">
      <c r="A22" s="25"/>
      <c r="B22" s="25"/>
      <c r="C22" s="34"/>
      <c r="D22" s="27"/>
      <c r="E22" s="27"/>
      <c r="F22" s="27"/>
      <c r="G22" s="27"/>
      <c r="H22" s="27"/>
      <c r="I22" s="27"/>
      <c r="J22" s="27"/>
      <c r="K22" s="27"/>
      <c r="L22" s="27"/>
      <c r="M22" s="9"/>
      <c r="N22" s="9"/>
      <c r="O22" s="9"/>
      <c r="P22" s="9"/>
      <c r="Q22" s="9"/>
      <c r="R22" s="9"/>
      <c r="S22" s="9"/>
      <c r="T22" s="9"/>
      <c r="U22" s="9"/>
      <c r="V22" s="9"/>
      <c r="W22" s="9"/>
      <c r="X22" s="9"/>
    </row>
    <row r="23" spans="1:24">
      <c r="A23" s="25"/>
      <c r="B23" s="25"/>
      <c r="C23" s="34"/>
      <c r="D23" s="27"/>
      <c r="E23" s="27"/>
      <c r="F23" s="27"/>
      <c r="G23" s="27"/>
      <c r="H23" s="27"/>
      <c r="I23" s="27"/>
      <c r="J23" s="27"/>
      <c r="K23" s="27"/>
      <c r="L23" s="27"/>
      <c r="M23" s="9"/>
      <c r="N23" s="9"/>
      <c r="O23" s="9"/>
      <c r="P23" s="9"/>
      <c r="Q23" s="9"/>
      <c r="R23" s="9"/>
      <c r="S23" s="9"/>
      <c r="T23" s="9"/>
      <c r="U23" s="9"/>
      <c r="V23" s="9"/>
      <c r="W23" s="9"/>
      <c r="X23" s="9"/>
    </row>
    <row r="24" spans="1:24">
      <c r="A24" s="25"/>
      <c r="B24" s="25"/>
      <c r="C24" s="34"/>
      <c r="D24" s="27"/>
      <c r="E24" s="27"/>
      <c r="F24" s="27"/>
      <c r="G24" s="27"/>
      <c r="H24" s="27"/>
      <c r="I24" s="27"/>
      <c r="J24" s="27"/>
      <c r="K24" s="27"/>
      <c r="L24" s="27"/>
      <c r="M24" s="9"/>
      <c r="N24" s="9"/>
      <c r="O24" s="9"/>
      <c r="P24" s="9"/>
      <c r="Q24" s="9"/>
      <c r="R24" s="9"/>
      <c r="S24" s="9"/>
      <c r="T24" s="9"/>
      <c r="U24" s="9"/>
      <c r="V24" s="9"/>
      <c r="W24" s="9"/>
      <c r="X24" s="9"/>
    </row>
    <row r="25" spans="1:24">
      <c r="A25" s="25"/>
      <c r="B25" s="25"/>
      <c r="C25" s="34"/>
      <c r="D25" s="27"/>
      <c r="E25" s="27"/>
      <c r="F25" s="27"/>
      <c r="G25" s="27"/>
      <c r="H25" s="27"/>
      <c r="I25" s="27"/>
      <c r="J25" s="27"/>
      <c r="K25" s="27"/>
      <c r="L25" s="27"/>
      <c r="M25" s="9"/>
      <c r="N25" s="9"/>
      <c r="O25" s="9"/>
      <c r="P25" s="9"/>
      <c r="Q25" s="9"/>
      <c r="R25" s="9"/>
      <c r="S25" s="9"/>
      <c r="T25" s="9"/>
      <c r="U25" s="9"/>
      <c r="V25" s="9"/>
      <c r="W25" s="9"/>
      <c r="X25" s="9"/>
    </row>
    <row r="26" spans="1:24">
      <c r="A26" s="25"/>
      <c r="B26" s="25"/>
      <c r="C26" s="34"/>
      <c r="D26" s="27"/>
      <c r="E26" s="27"/>
      <c r="F26" s="27"/>
      <c r="G26" s="27"/>
      <c r="H26" s="27"/>
      <c r="I26" s="27"/>
      <c r="J26" s="27"/>
      <c r="K26" s="27"/>
      <c r="L26" s="27"/>
      <c r="M26" s="9"/>
      <c r="N26" s="9"/>
      <c r="O26" s="9"/>
      <c r="P26" s="9"/>
      <c r="Q26" s="9"/>
      <c r="R26" s="9"/>
      <c r="S26" s="9"/>
      <c r="T26" s="9"/>
      <c r="U26" s="9"/>
      <c r="V26" s="9"/>
      <c r="W26" s="9"/>
      <c r="X26" s="9"/>
    </row>
    <row r="27" spans="1:24">
      <c r="A27" s="25"/>
      <c r="B27" s="25"/>
      <c r="C27" s="30"/>
      <c r="D27" s="27"/>
      <c r="E27" s="27"/>
      <c r="F27" s="27"/>
      <c r="G27" s="27"/>
      <c r="H27" s="27"/>
      <c r="I27" s="27"/>
      <c r="J27" s="27"/>
      <c r="K27" s="27"/>
      <c r="L27" s="27"/>
      <c r="M27" s="9"/>
      <c r="N27" s="9"/>
      <c r="O27" s="9"/>
      <c r="P27" s="9"/>
      <c r="Q27" s="9"/>
      <c r="R27" s="9"/>
      <c r="S27" s="9"/>
      <c r="T27" s="9"/>
      <c r="U27" s="9"/>
      <c r="V27" s="9"/>
      <c r="W27" s="9"/>
      <c r="X27" s="9"/>
    </row>
    <row r="28" spans="1:24">
      <c r="A28" s="25"/>
      <c r="B28" s="25"/>
      <c r="C28" s="27"/>
      <c r="D28" s="27"/>
      <c r="E28" s="27"/>
      <c r="F28" s="27"/>
      <c r="G28" s="27"/>
      <c r="H28" s="27"/>
      <c r="I28" s="27"/>
      <c r="J28" s="27"/>
      <c r="K28" s="27"/>
      <c r="L28" s="27"/>
      <c r="M28" s="9"/>
      <c r="N28" s="9"/>
      <c r="O28" s="9"/>
      <c r="P28" s="9"/>
      <c r="Q28" s="9"/>
      <c r="R28" s="9"/>
      <c r="S28" s="9"/>
      <c r="T28" s="9"/>
      <c r="U28" s="9"/>
      <c r="V28" s="9"/>
      <c r="W28" s="9"/>
      <c r="X28" s="9"/>
    </row>
    <row r="29" spans="1:24">
      <c r="A29" s="25"/>
      <c r="B29" s="25"/>
      <c r="C29" s="27"/>
      <c r="D29" s="27"/>
      <c r="E29" s="27"/>
      <c r="F29" s="27"/>
      <c r="G29" s="27"/>
      <c r="H29" s="27"/>
      <c r="I29" s="27"/>
      <c r="J29" s="27"/>
      <c r="K29" s="27"/>
      <c r="L29" s="27"/>
      <c r="M29" s="9"/>
      <c r="N29" s="9"/>
      <c r="O29" s="9"/>
      <c r="P29" s="9"/>
      <c r="Q29" s="9"/>
      <c r="R29" s="9"/>
      <c r="S29" s="9"/>
      <c r="T29" s="9"/>
      <c r="U29" s="9"/>
      <c r="V29" s="9"/>
      <c r="W29" s="9"/>
      <c r="X29" s="9"/>
    </row>
    <row r="30" spans="1:24">
      <c r="A30" s="25"/>
      <c r="B30" s="25"/>
      <c r="C30" s="27"/>
      <c r="D30" s="27"/>
      <c r="E30" s="27"/>
      <c r="F30" s="27"/>
      <c r="G30" s="27"/>
      <c r="H30" s="27"/>
      <c r="I30" s="27"/>
      <c r="J30" s="27"/>
      <c r="K30" s="27"/>
      <c r="L30" s="27"/>
      <c r="M30" s="9"/>
      <c r="N30" s="9"/>
      <c r="O30" s="9"/>
      <c r="P30" s="9"/>
      <c r="Q30" s="9"/>
      <c r="R30" s="9"/>
      <c r="S30" s="9"/>
      <c r="T30" s="9"/>
      <c r="U30" s="9"/>
      <c r="V30" s="9"/>
      <c r="W30" s="9"/>
      <c r="X30" s="9"/>
    </row>
    <row r="31" spans="1:24">
      <c r="A31" s="25"/>
      <c r="B31" s="25"/>
      <c r="C31" s="25"/>
      <c r="D31" s="27"/>
      <c r="E31" s="27"/>
      <c r="F31" s="27"/>
      <c r="G31" s="27"/>
      <c r="H31" s="27"/>
      <c r="I31" s="27"/>
      <c r="J31" s="27"/>
      <c r="K31" s="27"/>
      <c r="L31" s="27"/>
      <c r="M31" s="9"/>
      <c r="N31" s="9"/>
      <c r="O31" s="9"/>
      <c r="P31" s="9"/>
      <c r="Q31" s="9"/>
      <c r="R31" s="9"/>
      <c r="S31" s="9"/>
      <c r="T31" s="9"/>
      <c r="U31" s="9"/>
      <c r="V31" s="9"/>
      <c r="W31" s="9"/>
      <c r="X31" s="9"/>
    </row>
    <row r="32" spans="1:24">
      <c r="A32" s="25"/>
      <c r="B32" s="25"/>
      <c r="C32" s="25"/>
      <c r="D32" s="27"/>
      <c r="E32" s="27"/>
      <c r="F32" s="27"/>
      <c r="G32" s="27"/>
      <c r="H32" s="27"/>
      <c r="I32" s="27"/>
      <c r="J32" s="27"/>
      <c r="K32" s="27"/>
      <c r="L32" s="27"/>
      <c r="M32" s="9"/>
      <c r="N32" s="9"/>
      <c r="O32" s="9"/>
      <c r="P32" s="9"/>
      <c r="Q32" s="9"/>
      <c r="R32" s="9"/>
      <c r="S32" s="9"/>
      <c r="T32" s="9"/>
      <c r="U32" s="9"/>
      <c r="V32" s="9"/>
      <c r="W32" s="9"/>
      <c r="X32" s="9"/>
    </row>
    <row r="33" spans="1:24">
      <c r="A33" s="25"/>
      <c r="B33" s="25"/>
      <c r="C33" s="25"/>
      <c r="D33" s="27"/>
      <c r="E33" s="27"/>
      <c r="F33" s="27"/>
      <c r="G33" s="27"/>
      <c r="H33" s="27"/>
      <c r="I33" s="27"/>
      <c r="J33" s="27"/>
      <c r="K33" s="27"/>
      <c r="L33" s="27"/>
      <c r="M33" s="9"/>
      <c r="N33" s="9"/>
      <c r="O33" s="9"/>
      <c r="P33" s="9"/>
      <c r="Q33" s="9"/>
      <c r="R33" s="9"/>
      <c r="S33" s="9"/>
      <c r="T33" s="9"/>
      <c r="U33" s="9"/>
      <c r="V33" s="9"/>
      <c r="W33" s="9"/>
      <c r="X33" s="9"/>
    </row>
    <row r="34" spans="1:24">
      <c r="A34" s="25"/>
      <c r="B34" s="25"/>
      <c r="C34" s="25"/>
      <c r="D34" s="27"/>
      <c r="E34" s="2248" t="s">
        <v>1332</v>
      </c>
      <c r="F34" s="27"/>
      <c r="G34" s="27"/>
      <c r="H34" s="27"/>
      <c r="I34" s="27"/>
      <c r="J34" s="27"/>
      <c r="K34" s="27"/>
      <c r="L34" s="27"/>
      <c r="M34" s="9"/>
      <c r="N34" s="9"/>
      <c r="O34" s="9"/>
      <c r="P34" s="9"/>
      <c r="Q34" s="9"/>
      <c r="R34" s="9"/>
      <c r="S34" s="9"/>
      <c r="T34" s="9"/>
      <c r="U34" s="9"/>
      <c r="V34" s="9"/>
      <c r="W34" s="9"/>
      <c r="X34" s="9"/>
    </row>
    <row r="35" spans="1:24">
      <c r="A35" s="25"/>
      <c r="B35" s="25"/>
      <c r="C35" s="25"/>
      <c r="D35" s="27"/>
      <c r="E35" s="27"/>
      <c r="F35" s="27"/>
      <c r="G35" s="27"/>
      <c r="H35" s="27"/>
      <c r="I35" s="27"/>
      <c r="J35" s="27"/>
      <c r="K35" s="27"/>
      <c r="L35" s="27"/>
      <c r="M35" s="9"/>
      <c r="N35" s="9"/>
      <c r="O35" s="9"/>
      <c r="P35" s="9"/>
      <c r="Q35" s="9"/>
      <c r="R35" s="9"/>
      <c r="S35" s="9"/>
      <c r="T35" s="9"/>
      <c r="U35" s="9"/>
      <c r="V35" s="9"/>
      <c r="W35" s="9"/>
      <c r="X35" s="9"/>
    </row>
    <row r="36" spans="1:24">
      <c r="A36" s="25"/>
      <c r="B36" s="25"/>
      <c r="C36" s="25"/>
      <c r="D36" s="27"/>
      <c r="E36" s="27"/>
      <c r="F36" s="27"/>
      <c r="G36" s="27"/>
      <c r="H36" s="27"/>
      <c r="I36" s="27"/>
      <c r="J36" s="27"/>
      <c r="K36" s="27"/>
      <c r="L36" s="27"/>
      <c r="M36" s="9"/>
      <c r="N36" s="9"/>
      <c r="O36" s="9"/>
      <c r="P36" s="9"/>
      <c r="Q36" s="9"/>
      <c r="R36" s="9"/>
      <c r="S36" s="9"/>
      <c r="T36" s="9"/>
      <c r="U36" s="9"/>
      <c r="V36" s="9"/>
      <c r="W36" s="9"/>
      <c r="X36" s="9"/>
    </row>
    <row r="37" spans="1:24">
      <c r="A37" s="25"/>
      <c r="B37" s="25"/>
      <c r="C37" s="25"/>
      <c r="D37" s="27"/>
      <c r="E37" s="27"/>
      <c r="F37" s="27"/>
      <c r="G37" s="27"/>
      <c r="H37" s="27"/>
      <c r="I37" s="27"/>
      <c r="J37" s="27"/>
      <c r="K37" s="27"/>
      <c r="L37" s="27"/>
      <c r="M37" s="9"/>
      <c r="N37" s="9"/>
      <c r="O37" s="9"/>
      <c r="P37" s="9"/>
      <c r="Q37" s="9"/>
      <c r="R37" s="9"/>
      <c r="S37" s="9"/>
      <c r="T37" s="9"/>
      <c r="U37" s="9"/>
      <c r="V37" s="9"/>
      <c r="W37" s="9"/>
      <c r="X37" s="9"/>
    </row>
    <row r="38" spans="1:24">
      <c r="A38" s="25"/>
      <c r="B38" s="25"/>
      <c r="C38" s="25"/>
      <c r="D38" s="25"/>
      <c r="E38" s="25"/>
      <c r="F38" s="25"/>
      <c r="G38" s="25"/>
      <c r="H38" s="25"/>
      <c r="I38" s="25"/>
      <c r="J38" s="25"/>
      <c r="K38" s="25"/>
      <c r="L38" s="25"/>
    </row>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4" tint="-0.249977111117893"/>
    <pageSetUpPr fitToPage="1"/>
  </sheetPr>
  <dimension ref="A1:BW105"/>
  <sheetViews>
    <sheetView showGridLines="0" zoomScale="60" zoomScaleNormal="60" zoomScaleSheetLayoutView="70" zoomScalePageLayoutView="75" workbookViewId="0">
      <pane ySplit="1" topLeftCell="A2" activePane="bottomLeft" state="frozen"/>
      <selection activeCell="C3" sqref="C3"/>
      <selection pane="bottomLeft" activeCell="J26" sqref="J26"/>
    </sheetView>
  </sheetViews>
  <sheetFormatPr defaultColWidth="8.7109375" defaultRowHeight="14.25" outlineLevelCol="1"/>
  <cols>
    <col min="1" max="1" width="56.140625" style="429" hidden="1" customWidth="1" outlineLevel="1"/>
    <col min="2" max="2" width="15.7109375" style="429" customWidth="1" collapsed="1"/>
    <col min="3" max="3" width="54.85546875" style="429" customWidth="1"/>
    <col min="4" max="4" width="16.85546875" style="429" customWidth="1"/>
    <col min="5" max="8" width="15.7109375" style="429" customWidth="1"/>
    <col min="9" max="9" width="16" style="429" customWidth="1"/>
    <col min="10" max="10" width="15.7109375" style="429" customWidth="1"/>
    <col min="11" max="11" width="41.42578125" style="429" customWidth="1"/>
    <col min="12" max="12" width="18.42578125" style="429" customWidth="1"/>
    <col min="13" max="15" width="15.7109375" style="429" customWidth="1"/>
    <col min="16" max="18" width="8.7109375" style="429"/>
    <col min="19" max="19" width="8.85546875" style="429" customWidth="1"/>
    <col min="20" max="20" width="3" style="429" customWidth="1"/>
    <col min="21" max="21" width="8.7109375" style="429" customWidth="1"/>
    <col min="22" max="23" width="34.7109375" style="429" customWidth="1"/>
    <col min="24" max="24" width="14.7109375" style="429" customWidth="1"/>
    <col min="25" max="25" width="17.7109375" style="429" customWidth="1"/>
    <col min="26" max="26" width="15.42578125" style="429" customWidth="1"/>
    <col min="27" max="16384" width="8.7109375" style="429"/>
  </cols>
  <sheetData>
    <row r="1" spans="1:75" s="441" customFormat="1" ht="42.75" customHeight="1" thickBot="1">
      <c r="B1" s="439"/>
      <c r="C1" s="2016" t="str">
        <f>HYPERLINK("[.\]Menu!A1", "To Menu")</f>
        <v>To Menu</v>
      </c>
      <c r="D1" s="1772"/>
      <c r="E1" s="2311" t="str">
        <f>HYPERLINK("[.\]control_sheet_and_graphs!A1", "To Control sheet and graphical results")</f>
        <v>To Control sheet and graphical results</v>
      </c>
      <c r="F1" s="2312"/>
      <c r="G1" s="1759"/>
      <c r="H1" s="478"/>
      <c r="I1" s="2311" t="str">
        <f>HYPERLINK("[.\]outputs_by_channel!A1", "To Intervention data outputs by channel")</f>
        <v>To Intervention data outputs by channel</v>
      </c>
      <c r="J1" s="2312"/>
      <c r="K1" s="2081"/>
      <c r="L1" s="2079"/>
      <c r="M1" s="2079"/>
      <c r="O1" s="440"/>
      <c r="Q1" s="440"/>
      <c r="R1" s="440"/>
      <c r="S1" s="440"/>
      <c r="T1" s="440"/>
      <c r="V1" s="440"/>
      <c r="W1" s="440"/>
      <c r="X1" s="440"/>
      <c r="Y1" s="440"/>
      <c r="AA1" s="440"/>
      <c r="AB1" s="440"/>
      <c r="AC1" s="440"/>
      <c r="AD1" s="440"/>
      <c r="AF1" s="440"/>
      <c r="AG1" s="440"/>
      <c r="AH1" s="440"/>
      <c r="AI1" s="440"/>
      <c r="AK1" s="440"/>
      <c r="AL1" s="440"/>
      <c r="AM1" s="440"/>
      <c r="AN1" s="440"/>
      <c r="AP1" s="440"/>
      <c r="AQ1" s="440"/>
      <c r="AR1" s="440"/>
      <c r="AS1" s="440"/>
      <c r="AU1" s="440"/>
      <c r="AV1" s="440"/>
      <c r="AW1" s="440"/>
      <c r="AX1" s="440"/>
      <c r="AZ1" s="440"/>
      <c r="BA1" s="440"/>
      <c r="BB1" s="440"/>
      <c r="BC1" s="440"/>
      <c r="BE1" s="440"/>
      <c r="BF1" s="440"/>
      <c r="BG1" s="440"/>
      <c r="BH1" s="440"/>
      <c r="BJ1" s="440"/>
      <c r="BK1" s="440"/>
      <c r="BL1" s="440"/>
      <c r="BM1" s="440"/>
      <c r="BO1" s="440"/>
      <c r="BP1" s="440"/>
      <c r="BQ1" s="440"/>
      <c r="BR1" s="440"/>
      <c r="BT1" s="440"/>
      <c r="BU1" s="440"/>
      <c r="BV1" s="440"/>
      <c r="BW1" s="440"/>
    </row>
    <row r="2" spans="1:75" ht="32.25" customHeight="1" thickBot="1">
      <c r="A2" s="513"/>
      <c r="B2" s="1470"/>
      <c r="C2" s="1467"/>
      <c r="D2" s="1467"/>
      <c r="E2" s="1467"/>
      <c r="F2" s="1468"/>
      <c r="G2" s="1468"/>
      <c r="H2" s="1468"/>
      <c r="I2" s="1326"/>
      <c r="J2" s="2326"/>
      <c r="K2" s="2326"/>
      <c r="L2" s="2326"/>
      <c r="M2" s="2327"/>
      <c r="S2" s="165"/>
      <c r="T2" s="165"/>
      <c r="U2" s="165"/>
      <c r="V2" s="165"/>
      <c r="W2" s="461"/>
      <c r="X2" s="165"/>
      <c r="Y2" s="165"/>
    </row>
    <row r="3" spans="1:75" ht="15" customHeight="1">
      <c r="A3" s="513"/>
      <c r="B3" s="502"/>
      <c r="C3" s="2319" t="str">
        <f>Menu!B17</f>
        <v>Decreasing Ambulance conveyances: Hear and Treat</v>
      </c>
      <c r="D3" s="2320"/>
      <c r="E3" s="503"/>
      <c r="F3" s="503"/>
      <c r="G3" s="1182"/>
      <c r="H3" s="1318"/>
      <c r="I3" s="1318"/>
      <c r="J3" s="2328"/>
      <c r="K3" s="2328"/>
      <c r="L3" s="2328"/>
      <c r="M3" s="2329"/>
      <c r="N3" s="2068"/>
      <c r="T3" s="165"/>
      <c r="U3" s="165"/>
      <c r="V3" s="461"/>
      <c r="W3" s="165"/>
      <c r="X3" s="165"/>
    </row>
    <row r="4" spans="1:75" ht="15.75" thickBot="1">
      <c r="B4" s="504"/>
      <c r="C4" s="2321"/>
      <c r="D4" s="2322"/>
      <c r="E4" s="503"/>
      <c r="F4" s="503"/>
      <c r="G4" s="1771"/>
      <c r="H4" s="1319"/>
      <c r="I4" s="1319"/>
      <c r="J4" s="2328"/>
      <c r="K4" s="2328"/>
      <c r="L4" s="2328"/>
      <c r="M4" s="2329"/>
      <c r="N4" s="2068"/>
      <c r="T4" s="165"/>
      <c r="U4" s="165"/>
      <c r="V4" s="461"/>
      <c r="W4" s="165"/>
      <c r="X4" s="165"/>
    </row>
    <row r="5" spans="1:75" ht="15" customHeight="1" thickBot="1">
      <c r="B5" s="504"/>
      <c r="C5" s="529"/>
      <c r="D5" s="503"/>
      <c r="E5" s="503"/>
      <c r="F5" s="503"/>
      <c r="G5" s="1319"/>
      <c r="H5" s="1320"/>
      <c r="I5" s="1319"/>
      <c r="J5" s="2328"/>
      <c r="K5" s="2328"/>
      <c r="L5" s="2328"/>
      <c r="M5" s="2329"/>
      <c r="T5" s="165"/>
      <c r="U5" s="165"/>
      <c r="V5" s="461"/>
      <c r="W5" s="165"/>
      <c r="X5" s="165"/>
    </row>
    <row r="6" spans="1:75" ht="15" customHeight="1" thickBot="1">
      <c r="B6" s="482"/>
      <c r="C6" s="474" t="s">
        <v>582</v>
      </c>
      <c r="D6" s="475">
        <v>988837</v>
      </c>
      <c r="E6" s="391"/>
      <c r="F6" s="689"/>
      <c r="G6" s="1319"/>
      <c r="H6" s="1320"/>
      <c r="I6" s="1319"/>
      <c r="J6" s="2328"/>
      <c r="K6" s="2328"/>
      <c r="L6" s="2328"/>
      <c r="M6" s="2329"/>
      <c r="T6" s="165"/>
      <c r="U6" s="165"/>
      <c r="V6" s="461"/>
      <c r="W6" s="165"/>
      <c r="X6" s="165"/>
    </row>
    <row r="7" spans="1:75" ht="15" customHeight="1">
      <c r="B7" s="482"/>
      <c r="C7"/>
      <c r="D7"/>
      <c r="E7" s="543"/>
      <c r="F7" s="756"/>
      <c r="G7" s="1319"/>
      <c r="H7" s="1320"/>
      <c r="I7" s="1319"/>
      <c r="J7" s="2328"/>
      <c r="K7" s="2328"/>
      <c r="L7" s="2328"/>
      <c r="M7" s="2329"/>
      <c r="T7" s="165"/>
      <c r="U7" s="165"/>
      <c r="V7" s="461"/>
      <c r="W7" s="165"/>
      <c r="X7" s="165"/>
    </row>
    <row r="8" spans="1:75" ht="15" customHeight="1">
      <c r="B8" s="482"/>
      <c r="C8" s="1777" t="str">
        <f>HYPERLINK("[.\]E_Ambulance!A2","To Evidence")</f>
        <v>To Evidence</v>
      </c>
      <c r="D8"/>
      <c r="E8" s="496"/>
      <c r="F8" s="496"/>
      <c r="G8" s="1319"/>
      <c r="H8" s="1320"/>
      <c r="I8" s="1319"/>
      <c r="J8" s="2328"/>
      <c r="K8" s="2328"/>
      <c r="L8" s="2328"/>
      <c r="M8" s="2329"/>
      <c r="T8" s="165"/>
      <c r="U8" s="165"/>
      <c r="V8" s="461"/>
      <c r="W8" s="165"/>
      <c r="X8" s="165"/>
    </row>
    <row r="9" spans="1:75" ht="15">
      <c r="B9" s="502"/>
      <c r="D9" s="503"/>
      <c r="E9" s="496"/>
      <c r="F9" s="496"/>
      <c r="G9" s="1319"/>
      <c r="H9" s="1320"/>
      <c r="I9" s="1319"/>
      <c r="J9" s="2328"/>
      <c r="K9" s="2328"/>
      <c r="L9" s="2328"/>
      <c r="M9" s="2329"/>
      <c r="T9" s="165"/>
      <c r="U9" s="165"/>
      <c r="V9" s="461"/>
      <c r="W9" s="165"/>
      <c r="X9" s="165"/>
    </row>
    <row r="10" spans="1:75" s="248" customFormat="1" ht="15" customHeight="1">
      <c r="B10" s="1469"/>
      <c r="C10" s="1003"/>
      <c r="D10" s="496"/>
      <c r="E10" s="496"/>
      <c r="F10" s="496"/>
      <c r="G10" s="496"/>
      <c r="H10" s="496"/>
      <c r="I10" s="496"/>
      <c r="J10" s="496"/>
      <c r="K10" s="496"/>
      <c r="L10" s="1000"/>
      <c r="M10" s="250"/>
      <c r="T10" s="251"/>
      <c r="U10" s="251"/>
      <c r="V10" s="468"/>
      <c r="W10" s="251"/>
      <c r="X10" s="251"/>
      <c r="Y10" s="251"/>
    </row>
    <row r="11" spans="1:75" s="248" customFormat="1" ht="15" customHeight="1">
      <c r="A11" s="499" t="s">
        <v>103</v>
      </c>
      <c r="B11" s="2316" t="s">
        <v>119</v>
      </c>
      <c r="C11" s="2317"/>
      <c r="D11" s="2317"/>
      <c r="E11" s="2317"/>
      <c r="F11" s="2317"/>
      <c r="G11" s="2317"/>
      <c r="H11" s="2317"/>
      <c r="I11" s="2317"/>
      <c r="J11" s="2317"/>
      <c r="K11" s="2317"/>
      <c r="L11" s="2317"/>
      <c r="M11" s="2318"/>
      <c r="N11" s="251"/>
      <c r="O11" s="209"/>
      <c r="P11" s="209"/>
      <c r="Q11" s="251"/>
      <c r="R11" s="251"/>
      <c r="T11" s="251"/>
      <c r="U11" s="468"/>
      <c r="V11" s="251"/>
      <c r="W11" s="251"/>
      <c r="X11" s="251"/>
    </row>
    <row r="12" spans="1:75" s="251" customFormat="1" ht="15" customHeight="1">
      <c r="B12" s="459"/>
      <c r="C12" s="493"/>
      <c r="D12" s="493"/>
      <c r="E12" s="493"/>
      <c r="F12" s="493"/>
      <c r="G12" s="493"/>
      <c r="H12" s="493"/>
      <c r="I12" s="493"/>
      <c r="J12" s="493"/>
      <c r="K12" s="460"/>
      <c r="L12" s="460"/>
      <c r="M12" s="462"/>
      <c r="U12" s="468"/>
    </row>
    <row r="13" spans="1:75" s="251" customFormat="1" ht="15" customHeight="1">
      <c r="B13" s="504"/>
      <c r="C13" s="2323" t="s">
        <v>583</v>
      </c>
      <c r="D13" s="2324"/>
      <c r="E13" s="2325"/>
      <c r="F13" s="1460">
        <v>116804</v>
      </c>
      <c r="G13" s="617"/>
      <c r="H13" s="529"/>
      <c r="J13" s="529"/>
      <c r="K13" s="442"/>
      <c r="L13" s="512"/>
      <c r="M13" s="473" t="s">
        <v>141</v>
      </c>
      <c r="U13" s="468"/>
    </row>
    <row r="14" spans="1:75" s="251" customFormat="1" ht="15" customHeight="1">
      <c r="B14" s="504"/>
      <c r="C14" s="2323" t="s">
        <v>118</v>
      </c>
      <c r="D14" s="2324"/>
      <c r="E14" s="2325"/>
      <c r="F14" s="1461">
        <v>0.1</v>
      </c>
      <c r="G14" s="529"/>
      <c r="H14" s="529"/>
      <c r="J14" s="529"/>
      <c r="K14" s="209"/>
      <c r="L14" s="419"/>
      <c r="M14" s="473" t="s">
        <v>143</v>
      </c>
      <c r="U14" s="468"/>
    </row>
    <row r="15" spans="1:75" s="251" customFormat="1" ht="15" customHeight="1">
      <c r="B15" s="504"/>
      <c r="C15" s="2323" t="s">
        <v>545</v>
      </c>
      <c r="D15" s="2324"/>
      <c r="E15" s="2325"/>
      <c r="F15" s="1461">
        <v>0.11</v>
      </c>
      <c r="G15" s="529"/>
      <c r="H15" s="529"/>
      <c r="J15" s="529"/>
      <c r="K15" s="581"/>
      <c r="L15" s="486" t="s">
        <v>556</v>
      </c>
      <c r="M15" s="473" t="s">
        <v>143</v>
      </c>
      <c r="U15" s="468"/>
    </row>
    <row r="16" spans="1:75" s="251" customFormat="1" ht="42.75">
      <c r="B16" s="504"/>
      <c r="C16" s="2323" t="s">
        <v>585</v>
      </c>
      <c r="D16" s="2324"/>
      <c r="E16" s="2325"/>
      <c r="F16" s="1462">
        <f>(F15-F14)*F13</f>
        <v>1168.0399999999995</v>
      </c>
      <c r="G16" s="529"/>
      <c r="H16" s="529"/>
      <c r="J16" s="529"/>
      <c r="K16" s="209"/>
      <c r="L16" s="2193"/>
      <c r="M16" s="507" t="s">
        <v>1299</v>
      </c>
    </row>
    <row r="17" spans="2:24" s="251" customFormat="1" ht="15" customHeight="1">
      <c r="B17" s="504"/>
      <c r="C17" s="2323" t="s">
        <v>1247</v>
      </c>
      <c r="D17" s="2324"/>
      <c r="E17" s="2325"/>
      <c r="F17" s="1462">
        <f>(L57+L58)</f>
        <v>1512</v>
      </c>
      <c r="G17" s="529"/>
      <c r="H17" s="529"/>
      <c r="K17" s="581"/>
      <c r="L17" s="529"/>
      <c r="M17" s="250"/>
    </row>
    <row r="18" spans="2:24" s="251" customFormat="1" ht="15" customHeight="1">
      <c r="B18" s="504"/>
      <c r="C18" s="2323" t="s">
        <v>584</v>
      </c>
      <c r="D18" s="2324"/>
      <c r="E18" s="2325"/>
      <c r="F18" s="1463">
        <f>F17/F16</f>
        <v>1.2944762165679262</v>
      </c>
      <c r="G18" s="529"/>
      <c r="H18" s="529"/>
      <c r="K18" s="581"/>
      <c r="L18" s="529"/>
      <c r="M18" s="250"/>
    </row>
    <row r="19" spans="2:24" s="251" customFormat="1" ht="15" customHeight="1">
      <c r="B19" s="465"/>
      <c r="C19" s="770"/>
      <c r="D19" s="770"/>
      <c r="E19" s="770"/>
      <c r="F19" s="645"/>
      <c r="G19" s="645"/>
      <c r="H19" s="645"/>
      <c r="I19" s="645"/>
      <c r="J19" s="645"/>
      <c r="K19" s="645"/>
      <c r="L19" s="645"/>
      <c r="M19" s="250"/>
    </row>
    <row r="20" spans="2:24" s="248" customFormat="1" ht="15" customHeight="1">
      <c r="B20" s="2313" t="s">
        <v>117</v>
      </c>
      <c r="C20" s="2314"/>
      <c r="D20" s="2314"/>
      <c r="E20" s="2314"/>
      <c r="F20" s="2314"/>
      <c r="G20" s="2314"/>
      <c r="H20" s="2314"/>
      <c r="I20" s="2314"/>
      <c r="J20" s="2314"/>
      <c r="K20" s="2314"/>
      <c r="L20" s="2314"/>
      <c r="M20" s="2315"/>
      <c r="N20" s="209"/>
      <c r="O20" s="209"/>
      <c r="P20" s="209"/>
      <c r="Q20" s="251"/>
      <c r="R20" s="251"/>
      <c r="T20" s="251"/>
      <c r="U20" s="251"/>
      <c r="V20" s="251"/>
      <c r="W20" s="251"/>
      <c r="X20" s="251"/>
    </row>
    <row r="21" spans="2:24" s="248" customFormat="1" ht="15" customHeight="1">
      <c r="B21" s="254"/>
      <c r="C21" s="560"/>
      <c r="D21" s="209"/>
      <c r="E21" s="209"/>
      <c r="F21" s="443"/>
      <c r="G21" s="560"/>
      <c r="H21" s="209"/>
      <c r="I21" s="560"/>
      <c r="J21" s="560"/>
      <c r="K21" s="529"/>
      <c r="L21" s="242"/>
      <c r="M21" s="250"/>
      <c r="N21" s="209"/>
      <c r="O21" s="209"/>
      <c r="P21" s="560"/>
      <c r="Q21" s="251"/>
      <c r="R21" s="251"/>
      <c r="S21" s="251"/>
      <c r="T21" s="251"/>
      <c r="U21" s="251"/>
      <c r="V21" s="251"/>
      <c r="W21" s="251"/>
    </row>
    <row r="22" spans="2:24" s="248" customFormat="1" ht="15" customHeight="1">
      <c r="B22" s="254"/>
      <c r="C22" s="1777" t="str">
        <f>HYPERLINK("[.\]Set_up_hear_and_treat!A4","To Set up costs template")</f>
        <v>To Set up costs template</v>
      </c>
      <c r="D22" s="1714"/>
      <c r="E22" s="767"/>
      <c r="F22" s="209"/>
      <c r="G22" s="560"/>
      <c r="H22" s="560"/>
      <c r="I22" s="560"/>
      <c r="J22" s="560"/>
      <c r="K22" s="560"/>
      <c r="L22" s="529"/>
      <c r="M22" s="250"/>
      <c r="N22" s="209"/>
      <c r="O22" s="209"/>
      <c r="P22" s="209"/>
      <c r="Q22" s="560"/>
      <c r="R22" s="251"/>
      <c r="S22" s="251"/>
      <c r="T22" s="251"/>
      <c r="U22" s="468"/>
      <c r="V22" s="251"/>
      <c r="W22" s="251"/>
      <c r="X22" s="251"/>
    </row>
    <row r="23" spans="2:24" s="248" customFormat="1" ht="15" customHeight="1">
      <c r="B23" s="254"/>
      <c r="C23" s="767"/>
      <c r="D23" s="767"/>
      <c r="E23" s="767"/>
      <c r="F23" s="209"/>
      <c r="G23" s="560"/>
      <c r="H23" s="560"/>
      <c r="I23" s="560"/>
      <c r="J23" s="560"/>
      <c r="K23" s="560"/>
      <c r="L23" s="529"/>
      <c r="M23" s="250"/>
      <c r="N23" s="209"/>
      <c r="O23" s="209"/>
      <c r="P23" s="209"/>
      <c r="Q23" s="560"/>
      <c r="R23" s="251"/>
      <c r="S23" s="251"/>
      <c r="T23" s="251"/>
      <c r="U23" s="468"/>
      <c r="V23" s="251"/>
      <c r="W23" s="251"/>
      <c r="X23" s="251"/>
    </row>
    <row r="24" spans="2:24" s="248" customFormat="1" ht="15" customHeight="1">
      <c r="B24" s="254"/>
      <c r="C24" s="2330" t="s">
        <v>1071</v>
      </c>
      <c r="D24" s="2331"/>
      <c r="E24" s="1208">
        <f>Set_up_hear_and_treat!D6</f>
        <v>20000</v>
      </c>
      <c r="H24" s="560"/>
      <c r="I24" s="560"/>
      <c r="J24" s="560"/>
      <c r="K24" s="560"/>
      <c r="L24" s="529"/>
      <c r="M24" s="250"/>
      <c r="N24" s="209"/>
      <c r="O24" s="209"/>
      <c r="P24" s="209"/>
      <c r="Q24" s="560"/>
      <c r="R24" s="251"/>
      <c r="S24" s="251"/>
      <c r="T24" s="251"/>
      <c r="U24" s="251"/>
      <c r="V24" s="251"/>
      <c r="W24" s="251"/>
      <c r="X24" s="251"/>
    </row>
    <row r="25" spans="2:24" s="248" customFormat="1" ht="15" customHeight="1">
      <c r="B25" s="254"/>
      <c r="C25" s="560"/>
      <c r="D25" s="209"/>
      <c r="E25" s="209"/>
      <c r="F25" s="443"/>
      <c r="G25" s="560"/>
      <c r="H25" s="209"/>
      <c r="I25" s="560"/>
      <c r="J25" s="560"/>
      <c r="K25" s="529"/>
      <c r="L25" s="529"/>
      <c r="M25" s="250"/>
      <c r="N25" s="209"/>
      <c r="O25" s="209"/>
      <c r="P25" s="560"/>
      <c r="Q25" s="251"/>
      <c r="R25" s="251"/>
      <c r="S25" s="251"/>
      <c r="T25" s="251"/>
      <c r="U25" s="251"/>
      <c r="V25" s="251"/>
      <c r="W25" s="251"/>
    </row>
    <row r="26" spans="2:24" s="436" customFormat="1" ht="59.25" customHeight="1">
      <c r="B26" s="464"/>
      <c r="C26" s="447" t="s">
        <v>133</v>
      </c>
      <c r="D26" s="563" t="s">
        <v>116</v>
      </c>
      <c r="E26" s="444" t="s">
        <v>115</v>
      </c>
      <c r="F26" s="563" t="s">
        <v>114</v>
      </c>
      <c r="G26" s="563" t="s">
        <v>113</v>
      </c>
      <c r="H26" s="563" t="s">
        <v>112</v>
      </c>
      <c r="J26" s="529"/>
      <c r="K26" s="564" t="s">
        <v>634</v>
      </c>
      <c r="L26" s="564" t="s">
        <v>110</v>
      </c>
      <c r="M26" s="492"/>
      <c r="N26" s="434"/>
      <c r="O26" s="434"/>
      <c r="P26" s="529"/>
      <c r="Q26" s="435"/>
      <c r="R26" s="435"/>
      <c r="S26" s="435"/>
      <c r="T26" s="435"/>
      <c r="U26" s="435"/>
      <c r="V26" s="435"/>
      <c r="W26" s="435"/>
    </row>
    <row r="27" spans="2:24" s="248" customFormat="1" ht="15" customHeight="1">
      <c r="B27" s="254"/>
      <c r="C27" s="1299" t="s">
        <v>1115</v>
      </c>
      <c r="D27" s="1332">
        <v>6</v>
      </c>
      <c r="E27" s="1333">
        <v>2</v>
      </c>
      <c r="F27" s="1133">
        <f>IF(D27&lt;&gt;"",VLOOKUP(D27,staff_costs!$A$3:$H$22,6,0),"")</f>
        <v>37642.68</v>
      </c>
      <c r="G27" s="1336">
        <v>0.2</v>
      </c>
      <c r="H27" s="1336">
        <v>0.35</v>
      </c>
      <c r="J27" s="768"/>
      <c r="K27" s="569" t="str">
        <f t="shared" ref="K27:K32" si="0">IF(C27&gt;"",C27,"")</f>
        <v>Nurse / paramedic clinical advisor</v>
      </c>
      <c r="L27" s="1001">
        <f t="shared" ref="L27:L32" si="1">IF($D27="","",E27*F27+(E27*G27*(F27*H27)))</f>
        <v>80555.335200000001</v>
      </c>
      <c r="M27" s="250"/>
      <c r="N27" s="209"/>
      <c r="O27" s="209"/>
      <c r="P27" s="560"/>
      <c r="Q27" s="251"/>
      <c r="R27" s="251"/>
      <c r="S27" s="251"/>
      <c r="T27" s="251"/>
      <c r="U27" s="251"/>
      <c r="V27" s="251"/>
      <c r="W27" s="251"/>
    </row>
    <row r="28" spans="2:24" s="248" customFormat="1" ht="15" customHeight="1">
      <c r="B28" s="254"/>
      <c r="C28" s="1299"/>
      <c r="D28" s="1332"/>
      <c r="E28" s="1333"/>
      <c r="F28" s="1133" t="str">
        <f>IF(D28&lt;&gt;"",VLOOKUP(D28,staff_costs!$A$3:$H$22,6,0),"")</f>
        <v/>
      </c>
      <c r="G28" s="1336"/>
      <c r="H28" s="1336"/>
      <c r="J28" s="560"/>
      <c r="K28" s="569" t="str">
        <f t="shared" si="0"/>
        <v/>
      </c>
      <c r="L28" s="1001" t="str">
        <f t="shared" si="1"/>
        <v/>
      </c>
      <c r="M28" s="250"/>
      <c r="N28" s="209"/>
      <c r="O28" s="209"/>
      <c r="P28" s="560"/>
      <c r="Q28" s="251"/>
      <c r="R28" s="251"/>
      <c r="S28" s="251"/>
      <c r="T28" s="251"/>
      <c r="U28" s="251"/>
      <c r="V28" s="251"/>
      <c r="W28" s="251"/>
    </row>
    <row r="29" spans="2:24" s="248" customFormat="1" ht="15" customHeight="1">
      <c r="B29" s="254"/>
      <c r="C29" s="1299"/>
      <c r="D29" s="1332"/>
      <c r="E29" s="1333"/>
      <c r="F29" s="1133" t="str">
        <f>IF(D29&lt;&gt;"",VLOOKUP(D29,staff_costs!$A$3:$H$22,6,0),"")</f>
        <v/>
      </c>
      <c r="G29" s="1336"/>
      <c r="H29" s="1336"/>
      <c r="J29" s="560"/>
      <c r="K29" s="569" t="str">
        <f t="shared" si="0"/>
        <v/>
      </c>
      <c r="L29" s="1001" t="str">
        <f t="shared" si="1"/>
        <v/>
      </c>
      <c r="M29" s="250"/>
      <c r="N29" s="209"/>
      <c r="O29" s="209"/>
      <c r="P29" s="560"/>
      <c r="Q29" s="251"/>
      <c r="R29" s="251"/>
      <c r="S29" s="251"/>
      <c r="T29" s="251"/>
      <c r="U29" s="251"/>
      <c r="V29" s="251"/>
      <c r="W29" s="251"/>
    </row>
    <row r="30" spans="2:24" s="248" customFormat="1" ht="15" customHeight="1">
      <c r="B30" s="254"/>
      <c r="C30" s="1299"/>
      <c r="D30" s="1332"/>
      <c r="E30" s="1333"/>
      <c r="F30" s="1133" t="str">
        <f>IF(D30&lt;&gt;"",VLOOKUP(D30,staff_costs!$A$3:$H$22,6,0),"")</f>
        <v/>
      </c>
      <c r="G30" s="1336"/>
      <c r="H30" s="1336"/>
      <c r="J30" s="560"/>
      <c r="K30" s="569" t="str">
        <f t="shared" si="0"/>
        <v/>
      </c>
      <c r="L30" s="1001" t="str">
        <f t="shared" si="1"/>
        <v/>
      </c>
      <c r="M30" s="250"/>
      <c r="N30" s="209"/>
      <c r="O30" s="209"/>
      <c r="P30" s="560"/>
      <c r="Q30" s="251"/>
      <c r="R30" s="251"/>
      <c r="S30" s="251"/>
      <c r="T30" s="251"/>
      <c r="U30" s="251"/>
      <c r="V30" s="251"/>
      <c r="W30" s="251"/>
    </row>
    <row r="31" spans="2:24" s="248" customFormat="1" ht="15" customHeight="1">
      <c r="B31" s="254"/>
      <c r="C31" s="1299"/>
      <c r="D31" s="1332"/>
      <c r="E31" s="1333"/>
      <c r="F31" s="1133" t="str">
        <f>IF(D31&lt;&gt;"",VLOOKUP(D31,staff_costs!$A$3:$H$22,6,0),"")</f>
        <v/>
      </c>
      <c r="G31" s="1336"/>
      <c r="H31" s="1336"/>
      <c r="J31" s="560"/>
      <c r="K31" s="569" t="str">
        <f t="shared" si="0"/>
        <v/>
      </c>
      <c r="L31" s="1001" t="str">
        <f t="shared" si="1"/>
        <v/>
      </c>
      <c r="M31" s="250"/>
      <c r="N31" s="209"/>
      <c r="O31" s="209"/>
      <c r="P31" s="560"/>
      <c r="Q31" s="251"/>
      <c r="R31" s="251"/>
      <c r="S31" s="251"/>
      <c r="T31" s="251"/>
      <c r="U31" s="251"/>
      <c r="V31" s="251"/>
      <c r="W31" s="251"/>
    </row>
    <row r="32" spans="2:24" s="248" customFormat="1" ht="15" customHeight="1">
      <c r="B32" s="254"/>
      <c r="C32" s="1299"/>
      <c r="D32" s="1332"/>
      <c r="E32" s="1333"/>
      <c r="F32" s="1133" t="str">
        <f>IF(D32&lt;&gt;"",VLOOKUP(D32,staff_costs!$A$3:$H$22,6,0),"")</f>
        <v/>
      </c>
      <c r="G32" s="1336"/>
      <c r="H32" s="1336"/>
      <c r="J32" s="560"/>
      <c r="K32" s="569" t="str">
        <f t="shared" si="0"/>
        <v/>
      </c>
      <c r="L32" s="1001" t="str">
        <f t="shared" si="1"/>
        <v/>
      </c>
      <c r="M32" s="250"/>
      <c r="N32" s="209"/>
      <c r="O32" s="209"/>
      <c r="P32" s="560"/>
      <c r="Q32" s="251"/>
      <c r="R32" s="251"/>
      <c r="S32" s="251"/>
      <c r="T32" s="251"/>
      <c r="U32" s="251"/>
      <c r="V32" s="251"/>
      <c r="W32" s="251"/>
    </row>
    <row r="33" spans="2:24" s="248" customFormat="1" ht="15" customHeight="1">
      <c r="B33" s="254"/>
      <c r="C33" s="776" t="s">
        <v>109</v>
      </c>
      <c r="D33" s="1334"/>
      <c r="E33" s="1335">
        <f>SUM(E27:E32)</f>
        <v>2</v>
      </c>
      <c r="F33" s="529"/>
      <c r="G33" s="434"/>
      <c r="H33" s="529"/>
      <c r="J33" s="560"/>
      <c r="K33" s="569" t="s">
        <v>184</v>
      </c>
      <c r="L33" s="1001">
        <f>SUM(L27:L32)</f>
        <v>80555.335200000001</v>
      </c>
      <c r="M33" s="250"/>
      <c r="N33" s="209"/>
      <c r="O33" s="209"/>
      <c r="P33" s="560"/>
      <c r="Q33" s="251"/>
      <c r="R33" s="251"/>
      <c r="S33" s="251"/>
      <c r="T33" s="251"/>
      <c r="U33" s="251"/>
      <c r="V33" s="251"/>
      <c r="W33" s="251"/>
    </row>
    <row r="34" spans="2:24" s="248" customFormat="1" ht="15" customHeight="1">
      <c r="B34" s="254"/>
      <c r="C34" s="529"/>
      <c r="D34" s="209"/>
      <c r="E34" s="209"/>
      <c r="F34" s="443"/>
      <c r="G34" s="560"/>
      <c r="H34" s="209"/>
      <c r="I34" s="560"/>
      <c r="J34" s="560"/>
      <c r="K34" s="530"/>
      <c r="L34" s="530"/>
      <c r="M34" s="250"/>
      <c r="N34" s="209"/>
      <c r="O34" s="209"/>
      <c r="P34" s="560"/>
      <c r="Q34" s="251"/>
      <c r="R34" s="251"/>
      <c r="S34" s="251"/>
      <c r="T34" s="251"/>
      <c r="U34" s="251"/>
      <c r="V34" s="251"/>
      <c r="W34" s="251"/>
    </row>
    <row r="35" spans="2:24" s="248" customFormat="1" ht="30" customHeight="1">
      <c r="B35" s="254"/>
      <c r="C35" s="563" t="s">
        <v>130</v>
      </c>
      <c r="D35" s="563" t="s">
        <v>132</v>
      </c>
      <c r="E35" s="563" t="s">
        <v>131</v>
      </c>
      <c r="H35" s="209"/>
      <c r="I35" s="209"/>
      <c r="J35" s="209"/>
      <c r="K35" s="447" t="s">
        <v>130</v>
      </c>
      <c r="L35" s="564" t="s">
        <v>110</v>
      </c>
      <c r="M35" s="250"/>
      <c r="N35" s="251"/>
      <c r="O35" s="251"/>
      <c r="P35" s="251"/>
      <c r="Q35" s="251"/>
      <c r="R35" s="251"/>
      <c r="S35" s="251"/>
      <c r="T35" s="251"/>
      <c r="U35" s="251"/>
      <c r="V35" s="251"/>
      <c r="W35" s="251"/>
    </row>
    <row r="36" spans="2:24" s="248" customFormat="1" ht="15" customHeight="1">
      <c r="B36" s="254"/>
      <c r="C36" s="1193" t="s">
        <v>993</v>
      </c>
      <c r="D36" s="511">
        <v>2</v>
      </c>
      <c r="E36" s="1208">
        <v>1000</v>
      </c>
      <c r="H36" s="209"/>
      <c r="I36" s="209"/>
      <c r="J36" s="560"/>
      <c r="K36" s="572" t="str">
        <f>IF(C36&gt;"",C36,"")</f>
        <v>IT recurrent cost per advisor</v>
      </c>
      <c r="L36" s="1001">
        <f>E36*D36</f>
        <v>2000</v>
      </c>
      <c r="M36" s="250"/>
      <c r="N36" s="251"/>
      <c r="O36" s="251"/>
      <c r="P36" s="251"/>
      <c r="Q36" s="251"/>
      <c r="R36" s="251"/>
      <c r="S36" s="251"/>
      <c r="T36" s="251"/>
      <c r="U36" s="251"/>
      <c r="V36" s="251"/>
      <c r="W36" s="251"/>
    </row>
    <row r="37" spans="2:24" s="248" customFormat="1" ht="15" customHeight="1">
      <c r="B37" s="254"/>
      <c r="C37" s="565"/>
      <c r="D37" s="466"/>
      <c r="E37" s="1208"/>
      <c r="H37" s="209"/>
      <c r="I37" s="209"/>
      <c r="J37" s="560"/>
      <c r="K37" s="572" t="str">
        <f>IF(C37&gt;"",C37,"")</f>
        <v/>
      </c>
      <c r="L37" s="1001">
        <f>E37*D37</f>
        <v>0</v>
      </c>
      <c r="M37" s="250"/>
      <c r="N37" s="251"/>
      <c r="O37" s="251"/>
      <c r="P37" s="251"/>
      <c r="Q37" s="251"/>
      <c r="R37" s="251"/>
      <c r="S37" s="251"/>
      <c r="T37" s="251"/>
      <c r="U37" s="251"/>
      <c r="V37" s="251"/>
      <c r="W37" s="251"/>
    </row>
    <row r="38" spans="2:24" s="248" customFormat="1" ht="15" customHeight="1">
      <c r="B38" s="254"/>
      <c r="C38" s="565"/>
      <c r="D38" s="487"/>
      <c r="E38" s="1208"/>
      <c r="H38" s="209"/>
      <c r="I38" s="209"/>
      <c r="J38" s="560"/>
      <c r="K38" s="572" t="str">
        <f>IF(C38&gt;"",C38,"")</f>
        <v/>
      </c>
      <c r="L38" s="1001">
        <f>E38*D38</f>
        <v>0</v>
      </c>
      <c r="M38" s="250"/>
      <c r="N38" s="251"/>
      <c r="O38" s="251"/>
      <c r="P38" s="251"/>
      <c r="Q38" s="251"/>
      <c r="R38" s="251"/>
      <c r="S38" s="251"/>
      <c r="T38" s="251"/>
      <c r="U38" s="251"/>
      <c r="V38" s="251"/>
      <c r="W38" s="251"/>
    </row>
    <row r="39" spans="2:24" s="248" customFormat="1" ht="15" customHeight="1">
      <c r="B39" s="254"/>
      <c r="C39" s="209"/>
      <c r="D39" s="209"/>
      <c r="E39" s="209"/>
      <c r="F39" s="209"/>
      <c r="G39" s="209"/>
      <c r="H39" s="209"/>
      <c r="I39" s="209"/>
      <c r="J39" s="560"/>
      <c r="K39" s="572" t="s">
        <v>127</v>
      </c>
      <c r="L39" s="1001">
        <f>SUM(L36:L38)</f>
        <v>2000</v>
      </c>
      <c r="M39" s="250"/>
      <c r="N39" s="251"/>
      <c r="O39" s="251"/>
      <c r="P39" s="251"/>
      <c r="Q39" s="251"/>
      <c r="R39" s="251"/>
      <c r="S39" s="251"/>
      <c r="T39" s="251"/>
      <c r="U39" s="251"/>
      <c r="V39" s="251"/>
      <c r="W39" s="251"/>
    </row>
    <row r="40" spans="2:24" s="248" customFormat="1" ht="15" customHeight="1">
      <c r="B40" s="254"/>
      <c r="C40" s="441"/>
      <c r="D40" s="209"/>
      <c r="E40" s="209"/>
      <c r="F40" s="434"/>
      <c r="G40" s="209"/>
      <c r="H40" s="209"/>
      <c r="I40" s="209"/>
      <c r="J40" s="209"/>
      <c r="K40" s="574"/>
      <c r="L40" s="471"/>
      <c r="M40" s="250"/>
      <c r="N40" s="251"/>
      <c r="O40" s="251"/>
      <c r="P40" s="251"/>
      <c r="Q40" s="251"/>
      <c r="R40" s="251"/>
      <c r="S40" s="251"/>
      <c r="T40" s="251"/>
      <c r="U40" s="251"/>
      <c r="V40" s="251"/>
      <c r="W40" s="251"/>
    </row>
    <row r="41" spans="2:24" s="248" customFormat="1" ht="15" customHeight="1">
      <c r="B41" s="254"/>
      <c r="C41" s="242"/>
      <c r="D41" s="242"/>
      <c r="E41" s="242"/>
      <c r="F41" s="242"/>
      <c r="G41" s="242"/>
      <c r="H41" s="209"/>
      <c r="I41" s="209"/>
      <c r="J41" s="209"/>
      <c r="K41" s="572" t="s">
        <v>25</v>
      </c>
      <c r="L41" s="505">
        <f>L39+L33</f>
        <v>82555.335200000001</v>
      </c>
      <c r="M41" s="250"/>
      <c r="N41" s="251"/>
      <c r="O41" s="251"/>
      <c r="P41" s="251"/>
      <c r="Q41" s="251"/>
      <c r="R41" s="251"/>
      <c r="S41" s="251"/>
      <c r="T41" s="251"/>
      <c r="U41" s="468"/>
      <c r="V41" s="251"/>
      <c r="W41" s="251"/>
    </row>
    <row r="42" spans="2:24" s="248" customFormat="1" ht="15" customHeight="1">
      <c r="B42" s="254"/>
      <c r="C42" s="242"/>
      <c r="D42" s="242"/>
      <c r="E42" s="242"/>
      <c r="F42" s="242"/>
      <c r="G42" s="242"/>
      <c r="H42" s="209"/>
      <c r="I42" s="209"/>
      <c r="J42" s="209"/>
      <c r="K42" s="209"/>
      <c r="L42" s="209"/>
      <c r="M42" s="250"/>
      <c r="N42" s="251"/>
      <c r="O42" s="251"/>
      <c r="P42" s="251"/>
      <c r="Q42" s="251"/>
      <c r="R42" s="251"/>
      <c r="S42" s="251"/>
      <c r="T42" s="251"/>
      <c r="U42" s="468"/>
      <c r="V42" s="251"/>
      <c r="W42" s="251"/>
    </row>
    <row r="43" spans="2:24" s="248" customFormat="1" ht="15" customHeight="1">
      <c r="B43" s="254"/>
      <c r="C43" s="2330" t="s">
        <v>108</v>
      </c>
      <c r="D43" s="2250"/>
      <c r="E43" s="1330"/>
      <c r="F43" s="1251"/>
      <c r="G43" s="209"/>
      <c r="H43" s="209"/>
      <c r="I43" s="560"/>
      <c r="J43" s="560"/>
      <c r="K43" s="1249" t="s">
        <v>107</v>
      </c>
      <c r="L43" s="469"/>
      <c r="M43" s="250"/>
      <c r="N43" s="209"/>
      <c r="O43" s="209"/>
      <c r="P43" s="560"/>
      <c r="Q43" s="251"/>
      <c r="R43" s="251"/>
      <c r="S43" s="251"/>
      <c r="T43" s="251"/>
      <c r="U43" s="251"/>
      <c r="V43" s="251"/>
      <c r="W43" s="251"/>
    </row>
    <row r="44" spans="2:24" s="248" customFormat="1" ht="15" customHeight="1">
      <c r="B44" s="254"/>
      <c r="C44" s="1331" t="s">
        <v>106</v>
      </c>
      <c r="D44" s="1478">
        <v>42</v>
      </c>
      <c r="E44" s="246"/>
      <c r="F44" s="242"/>
      <c r="G44" s="242"/>
      <c r="H44" s="209"/>
      <c r="I44" s="560"/>
      <c r="J44" s="560"/>
      <c r="K44" s="484" t="s">
        <v>1046</v>
      </c>
      <c r="L44" s="515">
        <f>E33*D45*D44*D46</f>
        <v>2520</v>
      </c>
      <c r="M44" s="250"/>
      <c r="N44" s="209"/>
      <c r="O44" s="209"/>
      <c r="P44" s="560"/>
      <c r="Q44" s="251"/>
      <c r="R44" s="251"/>
      <c r="S44" s="251"/>
      <c r="T44" s="251"/>
      <c r="U44" s="251"/>
      <c r="V44" s="251"/>
      <c r="W44" s="251"/>
    </row>
    <row r="45" spans="2:24" s="248" customFormat="1" ht="15" customHeight="1">
      <c r="B45" s="254"/>
      <c r="C45" s="1331" t="s">
        <v>250</v>
      </c>
      <c r="D45" s="1479">
        <v>37.5</v>
      </c>
      <c r="G45" s="242"/>
      <c r="H45" s="209"/>
      <c r="I45" s="560"/>
      <c r="J45" s="560"/>
      <c r="K45" s="530"/>
      <c r="L45" s="530"/>
      <c r="M45" s="250"/>
      <c r="N45" s="209"/>
      <c r="O45" s="209"/>
      <c r="P45" s="560"/>
      <c r="Q45" s="251"/>
      <c r="R45" s="251"/>
      <c r="S45" s="251"/>
      <c r="T45" s="251"/>
      <c r="U45" s="251"/>
      <c r="V45" s="251"/>
      <c r="W45" s="251"/>
    </row>
    <row r="46" spans="2:24" s="248" customFormat="1" ht="15" customHeight="1">
      <c r="B46" s="254"/>
      <c r="C46" s="1331" t="s">
        <v>1065</v>
      </c>
      <c r="D46" s="1336">
        <v>0.8</v>
      </c>
      <c r="G46" s="242"/>
      <c r="H46" s="209"/>
      <c r="I46" s="560"/>
      <c r="J46" s="560"/>
      <c r="K46" s="530"/>
      <c r="L46" s="530"/>
      <c r="M46" s="250"/>
      <c r="N46" s="209"/>
      <c r="O46" s="209"/>
      <c r="P46" s="560"/>
      <c r="Q46" s="251"/>
      <c r="R46" s="251"/>
      <c r="S46" s="251"/>
      <c r="T46" s="251"/>
      <c r="U46" s="251"/>
      <c r="V46" s="251"/>
      <c r="W46" s="251"/>
    </row>
    <row r="47" spans="2:24" s="248" customFormat="1" ht="15" customHeight="1">
      <c r="B47" s="254"/>
      <c r="G47" s="242"/>
      <c r="H47" s="209"/>
      <c r="I47" s="209"/>
      <c r="J47" s="209"/>
      <c r="K47" s="509" t="s">
        <v>104</v>
      </c>
      <c r="L47" s="458"/>
      <c r="M47" s="250"/>
      <c r="N47" s="209"/>
      <c r="O47" s="209"/>
      <c r="P47" s="560"/>
      <c r="Q47" s="251"/>
      <c r="R47" s="251"/>
      <c r="S47" s="251"/>
      <c r="T47" s="251"/>
      <c r="U47" s="251"/>
      <c r="V47" s="251"/>
      <c r="W47" s="251"/>
      <c r="X47" s="251"/>
    </row>
    <row r="48" spans="2:24" s="248" customFormat="1" ht="15" customHeight="1">
      <c r="B48" s="254"/>
      <c r="C48" s="2330" t="s">
        <v>105</v>
      </c>
      <c r="D48" s="2250"/>
      <c r="G48" s="242"/>
      <c r="H48" s="209"/>
      <c r="I48" s="209"/>
      <c r="J48" s="242"/>
      <c r="K48" s="484" t="s">
        <v>185</v>
      </c>
      <c r="L48" s="515">
        <f>L44*60/D49</f>
        <v>7560</v>
      </c>
      <c r="M48" s="250"/>
      <c r="N48" s="209"/>
      <c r="O48" s="209"/>
      <c r="P48" s="560"/>
      <c r="Q48" s="251"/>
      <c r="R48" s="251"/>
      <c r="S48" s="251"/>
      <c r="T48" s="251"/>
      <c r="U48" s="251"/>
      <c r="V48" s="251"/>
      <c r="W48" s="251"/>
      <c r="X48" s="251"/>
    </row>
    <row r="49" spans="1:24" s="248" customFormat="1" ht="15" customHeight="1">
      <c r="B49" s="254"/>
      <c r="C49" s="1331" t="s">
        <v>1066</v>
      </c>
      <c r="D49" s="1480">
        <v>20</v>
      </c>
      <c r="E49" s="242"/>
      <c r="F49" s="242"/>
      <c r="G49" s="242"/>
      <c r="H49" s="209"/>
      <c r="I49" s="209"/>
      <c r="J49" s="209"/>
      <c r="K49" s="603"/>
      <c r="L49" s="603"/>
      <c r="M49" s="250"/>
      <c r="N49" s="209"/>
      <c r="O49" s="209"/>
      <c r="P49" s="560"/>
      <c r="Q49" s="251"/>
      <c r="R49" s="251"/>
      <c r="S49" s="251"/>
      <c r="T49" s="251"/>
      <c r="U49" s="251"/>
      <c r="V49" s="251"/>
      <c r="W49" s="251"/>
      <c r="X49" s="251"/>
    </row>
    <row r="50" spans="1:24" s="248" customFormat="1" ht="15">
      <c r="B50" s="254"/>
      <c r="C50" s="560"/>
      <c r="D50" s="209"/>
      <c r="E50" s="209"/>
      <c r="F50" s="443"/>
      <c r="G50" s="560"/>
      <c r="H50" s="209"/>
      <c r="I50" s="560"/>
      <c r="J50" s="560"/>
      <c r="K50" s="569" t="s">
        <v>186</v>
      </c>
      <c r="L50" s="489">
        <f>L41/L48</f>
        <v>10.920017883597884</v>
      </c>
      <c r="M50" s="250"/>
      <c r="N50" s="209"/>
      <c r="O50" s="209"/>
      <c r="P50" s="560"/>
      <c r="Q50" s="251"/>
      <c r="R50" s="251"/>
      <c r="S50" s="251"/>
      <c r="T50" s="251"/>
      <c r="U50" s="251"/>
      <c r="V50" s="251"/>
      <c r="W50" s="251"/>
    </row>
    <row r="51" spans="1:24" s="209" customFormat="1" ht="15" customHeight="1">
      <c r="B51" s="254"/>
      <c r="M51" s="250"/>
      <c r="U51" s="251"/>
    </row>
    <row r="52" spans="1:24" s="248" customFormat="1" ht="15" customHeight="1">
      <c r="A52" s="499" t="s">
        <v>103</v>
      </c>
      <c r="B52" s="2316" t="s">
        <v>102</v>
      </c>
      <c r="C52" s="2335"/>
      <c r="D52" s="2335"/>
      <c r="E52" s="2335"/>
      <c r="F52" s="2335"/>
      <c r="G52" s="2335"/>
      <c r="H52" s="2335"/>
      <c r="I52" s="2335"/>
      <c r="J52" s="2335"/>
      <c r="K52" s="2335"/>
      <c r="L52" s="2335"/>
      <c r="M52" s="2318"/>
      <c r="N52" s="209"/>
      <c r="O52" s="209"/>
      <c r="P52" s="209"/>
      <c r="Q52" s="251"/>
      <c r="R52" s="251"/>
      <c r="T52" s="251"/>
      <c r="U52" s="251"/>
      <c r="V52" s="251"/>
      <c r="W52" s="251"/>
      <c r="X52" s="251"/>
    </row>
    <row r="53" spans="1:24" s="248" customFormat="1" ht="15" customHeight="1">
      <c r="B53" s="1051"/>
      <c r="C53" s="441"/>
      <c r="D53" s="209"/>
      <c r="E53" s="209"/>
      <c r="F53" s="434"/>
      <c r="G53" s="434"/>
      <c r="H53" s="434"/>
      <c r="I53" s="209"/>
      <c r="J53" s="434"/>
      <c r="K53" s="434"/>
      <c r="L53" s="581"/>
      <c r="M53" s="250"/>
      <c r="N53" s="209"/>
      <c r="O53" s="251"/>
      <c r="P53" s="251"/>
      <c r="Q53" s="251"/>
      <c r="R53" s="251"/>
      <c r="S53" s="251"/>
      <c r="T53" s="251"/>
      <c r="U53" s="251"/>
      <c r="V53" s="251"/>
      <c r="W53" s="251"/>
      <c r="X53" s="251"/>
    </row>
    <row r="54" spans="1:24" s="248" customFormat="1" ht="15" customHeight="1">
      <c r="B54" s="254"/>
      <c r="C54" s="2323" t="s">
        <v>185</v>
      </c>
      <c r="D54" s="2324"/>
      <c r="E54" s="2325"/>
      <c r="F54" s="488">
        <f>L48</f>
        <v>7560</v>
      </c>
      <c r="G54" s="434"/>
      <c r="H54" s="434"/>
      <c r="I54" s="209"/>
      <c r="J54" s="434"/>
      <c r="K54" s="434"/>
      <c r="L54" s="581"/>
      <c r="M54" s="250"/>
      <c r="N54" s="209"/>
      <c r="O54" s="251"/>
      <c r="P54" s="251"/>
      <c r="Q54" s="251"/>
      <c r="R54" s="251"/>
      <c r="S54" s="251"/>
      <c r="T54" s="251"/>
      <c r="U54" s="251"/>
      <c r="V54" s="251"/>
      <c r="W54" s="251"/>
      <c r="X54" s="251"/>
    </row>
    <row r="55" spans="1:24" s="248" customFormat="1" ht="15" customHeight="1">
      <c r="B55" s="254"/>
      <c r="C55" s="441"/>
      <c r="D55" s="209"/>
      <c r="E55" s="209"/>
      <c r="F55" s="434"/>
      <c r="G55" s="434"/>
      <c r="H55" s="434"/>
      <c r="I55" s="209"/>
      <c r="J55" s="434"/>
      <c r="K55" s="434"/>
      <c r="L55" s="581"/>
      <c r="M55" s="250"/>
      <c r="N55" s="209"/>
      <c r="O55" s="251"/>
      <c r="P55" s="251"/>
      <c r="Q55" s="251"/>
      <c r="R55" s="251"/>
      <c r="S55" s="251"/>
      <c r="T55" s="251"/>
      <c r="U55" s="251"/>
      <c r="V55" s="251"/>
      <c r="W55" s="251"/>
      <c r="X55" s="251"/>
    </row>
    <row r="56" spans="1:24" s="248" customFormat="1" ht="48.75" customHeight="1">
      <c r="B56" s="254"/>
      <c r="C56" s="582" t="s">
        <v>555</v>
      </c>
      <c r="D56" s="563" t="s">
        <v>101</v>
      </c>
      <c r="E56" s="563" t="s">
        <v>100</v>
      </c>
      <c r="F56" s="563" t="s">
        <v>992</v>
      </c>
      <c r="G56" s="508"/>
      <c r="H56" s="497"/>
      <c r="I56" s="497"/>
      <c r="J56" s="497"/>
      <c r="K56" s="569" t="s">
        <v>960</v>
      </c>
      <c r="L56" s="564" t="s">
        <v>121</v>
      </c>
      <c r="M56" s="586" t="s">
        <v>148</v>
      </c>
      <c r="N56" s="209"/>
      <c r="O56" s="251"/>
      <c r="P56" s="251"/>
      <c r="Q56" s="251"/>
      <c r="R56" s="251"/>
      <c r="S56" s="251"/>
      <c r="T56" s="251"/>
      <c r="U56" s="251"/>
      <c r="V56" s="251"/>
      <c r="W56" s="251"/>
      <c r="X56" s="251"/>
    </row>
    <row r="57" spans="1:24" s="248" customFormat="1" ht="15" customHeight="1">
      <c r="B57" s="254"/>
      <c r="C57" s="569" t="s">
        <v>77</v>
      </c>
      <c r="D57" s="1465">
        <v>0.03</v>
      </c>
      <c r="E57" s="1465">
        <v>0.1</v>
      </c>
      <c r="F57" s="1466">
        <v>0.1</v>
      </c>
      <c r="G57" s="508"/>
      <c r="H57" s="497"/>
      <c r="I57" s="497"/>
      <c r="J57" s="497"/>
      <c r="K57" s="569" t="str">
        <f>C57</f>
        <v>Ambulance - see and treat</v>
      </c>
      <c r="L57" s="488">
        <f>L$48*F57</f>
        <v>756</v>
      </c>
      <c r="M57" s="494">
        <f>INT(L57/E80)*E80</f>
        <v>0</v>
      </c>
      <c r="N57" s="209"/>
      <c r="O57" s="251"/>
      <c r="P57" s="251"/>
      <c r="Q57" s="251"/>
      <c r="R57" s="251"/>
      <c r="S57" s="251"/>
      <c r="T57" s="251"/>
      <c r="U57" s="251"/>
      <c r="V57" s="251"/>
      <c r="W57" s="251"/>
      <c r="X57" s="251"/>
    </row>
    <row r="58" spans="1:24" s="248" customFormat="1" ht="15" customHeight="1">
      <c r="B58" s="254"/>
      <c r="C58" s="569" t="s">
        <v>46</v>
      </c>
      <c r="D58" s="1465">
        <v>0.03</v>
      </c>
      <c r="E58" s="1465">
        <v>0.1</v>
      </c>
      <c r="F58" s="1466">
        <v>0.1</v>
      </c>
      <c r="G58" s="508"/>
      <c r="H58" s="497"/>
      <c r="I58" s="497"/>
      <c r="J58" s="497"/>
      <c r="K58" s="569" t="str">
        <f>C58</f>
        <v>Ambulance - see and convey to ED</v>
      </c>
      <c r="L58" s="488">
        <f>L$48*F58</f>
        <v>756</v>
      </c>
      <c r="M58" s="494">
        <f>INT(L58/E81)*E81</f>
        <v>0</v>
      </c>
      <c r="N58" s="209"/>
      <c r="O58" s="251"/>
      <c r="P58" s="251"/>
      <c r="Q58" s="251"/>
      <c r="R58" s="251"/>
      <c r="S58" s="251"/>
      <c r="T58" s="251"/>
      <c r="U58" s="251"/>
      <c r="V58" s="251"/>
      <c r="W58" s="251"/>
      <c r="X58" s="251"/>
    </row>
    <row r="59" spans="1:24" s="248" customFormat="1" ht="15" customHeight="1">
      <c r="B59" s="254"/>
      <c r="C59" s="569" t="s">
        <v>1286</v>
      </c>
      <c r="D59" s="1465">
        <v>0.1</v>
      </c>
      <c r="E59" s="1465">
        <v>0.3</v>
      </c>
      <c r="F59" s="1465">
        <f>F58</f>
        <v>0.1</v>
      </c>
      <c r="G59" s="2336" t="s">
        <v>1287</v>
      </c>
      <c r="H59" s="2337"/>
      <c r="I59" s="497"/>
      <c r="J59" s="497"/>
      <c r="K59" s="588" t="str">
        <f>C60</f>
        <v>ED attends</v>
      </c>
      <c r="L59" s="488">
        <f>L$48*(F60+F59)</f>
        <v>1512</v>
      </c>
      <c r="M59" s="494">
        <f>INT(L59/E82)*E82</f>
        <v>0</v>
      </c>
      <c r="N59" s="209"/>
      <c r="O59" s="251"/>
      <c r="P59" s="251"/>
      <c r="Q59" s="251"/>
      <c r="R59" s="251"/>
      <c r="S59" s="251"/>
      <c r="T59" s="251"/>
      <c r="U59" s="251"/>
      <c r="V59" s="251"/>
      <c r="W59" s="251"/>
      <c r="X59" s="251"/>
    </row>
    <row r="60" spans="1:24" s="248" customFormat="1" ht="15" customHeight="1">
      <c r="B60" s="254"/>
      <c r="C60" s="1441" t="s">
        <v>43</v>
      </c>
      <c r="D60" s="1465">
        <v>0</v>
      </c>
      <c r="E60" s="1465">
        <v>0.1</v>
      </c>
      <c r="F60" s="1466">
        <v>0.1</v>
      </c>
      <c r="G60" s="1529" t="s">
        <v>1285</v>
      </c>
      <c r="H60" s="497"/>
      <c r="I60" s="497"/>
      <c r="J60" s="497"/>
      <c r="K60" s="242"/>
      <c r="L60" s="242"/>
      <c r="M60" s="463"/>
      <c r="N60" s="209"/>
      <c r="O60" s="251"/>
      <c r="P60" s="251"/>
      <c r="Q60" s="251"/>
      <c r="R60" s="251"/>
      <c r="S60" s="251"/>
      <c r="T60" s="251"/>
      <c r="U60" s="251"/>
      <c r="V60" s="251"/>
      <c r="W60" s="251"/>
      <c r="X60" s="251"/>
    </row>
    <row r="61" spans="1:24" s="248" customFormat="1" ht="15" customHeight="1">
      <c r="B61" s="254"/>
      <c r="C61" s="1200"/>
      <c r="D61" s="1464"/>
      <c r="E61" s="1464"/>
      <c r="F61" s="1464"/>
      <c r="G61" s="508"/>
      <c r="H61" s="497"/>
      <c r="I61" s="497"/>
      <c r="J61" s="497"/>
      <c r="K61" s="242"/>
      <c r="L61" s="242"/>
      <c r="M61" s="463"/>
      <c r="N61" s="209"/>
      <c r="O61" s="251"/>
      <c r="P61" s="251"/>
      <c r="Q61" s="251"/>
      <c r="R61" s="251"/>
      <c r="S61" s="251"/>
      <c r="T61" s="251"/>
      <c r="U61" s="251"/>
      <c r="V61" s="251"/>
      <c r="W61" s="251"/>
      <c r="X61" s="251"/>
    </row>
    <row r="62" spans="1:24" s="248" customFormat="1" ht="58.5" customHeight="1">
      <c r="B62" s="254"/>
      <c r="C62" s="582" t="s">
        <v>555</v>
      </c>
      <c r="D62" s="589" t="s">
        <v>101</v>
      </c>
      <c r="E62" s="589" t="s">
        <v>100</v>
      </c>
      <c r="F62" s="1442" t="s">
        <v>985</v>
      </c>
      <c r="G62" s="508"/>
      <c r="H62" s="497"/>
      <c r="I62" s="497"/>
      <c r="J62" s="497"/>
      <c r="K62" s="585" t="s">
        <v>230</v>
      </c>
      <c r="L62" s="564" t="s">
        <v>121</v>
      </c>
      <c r="M62" s="586" t="s">
        <v>148</v>
      </c>
      <c r="N62" s="209"/>
      <c r="O62" s="251"/>
      <c r="P62" s="251"/>
      <c r="Q62" s="251"/>
      <c r="R62" s="251"/>
      <c r="S62" s="251"/>
      <c r="T62" s="251"/>
      <c r="U62" s="251"/>
      <c r="V62" s="251"/>
      <c r="W62" s="251"/>
      <c r="X62" s="251"/>
    </row>
    <row r="63" spans="1:24" s="248" customFormat="1" ht="15" customHeight="1">
      <c r="B63" s="254"/>
      <c r="C63" s="588" t="s">
        <v>44</v>
      </c>
      <c r="D63" s="1465">
        <v>0</v>
      </c>
      <c r="E63" s="1465">
        <v>0.1</v>
      </c>
      <c r="F63" s="1466">
        <v>0.1</v>
      </c>
      <c r="G63" s="508"/>
      <c r="H63" s="497"/>
      <c r="I63" s="497"/>
      <c r="J63" s="497"/>
      <c r="K63" s="588" t="str">
        <f>C63</f>
        <v>OOH clinic visits</v>
      </c>
      <c r="L63" s="771">
        <f>L$48*F63</f>
        <v>756</v>
      </c>
      <c r="M63" s="494">
        <f>INT(L63/E83)*E83</f>
        <v>0</v>
      </c>
      <c r="N63" s="209"/>
      <c r="O63" s="251"/>
      <c r="P63" s="251"/>
      <c r="Q63" s="251"/>
      <c r="R63" s="251"/>
      <c r="S63" s="251"/>
      <c r="T63" s="251"/>
      <c r="U63" s="251"/>
      <c r="V63" s="251"/>
      <c r="W63" s="251"/>
      <c r="X63" s="251"/>
    </row>
    <row r="64" spans="1:24" s="248" customFormat="1" ht="15" customHeight="1">
      <c r="B64" s="254"/>
      <c r="C64" s="588" t="s">
        <v>67</v>
      </c>
      <c r="D64" s="1465">
        <v>0</v>
      </c>
      <c r="E64" s="1465">
        <v>0.1</v>
      </c>
      <c r="F64" s="1466">
        <v>0.1</v>
      </c>
      <c r="G64" s="508"/>
      <c r="H64" s="497"/>
      <c r="I64" s="497"/>
      <c r="J64" s="497"/>
      <c r="K64" s="588" t="str">
        <f>C64</f>
        <v>UCC attends</v>
      </c>
      <c r="L64" s="771">
        <f>L$48*F64</f>
        <v>756</v>
      </c>
      <c r="M64" s="494">
        <f>INT(L64/E84)*E84</f>
        <v>0</v>
      </c>
      <c r="N64" s="209"/>
      <c r="O64" s="251"/>
      <c r="P64" s="251"/>
      <c r="Q64" s="251"/>
      <c r="R64" s="251"/>
      <c r="S64" s="251"/>
      <c r="T64" s="251"/>
      <c r="U64" s="251"/>
      <c r="V64" s="251"/>
      <c r="W64" s="251"/>
      <c r="X64" s="251"/>
    </row>
    <row r="65" spans="2:24" s="248" customFormat="1" ht="15" customHeight="1">
      <c r="B65" s="254"/>
      <c r="C65" s="588" t="s">
        <v>32</v>
      </c>
      <c r="D65" s="1465">
        <v>0</v>
      </c>
      <c r="E65" s="1465">
        <v>0.1</v>
      </c>
      <c r="F65" s="1466">
        <v>0.1</v>
      </c>
      <c r="G65" s="508"/>
      <c r="H65" s="497"/>
      <c r="I65" s="497"/>
      <c r="J65" s="508"/>
      <c r="K65" s="588" t="str">
        <f>C65</f>
        <v>GP attends</v>
      </c>
      <c r="L65" s="771">
        <f>L$48*F65</f>
        <v>756</v>
      </c>
      <c r="M65" s="494">
        <f>INT(L65/E85)*E85</f>
        <v>756</v>
      </c>
      <c r="N65" s="209"/>
      <c r="O65" s="251"/>
      <c r="P65" s="251"/>
      <c r="Q65" s="251"/>
      <c r="R65" s="251"/>
      <c r="S65" s="251"/>
      <c r="T65" s="251"/>
      <c r="U65" s="251"/>
      <c r="V65" s="251"/>
      <c r="W65" s="251"/>
      <c r="X65" s="251"/>
    </row>
    <row r="66" spans="2:24" s="248" customFormat="1" ht="15" customHeight="1">
      <c r="B66" s="254"/>
      <c r="C66" s="441"/>
      <c r="D66" s="209"/>
      <c r="E66" s="209"/>
      <c r="F66" s="434"/>
      <c r="G66" s="508"/>
      <c r="H66" s="508"/>
      <c r="I66" s="508"/>
      <c r="J66" s="508"/>
      <c r="K66" s="508"/>
      <c r="L66" s="530"/>
      <c r="M66" s="490"/>
      <c r="N66" s="209"/>
      <c r="O66" s="251"/>
      <c r="P66" s="251"/>
      <c r="Q66" s="251"/>
      <c r="R66" s="251"/>
      <c r="S66" s="251"/>
      <c r="T66" s="251"/>
      <c r="U66" s="251"/>
      <c r="V66" s="251"/>
      <c r="W66" s="251"/>
      <c r="X66" s="251"/>
    </row>
    <row r="67" spans="2:24" s="248" customFormat="1" ht="32.25" customHeight="1">
      <c r="B67" s="254"/>
      <c r="C67" s="434"/>
      <c r="D67" s="434"/>
      <c r="E67" s="434"/>
      <c r="F67" s="434"/>
      <c r="G67" s="508"/>
      <c r="H67" s="508"/>
      <c r="I67" s="497"/>
      <c r="J67" s="508"/>
      <c r="L67" s="590" t="s">
        <v>659</v>
      </c>
      <c r="M67" s="586" t="s">
        <v>120</v>
      </c>
      <c r="N67" s="251"/>
      <c r="O67" s="251"/>
      <c r="P67" s="251"/>
      <c r="Q67" s="251"/>
      <c r="R67" s="251"/>
      <c r="S67" s="251"/>
      <c r="T67" s="251"/>
      <c r="U67" s="251"/>
      <c r="V67" s="251"/>
      <c r="W67" s="251"/>
      <c r="X67" s="251"/>
    </row>
    <row r="68" spans="2:24" s="248" customFormat="1" ht="15" customHeight="1">
      <c r="B68" s="254"/>
      <c r="C68" s="434"/>
      <c r="D68" s="434"/>
      <c r="E68" s="434"/>
      <c r="F68" s="434"/>
      <c r="G68" s="508"/>
      <c r="H68" s="242"/>
      <c r="I68" s="1682"/>
      <c r="J68" s="1321"/>
      <c r="K68" s="1040" t="str">
        <f>K57</f>
        <v>Ambulance - see and treat</v>
      </c>
      <c r="L68" s="1935">
        <f>L57*D80</f>
        <v>135952.70226874913</v>
      </c>
      <c r="M68" s="1692">
        <f>(L57-M57)*F80+(M57*G80)</f>
        <v>12212.045999999998</v>
      </c>
      <c r="N68" s="251"/>
      <c r="O68" s="251"/>
      <c r="P68" s="251"/>
      <c r="Q68" s="251"/>
      <c r="R68" s="251"/>
      <c r="S68" s="251"/>
      <c r="T68" s="251"/>
      <c r="U68" s="251"/>
      <c r="V68" s="251"/>
      <c r="W68" s="251"/>
      <c r="X68" s="251"/>
    </row>
    <row r="69" spans="2:24" s="248" customFormat="1" ht="15" customHeight="1">
      <c r="B69" s="254"/>
      <c r="C69" s="434"/>
      <c r="D69" s="434"/>
      <c r="E69" s="434"/>
      <c r="F69" s="434"/>
      <c r="G69" s="508"/>
      <c r="H69" s="242"/>
      <c r="I69" s="1682"/>
      <c r="J69" s="1321"/>
      <c r="K69" s="1040" t="str">
        <f>K58</f>
        <v>Ambulance - see and convey to ED</v>
      </c>
      <c r="L69" s="1935">
        <f>L58*D81</f>
        <v>176163.12051950095</v>
      </c>
      <c r="M69" s="1692">
        <f>(L58-M58)*F81+(M58*G81)</f>
        <v>19465.261199999997</v>
      </c>
      <c r="N69" s="251"/>
      <c r="O69" s="251"/>
      <c r="P69" s="251"/>
      <c r="Q69" s="251"/>
      <c r="R69" s="251"/>
      <c r="S69" s="251"/>
      <c r="T69" s="251"/>
      <c r="U69" s="251"/>
      <c r="V69" s="251"/>
      <c r="W69" s="251"/>
      <c r="X69" s="251"/>
    </row>
    <row r="70" spans="2:24" s="248" customFormat="1" ht="15" customHeight="1">
      <c r="B70" s="254"/>
      <c r="G70" s="508"/>
      <c r="H70" s="242"/>
      <c r="I70" s="1682"/>
      <c r="J70" s="1321"/>
      <c r="K70" s="1040" t="str">
        <f>K59</f>
        <v>ED attends</v>
      </c>
      <c r="L70" s="1935">
        <f>L59*D82</f>
        <v>233142.74006794344</v>
      </c>
      <c r="M70" s="1692">
        <f>(L59-M59)*F82+(M59*G82)</f>
        <v>19673.01199337843</v>
      </c>
      <c r="N70" s="251"/>
      <c r="O70" s="251"/>
      <c r="P70" s="251"/>
      <c r="Q70" s="251"/>
      <c r="R70" s="251"/>
      <c r="S70" s="251"/>
      <c r="T70" s="251"/>
      <c r="U70" s="251"/>
      <c r="V70" s="251"/>
      <c r="W70" s="251"/>
      <c r="X70" s="251"/>
    </row>
    <row r="71" spans="2:24" s="248" customFormat="1" ht="15" customHeight="1">
      <c r="B71" s="254"/>
      <c r="G71" s="508"/>
      <c r="H71" s="242"/>
      <c r="I71" s="1682"/>
      <c r="J71" s="1321"/>
      <c r="K71" s="1040" t="str">
        <f>K63</f>
        <v>OOH clinic visits</v>
      </c>
      <c r="L71" s="1935">
        <f>-L63*D83</f>
        <v>-51634.799999999996</v>
      </c>
      <c r="M71" s="1692">
        <f>-((L63-M63)*F83+(M63*G83))</f>
        <v>-5789.3156999416187</v>
      </c>
      <c r="N71" s="251"/>
      <c r="O71" s="251"/>
      <c r="P71" s="251"/>
      <c r="Q71" s="251"/>
      <c r="R71" s="251"/>
      <c r="S71" s="251"/>
      <c r="T71" s="251"/>
      <c r="U71" s="251"/>
      <c r="V71" s="251"/>
      <c r="W71" s="251"/>
      <c r="X71" s="251"/>
    </row>
    <row r="72" spans="2:24" s="248" customFormat="1" ht="15" customHeight="1">
      <c r="B72" s="254"/>
      <c r="G72" s="508"/>
      <c r="H72" s="242"/>
      <c r="I72" s="1682"/>
      <c r="J72" s="1321"/>
      <c r="K72" s="1040" t="str">
        <f>K64</f>
        <v>UCC attends</v>
      </c>
      <c r="L72" s="1935">
        <f>-L64*D84</f>
        <v>-43092</v>
      </c>
      <c r="M72" s="1692">
        <f>-((L64-M64)*F84+(M64*G84))</f>
        <v>-3296.1599999999994</v>
      </c>
      <c r="N72" s="251"/>
      <c r="O72" s="251"/>
      <c r="P72" s="251"/>
      <c r="Q72" s="251"/>
      <c r="R72" s="251"/>
      <c r="S72" s="251"/>
      <c r="T72" s="251"/>
      <c r="U72" s="251"/>
      <c r="V72" s="251"/>
      <c r="W72" s="251"/>
      <c r="X72" s="251"/>
    </row>
    <row r="73" spans="2:24" s="248" customFormat="1" ht="15" customHeight="1">
      <c r="B73" s="254"/>
      <c r="G73" s="508"/>
      <c r="H73" s="242"/>
      <c r="I73" s="1682"/>
      <c r="J73" s="1321"/>
      <c r="K73" s="1040" t="str">
        <f>K65</f>
        <v>GP attends</v>
      </c>
      <c r="L73" s="1935">
        <f>-L65*D85</f>
        <v>-27972</v>
      </c>
      <c r="M73" s="1692">
        <f>-((L65-M65)*F85+(M65*G85))</f>
        <v>-3142.7713799683074</v>
      </c>
      <c r="N73" s="251"/>
      <c r="O73" s="251"/>
      <c r="P73" s="251"/>
      <c r="Q73" s="251"/>
      <c r="R73" s="251"/>
      <c r="S73" s="251"/>
      <c r="T73" s="251"/>
      <c r="U73" s="251"/>
      <c r="V73" s="251"/>
      <c r="W73" s="251"/>
      <c r="X73" s="251"/>
    </row>
    <row r="74" spans="2:24" s="248" customFormat="1" ht="15" customHeight="1">
      <c r="B74" s="254"/>
      <c r="G74" s="508"/>
      <c r="H74" s="242"/>
      <c r="I74" s="1682"/>
      <c r="J74" s="1321"/>
      <c r="K74" s="1040" t="s">
        <v>98</v>
      </c>
      <c r="L74" s="1935">
        <f>SUM(L68:L73)</f>
        <v>422559.76285619353</v>
      </c>
      <c r="M74" s="1692">
        <f>SUM(M68:M73)</f>
        <v>39122.072113468508</v>
      </c>
      <c r="N74" s="251"/>
      <c r="O74" s="251"/>
      <c r="P74" s="251"/>
      <c r="Q74" s="251"/>
      <c r="R74" s="251"/>
      <c r="S74" s="251"/>
      <c r="T74" s="251"/>
      <c r="U74" s="251"/>
      <c r="V74" s="251"/>
      <c r="W74" s="251"/>
      <c r="X74" s="251"/>
    </row>
    <row r="75" spans="2:24" s="248" customFormat="1" ht="15" customHeight="1">
      <c r="B75" s="254"/>
      <c r="G75" s="508"/>
      <c r="H75" s="497"/>
      <c r="I75" s="497"/>
      <c r="J75" s="497"/>
      <c r="L75" s="471"/>
      <c r="M75" s="1693"/>
      <c r="N75" s="251"/>
      <c r="O75" s="251"/>
      <c r="P75" s="251"/>
      <c r="Q75" s="251"/>
      <c r="R75" s="251"/>
      <c r="S75" s="251"/>
      <c r="T75" s="251"/>
      <c r="U75" s="251"/>
      <c r="V75" s="251"/>
      <c r="W75" s="251"/>
      <c r="X75" s="251"/>
    </row>
    <row r="76" spans="2:24" s="248" customFormat="1" ht="15" customHeight="1">
      <c r="B76" s="254"/>
      <c r="G76" s="508"/>
      <c r="H76" s="497"/>
      <c r="I76" s="497"/>
      <c r="J76" s="497"/>
      <c r="L76" s="497"/>
      <c r="M76" s="490"/>
      <c r="N76" s="251"/>
      <c r="O76" s="251"/>
      <c r="P76" s="251"/>
      <c r="Q76" s="251"/>
      <c r="R76" s="251"/>
      <c r="S76" s="251"/>
      <c r="T76" s="251"/>
      <c r="U76" s="251"/>
      <c r="V76" s="251"/>
      <c r="W76" s="251"/>
      <c r="X76" s="251"/>
    </row>
    <row r="77" spans="2:24" s="248" customFormat="1" ht="15" customHeight="1">
      <c r="B77" s="254"/>
      <c r="C77" s="529"/>
      <c r="D77" s="529"/>
      <c r="E77" s="529"/>
      <c r="F77" s="529"/>
      <c r="G77" s="529"/>
      <c r="H77" s="1691"/>
      <c r="I77" s="1691"/>
      <c r="J77" s="1691"/>
      <c r="K77" s="529"/>
      <c r="L77" s="529"/>
      <c r="M77" s="250"/>
      <c r="N77" s="209"/>
      <c r="O77" s="209"/>
      <c r="P77" s="560"/>
      <c r="Q77" s="251"/>
      <c r="R77" s="251"/>
      <c r="S77" s="251"/>
      <c r="T77" s="251"/>
      <c r="U77" s="251"/>
      <c r="V77" s="251"/>
      <c r="W77" s="251"/>
    </row>
    <row r="78" spans="2:24" s="248" customFormat="1" ht="15" customHeight="1">
      <c r="B78" s="254"/>
      <c r="C78" s="529"/>
      <c r="D78" s="529"/>
      <c r="E78" s="529"/>
      <c r="F78" s="529"/>
      <c r="G78" s="529"/>
      <c r="H78" s="529"/>
      <c r="I78" s="529"/>
      <c r="J78" s="529"/>
      <c r="K78" s="529"/>
      <c r="L78" s="529"/>
      <c r="M78" s="620"/>
      <c r="N78" s="209"/>
      <c r="O78" s="209"/>
      <c r="P78" s="560"/>
      <c r="Q78" s="251"/>
      <c r="R78" s="251"/>
      <c r="S78" s="251"/>
      <c r="T78" s="251"/>
      <c r="U78" s="251"/>
      <c r="V78" s="251"/>
      <c r="W78" s="251"/>
    </row>
    <row r="79" spans="2:24" s="248" customFormat="1" ht="75">
      <c r="B79" s="254"/>
      <c r="C79" s="582" t="s">
        <v>1214</v>
      </c>
      <c r="D79" s="1068" t="s">
        <v>660</v>
      </c>
      <c r="E79" s="563" t="s">
        <v>145</v>
      </c>
      <c r="F79" s="563" t="s">
        <v>144</v>
      </c>
      <c r="G79" s="2107" t="s">
        <v>561</v>
      </c>
      <c r="H79" s="1161"/>
      <c r="I79" s="1073"/>
      <c r="J79" s="2333"/>
      <c r="K79" s="2333"/>
      <c r="L79" s="2333"/>
      <c r="M79" s="620"/>
      <c r="N79" s="209"/>
      <c r="O79" s="209"/>
      <c r="P79" s="560"/>
      <c r="Q79" s="251"/>
      <c r="R79" s="251"/>
      <c r="S79" s="251"/>
      <c r="T79" s="251"/>
      <c r="U79" s="251"/>
      <c r="V79" s="251"/>
      <c r="W79" s="251"/>
    </row>
    <row r="80" spans="2:24" s="248" customFormat="1" ht="15" customHeight="1">
      <c r="B80" s="249"/>
      <c r="C80" s="561" t="str">
        <f t="shared" ref="C80:C85" si="2">K68</f>
        <v>Ambulance - see and treat</v>
      </c>
      <c r="D80" s="1194">
        <f>VLOOKUP($C80,local_data_input!$B$4:$K$20,2,FALSE)</f>
        <v>179.83161675760465</v>
      </c>
      <c r="E80" s="771">
        <f>VLOOKUP($C80,local_data_input!$B$4:$K$20,7,FALSE)</f>
        <v>3150</v>
      </c>
      <c r="F80" s="2108">
        <f>VLOOKUP($C80,local_data_input!$B$4:$K$20,8,FALSE)</f>
        <v>16.153499999999998</v>
      </c>
      <c r="G80" s="2108">
        <f>VLOOKUP($C80,local_data_input!$B$4:$K$20,9,FALSE)</f>
        <v>16.153499999999998</v>
      </c>
      <c r="H80" s="1161"/>
      <c r="I80" s="1073"/>
      <c r="J80" s="2333"/>
      <c r="K80" s="2334"/>
      <c r="L80" s="2334"/>
      <c r="M80" s="620"/>
      <c r="N80" s="209"/>
      <c r="O80" s="209"/>
      <c r="P80" s="560"/>
      <c r="Q80" s="251"/>
      <c r="R80" s="251"/>
      <c r="S80" s="251"/>
      <c r="T80" s="251"/>
      <c r="U80" s="251"/>
      <c r="V80" s="251"/>
      <c r="W80" s="251"/>
    </row>
    <row r="81" spans="2:26" s="248" customFormat="1" ht="15" customHeight="1">
      <c r="B81" s="254"/>
      <c r="C81" s="561" t="str">
        <f t="shared" si="2"/>
        <v>Ambulance - see and convey to ED</v>
      </c>
      <c r="D81" s="1194">
        <f>VLOOKUP($C81,local_data_input!$B$4:$K$20,2,FALSE)</f>
        <v>233.02000068717058</v>
      </c>
      <c r="E81" s="771">
        <f>VLOOKUP($C81,local_data_input!$B$4:$K$20,7,FALSE)</f>
        <v>3150</v>
      </c>
      <c r="F81" s="2108">
        <f>VLOOKUP($C81,local_data_input!$B$4:$K$20,8,FALSE)</f>
        <v>25.747699999999998</v>
      </c>
      <c r="G81" s="2108">
        <f>VLOOKUP($C81,local_data_input!$B$4:$K$20,9,FALSE)</f>
        <v>25.747699999999998</v>
      </c>
      <c r="H81" s="1162"/>
      <c r="I81" s="1163"/>
      <c r="J81" s="1164"/>
      <c r="K81" s="1165"/>
      <c r="L81" s="1165"/>
      <c r="M81" s="620"/>
      <c r="N81" s="209"/>
      <c r="O81" s="209"/>
      <c r="P81" s="560"/>
      <c r="Q81" s="251"/>
      <c r="R81" s="251"/>
      <c r="S81" s="251"/>
      <c r="T81" s="251"/>
      <c r="U81" s="251"/>
      <c r="V81" s="251"/>
      <c r="W81" s="251"/>
    </row>
    <row r="82" spans="2:26" s="248" customFormat="1" ht="15" customHeight="1">
      <c r="B82" s="254"/>
      <c r="C82" s="561" t="str">
        <f t="shared" si="2"/>
        <v>ED attends</v>
      </c>
      <c r="D82" s="1194">
        <f>VLOOKUP($C82,local_data_input!$B$4:$K$20,2,FALSE)</f>
        <v>154.19493390737</v>
      </c>
      <c r="E82" s="771">
        <f>VLOOKUP($C82,local_data_input!$B$4:$K$20,7,FALSE)</f>
        <v>4725</v>
      </c>
      <c r="F82" s="2108">
        <f>VLOOKUP($C82,local_data_input!$B$4:$K$20,8,FALSE)</f>
        <v>13.011251318371977</v>
      </c>
      <c r="G82" s="2108">
        <f>VLOOKUP($C82,local_data_input!$B$4:$K$20,9,FALSE)</f>
        <v>13.011251318371977</v>
      </c>
      <c r="H82" s="1162"/>
      <c r="I82" s="1163"/>
      <c r="J82" s="1164"/>
      <c r="K82" s="1165"/>
      <c r="L82" s="1165"/>
      <c r="M82" s="620"/>
      <c r="N82" s="209"/>
      <c r="O82" s="209"/>
      <c r="P82" s="560"/>
      <c r="Q82" s="251"/>
      <c r="R82" s="251"/>
      <c r="S82" s="251"/>
      <c r="T82" s="251"/>
      <c r="U82" s="251"/>
      <c r="V82" s="251"/>
      <c r="W82" s="251"/>
    </row>
    <row r="83" spans="2:26" s="248" customFormat="1" ht="15" customHeight="1">
      <c r="B83" s="254"/>
      <c r="C83" s="561" t="str">
        <f t="shared" si="2"/>
        <v>OOH clinic visits</v>
      </c>
      <c r="D83" s="1194">
        <f>VLOOKUP($C83,local_data_input!$B$4:$K$20,2,FALSE)</f>
        <v>68.3</v>
      </c>
      <c r="E83" s="771">
        <f>VLOOKUP($C83,local_data_input!$B$4:$K$20,7,FALSE)</f>
        <v>6300</v>
      </c>
      <c r="F83" s="2108">
        <f>VLOOKUP($C83,local_data_input!$B$4:$K$20,8,FALSE)</f>
        <v>7.6578249999227763</v>
      </c>
      <c r="G83" s="2108">
        <f>VLOOKUP($C83,local_data_input!$B$4:$K$20,9,FALSE)</f>
        <v>7.6578249999227763</v>
      </c>
      <c r="H83" s="1162"/>
      <c r="I83" s="1163"/>
      <c r="J83" s="1164"/>
      <c r="K83" s="1165"/>
      <c r="L83" s="1165"/>
      <c r="M83" s="620"/>
      <c r="N83" s="209"/>
      <c r="O83" s="209"/>
      <c r="P83" s="560"/>
      <c r="Q83" s="251"/>
      <c r="R83" s="251"/>
      <c r="S83" s="251"/>
      <c r="T83" s="251"/>
      <c r="U83" s="251"/>
      <c r="V83" s="251"/>
      <c r="W83" s="251"/>
    </row>
    <row r="84" spans="2:26" s="248" customFormat="1" ht="15" customHeight="1">
      <c r="B84" s="254"/>
      <c r="C84" s="561" t="str">
        <f t="shared" si="2"/>
        <v>UCC attends</v>
      </c>
      <c r="D84" s="1194">
        <f>VLOOKUP($C84,local_data_input!$B$4:$K$20,2,FALSE)</f>
        <v>57</v>
      </c>
      <c r="E84" s="771">
        <f>VLOOKUP($C84,local_data_input!$B$4:$K$20,7,FALSE)</f>
        <v>4725</v>
      </c>
      <c r="F84" s="2108">
        <f>VLOOKUP($C84,local_data_input!$B$4:$K$20,8,FALSE)</f>
        <v>4.3599999999999994</v>
      </c>
      <c r="G84" s="2108">
        <f>VLOOKUP($C84,local_data_input!$B$4:$K$20,9,FALSE)</f>
        <v>4.3599999999999994</v>
      </c>
      <c r="H84" s="1162"/>
      <c r="I84" s="1163"/>
      <c r="J84" s="1164"/>
      <c r="K84" s="1165"/>
      <c r="L84" s="1165"/>
      <c r="M84" s="620"/>
      <c r="N84" s="209"/>
      <c r="O84" s="209"/>
      <c r="P84" s="560"/>
      <c r="Q84" s="251"/>
      <c r="R84" s="251"/>
      <c r="S84" s="251"/>
      <c r="T84" s="251"/>
      <c r="U84" s="251"/>
      <c r="V84" s="251"/>
      <c r="W84" s="251"/>
    </row>
    <row r="85" spans="2:26" s="248" customFormat="1" ht="15" customHeight="1">
      <c r="B85" s="254"/>
      <c r="C85" s="561" t="str">
        <f t="shared" si="2"/>
        <v>GP attends</v>
      </c>
      <c r="D85" s="1194">
        <f>VLOOKUP($C85,local_data_input!$B$4:$K$20,2,FALSE)</f>
        <v>37</v>
      </c>
      <c r="E85" s="771">
        <f>VLOOKUP($C85,local_data_input!$B$4:$K$20,7,FALSE)</f>
        <v>1</v>
      </c>
      <c r="F85" s="2108">
        <f>VLOOKUP($C85,local_data_input!$B$4:$K$20,8,FALSE)</f>
        <v>4.1571049999580785</v>
      </c>
      <c r="G85" s="2108">
        <f>VLOOKUP($C85,local_data_input!$B$4:$K$20,9,FALSE)</f>
        <v>4.1571049999580785</v>
      </c>
      <c r="H85" s="1162"/>
      <c r="I85" s="1163"/>
      <c r="J85" s="1164"/>
      <c r="K85" s="1165"/>
      <c r="L85" s="1165"/>
      <c r="M85" s="620"/>
      <c r="N85" s="209"/>
      <c r="O85" s="209"/>
      <c r="P85" s="560"/>
      <c r="Q85" s="251"/>
      <c r="R85" s="251"/>
      <c r="S85" s="251"/>
      <c r="T85" s="251"/>
      <c r="U85" s="251"/>
      <c r="V85" s="251"/>
      <c r="W85" s="251"/>
    </row>
    <row r="86" spans="2:26" s="248" customFormat="1" ht="15" customHeight="1">
      <c r="B86" s="254"/>
      <c r="C86" s="529"/>
      <c r="D86" s="242"/>
      <c r="E86" s="242"/>
      <c r="H86" s="1163"/>
      <c r="I86" s="1163"/>
      <c r="J86" s="1164"/>
      <c r="K86" s="1165"/>
      <c r="L86" s="1165"/>
      <c r="M86" s="620"/>
      <c r="N86" s="209"/>
      <c r="O86" s="209"/>
      <c r="P86" s="560"/>
      <c r="Q86" s="251"/>
      <c r="R86" s="251"/>
      <c r="S86" s="251"/>
      <c r="T86" s="251"/>
      <c r="U86" s="251"/>
      <c r="V86" s="251"/>
      <c r="W86" s="251"/>
    </row>
    <row r="87" spans="2:26" s="248" customFormat="1" ht="15" customHeight="1">
      <c r="B87" s="1052"/>
      <c r="D87" s="529"/>
      <c r="E87" s="529"/>
      <c r="F87" s="529"/>
      <c r="G87" s="529"/>
      <c r="H87" s="529"/>
      <c r="I87" s="529"/>
      <c r="J87" s="529"/>
      <c r="K87" s="529"/>
      <c r="L87" s="529"/>
      <c r="M87" s="620"/>
      <c r="N87" s="209"/>
      <c r="O87" s="209"/>
      <c r="P87" s="209"/>
      <c r="Q87" s="251"/>
      <c r="R87" s="251"/>
      <c r="T87" s="251"/>
      <c r="U87" s="251"/>
      <c r="V87" s="251"/>
      <c r="W87" s="251"/>
      <c r="X87" s="251"/>
    </row>
    <row r="88" spans="2:26" s="248" customFormat="1" ht="15" customHeight="1">
      <c r="B88" s="2316" t="s">
        <v>97</v>
      </c>
      <c r="C88" s="2331"/>
      <c r="D88" s="2331"/>
      <c r="E88" s="2331"/>
      <c r="F88" s="2331"/>
      <c r="G88" s="2331"/>
      <c r="H88" s="2331"/>
      <c r="I88" s="2331"/>
      <c r="J88" s="2331"/>
      <c r="K88" s="2331"/>
      <c r="L88" s="2331"/>
      <c r="M88" s="2332"/>
      <c r="N88" s="251"/>
      <c r="O88" s="251"/>
      <c r="P88" s="251"/>
      <c r="Q88" s="251"/>
      <c r="R88" s="251"/>
      <c r="S88" s="251"/>
      <c r="T88" s="251"/>
      <c r="U88" s="251"/>
      <c r="V88" s="479"/>
      <c r="W88" s="479"/>
      <c r="X88" s="457"/>
      <c r="Y88" s="457"/>
      <c r="Z88" s="457"/>
    </row>
    <row r="89" spans="2:26" s="248" customFormat="1" ht="15" customHeight="1">
      <c r="B89" s="254"/>
      <c r="C89" s="209" t="s">
        <v>96</v>
      </c>
      <c r="D89" s="209"/>
      <c r="E89" s="209"/>
      <c r="F89" s="209"/>
      <c r="G89" s="209"/>
      <c r="H89" s="209"/>
      <c r="I89" s="209"/>
      <c r="J89" s="209"/>
      <c r="K89" s="209"/>
      <c r="L89" s="209"/>
      <c r="M89" s="250"/>
      <c r="N89" s="251"/>
      <c r="O89" s="251"/>
      <c r="P89" s="251"/>
      <c r="Q89" s="251"/>
      <c r="R89" s="251"/>
      <c r="S89" s="251"/>
      <c r="T89" s="251"/>
      <c r="U89" s="251"/>
      <c r="V89" s="479"/>
      <c r="W89" s="479"/>
      <c r="X89" s="457"/>
      <c r="Y89" s="457"/>
      <c r="Z89" s="457"/>
    </row>
    <row r="90" spans="2:26" s="248" customFormat="1" ht="15" customHeight="1" thickBot="1">
      <c r="B90" s="472"/>
      <c r="C90" s="491"/>
      <c r="D90" s="491"/>
      <c r="E90" s="491"/>
      <c r="F90" s="491"/>
      <c r="G90" s="491"/>
      <c r="H90" s="491"/>
      <c r="I90" s="491"/>
      <c r="J90" s="491"/>
      <c r="K90" s="491"/>
      <c r="L90" s="491"/>
      <c r="M90" s="506"/>
      <c r="N90" s="251"/>
      <c r="O90" s="251"/>
      <c r="P90" s="251"/>
      <c r="Q90" s="251"/>
      <c r="R90" s="251"/>
      <c r="S90" s="251"/>
      <c r="T90" s="251"/>
      <c r="U90" s="251"/>
      <c r="V90" s="479"/>
      <c r="W90" s="479"/>
      <c r="X90" s="457"/>
      <c r="Y90" s="457"/>
      <c r="Z90" s="457"/>
    </row>
    <row r="91" spans="2:26" ht="15">
      <c r="B91" s="165"/>
      <c r="C91" s="628"/>
      <c r="D91" s="391"/>
      <c r="E91" s="391"/>
      <c r="F91" s="389"/>
      <c r="G91" s="389"/>
      <c r="H91" s="389"/>
      <c r="I91" s="389"/>
      <c r="J91" s="389"/>
      <c r="K91" s="389"/>
      <c r="L91" s="389"/>
      <c r="M91" s="391"/>
      <c r="N91" s="165"/>
      <c r="O91" s="165"/>
      <c r="P91" s="165"/>
      <c r="Q91" s="165"/>
      <c r="R91" s="165"/>
      <c r="S91" s="165"/>
      <c r="T91" s="165"/>
      <c r="U91" s="165"/>
      <c r="V91" s="467"/>
      <c r="W91" s="467"/>
      <c r="X91" s="495"/>
      <c r="Y91" s="495"/>
      <c r="Z91" s="495"/>
    </row>
    <row r="92" spans="2:26" ht="15">
      <c r="B92" s="165"/>
      <c r="C92" s="628"/>
      <c r="D92" s="165"/>
      <c r="E92" s="165"/>
      <c r="F92" s="389"/>
      <c r="G92" s="389"/>
      <c r="H92" s="389"/>
      <c r="I92" s="389"/>
      <c r="J92" s="389"/>
      <c r="K92" s="389"/>
      <c r="L92" s="389"/>
      <c r="M92" s="391"/>
      <c r="N92" s="165"/>
      <c r="O92" s="165"/>
      <c r="P92" s="165"/>
      <c r="Q92" s="165"/>
      <c r="R92" s="165"/>
      <c r="S92" s="165"/>
      <c r="T92" s="165"/>
      <c r="U92" s="165"/>
      <c r="V92" s="467"/>
      <c r="W92" s="467"/>
      <c r="X92" s="495"/>
      <c r="Y92" s="495"/>
      <c r="Z92" s="495"/>
    </row>
    <row r="93" spans="2:26" ht="15">
      <c r="B93" s="165"/>
      <c r="C93" s="628"/>
      <c r="D93" s="628"/>
      <c r="E93" s="628"/>
      <c r="F93" s="389"/>
      <c r="G93" s="389"/>
      <c r="H93" s="389"/>
      <c r="I93" s="389"/>
      <c r="J93" s="389"/>
      <c r="K93" s="389"/>
      <c r="L93" s="389"/>
      <c r="M93" s="391"/>
      <c r="N93" s="165"/>
      <c r="O93" s="165"/>
      <c r="P93" s="165"/>
      <c r="Q93" s="165"/>
      <c r="R93" s="165"/>
      <c r="S93" s="165"/>
      <c r="T93" s="165"/>
      <c r="U93" s="165"/>
      <c r="V93" s="467"/>
      <c r="W93" s="467"/>
      <c r="X93" s="495"/>
      <c r="Y93" s="495"/>
      <c r="Z93" s="495"/>
    </row>
    <row r="94" spans="2:26" ht="15">
      <c r="B94" s="165"/>
      <c r="C94" s="389"/>
      <c r="D94" s="628"/>
      <c r="E94" s="628"/>
      <c r="F94" s="389"/>
      <c r="G94" s="389"/>
      <c r="H94" s="389"/>
      <c r="I94" s="389"/>
      <c r="J94" s="389"/>
      <c r="K94" s="389"/>
      <c r="L94" s="389"/>
      <c r="M94" s="391"/>
      <c r="N94" s="165"/>
      <c r="O94" s="165"/>
      <c r="P94" s="165"/>
      <c r="Q94" s="165"/>
      <c r="R94" s="165"/>
      <c r="S94" s="165"/>
      <c r="T94" s="165"/>
      <c r="V94" s="467"/>
      <c r="W94" s="467"/>
      <c r="X94" s="495"/>
      <c r="Y94" s="495"/>
      <c r="Z94" s="495"/>
    </row>
    <row r="95" spans="2:26">
      <c r="B95" s="165"/>
      <c r="C95" s="389"/>
      <c r="D95" s="391"/>
      <c r="E95" s="391"/>
      <c r="F95" s="514"/>
      <c r="G95" s="514"/>
      <c r="H95" s="514"/>
      <c r="I95" s="514"/>
      <c r="J95" s="514"/>
      <c r="K95" s="514"/>
      <c r="L95" s="514"/>
      <c r="M95" s="391"/>
      <c r="N95" s="165"/>
      <c r="O95" s="165"/>
      <c r="P95" s="165"/>
      <c r="Q95" s="165"/>
      <c r="R95" s="165"/>
      <c r="S95" s="165"/>
      <c r="T95" s="165"/>
      <c r="V95" s="467"/>
      <c r="W95" s="467"/>
      <c r="X95" s="495"/>
      <c r="Y95" s="495"/>
      <c r="Z95" s="495"/>
    </row>
    <row r="96" spans="2:26">
      <c r="B96" s="165"/>
      <c r="C96" s="389"/>
      <c r="D96" s="391"/>
      <c r="E96" s="391"/>
      <c r="F96" s="389"/>
      <c r="G96" s="389"/>
      <c r="H96" s="389"/>
      <c r="I96" s="389"/>
      <c r="J96" s="389"/>
      <c r="K96" s="389"/>
      <c r="L96" s="389"/>
      <c r="M96" s="391"/>
      <c r="N96" s="165"/>
      <c r="O96" s="165"/>
      <c r="P96" s="165"/>
      <c r="Q96" s="165"/>
      <c r="R96" s="165"/>
      <c r="S96" s="165"/>
      <c r="T96" s="165"/>
      <c r="V96" s="467"/>
      <c r="W96" s="467"/>
      <c r="X96" s="495"/>
      <c r="Y96" s="495"/>
      <c r="Z96" s="495"/>
    </row>
    <row r="97" spans="2:26">
      <c r="B97" s="165"/>
      <c r="C97" s="391"/>
      <c r="D97" s="391"/>
      <c r="E97" s="391"/>
      <c r="F97" s="503"/>
      <c r="G97" s="389"/>
      <c r="H97" s="389"/>
      <c r="I97" s="389"/>
      <c r="J97" s="389"/>
      <c r="K97" s="389"/>
      <c r="L97" s="389"/>
      <c r="M97" s="391"/>
      <c r="N97" s="165"/>
      <c r="O97" s="165"/>
      <c r="P97" s="165"/>
      <c r="Q97" s="165"/>
      <c r="R97" s="165"/>
      <c r="S97" s="165"/>
      <c r="T97" s="165"/>
      <c r="V97" s="467"/>
      <c r="W97" s="467"/>
      <c r="X97" s="495"/>
      <c r="Y97" s="495"/>
      <c r="Z97" s="495"/>
    </row>
    <row r="98" spans="2:26">
      <c r="B98" s="165"/>
      <c r="C98" s="389"/>
      <c r="D98" s="391"/>
      <c r="E98" s="391"/>
      <c r="F98" s="391"/>
      <c r="G98" s="391"/>
      <c r="H98" s="391"/>
      <c r="I98" s="391"/>
      <c r="J98" s="391"/>
      <c r="K98" s="391"/>
      <c r="L98" s="391"/>
      <c r="M98" s="391"/>
      <c r="N98" s="165"/>
      <c r="O98" s="165"/>
      <c r="P98" s="165"/>
      <c r="Q98" s="165"/>
      <c r="R98" s="165"/>
      <c r="S98" s="165"/>
      <c r="T98" s="165"/>
      <c r="V98" s="467"/>
      <c r="W98" s="467"/>
      <c r="X98" s="495"/>
      <c r="Y98" s="495"/>
      <c r="Z98" s="495"/>
    </row>
    <row r="99" spans="2:26">
      <c r="B99" s="165"/>
      <c r="C99" s="389"/>
      <c r="D99" s="391"/>
      <c r="E99" s="391"/>
      <c r="F99" s="510"/>
      <c r="G99" s="510"/>
      <c r="H99" s="510"/>
      <c r="I99" s="510"/>
      <c r="J99" s="510"/>
      <c r="K99" s="510"/>
      <c r="L99" s="510"/>
      <c r="M99" s="391"/>
      <c r="N99" s="165"/>
      <c r="O99" s="165"/>
      <c r="P99" s="165"/>
      <c r="Q99" s="165"/>
      <c r="R99" s="165"/>
      <c r="S99" s="165"/>
      <c r="T99" s="165"/>
      <c r="V99" s="467"/>
      <c r="W99" s="467"/>
      <c r="X99" s="495"/>
      <c r="Y99" s="495"/>
      <c r="Z99" s="495"/>
    </row>
    <row r="100" spans="2:26">
      <c r="B100" s="165"/>
      <c r="C100" s="389"/>
      <c r="D100" s="391"/>
      <c r="E100" s="391"/>
      <c r="F100" s="389"/>
      <c r="G100" s="389"/>
      <c r="H100" s="389"/>
      <c r="I100" s="389"/>
      <c r="J100" s="389"/>
      <c r="K100" s="389"/>
      <c r="L100" s="389"/>
      <c r="M100" s="391"/>
      <c r="N100" s="165"/>
      <c r="O100" s="165"/>
      <c r="P100" s="165"/>
      <c r="Q100" s="165"/>
      <c r="R100" s="165"/>
      <c r="S100" s="165"/>
      <c r="T100" s="165"/>
      <c r="V100" s="467"/>
      <c r="W100" s="467"/>
      <c r="X100" s="495"/>
      <c r="Y100" s="495"/>
      <c r="Z100" s="495"/>
    </row>
    <row r="101" spans="2:26" ht="15">
      <c r="B101" s="165"/>
      <c r="C101" s="628"/>
      <c r="D101" s="391"/>
      <c r="E101" s="391"/>
      <c r="F101" s="389"/>
      <c r="G101" s="389"/>
      <c r="H101" s="389"/>
      <c r="I101" s="389"/>
      <c r="J101" s="389"/>
      <c r="K101" s="389"/>
      <c r="L101" s="389"/>
      <c r="M101" s="391"/>
      <c r="N101" s="165"/>
      <c r="O101" s="165"/>
      <c r="P101" s="165"/>
      <c r="Q101" s="165"/>
      <c r="R101" s="165"/>
      <c r="S101" s="165"/>
      <c r="T101" s="165"/>
      <c r="V101" s="467"/>
      <c r="W101" s="467"/>
      <c r="X101" s="495"/>
      <c r="Y101" s="495"/>
      <c r="Z101" s="495"/>
    </row>
    <row r="102" spans="2:26">
      <c r="B102" s="165"/>
      <c r="C102" s="389"/>
      <c r="D102" s="391"/>
      <c r="E102" s="391"/>
      <c r="F102" s="389"/>
      <c r="G102" s="389"/>
      <c r="H102" s="389"/>
      <c r="I102" s="389"/>
      <c r="J102" s="389"/>
      <c r="K102" s="389"/>
      <c r="L102" s="389"/>
      <c r="M102" s="165"/>
      <c r="N102" s="165"/>
      <c r="O102" s="165"/>
      <c r="P102" s="165"/>
      <c r="Q102" s="165"/>
      <c r="R102" s="165"/>
      <c r="S102" s="165"/>
      <c r="T102" s="165"/>
      <c r="V102" s="467"/>
      <c r="W102" s="467"/>
      <c r="X102" s="495"/>
      <c r="Y102" s="495"/>
      <c r="Z102" s="495"/>
    </row>
    <row r="103" spans="2:26">
      <c r="B103" s="165"/>
      <c r="C103" s="389"/>
      <c r="D103" s="391"/>
      <c r="E103" s="391"/>
      <c r="F103" s="510"/>
      <c r="G103" s="510"/>
      <c r="H103" s="510"/>
      <c r="I103" s="510"/>
      <c r="J103" s="510"/>
      <c r="K103" s="510"/>
      <c r="L103" s="510"/>
      <c r="M103" s="165"/>
      <c r="N103" s="165"/>
      <c r="O103" s="165"/>
      <c r="P103" s="165"/>
      <c r="Q103" s="165"/>
      <c r="R103" s="165"/>
      <c r="S103" s="165"/>
      <c r="T103" s="165"/>
      <c r="V103" s="467"/>
      <c r="W103" s="467"/>
      <c r="X103" s="495"/>
      <c r="Y103" s="495"/>
      <c r="Z103" s="495"/>
    </row>
    <row r="104" spans="2:26">
      <c r="B104" s="165"/>
      <c r="C104" s="165"/>
      <c r="D104" s="391"/>
      <c r="E104" s="391"/>
      <c r="F104" s="389"/>
      <c r="G104" s="389"/>
      <c r="H104" s="389"/>
      <c r="I104" s="389"/>
      <c r="J104" s="389"/>
      <c r="K104" s="389"/>
      <c r="L104" s="389"/>
      <c r="M104" s="165"/>
      <c r="N104" s="165"/>
      <c r="O104" s="165"/>
      <c r="P104" s="165"/>
      <c r="Q104" s="165"/>
      <c r="R104" s="165"/>
      <c r="S104" s="165"/>
      <c r="T104" s="165"/>
      <c r="V104" s="467"/>
      <c r="W104" s="467"/>
      <c r="X104" s="495"/>
      <c r="Y104" s="495"/>
      <c r="Z104" s="495"/>
    </row>
    <row r="105" spans="2:26">
      <c r="D105" s="165"/>
      <c r="E105" s="165"/>
      <c r="F105" s="165"/>
      <c r="G105" s="165"/>
      <c r="H105" s="165"/>
      <c r="I105" s="165"/>
      <c r="J105" s="165"/>
      <c r="K105" s="165"/>
      <c r="L105" s="165"/>
      <c r="M105" s="165"/>
      <c r="N105" s="165"/>
      <c r="O105" s="165"/>
      <c r="P105" s="165"/>
      <c r="Q105" s="165"/>
      <c r="R105" s="165"/>
      <c r="S105" s="165"/>
      <c r="T105" s="165"/>
    </row>
  </sheetData>
  <mergeCells count="22">
    <mergeCell ref="C48:D48"/>
    <mergeCell ref="C43:D43"/>
    <mergeCell ref="C24:D24"/>
    <mergeCell ref="C54:E54"/>
    <mergeCell ref="B88:M88"/>
    <mergeCell ref="K79:K80"/>
    <mergeCell ref="L79:L80"/>
    <mergeCell ref="J79:J80"/>
    <mergeCell ref="B52:M52"/>
    <mergeCell ref="G59:H59"/>
    <mergeCell ref="E1:F1"/>
    <mergeCell ref="I1:J1"/>
    <mergeCell ref="B20:M20"/>
    <mergeCell ref="B11:M11"/>
    <mergeCell ref="C3:D4"/>
    <mergeCell ref="C13:E13"/>
    <mergeCell ref="C18:E18"/>
    <mergeCell ref="C14:E14"/>
    <mergeCell ref="C16:E16"/>
    <mergeCell ref="C15:E15"/>
    <mergeCell ref="C17:E17"/>
    <mergeCell ref="J2:M9"/>
  </mergeCells>
  <conditionalFormatting sqref="L57:M59 L63:M65 F17">
    <cfRule type="expression" dxfId="25" priority="22">
      <formula>$L$58&gt;$F$16</formula>
    </cfRule>
  </conditionalFormatting>
  <dataValidations count="2">
    <dataValidation type="list" allowBlank="1" showInputMessage="1" showErrorMessage="1" sqref="WVK983061:WVK983066 IY27:IY32 SU27:SU32 ACQ27:ACQ32 AMM27:AMM32 AWI27:AWI32 BGE27:BGE32 BQA27:BQA32 BZW27:BZW32 CJS27:CJS32 CTO27:CTO32 DDK27:DDK32 DNG27:DNG32 DXC27:DXC32 EGY27:EGY32 EQU27:EQU32 FAQ27:FAQ32 FKM27:FKM32 FUI27:FUI32 GEE27:GEE32 GOA27:GOA32 GXW27:GXW32 HHS27:HHS32 HRO27:HRO32 IBK27:IBK32 ILG27:ILG32 IVC27:IVC32 JEY27:JEY32 JOU27:JOU32 JYQ27:JYQ32 KIM27:KIM32 KSI27:KSI32 LCE27:LCE32 LMA27:LMA32 LVW27:LVW32 MFS27:MFS32 MPO27:MPO32 MZK27:MZK32 NJG27:NJG32 NTC27:NTC32 OCY27:OCY32 OMU27:OMU32 OWQ27:OWQ32 PGM27:PGM32 PQI27:PQI32 QAE27:QAE32 QKA27:QKA32 QTW27:QTW32 RDS27:RDS32 RNO27:RNO32 RXK27:RXK32 SHG27:SHG32 SRC27:SRC32 TAY27:TAY32 TKU27:TKU32 TUQ27:TUQ32 UEM27:UEM32 UOI27:UOI32 UYE27:UYE32 VIA27:VIA32 VRW27:VRW32 WBS27:WBS32 WLO27:WLO32 WVK27:WVK32 D65557:D65562 IY65557:IY65562 SU65557:SU65562 ACQ65557:ACQ65562 AMM65557:AMM65562 AWI65557:AWI65562 BGE65557:BGE65562 BQA65557:BQA65562 BZW65557:BZW65562 CJS65557:CJS65562 CTO65557:CTO65562 DDK65557:DDK65562 DNG65557:DNG65562 DXC65557:DXC65562 EGY65557:EGY65562 EQU65557:EQU65562 FAQ65557:FAQ65562 FKM65557:FKM65562 FUI65557:FUI65562 GEE65557:GEE65562 GOA65557:GOA65562 GXW65557:GXW65562 HHS65557:HHS65562 HRO65557:HRO65562 IBK65557:IBK65562 ILG65557:ILG65562 IVC65557:IVC65562 JEY65557:JEY65562 JOU65557:JOU65562 JYQ65557:JYQ65562 KIM65557:KIM65562 KSI65557:KSI65562 LCE65557:LCE65562 LMA65557:LMA65562 LVW65557:LVW65562 MFS65557:MFS65562 MPO65557:MPO65562 MZK65557:MZK65562 NJG65557:NJG65562 NTC65557:NTC65562 OCY65557:OCY65562 OMU65557:OMU65562 OWQ65557:OWQ65562 PGM65557:PGM65562 PQI65557:PQI65562 QAE65557:QAE65562 QKA65557:QKA65562 QTW65557:QTW65562 RDS65557:RDS65562 RNO65557:RNO65562 RXK65557:RXK65562 SHG65557:SHG65562 SRC65557:SRC65562 TAY65557:TAY65562 TKU65557:TKU65562 TUQ65557:TUQ65562 UEM65557:UEM65562 UOI65557:UOI65562 UYE65557:UYE65562 VIA65557:VIA65562 VRW65557:VRW65562 WBS65557:WBS65562 WLO65557:WLO65562 WVK65557:WVK65562 D131093:D131098 IY131093:IY131098 SU131093:SU131098 ACQ131093:ACQ131098 AMM131093:AMM131098 AWI131093:AWI131098 BGE131093:BGE131098 BQA131093:BQA131098 BZW131093:BZW131098 CJS131093:CJS131098 CTO131093:CTO131098 DDK131093:DDK131098 DNG131093:DNG131098 DXC131093:DXC131098 EGY131093:EGY131098 EQU131093:EQU131098 FAQ131093:FAQ131098 FKM131093:FKM131098 FUI131093:FUI131098 GEE131093:GEE131098 GOA131093:GOA131098 GXW131093:GXW131098 HHS131093:HHS131098 HRO131093:HRO131098 IBK131093:IBK131098 ILG131093:ILG131098 IVC131093:IVC131098 JEY131093:JEY131098 JOU131093:JOU131098 JYQ131093:JYQ131098 KIM131093:KIM131098 KSI131093:KSI131098 LCE131093:LCE131098 LMA131093:LMA131098 LVW131093:LVW131098 MFS131093:MFS131098 MPO131093:MPO131098 MZK131093:MZK131098 NJG131093:NJG131098 NTC131093:NTC131098 OCY131093:OCY131098 OMU131093:OMU131098 OWQ131093:OWQ131098 PGM131093:PGM131098 PQI131093:PQI131098 QAE131093:QAE131098 QKA131093:QKA131098 QTW131093:QTW131098 RDS131093:RDS131098 RNO131093:RNO131098 RXK131093:RXK131098 SHG131093:SHG131098 SRC131093:SRC131098 TAY131093:TAY131098 TKU131093:TKU131098 TUQ131093:TUQ131098 UEM131093:UEM131098 UOI131093:UOI131098 UYE131093:UYE131098 VIA131093:VIA131098 VRW131093:VRW131098 WBS131093:WBS131098 WLO131093:WLO131098 WVK131093:WVK131098 D196629:D196634 IY196629:IY196634 SU196629:SU196634 ACQ196629:ACQ196634 AMM196629:AMM196634 AWI196629:AWI196634 BGE196629:BGE196634 BQA196629:BQA196634 BZW196629:BZW196634 CJS196629:CJS196634 CTO196629:CTO196634 DDK196629:DDK196634 DNG196629:DNG196634 DXC196629:DXC196634 EGY196629:EGY196634 EQU196629:EQU196634 FAQ196629:FAQ196634 FKM196629:FKM196634 FUI196629:FUI196634 GEE196629:GEE196634 GOA196629:GOA196634 GXW196629:GXW196634 HHS196629:HHS196634 HRO196629:HRO196634 IBK196629:IBK196634 ILG196629:ILG196634 IVC196629:IVC196634 JEY196629:JEY196634 JOU196629:JOU196634 JYQ196629:JYQ196634 KIM196629:KIM196634 KSI196629:KSI196634 LCE196629:LCE196634 LMA196629:LMA196634 LVW196629:LVW196634 MFS196629:MFS196634 MPO196629:MPO196634 MZK196629:MZK196634 NJG196629:NJG196634 NTC196629:NTC196634 OCY196629:OCY196634 OMU196629:OMU196634 OWQ196629:OWQ196634 PGM196629:PGM196634 PQI196629:PQI196634 QAE196629:QAE196634 QKA196629:QKA196634 QTW196629:QTW196634 RDS196629:RDS196634 RNO196629:RNO196634 RXK196629:RXK196634 SHG196629:SHG196634 SRC196629:SRC196634 TAY196629:TAY196634 TKU196629:TKU196634 TUQ196629:TUQ196634 UEM196629:UEM196634 UOI196629:UOI196634 UYE196629:UYE196634 VIA196629:VIA196634 VRW196629:VRW196634 WBS196629:WBS196634 WLO196629:WLO196634 WVK196629:WVK196634 D262165:D262170 IY262165:IY262170 SU262165:SU262170 ACQ262165:ACQ262170 AMM262165:AMM262170 AWI262165:AWI262170 BGE262165:BGE262170 BQA262165:BQA262170 BZW262165:BZW262170 CJS262165:CJS262170 CTO262165:CTO262170 DDK262165:DDK262170 DNG262165:DNG262170 DXC262165:DXC262170 EGY262165:EGY262170 EQU262165:EQU262170 FAQ262165:FAQ262170 FKM262165:FKM262170 FUI262165:FUI262170 GEE262165:GEE262170 GOA262165:GOA262170 GXW262165:GXW262170 HHS262165:HHS262170 HRO262165:HRO262170 IBK262165:IBK262170 ILG262165:ILG262170 IVC262165:IVC262170 JEY262165:JEY262170 JOU262165:JOU262170 JYQ262165:JYQ262170 KIM262165:KIM262170 KSI262165:KSI262170 LCE262165:LCE262170 LMA262165:LMA262170 LVW262165:LVW262170 MFS262165:MFS262170 MPO262165:MPO262170 MZK262165:MZK262170 NJG262165:NJG262170 NTC262165:NTC262170 OCY262165:OCY262170 OMU262165:OMU262170 OWQ262165:OWQ262170 PGM262165:PGM262170 PQI262165:PQI262170 QAE262165:QAE262170 QKA262165:QKA262170 QTW262165:QTW262170 RDS262165:RDS262170 RNO262165:RNO262170 RXK262165:RXK262170 SHG262165:SHG262170 SRC262165:SRC262170 TAY262165:TAY262170 TKU262165:TKU262170 TUQ262165:TUQ262170 UEM262165:UEM262170 UOI262165:UOI262170 UYE262165:UYE262170 VIA262165:VIA262170 VRW262165:VRW262170 WBS262165:WBS262170 WLO262165:WLO262170 WVK262165:WVK262170 D327701:D327706 IY327701:IY327706 SU327701:SU327706 ACQ327701:ACQ327706 AMM327701:AMM327706 AWI327701:AWI327706 BGE327701:BGE327706 BQA327701:BQA327706 BZW327701:BZW327706 CJS327701:CJS327706 CTO327701:CTO327706 DDK327701:DDK327706 DNG327701:DNG327706 DXC327701:DXC327706 EGY327701:EGY327706 EQU327701:EQU327706 FAQ327701:FAQ327706 FKM327701:FKM327706 FUI327701:FUI327706 GEE327701:GEE327706 GOA327701:GOA327706 GXW327701:GXW327706 HHS327701:HHS327706 HRO327701:HRO327706 IBK327701:IBK327706 ILG327701:ILG327706 IVC327701:IVC327706 JEY327701:JEY327706 JOU327701:JOU327706 JYQ327701:JYQ327706 KIM327701:KIM327706 KSI327701:KSI327706 LCE327701:LCE327706 LMA327701:LMA327706 LVW327701:LVW327706 MFS327701:MFS327706 MPO327701:MPO327706 MZK327701:MZK327706 NJG327701:NJG327706 NTC327701:NTC327706 OCY327701:OCY327706 OMU327701:OMU327706 OWQ327701:OWQ327706 PGM327701:PGM327706 PQI327701:PQI327706 QAE327701:QAE327706 QKA327701:QKA327706 QTW327701:QTW327706 RDS327701:RDS327706 RNO327701:RNO327706 RXK327701:RXK327706 SHG327701:SHG327706 SRC327701:SRC327706 TAY327701:TAY327706 TKU327701:TKU327706 TUQ327701:TUQ327706 UEM327701:UEM327706 UOI327701:UOI327706 UYE327701:UYE327706 VIA327701:VIA327706 VRW327701:VRW327706 WBS327701:WBS327706 WLO327701:WLO327706 WVK327701:WVK327706 D393237:D393242 IY393237:IY393242 SU393237:SU393242 ACQ393237:ACQ393242 AMM393237:AMM393242 AWI393237:AWI393242 BGE393237:BGE393242 BQA393237:BQA393242 BZW393237:BZW393242 CJS393237:CJS393242 CTO393237:CTO393242 DDK393237:DDK393242 DNG393237:DNG393242 DXC393237:DXC393242 EGY393237:EGY393242 EQU393237:EQU393242 FAQ393237:FAQ393242 FKM393237:FKM393242 FUI393237:FUI393242 GEE393237:GEE393242 GOA393237:GOA393242 GXW393237:GXW393242 HHS393237:HHS393242 HRO393237:HRO393242 IBK393237:IBK393242 ILG393237:ILG393242 IVC393237:IVC393242 JEY393237:JEY393242 JOU393237:JOU393242 JYQ393237:JYQ393242 KIM393237:KIM393242 KSI393237:KSI393242 LCE393237:LCE393242 LMA393237:LMA393242 LVW393237:LVW393242 MFS393237:MFS393242 MPO393237:MPO393242 MZK393237:MZK393242 NJG393237:NJG393242 NTC393237:NTC393242 OCY393237:OCY393242 OMU393237:OMU393242 OWQ393237:OWQ393242 PGM393237:PGM393242 PQI393237:PQI393242 QAE393237:QAE393242 QKA393237:QKA393242 QTW393237:QTW393242 RDS393237:RDS393242 RNO393237:RNO393242 RXK393237:RXK393242 SHG393237:SHG393242 SRC393237:SRC393242 TAY393237:TAY393242 TKU393237:TKU393242 TUQ393237:TUQ393242 UEM393237:UEM393242 UOI393237:UOI393242 UYE393237:UYE393242 VIA393237:VIA393242 VRW393237:VRW393242 WBS393237:WBS393242 WLO393237:WLO393242 WVK393237:WVK393242 D458773:D458778 IY458773:IY458778 SU458773:SU458778 ACQ458773:ACQ458778 AMM458773:AMM458778 AWI458773:AWI458778 BGE458773:BGE458778 BQA458773:BQA458778 BZW458773:BZW458778 CJS458773:CJS458778 CTO458773:CTO458778 DDK458773:DDK458778 DNG458773:DNG458778 DXC458773:DXC458778 EGY458773:EGY458778 EQU458773:EQU458778 FAQ458773:FAQ458778 FKM458773:FKM458778 FUI458773:FUI458778 GEE458773:GEE458778 GOA458773:GOA458778 GXW458773:GXW458778 HHS458773:HHS458778 HRO458773:HRO458778 IBK458773:IBK458778 ILG458773:ILG458778 IVC458773:IVC458778 JEY458773:JEY458778 JOU458773:JOU458778 JYQ458773:JYQ458778 KIM458773:KIM458778 KSI458773:KSI458778 LCE458773:LCE458778 LMA458773:LMA458778 LVW458773:LVW458778 MFS458773:MFS458778 MPO458773:MPO458778 MZK458773:MZK458778 NJG458773:NJG458778 NTC458773:NTC458778 OCY458773:OCY458778 OMU458773:OMU458778 OWQ458773:OWQ458778 PGM458773:PGM458778 PQI458773:PQI458778 QAE458773:QAE458778 QKA458773:QKA458778 QTW458773:QTW458778 RDS458773:RDS458778 RNO458773:RNO458778 RXK458773:RXK458778 SHG458773:SHG458778 SRC458773:SRC458778 TAY458773:TAY458778 TKU458773:TKU458778 TUQ458773:TUQ458778 UEM458773:UEM458778 UOI458773:UOI458778 UYE458773:UYE458778 VIA458773:VIA458778 VRW458773:VRW458778 WBS458773:WBS458778 WLO458773:WLO458778 WVK458773:WVK458778 D524309:D524314 IY524309:IY524314 SU524309:SU524314 ACQ524309:ACQ524314 AMM524309:AMM524314 AWI524309:AWI524314 BGE524309:BGE524314 BQA524309:BQA524314 BZW524309:BZW524314 CJS524309:CJS524314 CTO524309:CTO524314 DDK524309:DDK524314 DNG524309:DNG524314 DXC524309:DXC524314 EGY524309:EGY524314 EQU524309:EQU524314 FAQ524309:FAQ524314 FKM524309:FKM524314 FUI524309:FUI524314 GEE524309:GEE524314 GOA524309:GOA524314 GXW524309:GXW524314 HHS524309:HHS524314 HRO524309:HRO524314 IBK524309:IBK524314 ILG524309:ILG524314 IVC524309:IVC524314 JEY524309:JEY524314 JOU524309:JOU524314 JYQ524309:JYQ524314 KIM524309:KIM524314 KSI524309:KSI524314 LCE524309:LCE524314 LMA524309:LMA524314 LVW524309:LVW524314 MFS524309:MFS524314 MPO524309:MPO524314 MZK524309:MZK524314 NJG524309:NJG524314 NTC524309:NTC524314 OCY524309:OCY524314 OMU524309:OMU524314 OWQ524309:OWQ524314 PGM524309:PGM524314 PQI524309:PQI524314 QAE524309:QAE524314 QKA524309:QKA524314 QTW524309:QTW524314 RDS524309:RDS524314 RNO524309:RNO524314 RXK524309:RXK524314 SHG524309:SHG524314 SRC524309:SRC524314 TAY524309:TAY524314 TKU524309:TKU524314 TUQ524309:TUQ524314 UEM524309:UEM524314 UOI524309:UOI524314 UYE524309:UYE524314 VIA524309:VIA524314 VRW524309:VRW524314 WBS524309:WBS524314 WLO524309:WLO524314 WVK524309:WVK524314 D589845:D589850 IY589845:IY589850 SU589845:SU589850 ACQ589845:ACQ589850 AMM589845:AMM589850 AWI589845:AWI589850 BGE589845:BGE589850 BQA589845:BQA589850 BZW589845:BZW589850 CJS589845:CJS589850 CTO589845:CTO589850 DDK589845:DDK589850 DNG589845:DNG589850 DXC589845:DXC589850 EGY589845:EGY589850 EQU589845:EQU589850 FAQ589845:FAQ589850 FKM589845:FKM589850 FUI589845:FUI589850 GEE589845:GEE589850 GOA589845:GOA589850 GXW589845:GXW589850 HHS589845:HHS589850 HRO589845:HRO589850 IBK589845:IBK589850 ILG589845:ILG589850 IVC589845:IVC589850 JEY589845:JEY589850 JOU589845:JOU589850 JYQ589845:JYQ589850 KIM589845:KIM589850 KSI589845:KSI589850 LCE589845:LCE589850 LMA589845:LMA589850 LVW589845:LVW589850 MFS589845:MFS589850 MPO589845:MPO589850 MZK589845:MZK589850 NJG589845:NJG589850 NTC589845:NTC589850 OCY589845:OCY589850 OMU589845:OMU589850 OWQ589845:OWQ589850 PGM589845:PGM589850 PQI589845:PQI589850 QAE589845:QAE589850 QKA589845:QKA589850 QTW589845:QTW589850 RDS589845:RDS589850 RNO589845:RNO589850 RXK589845:RXK589850 SHG589845:SHG589850 SRC589845:SRC589850 TAY589845:TAY589850 TKU589845:TKU589850 TUQ589845:TUQ589850 UEM589845:UEM589850 UOI589845:UOI589850 UYE589845:UYE589850 VIA589845:VIA589850 VRW589845:VRW589850 WBS589845:WBS589850 WLO589845:WLO589850 WVK589845:WVK589850 D655381:D655386 IY655381:IY655386 SU655381:SU655386 ACQ655381:ACQ655386 AMM655381:AMM655386 AWI655381:AWI655386 BGE655381:BGE655386 BQA655381:BQA655386 BZW655381:BZW655386 CJS655381:CJS655386 CTO655381:CTO655386 DDK655381:DDK655386 DNG655381:DNG655386 DXC655381:DXC655386 EGY655381:EGY655386 EQU655381:EQU655386 FAQ655381:FAQ655386 FKM655381:FKM655386 FUI655381:FUI655386 GEE655381:GEE655386 GOA655381:GOA655386 GXW655381:GXW655386 HHS655381:HHS655386 HRO655381:HRO655386 IBK655381:IBK655386 ILG655381:ILG655386 IVC655381:IVC655386 JEY655381:JEY655386 JOU655381:JOU655386 JYQ655381:JYQ655386 KIM655381:KIM655386 KSI655381:KSI655386 LCE655381:LCE655386 LMA655381:LMA655386 LVW655381:LVW655386 MFS655381:MFS655386 MPO655381:MPO655386 MZK655381:MZK655386 NJG655381:NJG655386 NTC655381:NTC655386 OCY655381:OCY655386 OMU655381:OMU655386 OWQ655381:OWQ655386 PGM655381:PGM655386 PQI655381:PQI655386 QAE655381:QAE655386 QKA655381:QKA655386 QTW655381:QTW655386 RDS655381:RDS655386 RNO655381:RNO655386 RXK655381:RXK655386 SHG655381:SHG655386 SRC655381:SRC655386 TAY655381:TAY655386 TKU655381:TKU655386 TUQ655381:TUQ655386 UEM655381:UEM655386 UOI655381:UOI655386 UYE655381:UYE655386 VIA655381:VIA655386 VRW655381:VRW655386 WBS655381:WBS655386 WLO655381:WLO655386 WVK655381:WVK655386 D720917:D720922 IY720917:IY720922 SU720917:SU720922 ACQ720917:ACQ720922 AMM720917:AMM720922 AWI720917:AWI720922 BGE720917:BGE720922 BQA720917:BQA720922 BZW720917:BZW720922 CJS720917:CJS720922 CTO720917:CTO720922 DDK720917:DDK720922 DNG720917:DNG720922 DXC720917:DXC720922 EGY720917:EGY720922 EQU720917:EQU720922 FAQ720917:FAQ720922 FKM720917:FKM720922 FUI720917:FUI720922 GEE720917:GEE720922 GOA720917:GOA720922 GXW720917:GXW720922 HHS720917:HHS720922 HRO720917:HRO720922 IBK720917:IBK720922 ILG720917:ILG720922 IVC720917:IVC720922 JEY720917:JEY720922 JOU720917:JOU720922 JYQ720917:JYQ720922 KIM720917:KIM720922 KSI720917:KSI720922 LCE720917:LCE720922 LMA720917:LMA720922 LVW720917:LVW720922 MFS720917:MFS720922 MPO720917:MPO720922 MZK720917:MZK720922 NJG720917:NJG720922 NTC720917:NTC720922 OCY720917:OCY720922 OMU720917:OMU720922 OWQ720917:OWQ720922 PGM720917:PGM720922 PQI720917:PQI720922 QAE720917:QAE720922 QKA720917:QKA720922 QTW720917:QTW720922 RDS720917:RDS720922 RNO720917:RNO720922 RXK720917:RXK720922 SHG720917:SHG720922 SRC720917:SRC720922 TAY720917:TAY720922 TKU720917:TKU720922 TUQ720917:TUQ720922 UEM720917:UEM720922 UOI720917:UOI720922 UYE720917:UYE720922 VIA720917:VIA720922 VRW720917:VRW720922 WBS720917:WBS720922 WLO720917:WLO720922 WVK720917:WVK720922 D786453:D786458 IY786453:IY786458 SU786453:SU786458 ACQ786453:ACQ786458 AMM786453:AMM786458 AWI786453:AWI786458 BGE786453:BGE786458 BQA786453:BQA786458 BZW786453:BZW786458 CJS786453:CJS786458 CTO786453:CTO786458 DDK786453:DDK786458 DNG786453:DNG786458 DXC786453:DXC786458 EGY786453:EGY786458 EQU786453:EQU786458 FAQ786453:FAQ786458 FKM786453:FKM786458 FUI786453:FUI786458 GEE786453:GEE786458 GOA786453:GOA786458 GXW786453:GXW786458 HHS786453:HHS786458 HRO786453:HRO786458 IBK786453:IBK786458 ILG786453:ILG786458 IVC786453:IVC786458 JEY786453:JEY786458 JOU786453:JOU786458 JYQ786453:JYQ786458 KIM786453:KIM786458 KSI786453:KSI786458 LCE786453:LCE786458 LMA786453:LMA786458 LVW786453:LVW786458 MFS786453:MFS786458 MPO786453:MPO786458 MZK786453:MZK786458 NJG786453:NJG786458 NTC786453:NTC786458 OCY786453:OCY786458 OMU786453:OMU786458 OWQ786453:OWQ786458 PGM786453:PGM786458 PQI786453:PQI786458 QAE786453:QAE786458 QKA786453:QKA786458 QTW786453:QTW786458 RDS786453:RDS786458 RNO786453:RNO786458 RXK786453:RXK786458 SHG786453:SHG786458 SRC786453:SRC786458 TAY786453:TAY786458 TKU786453:TKU786458 TUQ786453:TUQ786458 UEM786453:UEM786458 UOI786453:UOI786458 UYE786453:UYE786458 VIA786453:VIA786458 VRW786453:VRW786458 WBS786453:WBS786458 WLO786453:WLO786458 WVK786453:WVK786458 D851989:D851994 IY851989:IY851994 SU851989:SU851994 ACQ851989:ACQ851994 AMM851989:AMM851994 AWI851989:AWI851994 BGE851989:BGE851994 BQA851989:BQA851994 BZW851989:BZW851994 CJS851989:CJS851994 CTO851989:CTO851994 DDK851989:DDK851994 DNG851989:DNG851994 DXC851989:DXC851994 EGY851989:EGY851994 EQU851989:EQU851994 FAQ851989:FAQ851994 FKM851989:FKM851994 FUI851989:FUI851994 GEE851989:GEE851994 GOA851989:GOA851994 GXW851989:GXW851994 HHS851989:HHS851994 HRO851989:HRO851994 IBK851989:IBK851994 ILG851989:ILG851994 IVC851989:IVC851994 JEY851989:JEY851994 JOU851989:JOU851994 JYQ851989:JYQ851994 KIM851989:KIM851994 KSI851989:KSI851994 LCE851989:LCE851994 LMA851989:LMA851994 LVW851989:LVW851994 MFS851989:MFS851994 MPO851989:MPO851994 MZK851989:MZK851994 NJG851989:NJG851994 NTC851989:NTC851994 OCY851989:OCY851994 OMU851989:OMU851994 OWQ851989:OWQ851994 PGM851989:PGM851994 PQI851989:PQI851994 QAE851989:QAE851994 QKA851989:QKA851994 QTW851989:QTW851994 RDS851989:RDS851994 RNO851989:RNO851994 RXK851989:RXK851994 SHG851989:SHG851994 SRC851989:SRC851994 TAY851989:TAY851994 TKU851989:TKU851994 TUQ851989:TUQ851994 UEM851989:UEM851994 UOI851989:UOI851994 UYE851989:UYE851994 VIA851989:VIA851994 VRW851989:VRW851994 WBS851989:WBS851994 WLO851989:WLO851994 WVK851989:WVK851994 D917525:D917530 IY917525:IY917530 SU917525:SU917530 ACQ917525:ACQ917530 AMM917525:AMM917530 AWI917525:AWI917530 BGE917525:BGE917530 BQA917525:BQA917530 BZW917525:BZW917530 CJS917525:CJS917530 CTO917525:CTO917530 DDK917525:DDK917530 DNG917525:DNG917530 DXC917525:DXC917530 EGY917525:EGY917530 EQU917525:EQU917530 FAQ917525:FAQ917530 FKM917525:FKM917530 FUI917525:FUI917530 GEE917525:GEE917530 GOA917525:GOA917530 GXW917525:GXW917530 HHS917525:HHS917530 HRO917525:HRO917530 IBK917525:IBK917530 ILG917525:ILG917530 IVC917525:IVC917530 JEY917525:JEY917530 JOU917525:JOU917530 JYQ917525:JYQ917530 KIM917525:KIM917530 KSI917525:KSI917530 LCE917525:LCE917530 LMA917525:LMA917530 LVW917525:LVW917530 MFS917525:MFS917530 MPO917525:MPO917530 MZK917525:MZK917530 NJG917525:NJG917530 NTC917525:NTC917530 OCY917525:OCY917530 OMU917525:OMU917530 OWQ917525:OWQ917530 PGM917525:PGM917530 PQI917525:PQI917530 QAE917525:QAE917530 QKA917525:QKA917530 QTW917525:QTW917530 RDS917525:RDS917530 RNO917525:RNO917530 RXK917525:RXK917530 SHG917525:SHG917530 SRC917525:SRC917530 TAY917525:TAY917530 TKU917525:TKU917530 TUQ917525:TUQ917530 UEM917525:UEM917530 UOI917525:UOI917530 UYE917525:UYE917530 VIA917525:VIA917530 VRW917525:VRW917530 WBS917525:WBS917530 WLO917525:WLO917530 WVK917525:WVK917530 D983061:D983066 IY983061:IY983066 SU983061:SU983066 ACQ983061:ACQ983066 AMM983061:AMM983066 AWI983061:AWI983066 BGE983061:BGE983066 BQA983061:BQA983066 BZW983061:BZW983066 CJS983061:CJS983066 CTO983061:CTO983066 DDK983061:DDK983066 DNG983061:DNG983066 DXC983061:DXC983066 EGY983061:EGY983066 EQU983061:EQU983066 FAQ983061:FAQ983066 FKM983061:FKM983066 FUI983061:FUI983066 GEE983061:GEE983066 GOA983061:GOA983066 GXW983061:GXW983066 HHS983061:HHS983066 HRO983061:HRO983066 IBK983061:IBK983066 ILG983061:ILG983066 IVC983061:IVC983066 JEY983061:JEY983066 JOU983061:JOU983066 JYQ983061:JYQ983066 KIM983061:KIM983066 KSI983061:KSI983066 LCE983061:LCE983066 LMA983061:LMA983066 LVW983061:LVW983066 MFS983061:MFS983066 MPO983061:MPO983066 MZK983061:MZK983066 NJG983061:NJG983066 NTC983061:NTC983066 OCY983061:OCY983066 OMU983061:OMU983066 OWQ983061:OWQ983066 PGM983061:PGM983066 PQI983061:PQI983066 QAE983061:QAE983066 QKA983061:QKA983066 QTW983061:QTW983066 RDS983061:RDS983066 RNO983061:RNO983066 RXK983061:RXK983066 SHG983061:SHG983066 SRC983061:SRC983066 TAY983061:TAY983066 TKU983061:TKU983066 TUQ983061:TUQ983066 UEM983061:UEM983066 UOI983061:UOI983066 UYE983061:UYE983066 VIA983061:VIA983066 VRW983061:VRW983066 WBS983061:WBS983066 WLO983061:WLO983066">
      <formula1>AFC</formula1>
    </dataValidation>
    <dataValidation type="list" allowBlank="1" showInputMessage="1" prompt="Select from list or type in job title" sqref="C27:C32">
      <formula1>Staff_List</formula1>
    </dataValidation>
  </dataValidations>
  <pageMargins left="0.70866141732283472" right="0.70866141732283472" top="0.74803149606299213" bottom="0.74803149606299213" header="0.31496062992125984" footer="0.31496062992125984"/>
  <pageSetup paperSize="9" scale="34" fitToHeight="14"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staff_costs!$A$4:$A$21</xm:f>
          </x14:formula1>
          <xm:sqref>D27:D32</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4" tint="-0.249977111117893"/>
    <pageSetUpPr fitToPage="1"/>
  </sheetPr>
  <dimension ref="A1:BX94"/>
  <sheetViews>
    <sheetView showGridLines="0" zoomScale="75" zoomScaleNormal="75" zoomScaleSheetLayoutView="85" zoomScalePageLayoutView="75" workbookViewId="0">
      <pane ySplit="1" topLeftCell="A2" activePane="bottomLeft" state="frozen"/>
      <selection activeCell="C3" sqref="C3"/>
      <selection pane="bottomLeft" activeCell="I26" sqref="I26"/>
    </sheetView>
  </sheetViews>
  <sheetFormatPr defaultColWidth="8.85546875" defaultRowHeight="14.25" outlineLevelCol="1"/>
  <cols>
    <col min="1" max="1" width="56.140625" style="42" hidden="1" customWidth="1" outlineLevel="1"/>
    <col min="2" max="2" width="15.7109375" style="42" customWidth="1" collapsed="1"/>
    <col min="3" max="3" width="45.7109375" style="42" customWidth="1"/>
    <col min="4" max="4" width="17.28515625" style="42" customWidth="1"/>
    <col min="5" max="5" width="15.7109375" style="42" customWidth="1"/>
    <col min="6" max="6" width="15" style="42" customWidth="1"/>
    <col min="7" max="10" width="15.7109375" style="42" customWidth="1"/>
    <col min="11" max="11" width="41.140625" style="42" customWidth="1"/>
    <col min="12" max="12" width="18" style="42" customWidth="1"/>
    <col min="13" max="14" width="15.7109375" style="42" customWidth="1"/>
    <col min="15" max="15" width="23.42578125" style="42" customWidth="1"/>
    <col min="16" max="16" width="24.42578125" style="42" bestFit="1" customWidth="1"/>
    <col min="17" max="19" width="8.85546875" style="42"/>
    <col min="20" max="20" width="8.85546875" style="42" customWidth="1"/>
    <col min="21" max="21" width="3" style="42" customWidth="1"/>
    <col min="22" max="22" width="8.7109375" style="42" customWidth="1"/>
    <col min="23" max="24" width="34.7109375" style="42" customWidth="1"/>
    <col min="25" max="25" width="14.7109375" style="42" customWidth="1"/>
    <col min="26" max="26" width="17.7109375" style="42" customWidth="1"/>
    <col min="27" max="27" width="15.42578125" style="42" customWidth="1"/>
    <col min="28" max="16384" width="8.85546875" style="42"/>
  </cols>
  <sheetData>
    <row r="1" spans="1:76" s="51" customFormat="1" ht="42.75" customHeight="1" thickBot="1">
      <c r="B1" s="528"/>
      <c r="C1" s="1721" t="str">
        <f>HYPERLINK("[.\]Menu!A1", "To Menu")</f>
        <v>To Menu</v>
      </c>
      <c r="D1" s="793"/>
      <c r="E1" s="2311" t="str">
        <f>HYPERLINK("[.\]control_sheet_and_graphs!A1", "To Control sheet and graphical results")</f>
        <v>To Control sheet and graphical results</v>
      </c>
      <c r="F1" s="2312"/>
      <c r="G1" s="1078"/>
      <c r="H1" s="794"/>
      <c r="I1" s="2311" t="str">
        <f>HYPERLINK("[.\]outputs_by_channel!A1", "To Intervention data outputs by channel")</f>
        <v>To Intervention data outputs by channel</v>
      </c>
      <c r="J1" s="2312"/>
      <c r="K1" s="1078"/>
      <c r="L1" s="1078"/>
      <c r="M1" s="1078"/>
      <c r="P1" s="532"/>
      <c r="R1" s="532"/>
      <c r="S1" s="532"/>
      <c r="T1" s="532"/>
      <c r="U1" s="532"/>
      <c r="W1" s="532"/>
      <c r="X1" s="532"/>
      <c r="Y1" s="532"/>
      <c r="Z1" s="532"/>
      <c r="AB1" s="532"/>
      <c r="AC1" s="532"/>
      <c r="AD1" s="532"/>
      <c r="AE1" s="532"/>
      <c r="AG1" s="532"/>
      <c r="AH1" s="532"/>
      <c r="AI1" s="532"/>
      <c r="AJ1" s="532"/>
      <c r="AL1" s="532"/>
      <c r="AM1" s="532"/>
      <c r="AN1" s="532"/>
      <c r="AO1" s="532"/>
      <c r="AQ1" s="532"/>
      <c r="AR1" s="532"/>
      <c r="AS1" s="532"/>
      <c r="AT1" s="532"/>
      <c r="AV1" s="532"/>
      <c r="AW1" s="532"/>
      <c r="AX1" s="532"/>
      <c r="AY1" s="532"/>
      <c r="BA1" s="532"/>
      <c r="BB1" s="532"/>
      <c r="BC1" s="532"/>
      <c r="BD1" s="532"/>
      <c r="BF1" s="532"/>
      <c r="BG1" s="532"/>
      <c r="BH1" s="532"/>
      <c r="BI1" s="532"/>
      <c r="BK1" s="532"/>
      <c r="BL1" s="532"/>
      <c r="BM1" s="532"/>
      <c r="BN1" s="532"/>
      <c r="BP1" s="532"/>
      <c r="BQ1" s="532"/>
      <c r="BR1" s="532"/>
      <c r="BS1" s="532"/>
      <c r="BU1" s="532"/>
      <c r="BV1" s="532"/>
      <c r="BW1" s="532"/>
      <c r="BX1" s="532"/>
    </row>
    <row r="2" spans="1:76" ht="15.75" thickBot="1">
      <c r="A2" s="525"/>
      <c r="B2" s="1473"/>
      <c r="C2" s="1474"/>
      <c r="D2" s="1474"/>
      <c r="E2" s="1474"/>
      <c r="F2" s="1475"/>
      <c r="G2" s="1475"/>
      <c r="H2" s="1475"/>
      <c r="I2" s="1475"/>
      <c r="J2" s="2350"/>
      <c r="K2" s="2350"/>
      <c r="L2" s="2350"/>
      <c r="M2" s="2351"/>
      <c r="P2" s="73"/>
      <c r="T2" s="39"/>
      <c r="U2" s="39"/>
      <c r="V2" s="39"/>
      <c r="W2" s="39"/>
      <c r="X2" s="545"/>
      <c r="Y2" s="39"/>
      <c r="Z2" s="39"/>
    </row>
    <row r="3" spans="1:76" ht="15" customHeight="1">
      <c r="B3" s="84"/>
      <c r="C3" s="2319" t="str">
        <f>Menu!B18</f>
        <v>Decreasing Ambulance conveyances: See and Treat</v>
      </c>
      <c r="D3" s="2320"/>
      <c r="E3" s="580"/>
      <c r="F3" s="73"/>
      <c r="G3" s="1190"/>
      <c r="H3" s="1321"/>
      <c r="I3" s="1321"/>
      <c r="J3" s="2352"/>
      <c r="K3" s="2352"/>
      <c r="L3" s="2352"/>
      <c r="M3" s="2353"/>
      <c r="N3" s="477"/>
      <c r="O3" s="39"/>
      <c r="P3" s="73"/>
      <c r="T3" s="39"/>
      <c r="U3" s="39"/>
      <c r="V3" s="39"/>
      <c r="W3" s="39"/>
      <c r="X3" s="545"/>
      <c r="Y3" s="39"/>
      <c r="Z3" s="39"/>
    </row>
    <row r="4" spans="1:76" ht="15.75" thickBot="1">
      <c r="B4" s="84"/>
      <c r="C4" s="2321"/>
      <c r="D4" s="2322"/>
      <c r="E4" s="580"/>
      <c r="F4" s="73"/>
      <c r="G4" s="2346"/>
      <c r="H4" s="2347"/>
      <c r="I4" s="73"/>
      <c r="J4" s="2352"/>
      <c r="K4" s="2352"/>
      <c r="L4" s="2352"/>
      <c r="M4" s="2353"/>
      <c r="N4" s="477"/>
      <c r="O4" s="39"/>
      <c r="P4" s="73"/>
      <c r="T4" s="39"/>
      <c r="U4" s="39"/>
      <c r="V4" s="39"/>
      <c r="W4" s="39"/>
      <c r="X4" s="545"/>
      <c r="Y4" s="39"/>
      <c r="Z4" s="39"/>
    </row>
    <row r="5" spans="1:76" ht="15.75" customHeight="1" thickBot="1">
      <c r="B5" s="84"/>
      <c r="C5" s="529"/>
      <c r="D5" s="529"/>
      <c r="E5" s="580"/>
      <c r="F5" s="73"/>
      <c r="G5" s="73"/>
      <c r="H5" s="452"/>
      <c r="I5" s="73"/>
      <c r="J5" s="2352"/>
      <c r="K5" s="2352"/>
      <c r="L5" s="2352"/>
      <c r="M5" s="2353"/>
      <c r="N5" s="500"/>
      <c r="O5" s="39"/>
      <c r="P5" s="73"/>
      <c r="T5" s="39"/>
      <c r="U5" s="39"/>
      <c r="V5" s="39"/>
      <c r="W5" s="39"/>
      <c r="X5" s="545"/>
      <c r="Y5" s="39"/>
      <c r="Z5" s="39"/>
    </row>
    <row r="6" spans="1:76" ht="15.75" thickBot="1">
      <c r="B6" s="84"/>
      <c r="C6" s="474" t="s">
        <v>582</v>
      </c>
      <c r="D6" s="475">
        <v>988837</v>
      </c>
      <c r="E6" s="580"/>
      <c r="F6" s="73"/>
      <c r="G6" s="73"/>
      <c r="H6" s="452"/>
      <c r="I6" s="73"/>
      <c r="J6" s="2352"/>
      <c r="K6" s="2352"/>
      <c r="L6" s="2352"/>
      <c r="M6" s="2353"/>
      <c r="N6" s="470"/>
      <c r="O6" s="39"/>
      <c r="P6" s="73"/>
      <c r="T6" s="39"/>
      <c r="U6" s="39"/>
      <c r="V6" s="39"/>
      <c r="W6" s="39"/>
      <c r="X6" s="545"/>
      <c r="Y6" s="39"/>
      <c r="Z6" s="39"/>
    </row>
    <row r="7" spans="1:76" ht="15">
      <c r="B7" s="84"/>
      <c r="C7" s="73"/>
      <c r="D7" s="73"/>
      <c r="E7" s="580"/>
      <c r="F7" s="73"/>
      <c r="G7" s="73"/>
      <c r="H7" s="452"/>
      <c r="I7" s="73"/>
      <c r="J7" s="2352"/>
      <c r="K7" s="2352"/>
      <c r="L7" s="2352"/>
      <c r="M7" s="2353"/>
      <c r="N7" s="481"/>
      <c r="O7" s="39"/>
      <c r="P7" s="73"/>
      <c r="T7" s="39"/>
      <c r="U7" s="39"/>
      <c r="V7" s="39"/>
      <c r="W7" s="39"/>
      <c r="X7" s="545"/>
      <c r="Y7" s="39"/>
      <c r="Z7" s="39"/>
    </row>
    <row r="8" spans="1:76" ht="15">
      <c r="B8" s="84"/>
      <c r="C8" s="1777" t="str">
        <f>HYPERLINK("[.\]E_Ambulance!A2","To Evidence")</f>
        <v>To Evidence</v>
      </c>
      <c r="D8" s="73"/>
      <c r="E8" s="580"/>
      <c r="F8" s="594"/>
      <c r="G8" s="73"/>
      <c r="H8" s="452"/>
      <c r="I8" s="73"/>
      <c r="J8" s="2352"/>
      <c r="K8" s="2352"/>
      <c r="L8" s="2352"/>
      <c r="M8" s="2353"/>
      <c r="N8" s="73"/>
      <c r="O8" s="39"/>
      <c r="P8" s="73"/>
      <c r="T8" s="39"/>
      <c r="U8" s="39"/>
      <c r="V8" s="39"/>
      <c r="W8" s="39"/>
      <c r="X8" s="545"/>
      <c r="Y8" s="39"/>
      <c r="Z8" s="39"/>
    </row>
    <row r="9" spans="1:76" ht="15">
      <c r="B9" s="84"/>
      <c r="C9" s="73"/>
      <c r="D9" s="73"/>
      <c r="E9" s="580"/>
      <c r="F9" s="594"/>
      <c r="G9" s="73"/>
      <c r="H9" s="452"/>
      <c r="I9" s="73"/>
      <c r="J9" s="1317"/>
      <c r="K9" s="2063"/>
      <c r="M9" s="106"/>
      <c r="N9" s="73"/>
      <c r="O9" s="39"/>
      <c r="P9" s="73"/>
      <c r="T9" s="39"/>
      <c r="U9" s="39"/>
      <c r="V9" s="39"/>
      <c r="W9" s="39"/>
      <c r="X9" s="545"/>
      <c r="Y9" s="39"/>
      <c r="Z9" s="39"/>
    </row>
    <row r="10" spans="1:76" ht="15">
      <c r="B10" s="130"/>
      <c r="C10" s="690"/>
      <c r="D10" s="187"/>
      <c r="E10" s="187"/>
      <c r="F10" s="690"/>
      <c r="G10" s="2338"/>
      <c r="H10" s="2339"/>
      <c r="I10" s="690"/>
      <c r="J10" s="690"/>
      <c r="K10" s="690"/>
      <c r="L10" s="690"/>
      <c r="M10" s="1048"/>
      <c r="N10" s="526"/>
      <c r="O10" s="39"/>
      <c r="P10" s="39"/>
      <c r="Q10" s="39"/>
      <c r="R10" s="39"/>
      <c r="S10" s="39"/>
      <c r="T10" s="39"/>
      <c r="U10" s="39"/>
      <c r="V10" s="545"/>
      <c r="W10" s="545"/>
      <c r="X10" s="39"/>
      <c r="Y10" s="39"/>
    </row>
    <row r="11" spans="1:76" ht="15">
      <c r="A11" s="75" t="s">
        <v>103</v>
      </c>
      <c r="B11" s="2343" t="s">
        <v>119</v>
      </c>
      <c r="C11" s="2344"/>
      <c r="D11" s="2344"/>
      <c r="E11" s="2344"/>
      <c r="F11" s="2344"/>
      <c r="G11" s="2344"/>
      <c r="H11" s="2344"/>
      <c r="I11" s="2344"/>
      <c r="J11" s="2344"/>
      <c r="K11" s="2344"/>
      <c r="L11" s="2344"/>
      <c r="M11" s="2345"/>
      <c r="N11" s="39"/>
      <c r="O11" s="39"/>
      <c r="P11" s="40"/>
      <c r="Q11" s="40"/>
      <c r="R11" s="39"/>
      <c r="S11" s="39"/>
      <c r="U11" s="39"/>
      <c r="V11" s="545"/>
      <c r="W11" s="39"/>
      <c r="X11" s="39"/>
      <c r="Y11" s="39"/>
    </row>
    <row r="12" spans="1:76" s="39" customFormat="1" ht="15">
      <c r="B12" s="546"/>
      <c r="C12" s="779"/>
      <c r="D12" s="779"/>
      <c r="E12" s="779"/>
      <c r="F12" s="779"/>
      <c r="G12" s="779"/>
      <c r="H12" s="779"/>
      <c r="I12" s="779"/>
      <c r="J12" s="779"/>
      <c r="K12" s="547"/>
      <c r="L12" s="547"/>
      <c r="M12" s="83"/>
      <c r="N12" s="40"/>
      <c r="V12" s="545"/>
    </row>
    <row r="13" spans="1:76" s="39" customFormat="1" ht="15">
      <c r="B13" s="548"/>
      <c r="C13" s="2323" t="s">
        <v>583</v>
      </c>
      <c r="D13" s="2324"/>
      <c r="E13" s="2325"/>
      <c r="F13" s="549">
        <v>112000</v>
      </c>
      <c r="G13" s="525"/>
      <c r="I13" s="40"/>
      <c r="J13" s="527"/>
      <c r="K13" s="550"/>
      <c r="L13" s="551"/>
      <c r="M13" s="693" t="s">
        <v>141</v>
      </c>
      <c r="N13" s="692"/>
      <c r="V13" s="545"/>
    </row>
    <row r="14" spans="1:76" s="39" customFormat="1" ht="15">
      <c r="B14" s="548"/>
      <c r="C14" s="2323" t="s">
        <v>1215</v>
      </c>
      <c r="D14" s="2324"/>
      <c r="E14" s="2325"/>
      <c r="F14" s="1472">
        <v>0.25</v>
      </c>
      <c r="G14" s="527"/>
      <c r="I14" s="40"/>
      <c r="J14" s="527"/>
      <c r="K14" s="527"/>
      <c r="L14" s="418"/>
      <c r="M14" s="693" t="s">
        <v>143</v>
      </c>
      <c r="N14" s="692"/>
    </row>
    <row r="15" spans="1:76" s="39" customFormat="1" ht="15">
      <c r="B15" s="548"/>
      <c r="C15" s="2323" t="s">
        <v>545</v>
      </c>
      <c r="D15" s="2324"/>
      <c r="E15" s="2325"/>
      <c r="F15" s="1472">
        <v>0.4</v>
      </c>
      <c r="G15" s="527"/>
      <c r="I15" s="40"/>
      <c r="J15" s="527"/>
      <c r="K15" s="553"/>
      <c r="L15" s="554" t="s">
        <v>556</v>
      </c>
      <c r="M15" s="693" t="s">
        <v>143</v>
      </c>
      <c r="N15" s="692"/>
    </row>
    <row r="16" spans="1:76" s="39" customFormat="1" ht="42.75">
      <c r="B16" s="548"/>
      <c r="C16" s="2323" t="s">
        <v>1223</v>
      </c>
      <c r="D16" s="2324"/>
      <c r="E16" s="2325"/>
      <c r="F16" s="81">
        <f>(F15-F14)*F13</f>
        <v>16800.000000000004</v>
      </c>
      <c r="G16" s="527"/>
      <c r="I16" s="40"/>
      <c r="J16" s="527"/>
      <c r="K16" s="527"/>
      <c r="L16" s="2193"/>
      <c r="M16" s="507" t="s">
        <v>1299</v>
      </c>
      <c r="N16" s="584"/>
    </row>
    <row r="17" spans="2:25" s="39" customFormat="1" ht="15">
      <c r="B17" s="548"/>
      <c r="C17" s="2323" t="s">
        <v>1248</v>
      </c>
      <c r="D17" s="2324"/>
      <c r="E17" s="2325"/>
      <c r="F17" s="81">
        <f>L60</f>
        <v>735</v>
      </c>
      <c r="G17" s="527"/>
      <c r="I17" s="40"/>
      <c r="J17" s="527"/>
      <c r="K17" s="527"/>
      <c r="L17" s="527"/>
      <c r="M17" s="83"/>
      <c r="N17" s="40"/>
    </row>
    <row r="18" spans="2:25" s="39" customFormat="1" ht="15">
      <c r="B18" s="548"/>
      <c r="C18" s="2323" t="s">
        <v>584</v>
      </c>
      <c r="D18" s="2324"/>
      <c r="E18" s="2325"/>
      <c r="F18" s="1471">
        <f>F17/F16</f>
        <v>4.374999999999999E-2</v>
      </c>
      <c r="G18" s="527"/>
      <c r="I18" s="40"/>
      <c r="J18" s="527"/>
      <c r="K18" s="527"/>
      <c r="L18" s="527"/>
      <c r="M18" s="83"/>
      <c r="N18" s="40"/>
    </row>
    <row r="19" spans="2:25" s="39" customFormat="1" ht="15">
      <c r="B19" s="556"/>
      <c r="C19" s="557"/>
      <c r="D19" s="557"/>
      <c r="E19" s="557"/>
      <c r="F19" s="558"/>
      <c r="G19" s="558"/>
      <c r="H19" s="795"/>
      <c r="I19" s="558"/>
      <c r="J19" s="558"/>
      <c r="K19" s="558"/>
      <c r="L19" s="558"/>
      <c r="M19" s="83"/>
      <c r="N19" s="40"/>
    </row>
    <row r="20" spans="2:25" ht="15" customHeight="1">
      <c r="B20" s="2343" t="s">
        <v>117</v>
      </c>
      <c r="C20" s="2344"/>
      <c r="D20" s="2344"/>
      <c r="E20" s="2344"/>
      <c r="F20" s="2344"/>
      <c r="G20" s="2344"/>
      <c r="H20" s="2344"/>
      <c r="I20" s="2344"/>
      <c r="J20" s="2344"/>
      <c r="K20" s="2344"/>
      <c r="L20" s="2344"/>
      <c r="M20" s="2345"/>
      <c r="N20" s="39"/>
      <c r="O20" s="40"/>
      <c r="P20" s="40"/>
      <c r="Q20" s="40"/>
      <c r="R20" s="39"/>
      <c r="S20" s="39"/>
      <c r="U20" s="39"/>
      <c r="V20" s="39"/>
      <c r="W20" s="39"/>
      <c r="X20" s="39"/>
      <c r="Y20" s="39"/>
    </row>
    <row r="21" spans="2:25" ht="15" customHeight="1">
      <c r="B21" s="254"/>
      <c r="C21" s="560"/>
      <c r="D21" s="209"/>
      <c r="E21" s="209"/>
      <c r="F21" s="443"/>
      <c r="G21" s="560"/>
      <c r="H21" s="209"/>
      <c r="I21" s="560"/>
      <c r="J21" s="560"/>
      <c r="K21" s="529"/>
      <c r="L21" s="242"/>
      <c r="M21" s="250"/>
      <c r="N21" s="209"/>
      <c r="O21" s="40"/>
      <c r="P21" s="40"/>
      <c r="Q21" s="526"/>
      <c r="R21" s="39"/>
      <c r="S21" s="39"/>
      <c r="T21" s="39"/>
      <c r="U21" s="39"/>
      <c r="V21" s="39"/>
      <c r="W21" s="39"/>
      <c r="X21" s="39"/>
    </row>
    <row r="22" spans="2:25" ht="15" customHeight="1">
      <c r="B22" s="254"/>
      <c r="C22" s="1777" t="str">
        <f>HYPERLINK("[.\]Set_up_hear_and_treat!A10","To Set up costs template")</f>
        <v>To Set up costs template</v>
      </c>
      <c r="D22" s="1714"/>
      <c r="E22" s="767"/>
      <c r="F22" s="209"/>
      <c r="G22" s="560"/>
      <c r="H22" s="560"/>
      <c r="I22" s="560"/>
      <c r="J22" s="560"/>
      <c r="K22" s="560"/>
      <c r="L22" s="529"/>
      <c r="M22" s="250"/>
      <c r="N22" s="209"/>
      <c r="O22" s="40"/>
      <c r="P22" s="40"/>
      <c r="Q22" s="40"/>
      <c r="R22" s="526"/>
      <c r="S22" s="39"/>
      <c r="T22" s="39"/>
      <c r="U22" s="39"/>
      <c r="V22" s="39"/>
      <c r="W22" s="39"/>
      <c r="X22" s="39"/>
      <c r="Y22" s="39"/>
    </row>
    <row r="23" spans="2:25" ht="15" customHeight="1">
      <c r="B23" s="254"/>
      <c r="C23" s="767"/>
      <c r="D23" s="767"/>
      <c r="E23" s="767"/>
      <c r="F23" s="209"/>
      <c r="G23" s="560"/>
      <c r="H23" s="560"/>
      <c r="I23" s="560"/>
      <c r="J23" s="560"/>
      <c r="K23" s="560"/>
      <c r="L23" s="529"/>
      <c r="M23" s="250"/>
      <c r="N23" s="209"/>
      <c r="O23" s="40"/>
      <c r="P23" s="40"/>
      <c r="Q23" s="40"/>
      <c r="R23" s="526"/>
      <c r="S23" s="39"/>
      <c r="T23" s="39"/>
      <c r="U23" s="39"/>
      <c r="V23" s="39"/>
      <c r="W23" s="39"/>
      <c r="X23" s="39"/>
      <c r="Y23" s="39"/>
    </row>
    <row r="24" spans="2:25" ht="15" customHeight="1">
      <c r="B24" s="254"/>
      <c r="C24" s="2330" t="s">
        <v>1072</v>
      </c>
      <c r="D24" s="2250"/>
      <c r="E24" s="1208">
        <f>Set_up_hear_and_treat!E15</f>
        <v>25000</v>
      </c>
      <c r="H24" s="560"/>
      <c r="I24" s="2333"/>
      <c r="J24" s="2333"/>
      <c r="K24" s="2333"/>
      <c r="L24" s="529"/>
      <c r="M24" s="250"/>
      <c r="N24" s="209"/>
      <c r="O24" s="434"/>
      <c r="P24" s="40"/>
      <c r="Q24" s="40"/>
      <c r="R24" s="526"/>
      <c r="S24" s="39"/>
      <c r="T24" s="39"/>
      <c r="U24" s="39"/>
      <c r="V24" s="39"/>
      <c r="W24" s="39"/>
      <c r="X24" s="39"/>
      <c r="Y24" s="39"/>
    </row>
    <row r="25" spans="2:25" ht="15" customHeight="1">
      <c r="B25" s="254"/>
      <c r="C25" s="560"/>
      <c r="D25" s="209"/>
      <c r="E25" s="209"/>
      <c r="F25" s="443"/>
      <c r="G25" s="560"/>
      <c r="H25" s="209"/>
      <c r="I25" s="560"/>
      <c r="J25" s="560"/>
      <c r="K25" s="529"/>
      <c r="L25" s="529"/>
      <c r="M25" s="250"/>
      <c r="N25" s="209"/>
      <c r="O25" s="40"/>
      <c r="P25" s="40"/>
      <c r="Q25" s="526"/>
      <c r="R25" s="39"/>
      <c r="S25" s="39"/>
      <c r="T25" s="39"/>
      <c r="U25" s="39"/>
      <c r="V25" s="39"/>
      <c r="W25" s="39"/>
      <c r="X25" s="39"/>
    </row>
    <row r="26" spans="2:25" ht="55.5" customHeight="1">
      <c r="B26" s="464"/>
      <c r="C26" s="447" t="s">
        <v>133</v>
      </c>
      <c r="D26" s="563" t="s">
        <v>116</v>
      </c>
      <c r="E26" s="444" t="s">
        <v>115</v>
      </c>
      <c r="F26" s="563" t="s">
        <v>1067</v>
      </c>
      <c r="G26" s="563" t="s">
        <v>113</v>
      </c>
      <c r="H26" s="563" t="s">
        <v>112</v>
      </c>
      <c r="J26" s="529"/>
      <c r="K26" s="564" t="s">
        <v>634</v>
      </c>
      <c r="L26" s="564" t="s">
        <v>110</v>
      </c>
      <c r="M26" s="492"/>
      <c r="N26" s="434"/>
      <c r="O26" s="258"/>
      <c r="P26" s="258"/>
      <c r="Q26" s="527"/>
      <c r="R26" s="432"/>
      <c r="S26" s="432"/>
      <c r="T26" s="432"/>
      <c r="U26" s="432"/>
      <c r="V26" s="432"/>
      <c r="W26" s="432"/>
      <c r="X26" s="432"/>
    </row>
    <row r="27" spans="2:25" ht="15" customHeight="1">
      <c r="B27" s="254"/>
      <c r="C27" s="1299" t="s">
        <v>1232</v>
      </c>
      <c r="D27" s="1332" t="s">
        <v>1</v>
      </c>
      <c r="E27" s="1333">
        <v>3</v>
      </c>
      <c r="F27" s="1133">
        <f>IF(D27&lt;&gt;"",VLOOKUP(D27,staff_costs!$A$3:$H$22,6,0),"")</f>
        <v>66073.399999999994</v>
      </c>
      <c r="G27" s="1336">
        <v>0.2</v>
      </c>
      <c r="H27" s="1336">
        <v>0.35</v>
      </c>
      <c r="J27" s="768"/>
      <c r="K27" s="569" t="str">
        <f>IF(C27&gt;"",C27,"")</f>
        <v>Highly skilled paramedic</v>
      </c>
      <c r="L27" s="1001">
        <f t="shared" ref="L27:L32" si="0">IF($D27="","",E27*F27+(E27*G27*(F27*H27)))</f>
        <v>212095.61399999997</v>
      </c>
      <c r="M27" s="250"/>
      <c r="N27" s="209"/>
      <c r="O27" s="40"/>
      <c r="P27" s="40"/>
      <c r="Q27" s="526"/>
      <c r="R27" s="39"/>
      <c r="S27" s="39"/>
      <c r="T27" s="39"/>
      <c r="U27" s="39"/>
      <c r="V27" s="39"/>
      <c r="W27" s="39"/>
      <c r="X27" s="39"/>
    </row>
    <row r="28" spans="2:25" ht="15" customHeight="1">
      <c r="B28" s="254"/>
      <c r="C28" s="1299" t="s">
        <v>1229</v>
      </c>
      <c r="D28" s="1332">
        <v>7</v>
      </c>
      <c r="E28" s="1333">
        <v>4</v>
      </c>
      <c r="F28" s="1133">
        <f>IF(D28&lt;&gt;"",VLOOKUP(D28,staff_costs!$A$3:$H$22,6,0),"")</f>
        <v>44950</v>
      </c>
      <c r="G28" s="1336">
        <v>0.2</v>
      </c>
      <c r="H28" s="1336">
        <v>0.35</v>
      </c>
      <c r="J28" s="560"/>
      <c r="K28" s="569" t="str">
        <f>IF(C28&gt;"",C28,"")</f>
        <v>Emergency care practitioner</v>
      </c>
      <c r="L28" s="1001">
        <f t="shared" si="0"/>
        <v>192386</v>
      </c>
      <c r="M28" s="250"/>
      <c r="N28" s="209"/>
      <c r="O28" s="40"/>
      <c r="P28" s="40"/>
      <c r="Q28" s="526"/>
      <c r="R28" s="39"/>
      <c r="S28" s="39"/>
      <c r="T28" s="39"/>
      <c r="U28" s="39"/>
      <c r="V28" s="39"/>
      <c r="W28" s="39"/>
      <c r="X28" s="39"/>
    </row>
    <row r="29" spans="2:25" ht="15" customHeight="1">
      <c r="B29" s="254"/>
      <c r="C29" s="1299"/>
      <c r="D29" s="1332"/>
      <c r="E29" s="1333"/>
      <c r="F29" s="1133" t="str">
        <f>IF(D29&lt;&gt;"",VLOOKUP(D29,staff_costs!$A$3:$H$22,6,0),"")</f>
        <v/>
      </c>
      <c r="G29" s="1336"/>
      <c r="H29" s="1336"/>
      <c r="J29" s="560"/>
      <c r="K29" s="569" t="str">
        <f>IF(C29&gt;"",C29,"")</f>
        <v/>
      </c>
      <c r="L29" s="1001" t="str">
        <f t="shared" si="0"/>
        <v/>
      </c>
      <c r="M29" s="250"/>
      <c r="N29" s="209"/>
      <c r="O29" s="40"/>
      <c r="P29" s="40"/>
      <c r="Q29" s="526"/>
      <c r="R29" s="39"/>
      <c r="S29" s="39"/>
      <c r="T29" s="39"/>
      <c r="U29" s="39"/>
      <c r="V29" s="39"/>
      <c r="W29" s="39"/>
      <c r="X29" s="39"/>
    </row>
    <row r="30" spans="2:25" ht="15" customHeight="1">
      <c r="B30" s="254"/>
      <c r="C30" s="1299"/>
      <c r="D30" s="1332"/>
      <c r="E30" s="1333"/>
      <c r="F30" s="1133" t="str">
        <f>IF(D30&lt;&gt;"",VLOOKUP(D30,staff_costs!$A$3:$H$22,6,0),"")</f>
        <v/>
      </c>
      <c r="G30" s="1336"/>
      <c r="H30" s="1336"/>
      <c r="J30" s="560"/>
      <c r="K30" s="569" t="str">
        <f>IF(C30&gt;"",C30,"")</f>
        <v/>
      </c>
      <c r="L30" s="1001" t="str">
        <f t="shared" si="0"/>
        <v/>
      </c>
      <c r="M30" s="250"/>
      <c r="N30" s="209"/>
      <c r="O30" s="40"/>
      <c r="P30" s="40"/>
      <c r="Q30" s="526"/>
      <c r="R30" s="39"/>
      <c r="S30" s="39"/>
      <c r="T30" s="39"/>
      <c r="U30" s="39"/>
      <c r="V30" s="39"/>
      <c r="W30" s="39"/>
      <c r="X30" s="39"/>
    </row>
    <row r="31" spans="2:25" ht="15">
      <c r="B31" s="254"/>
      <c r="C31" s="1299"/>
      <c r="D31" s="1332"/>
      <c r="E31" s="1333"/>
      <c r="F31" s="1133" t="str">
        <f>IF(D31&lt;&gt;"",VLOOKUP(D31,staff_costs!$A$3:$H$22,6,0),"")</f>
        <v/>
      </c>
      <c r="G31" s="1336"/>
      <c r="H31" s="1336"/>
      <c r="J31" s="560"/>
      <c r="K31" s="569" t="str">
        <f>IF(C31&gt;"",C31,"")</f>
        <v/>
      </c>
      <c r="L31" s="1001" t="str">
        <f t="shared" si="0"/>
        <v/>
      </c>
      <c r="M31" s="250"/>
      <c r="N31" s="209"/>
      <c r="O31" s="40"/>
      <c r="P31" s="40"/>
      <c r="Q31" s="526"/>
      <c r="R31" s="39"/>
      <c r="S31" s="39"/>
      <c r="T31" s="39"/>
      <c r="U31" s="39"/>
      <c r="V31" s="39"/>
      <c r="W31" s="39"/>
      <c r="X31" s="39"/>
    </row>
    <row r="32" spans="2:25" ht="15">
      <c r="B32" s="254"/>
      <c r="C32" s="1299"/>
      <c r="D32" s="1332"/>
      <c r="E32" s="1333"/>
      <c r="F32" s="1133" t="str">
        <f>IF(D32&lt;&gt;"",VLOOKUP(D32,staff_costs!$A$3:$H$22,6,0),"")</f>
        <v/>
      </c>
      <c r="G32" s="1336"/>
      <c r="H32" s="1336"/>
      <c r="J32" s="560"/>
      <c r="K32" s="569"/>
      <c r="L32" s="1001" t="str">
        <f t="shared" si="0"/>
        <v/>
      </c>
      <c r="M32" s="250"/>
      <c r="N32" s="209"/>
      <c r="O32" s="40"/>
      <c r="P32" s="40"/>
      <c r="Q32" s="526"/>
      <c r="R32" s="39"/>
      <c r="S32" s="39"/>
      <c r="T32" s="39"/>
      <c r="U32" s="39"/>
      <c r="V32" s="39"/>
      <c r="W32" s="39"/>
      <c r="X32" s="39"/>
    </row>
    <row r="33" spans="2:24" ht="15">
      <c r="B33" s="254"/>
      <c r="C33" s="447" t="s">
        <v>109</v>
      </c>
      <c r="D33" s="780"/>
      <c r="E33" s="1335">
        <f>SUM(E27:E32)</f>
        <v>7</v>
      </c>
      <c r="F33" s="529"/>
      <c r="G33" s="434"/>
      <c r="H33" s="529"/>
      <c r="J33" s="560"/>
      <c r="K33" s="999" t="s">
        <v>184</v>
      </c>
      <c r="L33" s="1001">
        <f>SUM(L27:L31)</f>
        <v>404481.61399999994</v>
      </c>
      <c r="M33" s="250"/>
      <c r="N33" s="209"/>
      <c r="O33" s="40"/>
      <c r="P33" s="40"/>
      <c r="Q33" s="526"/>
      <c r="R33" s="39"/>
      <c r="S33" s="39"/>
      <c r="T33" s="39"/>
      <c r="U33" s="39"/>
      <c r="V33" s="39"/>
      <c r="W33" s="39"/>
      <c r="X33" s="39"/>
    </row>
    <row r="34" spans="2:24" ht="15">
      <c r="B34" s="254"/>
      <c r="C34" s="529"/>
      <c r="D34" s="209"/>
      <c r="E34" s="209"/>
      <c r="F34" s="443"/>
      <c r="G34" s="560"/>
      <c r="H34" s="209"/>
      <c r="I34" s="560"/>
      <c r="J34" s="560"/>
      <c r="K34" s="530"/>
      <c r="L34" s="530"/>
      <c r="M34" s="250"/>
      <c r="N34" s="209"/>
      <c r="O34" s="39"/>
      <c r="P34" s="39"/>
      <c r="Q34" s="39"/>
      <c r="R34" s="39"/>
      <c r="S34" s="39"/>
      <c r="T34" s="39"/>
      <c r="U34" s="39"/>
      <c r="V34" s="39"/>
      <c r="W34" s="39"/>
      <c r="X34" s="39"/>
    </row>
    <row r="35" spans="2:24" ht="30">
      <c r="B35" s="254"/>
      <c r="C35" s="563" t="s">
        <v>130</v>
      </c>
      <c r="D35" s="563" t="s">
        <v>132</v>
      </c>
      <c r="E35" s="563" t="s">
        <v>131</v>
      </c>
      <c r="H35" s="209"/>
      <c r="I35" s="209"/>
      <c r="J35" s="209"/>
      <c r="K35" s="447" t="s">
        <v>130</v>
      </c>
      <c r="L35" s="564"/>
      <c r="M35" s="250"/>
      <c r="N35" s="209"/>
      <c r="O35" s="39"/>
      <c r="P35" s="39"/>
      <c r="Q35" s="39"/>
      <c r="R35" s="39"/>
      <c r="S35" s="39"/>
      <c r="T35" s="39"/>
      <c r="U35" s="39"/>
      <c r="V35" s="39"/>
      <c r="W35" s="39"/>
      <c r="X35" s="39"/>
    </row>
    <row r="36" spans="2:24" ht="15">
      <c r="B36" s="254"/>
      <c r="C36" s="1193" t="s">
        <v>129</v>
      </c>
      <c r="D36" s="511">
        <v>2</v>
      </c>
      <c r="E36" s="1208">
        <v>1000</v>
      </c>
      <c r="H36" s="209"/>
      <c r="I36" s="209"/>
      <c r="J36" s="560"/>
      <c r="K36" s="572" t="str">
        <f>IF(C36&gt;"",C36,"")</f>
        <v>Ambulances</v>
      </c>
      <c r="L36" s="1001">
        <f>E36*D36</f>
        <v>2000</v>
      </c>
      <c r="M36" s="250"/>
      <c r="N36" s="209"/>
      <c r="O36" s="39"/>
      <c r="P36" s="39"/>
      <c r="Q36" s="39"/>
      <c r="R36" s="39"/>
      <c r="S36" s="39"/>
      <c r="T36" s="39"/>
      <c r="U36" s="39"/>
      <c r="V36" s="39"/>
      <c r="W36" s="39"/>
      <c r="X36" s="39"/>
    </row>
    <row r="37" spans="2:24" ht="15">
      <c r="B37" s="254"/>
      <c r="C37" s="565" t="s">
        <v>537</v>
      </c>
      <c r="D37" s="466">
        <v>2</v>
      </c>
      <c r="E37" s="1208">
        <v>500</v>
      </c>
      <c r="H37" s="209"/>
      <c r="I37" s="209"/>
      <c r="J37" s="560"/>
      <c r="K37" s="572" t="str">
        <f>IF(C37&gt;"",C37,"")</f>
        <v>Emergency lifting equipment</v>
      </c>
      <c r="L37" s="1001">
        <f>E37*D37</f>
        <v>1000</v>
      </c>
      <c r="M37" s="250"/>
      <c r="N37" s="209"/>
      <c r="O37" s="39"/>
      <c r="P37" s="39"/>
      <c r="Q37" s="39"/>
      <c r="R37" s="39"/>
      <c r="S37" s="39"/>
      <c r="T37" s="39"/>
      <c r="U37" s="39"/>
      <c r="V37" s="39"/>
      <c r="W37" s="39"/>
      <c r="X37" s="39"/>
    </row>
    <row r="38" spans="2:24" ht="15">
      <c r="B38" s="254"/>
      <c r="C38" s="565" t="s">
        <v>128</v>
      </c>
      <c r="D38" s="487">
        <f>E33</f>
        <v>7</v>
      </c>
      <c r="E38" s="1208">
        <v>500</v>
      </c>
      <c r="H38" s="209"/>
      <c r="I38" s="209"/>
      <c r="J38" s="560"/>
      <c r="K38" s="572" t="str">
        <f>IF(C38&gt;"",C38,"")</f>
        <v>Training</v>
      </c>
      <c r="L38" s="1001">
        <f>E38*D38</f>
        <v>3500</v>
      </c>
      <c r="M38" s="250"/>
      <c r="N38" s="209"/>
      <c r="O38" s="39"/>
      <c r="P38" s="39"/>
      <c r="Q38" s="39"/>
      <c r="R38" s="39"/>
      <c r="S38" s="39"/>
      <c r="T38" s="39"/>
      <c r="U38" s="39"/>
      <c r="V38" s="39"/>
      <c r="W38" s="39"/>
      <c r="X38" s="39"/>
    </row>
    <row r="39" spans="2:24" ht="15">
      <c r="B39" s="254"/>
      <c r="C39" s="209"/>
      <c r="D39" s="209"/>
      <c r="E39" s="209"/>
      <c r="F39" s="209"/>
      <c r="G39" s="209"/>
      <c r="H39" s="209"/>
      <c r="I39" s="209"/>
      <c r="J39" s="560"/>
      <c r="K39" s="572" t="s">
        <v>127</v>
      </c>
      <c r="L39" s="1001">
        <f>SUM(L36:L38)</f>
        <v>6500</v>
      </c>
      <c r="M39" s="250"/>
      <c r="N39" s="209"/>
      <c r="O39" s="39"/>
      <c r="P39" s="39"/>
      <c r="Q39" s="39"/>
      <c r="R39" s="39"/>
      <c r="S39" s="39"/>
      <c r="T39" s="39"/>
      <c r="U39" s="39"/>
      <c r="V39" s="39"/>
      <c r="W39" s="39"/>
      <c r="X39" s="39"/>
    </row>
    <row r="40" spans="2:24" ht="15">
      <c r="B40" s="254"/>
      <c r="C40" s="441"/>
      <c r="D40" s="209"/>
      <c r="E40" s="209"/>
      <c r="F40" s="434"/>
      <c r="G40" s="209"/>
      <c r="H40" s="209"/>
      <c r="I40" s="209"/>
      <c r="J40" s="209"/>
      <c r="K40" s="574"/>
      <c r="L40" s="788"/>
      <c r="M40" s="250"/>
      <c r="N40" s="209"/>
      <c r="O40" s="39"/>
      <c r="P40" s="39"/>
      <c r="Q40" s="39"/>
      <c r="R40" s="39"/>
      <c r="S40" s="39"/>
      <c r="T40" s="39"/>
      <c r="U40" s="39"/>
      <c r="V40" s="39"/>
      <c r="W40" s="39"/>
      <c r="X40" s="39"/>
    </row>
    <row r="41" spans="2:24" ht="15">
      <c r="B41" s="254"/>
      <c r="C41" s="242"/>
      <c r="D41" s="242"/>
      <c r="E41" s="242"/>
      <c r="F41" s="242"/>
      <c r="G41" s="242"/>
      <c r="H41" s="209"/>
      <c r="I41" s="209"/>
      <c r="J41" s="209"/>
      <c r="K41" s="572" t="s">
        <v>25</v>
      </c>
      <c r="L41" s="1001">
        <f>L39+L33</f>
        <v>410981.61399999994</v>
      </c>
      <c r="M41" s="250"/>
      <c r="N41" s="209"/>
      <c r="O41" s="39"/>
      <c r="P41" s="39"/>
      <c r="Q41" s="39"/>
      <c r="R41" s="39"/>
      <c r="S41" s="39"/>
      <c r="T41" s="39"/>
      <c r="U41" s="39"/>
      <c r="V41" s="545"/>
      <c r="W41" s="39"/>
      <c r="X41" s="39"/>
    </row>
    <row r="42" spans="2:24" ht="15">
      <c r="B42" s="254"/>
      <c r="C42" s="2330" t="s">
        <v>108</v>
      </c>
      <c r="D42" s="2331"/>
      <c r="E42" s="2250"/>
      <c r="G42" s="242"/>
      <c r="H42" s="209"/>
      <c r="I42" s="209"/>
      <c r="J42" s="209"/>
      <c r="K42" s="209"/>
      <c r="L42" s="789"/>
      <c r="M42" s="250"/>
      <c r="N42" s="209"/>
      <c r="O42" s="39"/>
      <c r="P42" s="39"/>
      <c r="Q42" s="39"/>
      <c r="R42" s="39"/>
      <c r="S42" s="39"/>
      <c r="T42" s="39"/>
      <c r="U42" s="39"/>
      <c r="V42" s="39"/>
      <c r="W42" s="39"/>
      <c r="X42" s="39"/>
    </row>
    <row r="43" spans="2:24" ht="15">
      <c r="B43" s="254"/>
      <c r="C43" s="2342" t="s">
        <v>106</v>
      </c>
      <c r="D43" s="2341"/>
      <c r="E43" s="1478">
        <v>42</v>
      </c>
      <c r="G43" s="209"/>
      <c r="H43" s="209"/>
      <c r="I43" s="560"/>
      <c r="J43" s="560"/>
      <c r="K43" s="1249" t="s">
        <v>107</v>
      </c>
      <c r="L43" s="790"/>
      <c r="M43" s="250"/>
      <c r="N43" s="209"/>
      <c r="O43" s="40"/>
      <c r="P43" s="40"/>
      <c r="Q43" s="526"/>
      <c r="R43" s="39"/>
      <c r="S43" s="39"/>
      <c r="T43" s="39"/>
      <c r="U43" s="39"/>
      <c r="V43" s="39"/>
      <c r="W43" s="39"/>
      <c r="X43" s="39"/>
    </row>
    <row r="44" spans="2:24" ht="15">
      <c r="B44" s="254"/>
      <c r="C44" s="2342" t="s">
        <v>250</v>
      </c>
      <c r="D44" s="2341"/>
      <c r="E44" s="1481">
        <v>37.5</v>
      </c>
      <c r="G44" s="242"/>
      <c r="H44" s="209"/>
      <c r="I44" s="560"/>
      <c r="J44" s="560"/>
      <c r="K44" s="484" t="s">
        <v>126</v>
      </c>
      <c r="L44" s="1077">
        <f>E33*E43*E44</f>
        <v>11025</v>
      </c>
      <c r="M44" s="250"/>
      <c r="N44" s="209"/>
      <c r="O44" s="40"/>
      <c r="P44" s="40"/>
      <c r="Q44" s="526"/>
      <c r="R44" s="39"/>
      <c r="S44" s="39"/>
      <c r="T44" s="39"/>
      <c r="U44" s="39"/>
      <c r="V44" s="39"/>
      <c r="W44" s="39"/>
      <c r="X44" s="39"/>
    </row>
    <row r="45" spans="2:24" ht="15">
      <c r="B45" s="254"/>
      <c r="C45" s="791"/>
      <c r="D45" s="496"/>
      <c r="G45" s="242"/>
      <c r="H45" s="209"/>
      <c r="I45" s="560"/>
      <c r="J45" s="560"/>
      <c r="K45" s="530"/>
      <c r="L45" s="530"/>
      <c r="M45" s="250"/>
      <c r="N45" s="209"/>
      <c r="O45" s="39"/>
      <c r="P45" s="39"/>
      <c r="Q45" s="39"/>
      <c r="R45" s="39"/>
      <c r="S45" s="39"/>
      <c r="T45" s="39"/>
      <c r="U45" s="39"/>
      <c r="V45" s="39"/>
      <c r="W45" s="39"/>
      <c r="X45" s="39"/>
    </row>
    <row r="46" spans="2:24" ht="15">
      <c r="B46" s="254"/>
      <c r="C46" s="2330" t="s">
        <v>105</v>
      </c>
      <c r="D46" s="2331"/>
      <c r="E46" s="2250"/>
      <c r="G46" s="242"/>
      <c r="H46" s="209"/>
      <c r="I46" s="560"/>
      <c r="J46" s="560"/>
      <c r="K46" s="999" t="s">
        <v>124</v>
      </c>
      <c r="L46" s="1337">
        <f>L44*60/E47/E48*E49</f>
        <v>2940</v>
      </c>
      <c r="M46" s="250"/>
      <c r="N46" s="209"/>
      <c r="O46" s="39"/>
      <c r="P46" s="39"/>
      <c r="Q46" s="39"/>
      <c r="R46" s="39"/>
      <c r="S46" s="39"/>
      <c r="T46" s="39"/>
      <c r="U46" s="39"/>
      <c r="V46" s="39"/>
      <c r="W46" s="39"/>
      <c r="X46" s="39"/>
    </row>
    <row r="47" spans="2:24" ht="30.75" customHeight="1">
      <c r="B47" s="254"/>
      <c r="C47" s="2340" t="s">
        <v>125</v>
      </c>
      <c r="D47" s="2341"/>
      <c r="E47" s="466">
        <v>90</v>
      </c>
      <c r="G47" s="242"/>
      <c r="H47" s="209"/>
      <c r="I47" s="209"/>
      <c r="J47" s="209"/>
      <c r="M47" s="250"/>
      <c r="N47" s="209"/>
      <c r="O47" s="39"/>
      <c r="P47" s="39"/>
      <c r="Q47" s="39"/>
      <c r="R47" s="39"/>
      <c r="S47" s="39"/>
      <c r="T47" s="39"/>
      <c r="U47" s="39"/>
      <c r="V47" s="39"/>
      <c r="W47" s="39"/>
      <c r="X47" s="39"/>
    </row>
    <row r="48" spans="2:24" ht="15">
      <c r="B48" s="254"/>
      <c r="C48" s="2348" t="s">
        <v>560</v>
      </c>
      <c r="D48" s="2341"/>
      <c r="E48" s="1482">
        <v>2</v>
      </c>
      <c r="G48" s="242"/>
      <c r="H48" s="209"/>
      <c r="I48" s="209"/>
      <c r="J48" s="242"/>
      <c r="K48" s="585" t="s">
        <v>559</v>
      </c>
      <c r="L48" s="1050">
        <f>L41/L46</f>
        <v>139.78966462585032</v>
      </c>
      <c r="M48" s="250"/>
      <c r="N48" s="209"/>
      <c r="O48" s="39"/>
      <c r="P48" s="39"/>
      <c r="Q48" s="39"/>
      <c r="R48" s="39"/>
      <c r="S48" s="39"/>
      <c r="T48" s="39"/>
      <c r="U48" s="39"/>
      <c r="V48" s="39"/>
      <c r="W48" s="39"/>
      <c r="X48" s="39"/>
    </row>
    <row r="49" spans="1:26" ht="15">
      <c r="B49" s="254"/>
      <c r="C49" s="2349" t="s">
        <v>123</v>
      </c>
      <c r="D49" s="2341"/>
      <c r="E49" s="1483">
        <v>0.8</v>
      </c>
      <c r="G49" s="242"/>
      <c r="H49" s="209"/>
      <c r="I49" s="209"/>
      <c r="J49" s="209"/>
      <c r="K49" s="1698"/>
      <c r="L49" s="1698"/>
      <c r="M49" s="250"/>
      <c r="N49" s="209"/>
      <c r="O49" s="39"/>
      <c r="P49" s="39"/>
      <c r="Q49" s="39"/>
      <c r="R49" s="39"/>
      <c r="S49" s="39"/>
      <c r="T49" s="39"/>
      <c r="U49" s="39"/>
      <c r="V49" s="39"/>
      <c r="W49" s="39"/>
      <c r="X49" s="39"/>
    </row>
    <row r="50" spans="1:26" ht="15">
      <c r="B50" s="254"/>
      <c r="C50" s="681"/>
      <c r="D50" s="209"/>
      <c r="E50" s="209"/>
      <c r="F50" s="443"/>
      <c r="G50" s="560"/>
      <c r="H50" s="209"/>
      <c r="I50" s="560"/>
      <c r="J50" s="560"/>
      <c r="K50" s="1682"/>
      <c r="L50" s="1697"/>
      <c r="M50" s="250"/>
      <c r="N50" s="209"/>
      <c r="O50" s="39"/>
      <c r="P50" s="39"/>
      <c r="Q50" s="39"/>
      <c r="R50" s="39"/>
      <c r="S50" s="39"/>
      <c r="T50" s="39"/>
      <c r="U50" s="39"/>
      <c r="V50" s="39"/>
      <c r="W50" s="39"/>
      <c r="X50" s="39"/>
    </row>
    <row r="51" spans="1:26" s="40" customFormat="1">
      <c r="B51" s="84"/>
      <c r="M51" s="83"/>
      <c r="V51" s="39"/>
    </row>
    <row r="52" spans="1:26" s="40" customFormat="1">
      <c r="B52" s="84"/>
      <c r="M52" s="83"/>
      <c r="V52" s="39"/>
    </row>
    <row r="53" spans="1:26" ht="15">
      <c r="A53" s="75" t="s">
        <v>103</v>
      </c>
      <c r="B53" s="2343" t="s">
        <v>102</v>
      </c>
      <c r="C53" s="2344"/>
      <c r="D53" s="2344"/>
      <c r="E53" s="2344"/>
      <c r="F53" s="2344"/>
      <c r="G53" s="2344"/>
      <c r="H53" s="2344"/>
      <c r="I53" s="2344"/>
      <c r="J53" s="2344"/>
      <c r="K53" s="2344"/>
      <c r="L53" s="2344"/>
      <c r="M53" s="2345"/>
      <c r="N53" s="40"/>
      <c r="O53" s="40"/>
      <c r="P53" s="40"/>
      <c r="Q53" s="40"/>
      <c r="R53" s="39"/>
      <c r="S53" s="39"/>
      <c r="U53" s="39"/>
      <c r="V53" s="39"/>
      <c r="W53" s="39"/>
      <c r="X53" s="39"/>
      <c r="Y53" s="39"/>
    </row>
    <row r="54" spans="1:26" ht="15" customHeight="1">
      <c r="B54" s="781"/>
      <c r="C54" s="782"/>
      <c r="D54" s="779"/>
      <c r="E54" s="779"/>
      <c r="F54" s="783"/>
      <c r="G54" s="783"/>
      <c r="H54" s="783"/>
      <c r="I54" s="779"/>
      <c r="J54" s="783"/>
      <c r="K54" s="783"/>
      <c r="L54" s="601"/>
      <c r="M54" s="784"/>
      <c r="N54" s="40"/>
      <c r="O54" s="39"/>
      <c r="P54" s="39"/>
      <c r="Q54" s="39"/>
      <c r="R54" s="39"/>
      <c r="S54" s="39"/>
      <c r="T54" s="39"/>
      <c r="U54" s="39"/>
      <c r="V54" s="39"/>
      <c r="W54" s="39"/>
      <c r="X54" s="39"/>
      <c r="Y54" s="39"/>
    </row>
    <row r="55" spans="1:26" ht="15" customHeight="1">
      <c r="B55" s="602"/>
      <c r="C55" s="526"/>
      <c r="D55" s="526"/>
      <c r="E55" s="526"/>
      <c r="F55" s="73"/>
      <c r="G55" s="526"/>
      <c r="H55" s="73"/>
      <c r="I55" s="73"/>
      <c r="J55" s="73"/>
      <c r="K55" s="572" t="s">
        <v>124</v>
      </c>
      <c r="L55" s="1337">
        <f>L46</f>
        <v>2940</v>
      </c>
      <c r="M55" s="83"/>
      <c r="N55" s="40"/>
      <c r="O55" s="39"/>
      <c r="P55" s="39"/>
      <c r="Q55" s="39"/>
      <c r="R55" s="39"/>
      <c r="S55" s="39"/>
      <c r="T55" s="39"/>
      <c r="U55" s="39"/>
      <c r="V55" s="39"/>
      <c r="W55" s="39"/>
      <c r="X55" s="39"/>
      <c r="Y55" s="39"/>
    </row>
    <row r="56" spans="1:26" ht="15" customHeight="1">
      <c r="B56" s="602"/>
      <c r="C56" s="526"/>
      <c r="D56" s="526"/>
      <c r="E56" s="526"/>
      <c r="F56" s="73"/>
      <c r="G56" s="526"/>
      <c r="H56" s="73"/>
      <c r="I56" s="73"/>
      <c r="J56" s="73"/>
      <c r="K56" s="73"/>
      <c r="L56" s="73"/>
      <c r="M56" s="777"/>
      <c r="N56" s="258"/>
      <c r="O56" s="39"/>
      <c r="P56" s="39"/>
      <c r="Q56" s="39"/>
      <c r="R56" s="39"/>
      <c r="S56" s="39"/>
      <c r="T56" s="39"/>
      <c r="U56" s="39"/>
      <c r="V56" s="39"/>
      <c r="W56" s="39"/>
      <c r="X56" s="39"/>
      <c r="Y56" s="39"/>
    </row>
    <row r="57" spans="1:26" ht="42.75" customHeight="1">
      <c r="B57" s="84"/>
      <c r="C57" s="582" t="s">
        <v>546</v>
      </c>
      <c r="D57" s="563" t="s">
        <v>122</v>
      </c>
      <c r="E57" s="563" t="s">
        <v>100</v>
      </c>
      <c r="F57" s="563" t="s">
        <v>99</v>
      </c>
      <c r="G57" s="258"/>
      <c r="H57" s="73"/>
      <c r="I57" s="73"/>
      <c r="J57" s="73"/>
      <c r="K57" s="1040" t="s">
        <v>960</v>
      </c>
      <c r="L57" s="564" t="s">
        <v>121</v>
      </c>
      <c r="M57" s="586" t="s">
        <v>148</v>
      </c>
      <c r="N57" s="560"/>
      <c r="O57" s="39"/>
      <c r="P57" s="39"/>
      <c r="Q57" s="39"/>
      <c r="R57" s="39"/>
      <c r="S57" s="39"/>
      <c r="T57" s="39"/>
      <c r="U57" s="39"/>
      <c r="V57" s="39"/>
      <c r="W57" s="39"/>
      <c r="X57" s="39"/>
      <c r="Y57" s="39"/>
    </row>
    <row r="58" spans="1:26" ht="15" customHeight="1">
      <c r="B58" s="84"/>
      <c r="C58" s="597" t="s">
        <v>69</v>
      </c>
      <c r="D58" s="604">
        <v>0.05</v>
      </c>
      <c r="E58" s="604">
        <v>1</v>
      </c>
      <c r="F58" s="604">
        <f>0.14*5</f>
        <v>0.70000000000000007</v>
      </c>
      <c r="G58" s="258"/>
      <c r="H58" s="73"/>
      <c r="I58" s="73"/>
      <c r="J58" s="73"/>
      <c r="K58" s="572" t="str">
        <f>C58</f>
        <v>Emergency bed days</v>
      </c>
      <c r="L58" s="1337">
        <f>F58*L$46</f>
        <v>2058</v>
      </c>
      <c r="M58" s="631">
        <f>INT(L58/E69)*E69</f>
        <v>0</v>
      </c>
      <c r="N58" s="607"/>
      <c r="O58" s="40"/>
      <c r="P58" s="39"/>
      <c r="Q58" s="39"/>
      <c r="R58" s="39"/>
      <c r="S58" s="39"/>
      <c r="T58" s="39"/>
      <c r="U58" s="39"/>
      <c r="V58" s="39"/>
      <c r="W58" s="39"/>
      <c r="X58" s="39"/>
      <c r="Y58" s="39"/>
      <c r="Z58" s="39"/>
    </row>
    <row r="59" spans="1:26" ht="15" customHeight="1">
      <c r="B59" s="84"/>
      <c r="C59" s="597" t="s">
        <v>43</v>
      </c>
      <c r="D59" s="604">
        <v>0.1</v>
      </c>
      <c r="E59" s="604">
        <v>0.3</v>
      </c>
      <c r="F59" s="587">
        <v>0.25</v>
      </c>
      <c r="G59" s="258"/>
      <c r="H59" s="73"/>
      <c r="I59" s="73"/>
      <c r="J59" s="73"/>
      <c r="K59" s="572" t="str">
        <f>C59</f>
        <v>ED attends</v>
      </c>
      <c r="L59" s="1337">
        <f>F59*L$46</f>
        <v>735</v>
      </c>
      <c r="M59" s="631">
        <f>INT(L59/E70)*E70</f>
        <v>0</v>
      </c>
      <c r="N59" s="607"/>
      <c r="O59" s="40"/>
      <c r="P59" s="39"/>
      <c r="Q59" s="39"/>
      <c r="R59" s="39"/>
      <c r="S59" s="39"/>
      <c r="T59" s="39"/>
      <c r="U59" s="39"/>
      <c r="V59" s="39"/>
      <c r="W59" s="39"/>
      <c r="X59" s="39"/>
      <c r="Y59" s="39"/>
      <c r="Z59" s="39"/>
    </row>
    <row r="60" spans="1:26" ht="15" customHeight="1">
      <c r="B60" s="84"/>
      <c r="C60" s="597" t="s">
        <v>46</v>
      </c>
      <c r="D60" s="604">
        <f>D59</f>
        <v>0.1</v>
      </c>
      <c r="E60" s="604">
        <f>E59</f>
        <v>0.3</v>
      </c>
      <c r="F60" s="604">
        <f>F59</f>
        <v>0.25</v>
      </c>
      <c r="G60" s="258"/>
      <c r="H60" s="73"/>
      <c r="I60" s="73"/>
      <c r="J60" s="73"/>
      <c r="K60" s="572" t="str">
        <f>C60</f>
        <v>Ambulance - see and convey to ED</v>
      </c>
      <c r="L60" s="1337">
        <f>F60*L$46</f>
        <v>735</v>
      </c>
      <c r="M60" s="631">
        <f>INT(L60/E71)*E71</f>
        <v>0</v>
      </c>
      <c r="N60" s="607"/>
      <c r="O60" s="40"/>
      <c r="P60" s="39"/>
      <c r="Q60" s="39"/>
      <c r="R60" s="39"/>
      <c r="S60" s="39"/>
      <c r="T60" s="39"/>
      <c r="U60" s="39"/>
      <c r="V60" s="39"/>
      <c r="W60" s="39"/>
      <c r="X60" s="39"/>
      <c r="Y60" s="39"/>
      <c r="Z60" s="39"/>
    </row>
    <row r="61" spans="1:26" ht="15" customHeight="1">
      <c r="B61" s="84"/>
      <c r="C61" s="599"/>
      <c r="D61" s="605"/>
      <c r="E61" s="605"/>
      <c r="F61" s="605"/>
      <c r="G61" s="258"/>
      <c r="H61" s="73"/>
      <c r="I61" s="73"/>
      <c r="J61" s="73"/>
      <c r="K61" s="606"/>
      <c r="L61" s="126"/>
      <c r="M61" s="785"/>
      <c r="N61" s="127"/>
      <c r="O61" s="40"/>
      <c r="P61" s="39"/>
      <c r="Q61" s="39"/>
      <c r="R61" s="39"/>
      <c r="S61" s="39"/>
      <c r="T61" s="39"/>
      <c r="U61" s="39"/>
      <c r="V61" s="39"/>
      <c r="W61" s="39"/>
      <c r="X61" s="39"/>
      <c r="Y61" s="39"/>
      <c r="Z61" s="39"/>
    </row>
    <row r="62" spans="1:26" ht="30.75" customHeight="1">
      <c r="B62" s="84"/>
      <c r="C62" s="608"/>
      <c r="D62" s="608"/>
      <c r="E62" s="608"/>
      <c r="F62" s="608"/>
      <c r="G62" s="73"/>
      <c r="H62" s="73"/>
      <c r="I62" s="73"/>
      <c r="J62" s="73"/>
      <c r="K62" s="617"/>
      <c r="L62" s="590" t="s">
        <v>659</v>
      </c>
      <c r="M62" s="586" t="s">
        <v>120</v>
      </c>
      <c r="N62" s="529"/>
      <c r="O62" s="39"/>
      <c r="P62" s="39"/>
      <c r="Q62" s="39"/>
      <c r="R62" s="39"/>
      <c r="S62" s="39"/>
      <c r="T62" s="39"/>
      <c r="U62" s="39"/>
      <c r="V62" s="39"/>
      <c r="W62" s="39"/>
      <c r="X62" s="39"/>
      <c r="Y62" s="39"/>
    </row>
    <row r="63" spans="1:26" ht="15" customHeight="1">
      <c r="B63" s="84"/>
      <c r="C63" s="73"/>
      <c r="D63" s="73"/>
      <c r="E63" s="73"/>
      <c r="F63" s="73"/>
      <c r="G63" s="73"/>
      <c r="H63" s="73"/>
      <c r="I63" s="73"/>
      <c r="J63" s="73"/>
      <c r="K63" s="588" t="str">
        <f>C58</f>
        <v>Emergency bed days</v>
      </c>
      <c r="L63" s="774">
        <f>L58*D69</f>
        <v>970459.83431945438</v>
      </c>
      <c r="M63" s="786">
        <f>(L58-M58)*F69+(M58*G69)</f>
        <v>157206.10720544818</v>
      </c>
      <c r="N63" s="792"/>
      <c r="O63" s="39"/>
      <c r="P63" s="39"/>
      <c r="Q63" s="39"/>
      <c r="R63" s="39"/>
      <c r="S63" s="39"/>
      <c r="T63" s="39"/>
      <c r="U63" s="39"/>
      <c r="V63" s="39"/>
      <c r="W63" s="39"/>
      <c r="X63" s="39"/>
      <c r="Y63" s="39"/>
    </row>
    <row r="64" spans="1:26" ht="15">
      <c r="B64" s="84"/>
      <c r="H64" s="73"/>
      <c r="I64" s="73"/>
      <c r="J64" s="73"/>
      <c r="K64" s="588" t="str">
        <f>C59</f>
        <v>ED attends</v>
      </c>
      <c r="L64" s="774">
        <f>L59*D70</f>
        <v>113333.27642191695</v>
      </c>
      <c r="M64" s="786">
        <f>(L59-M59)*F70+(M59*G70)</f>
        <v>9563.2697190034032</v>
      </c>
      <c r="N64" s="792"/>
      <c r="O64" s="39"/>
      <c r="P64" s="39"/>
      <c r="Q64" s="39"/>
      <c r="R64" s="39"/>
      <c r="S64" s="39"/>
      <c r="T64" s="39"/>
      <c r="U64" s="39"/>
      <c r="V64" s="39"/>
      <c r="W64" s="39"/>
      <c r="X64" s="39"/>
      <c r="Y64" s="39"/>
    </row>
    <row r="65" spans="2:27" ht="15" customHeight="1">
      <c r="B65" s="84"/>
      <c r="H65" s="73"/>
      <c r="I65" s="73"/>
      <c r="J65" s="73"/>
      <c r="K65" s="588" t="str">
        <f>C60</f>
        <v>Ambulance - see and convey to ED</v>
      </c>
      <c r="L65" s="774">
        <f>L60*D71</f>
        <v>171269.70050507039</v>
      </c>
      <c r="M65" s="786">
        <f>(L60-M60)*F71+(M60*G71)</f>
        <v>18924.559499999999</v>
      </c>
      <c r="N65" s="792"/>
      <c r="O65" s="39"/>
      <c r="P65" s="39"/>
      <c r="Q65" s="39"/>
      <c r="R65" s="39"/>
      <c r="S65" s="39"/>
      <c r="T65" s="39"/>
      <c r="U65" s="39"/>
      <c r="V65" s="39"/>
      <c r="W65" s="39"/>
      <c r="X65" s="39"/>
      <c r="Y65" s="39"/>
    </row>
    <row r="66" spans="2:27" ht="15" customHeight="1">
      <c r="B66" s="84"/>
      <c r="H66" s="73"/>
      <c r="I66" s="73"/>
      <c r="J66" s="73"/>
      <c r="K66" s="588" t="s">
        <v>98</v>
      </c>
      <c r="L66" s="774">
        <f>SUM(L63:L65)</f>
        <v>1255062.8112464417</v>
      </c>
      <c r="M66" s="786">
        <f>SUM(M63:M65)</f>
        <v>185693.93642445159</v>
      </c>
      <c r="N66" s="792"/>
      <c r="O66" s="39"/>
      <c r="P66" s="39"/>
      <c r="Q66" s="39"/>
      <c r="R66" s="39"/>
      <c r="S66" s="39"/>
      <c r="T66" s="39"/>
      <c r="U66" s="39"/>
      <c r="V66" s="39"/>
      <c r="W66" s="39"/>
      <c r="X66" s="39"/>
      <c r="Y66" s="39"/>
    </row>
    <row r="67" spans="2:27" ht="15" customHeight="1">
      <c r="B67" s="84"/>
      <c r="H67" s="73"/>
      <c r="I67" s="73"/>
      <c r="J67" s="73"/>
      <c r="K67" s="600"/>
      <c r="L67" s="609"/>
      <c r="M67" s="787"/>
      <c r="N67" s="609"/>
      <c r="O67" s="39"/>
      <c r="P67" s="39"/>
      <c r="Q67" s="39"/>
      <c r="R67" s="39"/>
      <c r="S67" s="39"/>
      <c r="T67" s="39"/>
      <c r="U67" s="39"/>
      <c r="V67" s="39"/>
      <c r="W67" s="39"/>
      <c r="X67" s="39"/>
      <c r="Y67" s="39"/>
    </row>
    <row r="68" spans="2:27" ht="75">
      <c r="B68" s="84"/>
      <c r="C68" s="582" t="s">
        <v>1214</v>
      </c>
      <c r="D68" s="563" t="s">
        <v>660</v>
      </c>
      <c r="E68" s="563" t="s">
        <v>145</v>
      </c>
      <c r="F68" s="563" t="s">
        <v>144</v>
      </c>
      <c r="G68" s="563" t="s">
        <v>561</v>
      </c>
      <c r="H68" s="529"/>
      <c r="I68" s="529"/>
      <c r="J68" s="527"/>
      <c r="K68" s="527"/>
      <c r="L68" s="527"/>
      <c r="M68" s="591"/>
      <c r="N68" s="527"/>
      <c r="O68" s="40"/>
      <c r="P68" s="40"/>
      <c r="Q68" s="526"/>
      <c r="R68" s="39"/>
      <c r="S68" s="39"/>
      <c r="T68" s="39"/>
      <c r="U68" s="39"/>
      <c r="V68" s="39"/>
      <c r="W68" s="39"/>
      <c r="X68" s="39"/>
    </row>
    <row r="69" spans="2:27" ht="15" customHeight="1">
      <c r="B69" s="84"/>
      <c r="C69" s="597" t="str">
        <f>C58</f>
        <v>Emergency bed days</v>
      </c>
      <c r="D69" s="2109">
        <f>VLOOKUP($C69,local_data_input!$B$4:$K$20,2,FALSE)</f>
        <v>471.55482717174652</v>
      </c>
      <c r="E69" s="771">
        <f>VLOOKUP($C69,local_data_input!$B$4:$K$20,7,FALSE)</f>
        <v>2190</v>
      </c>
      <c r="F69" s="815">
        <f>VLOOKUP($C69,local_data_input!$B$4:$K$20,8,FALSE)</f>
        <v>76.38780719409533</v>
      </c>
      <c r="G69" s="815">
        <f>VLOOKUP($C69,local_data_input!$B$4:$K$20,9,FALSE)</f>
        <v>76.38780719409533</v>
      </c>
      <c r="H69" s="529"/>
      <c r="I69" s="529"/>
      <c r="J69" s="527"/>
      <c r="K69" s="527"/>
      <c r="L69" s="527"/>
      <c r="M69" s="591"/>
      <c r="N69" s="527"/>
      <c r="O69" s="40"/>
      <c r="P69" s="40"/>
      <c r="Q69" s="526"/>
      <c r="R69" s="39"/>
      <c r="S69" s="39"/>
      <c r="T69" s="39"/>
      <c r="U69" s="39"/>
      <c r="V69" s="39"/>
      <c r="W69" s="39"/>
      <c r="X69" s="39"/>
    </row>
    <row r="70" spans="2:27" ht="15" customHeight="1">
      <c r="B70" s="84"/>
      <c r="C70" s="597" t="str">
        <f>C59</f>
        <v>ED attends</v>
      </c>
      <c r="D70" s="2109">
        <f>VLOOKUP($C70,local_data_input!$B$4:$K$20,2,FALSE)</f>
        <v>154.19493390737</v>
      </c>
      <c r="E70" s="771">
        <f>VLOOKUP($C70,local_data_input!$B$4:$K$20,7,FALSE)</f>
        <v>4725</v>
      </c>
      <c r="F70" s="815">
        <f>VLOOKUP($C70,local_data_input!$B$4:$K$20,8,FALSE)</f>
        <v>13.011251318371977</v>
      </c>
      <c r="G70" s="815">
        <f>VLOOKUP($C70,local_data_input!$B$4:$K$20,9,FALSE)</f>
        <v>13.011251318371977</v>
      </c>
      <c r="H70" s="73"/>
      <c r="I70" s="73"/>
      <c r="J70" s="527"/>
      <c r="K70" s="527"/>
      <c r="L70" s="527"/>
      <c r="M70" s="591"/>
      <c r="N70" s="527"/>
      <c r="O70" s="40"/>
      <c r="P70" s="40"/>
      <c r="Q70" s="526"/>
      <c r="R70" s="39"/>
      <c r="S70" s="39"/>
      <c r="T70" s="39"/>
      <c r="U70" s="39"/>
      <c r="V70" s="39"/>
      <c r="W70" s="39"/>
      <c r="X70" s="39"/>
    </row>
    <row r="71" spans="2:27" ht="15" customHeight="1">
      <c r="B71" s="84"/>
      <c r="C71" s="597" t="str">
        <f>C60</f>
        <v>Ambulance - see and convey to ED</v>
      </c>
      <c r="D71" s="2109">
        <f>VLOOKUP($C71,local_data_input!$B$4:$K$20,2,FALSE)</f>
        <v>233.02000068717058</v>
      </c>
      <c r="E71" s="771">
        <f>VLOOKUP($C71,local_data_input!$B$4:$K$20,7,FALSE)</f>
        <v>3150</v>
      </c>
      <c r="F71" s="815">
        <f>VLOOKUP($C71,local_data_input!$B$4:$K$20,8,FALSE)</f>
        <v>25.747699999999998</v>
      </c>
      <c r="G71" s="815">
        <f>VLOOKUP($C71,local_data_input!$B$4:$K$20,9,FALSE)</f>
        <v>25.747699999999998</v>
      </c>
      <c r="H71" s="73"/>
      <c r="I71" s="73"/>
      <c r="J71" s="527"/>
      <c r="K71" s="527"/>
      <c r="L71" s="527"/>
      <c r="M71" s="591"/>
      <c r="N71" s="527"/>
      <c r="O71" s="40"/>
      <c r="P71" s="40"/>
      <c r="Q71" s="526"/>
      <c r="R71" s="39"/>
      <c r="S71" s="39"/>
      <c r="T71" s="39"/>
      <c r="U71" s="39"/>
      <c r="V71" s="39"/>
      <c r="W71" s="39"/>
      <c r="X71" s="39"/>
    </row>
    <row r="72" spans="2:27" ht="15" customHeight="1">
      <c r="B72" s="84"/>
      <c r="C72" s="73"/>
      <c r="D72" s="73"/>
      <c r="E72" s="73"/>
      <c r="F72" s="73"/>
      <c r="G72" s="73"/>
      <c r="H72" s="73"/>
      <c r="I72" s="73"/>
      <c r="J72" s="527"/>
      <c r="K72" s="527"/>
      <c r="L72" s="527"/>
      <c r="M72" s="591"/>
      <c r="N72" s="527"/>
      <c r="O72" s="40"/>
      <c r="P72" s="40"/>
      <c r="Q72" s="526"/>
      <c r="R72" s="39"/>
      <c r="S72" s="39"/>
      <c r="T72" s="39"/>
      <c r="U72" s="39"/>
      <c r="V72" s="39"/>
      <c r="W72" s="39"/>
      <c r="X72" s="39"/>
    </row>
    <row r="73" spans="2:27" ht="15" customHeight="1">
      <c r="B73" s="84"/>
      <c r="C73" s="73"/>
      <c r="D73" s="73"/>
      <c r="E73" s="73"/>
      <c r="F73" s="73"/>
      <c r="G73" s="73"/>
      <c r="H73" s="73"/>
      <c r="I73" s="73"/>
      <c r="J73" s="527"/>
      <c r="K73" s="527"/>
      <c r="L73" s="527"/>
      <c r="M73" s="591"/>
      <c r="N73" s="527"/>
      <c r="O73" s="40"/>
      <c r="P73" s="40"/>
      <c r="Q73" s="526"/>
      <c r="R73" s="39"/>
      <c r="S73" s="39"/>
      <c r="T73" s="39"/>
      <c r="U73" s="39"/>
      <c r="V73" s="39"/>
      <c r="W73" s="39"/>
      <c r="X73" s="39"/>
    </row>
    <row r="74" spans="2:27" ht="15" customHeight="1">
      <c r="B74" s="84"/>
      <c r="C74" s="40"/>
      <c r="D74" s="40"/>
      <c r="E74" s="40"/>
      <c r="F74" s="40"/>
      <c r="G74" s="40"/>
      <c r="H74" s="40"/>
      <c r="I74" s="40"/>
      <c r="J74" s="40"/>
      <c r="K74" s="40"/>
      <c r="L74" s="40"/>
      <c r="M74" s="83"/>
      <c r="N74" s="40"/>
      <c r="O74" s="39"/>
      <c r="P74" s="39"/>
      <c r="Q74" s="39"/>
      <c r="R74" s="39"/>
      <c r="S74" s="39"/>
      <c r="T74" s="39"/>
      <c r="U74" s="39"/>
      <c r="V74" s="39"/>
      <c r="W74" s="517"/>
      <c r="X74" s="517"/>
      <c r="Y74" s="518"/>
      <c r="Z74" s="518"/>
      <c r="AA74" s="518"/>
    </row>
    <row r="75" spans="2:27" ht="15" customHeight="1">
      <c r="B75" s="130"/>
      <c r="C75" s="131"/>
      <c r="D75" s="131"/>
      <c r="E75" s="131"/>
      <c r="F75" s="131"/>
      <c r="G75" s="132"/>
      <c r="H75" s="132"/>
      <c r="I75" s="131"/>
      <c r="J75" s="131"/>
      <c r="K75" s="131"/>
      <c r="L75" s="131"/>
      <c r="M75" s="133"/>
      <c r="N75" s="40"/>
      <c r="O75" s="39"/>
      <c r="P75" s="39"/>
      <c r="Q75" s="39"/>
      <c r="R75" s="39"/>
      <c r="S75" s="39"/>
      <c r="T75" s="39"/>
      <c r="U75" s="39"/>
      <c r="V75" s="39"/>
      <c r="W75" s="39"/>
      <c r="X75" s="39"/>
      <c r="Y75" s="39"/>
    </row>
    <row r="76" spans="2:27" ht="15">
      <c r="B76" s="2343" t="s">
        <v>97</v>
      </c>
      <c r="C76" s="2344"/>
      <c r="D76" s="2344"/>
      <c r="E76" s="2344"/>
      <c r="F76" s="2344"/>
      <c r="G76" s="2344"/>
      <c r="H76" s="2344"/>
      <c r="I76" s="2344"/>
      <c r="J76" s="2344"/>
      <c r="K76" s="2344"/>
      <c r="L76" s="2344"/>
      <c r="M76" s="2345"/>
      <c r="N76" s="40"/>
      <c r="O76" s="40"/>
      <c r="P76" s="40"/>
      <c r="Q76" s="40"/>
      <c r="R76" s="39"/>
      <c r="S76" s="39"/>
      <c r="U76" s="39"/>
      <c r="V76" s="39"/>
      <c r="W76" s="39"/>
      <c r="X76" s="39"/>
      <c r="Y76" s="39"/>
    </row>
    <row r="77" spans="2:27">
      <c r="B77" s="84"/>
      <c r="C77" s="73"/>
      <c r="D77" s="40"/>
      <c r="E77" s="40"/>
      <c r="F77" s="40"/>
      <c r="G77" s="40"/>
      <c r="H77" s="40"/>
      <c r="I77" s="40"/>
      <c r="J77" s="40"/>
      <c r="K77" s="40"/>
      <c r="L77" s="40"/>
      <c r="M77" s="83"/>
      <c r="N77" s="40"/>
      <c r="O77" s="39"/>
      <c r="P77" s="39"/>
      <c r="Q77" s="39"/>
      <c r="R77" s="39"/>
      <c r="S77" s="39"/>
      <c r="T77" s="39"/>
      <c r="U77" s="39"/>
      <c r="V77" s="39"/>
      <c r="W77" s="517"/>
      <c r="X77" s="517"/>
      <c r="Y77" s="518"/>
      <c r="Z77" s="518"/>
      <c r="AA77" s="518"/>
    </row>
    <row r="78" spans="2:27">
      <c r="B78" s="84"/>
      <c r="C78" s="73" t="s">
        <v>96</v>
      </c>
      <c r="D78" s="40"/>
      <c r="E78" s="40"/>
      <c r="F78" s="40"/>
      <c r="G78" s="40"/>
      <c r="H78" s="40"/>
      <c r="I78" s="40"/>
      <c r="J78" s="40"/>
      <c r="K78" s="40"/>
      <c r="L78" s="40"/>
      <c r="M78" s="83"/>
      <c r="N78" s="40"/>
      <c r="O78" s="39"/>
      <c r="P78" s="39"/>
      <c r="Q78" s="39"/>
      <c r="R78" s="39"/>
      <c r="S78" s="39"/>
      <c r="T78" s="39"/>
      <c r="U78" s="39"/>
      <c r="V78" s="39"/>
      <c r="W78" s="517"/>
      <c r="X78" s="517"/>
      <c r="Y78" s="518"/>
      <c r="Z78" s="518"/>
      <c r="AA78" s="518"/>
    </row>
    <row r="79" spans="2:27" ht="15.75" thickBot="1">
      <c r="B79" s="108"/>
      <c r="C79" s="610"/>
      <c r="D79" s="109"/>
      <c r="E79" s="109"/>
      <c r="F79" s="109"/>
      <c r="G79" s="109"/>
      <c r="H79" s="109"/>
      <c r="I79" s="109"/>
      <c r="J79" s="109"/>
      <c r="K79" s="109"/>
      <c r="L79" s="611"/>
      <c r="M79" s="110"/>
      <c r="N79" s="40"/>
      <c r="O79" s="39"/>
      <c r="P79" s="39"/>
      <c r="Q79" s="39"/>
      <c r="R79" s="39"/>
      <c r="S79" s="39"/>
      <c r="T79" s="39"/>
      <c r="U79" s="39"/>
      <c r="V79" s="39"/>
      <c r="W79" s="39"/>
      <c r="X79" s="39"/>
    </row>
    <row r="80" spans="2:27" ht="15">
      <c r="B80" s="39"/>
      <c r="C80" s="526"/>
      <c r="D80" s="40"/>
      <c r="E80" s="40"/>
      <c r="F80" s="40"/>
      <c r="G80" s="40"/>
      <c r="H80" s="40"/>
      <c r="I80" s="40"/>
      <c r="J80" s="40"/>
      <c r="K80" s="40"/>
      <c r="L80" s="40"/>
      <c r="M80" s="40"/>
      <c r="N80" s="40"/>
      <c r="O80" s="39"/>
      <c r="P80" s="39"/>
      <c r="Q80" s="39"/>
      <c r="R80" s="39"/>
      <c r="S80" s="39"/>
      <c r="T80" s="39"/>
      <c r="U80" s="39"/>
      <c r="V80" s="39"/>
      <c r="W80" s="517"/>
      <c r="X80" s="517"/>
      <c r="Y80" s="518"/>
      <c r="Z80" s="518"/>
      <c r="AA80" s="518"/>
    </row>
    <row r="81" spans="2:27" ht="15">
      <c r="B81" s="39"/>
      <c r="C81" s="526"/>
      <c r="D81" s="39"/>
      <c r="E81" s="39"/>
      <c r="F81" s="40"/>
      <c r="G81" s="40"/>
      <c r="H81" s="40"/>
      <c r="I81" s="40"/>
      <c r="J81" s="40"/>
      <c r="K81" s="40"/>
      <c r="L81" s="40"/>
      <c r="M81" s="40"/>
      <c r="N81" s="40"/>
      <c r="O81" s="39"/>
      <c r="P81" s="39"/>
      <c r="Q81" s="39"/>
      <c r="R81" s="39"/>
      <c r="S81" s="39"/>
      <c r="T81" s="39"/>
      <c r="U81" s="39"/>
      <c r="V81" s="39"/>
      <c r="W81" s="517"/>
      <c r="X81" s="517"/>
      <c r="Y81" s="518"/>
      <c r="Z81" s="518"/>
      <c r="AA81" s="518"/>
    </row>
    <row r="82" spans="2:27" ht="15">
      <c r="B82" s="39"/>
      <c r="C82" s="526"/>
      <c r="D82" s="526"/>
      <c r="E82" s="526"/>
      <c r="F82" s="40"/>
      <c r="G82" s="40"/>
      <c r="H82" s="40"/>
      <c r="I82" s="40"/>
      <c r="J82" s="40"/>
      <c r="K82" s="40"/>
      <c r="L82" s="40"/>
      <c r="M82" s="40"/>
      <c r="N82" s="40"/>
      <c r="O82" s="39"/>
      <c r="P82" s="39"/>
      <c r="Q82" s="39"/>
      <c r="R82" s="39"/>
      <c r="S82" s="39"/>
      <c r="T82" s="39"/>
      <c r="U82" s="39"/>
      <c r="V82" s="39"/>
      <c r="W82" s="517"/>
      <c r="X82" s="517"/>
      <c r="Y82" s="518"/>
      <c r="Z82" s="518"/>
      <c r="AA82" s="518"/>
    </row>
    <row r="83" spans="2:27" ht="15">
      <c r="B83" s="39"/>
      <c r="C83" s="526"/>
      <c r="D83" s="526"/>
      <c r="E83" s="526"/>
      <c r="F83" s="40"/>
      <c r="G83" s="40"/>
      <c r="H83" s="40"/>
      <c r="I83" s="40"/>
      <c r="J83" s="40"/>
      <c r="K83" s="40"/>
      <c r="L83" s="40"/>
      <c r="M83" s="40"/>
      <c r="N83" s="40"/>
      <c r="O83" s="39"/>
      <c r="P83" s="39"/>
      <c r="Q83" s="39"/>
      <c r="R83" s="39"/>
      <c r="S83" s="39"/>
      <c r="T83" s="39"/>
      <c r="U83" s="39"/>
      <c r="W83" s="517"/>
      <c r="X83" s="517"/>
      <c r="Y83" s="518"/>
      <c r="Z83" s="518"/>
      <c r="AA83" s="518"/>
    </row>
    <row r="84" spans="2:27">
      <c r="B84" s="39"/>
      <c r="C84" s="40"/>
      <c r="D84" s="40"/>
      <c r="E84" s="40"/>
      <c r="F84" s="208"/>
      <c r="G84" s="208"/>
      <c r="H84" s="208"/>
      <c r="I84" s="208"/>
      <c r="J84" s="208"/>
      <c r="K84" s="208"/>
      <c r="L84" s="208"/>
      <c r="M84" s="40"/>
      <c r="N84" s="40"/>
      <c r="O84" s="39"/>
      <c r="P84" s="39"/>
      <c r="Q84" s="39"/>
      <c r="R84" s="39"/>
      <c r="S84" s="39"/>
      <c r="T84" s="39"/>
      <c r="U84" s="39"/>
      <c r="W84" s="517"/>
      <c r="X84" s="517"/>
      <c r="Y84" s="518"/>
      <c r="Z84" s="518"/>
      <c r="AA84" s="518"/>
    </row>
    <row r="85" spans="2:27">
      <c r="B85" s="39"/>
      <c r="C85" s="40"/>
      <c r="D85" s="40"/>
      <c r="E85" s="40"/>
      <c r="F85" s="40"/>
      <c r="G85" s="40"/>
      <c r="H85" s="40"/>
      <c r="I85" s="40"/>
      <c r="J85" s="40"/>
      <c r="K85" s="40"/>
      <c r="L85" s="40"/>
      <c r="M85" s="40"/>
      <c r="N85" s="40"/>
      <c r="O85" s="39"/>
      <c r="P85" s="39"/>
      <c r="Q85" s="39"/>
      <c r="R85" s="39"/>
      <c r="S85" s="39"/>
      <c r="T85" s="39"/>
      <c r="U85" s="39"/>
      <c r="W85" s="517"/>
      <c r="X85" s="517"/>
      <c r="Y85" s="518"/>
      <c r="Z85" s="518"/>
      <c r="AA85" s="518"/>
    </row>
    <row r="86" spans="2:27">
      <c r="B86" s="39"/>
      <c r="C86" s="209"/>
      <c r="D86" s="40"/>
      <c r="E86" s="40"/>
      <c r="F86" s="73"/>
      <c r="G86" s="40"/>
      <c r="H86" s="40"/>
      <c r="I86" s="40"/>
      <c r="J86" s="40"/>
      <c r="K86" s="40"/>
      <c r="L86" s="40"/>
      <c r="M86" s="40"/>
      <c r="N86" s="40"/>
      <c r="O86" s="39"/>
      <c r="P86" s="39"/>
      <c r="Q86" s="39"/>
      <c r="R86" s="39"/>
      <c r="S86" s="39"/>
      <c r="T86" s="39"/>
      <c r="U86" s="39"/>
      <c r="W86" s="517"/>
      <c r="X86" s="517"/>
      <c r="Y86" s="518"/>
      <c r="Z86" s="518"/>
      <c r="AA86" s="518"/>
    </row>
    <row r="87" spans="2:27">
      <c r="B87" s="39"/>
      <c r="C87" s="40"/>
      <c r="D87" s="40"/>
      <c r="E87" s="40"/>
      <c r="F87" s="40"/>
      <c r="G87" s="40"/>
      <c r="H87" s="40"/>
      <c r="I87" s="40"/>
      <c r="J87" s="40"/>
      <c r="K87" s="40"/>
      <c r="L87" s="40"/>
      <c r="M87" s="40"/>
      <c r="N87" s="40"/>
      <c r="O87" s="39"/>
      <c r="P87" s="39"/>
      <c r="Q87" s="39"/>
      <c r="R87" s="39"/>
      <c r="S87" s="39"/>
      <c r="T87" s="39"/>
      <c r="U87" s="39"/>
      <c r="W87" s="517"/>
      <c r="X87" s="517"/>
      <c r="Y87" s="518"/>
      <c r="Z87" s="518"/>
      <c r="AA87" s="518"/>
    </row>
    <row r="88" spans="2:27">
      <c r="B88" s="39"/>
      <c r="C88" s="40"/>
      <c r="D88" s="40"/>
      <c r="E88" s="40"/>
      <c r="F88" s="210"/>
      <c r="G88" s="210"/>
      <c r="H88" s="210"/>
      <c r="I88" s="210"/>
      <c r="J88" s="210"/>
      <c r="K88" s="210"/>
      <c r="L88" s="210"/>
      <c r="M88" s="40"/>
      <c r="N88" s="40"/>
      <c r="O88" s="39"/>
      <c r="P88" s="39"/>
      <c r="Q88" s="39"/>
      <c r="R88" s="39"/>
      <c r="S88" s="39"/>
      <c r="T88" s="39"/>
      <c r="U88" s="39"/>
      <c r="W88" s="517"/>
      <c r="X88" s="517"/>
      <c r="Y88" s="518"/>
      <c r="Z88" s="518"/>
      <c r="AA88" s="518"/>
    </row>
    <row r="89" spans="2:27">
      <c r="B89" s="39"/>
      <c r="C89" s="40"/>
      <c r="D89" s="40"/>
      <c r="E89" s="40"/>
      <c r="F89" s="40"/>
      <c r="G89" s="40"/>
      <c r="H89" s="40"/>
      <c r="I89" s="40"/>
      <c r="J89" s="40"/>
      <c r="K89" s="40"/>
      <c r="L89" s="40"/>
      <c r="M89" s="40"/>
      <c r="N89" s="40"/>
      <c r="O89" s="39"/>
      <c r="P89" s="39"/>
      <c r="Q89" s="39"/>
      <c r="R89" s="39"/>
      <c r="S89" s="39"/>
      <c r="T89" s="39"/>
      <c r="U89" s="39"/>
      <c r="W89" s="517"/>
      <c r="X89" s="517"/>
      <c r="Y89" s="518"/>
      <c r="Z89" s="518"/>
      <c r="AA89" s="518"/>
    </row>
    <row r="90" spans="2:27">
      <c r="B90" s="39"/>
      <c r="C90" s="40"/>
      <c r="D90" s="40"/>
      <c r="E90" s="40"/>
      <c r="F90" s="40"/>
      <c r="G90" s="40"/>
      <c r="H90" s="40"/>
      <c r="I90" s="40"/>
      <c r="J90" s="40"/>
      <c r="K90" s="40"/>
      <c r="L90" s="40"/>
      <c r="M90" s="40"/>
      <c r="N90" s="40"/>
      <c r="O90" s="39"/>
      <c r="P90" s="39"/>
      <c r="Q90" s="39"/>
      <c r="R90" s="39"/>
      <c r="S90" s="39"/>
      <c r="T90" s="39"/>
      <c r="U90" s="39"/>
      <c r="W90" s="517"/>
      <c r="X90" s="517"/>
      <c r="Y90" s="518"/>
      <c r="Z90" s="518"/>
      <c r="AA90" s="518"/>
    </row>
    <row r="91" spans="2:27" ht="15">
      <c r="B91" s="39"/>
      <c r="C91" s="526"/>
      <c r="D91" s="40"/>
      <c r="E91" s="40"/>
      <c r="F91" s="40"/>
      <c r="G91" s="40"/>
      <c r="H91" s="40"/>
      <c r="I91" s="40"/>
      <c r="J91" s="40"/>
      <c r="K91" s="40"/>
      <c r="L91" s="40"/>
      <c r="M91" s="39"/>
      <c r="N91" s="39"/>
      <c r="O91" s="39"/>
      <c r="P91" s="39"/>
      <c r="Q91" s="39"/>
      <c r="R91" s="39"/>
      <c r="S91" s="39"/>
      <c r="T91" s="39"/>
      <c r="U91" s="39"/>
      <c r="W91" s="517"/>
      <c r="X91" s="517"/>
      <c r="Y91" s="518"/>
      <c r="Z91" s="518"/>
      <c r="AA91" s="518"/>
    </row>
    <row r="92" spans="2:27">
      <c r="B92" s="39"/>
      <c r="C92" s="40"/>
      <c r="D92" s="40"/>
      <c r="E92" s="40"/>
      <c r="F92" s="210"/>
      <c r="G92" s="210"/>
      <c r="H92" s="210"/>
      <c r="I92" s="210"/>
      <c r="J92" s="210"/>
      <c r="K92" s="210"/>
      <c r="L92" s="210"/>
      <c r="M92" s="39"/>
      <c r="N92" s="39"/>
      <c r="O92" s="39"/>
      <c r="P92" s="39"/>
      <c r="Q92" s="39"/>
      <c r="R92" s="39"/>
      <c r="S92" s="39"/>
      <c r="T92" s="39"/>
      <c r="U92" s="39"/>
      <c r="W92" s="517"/>
      <c r="X92" s="517"/>
      <c r="Y92" s="518"/>
      <c r="Z92" s="518"/>
      <c r="AA92" s="518"/>
    </row>
    <row r="93" spans="2:27">
      <c r="B93" s="39"/>
      <c r="C93" s="40"/>
      <c r="D93" s="40"/>
      <c r="E93" s="40"/>
      <c r="F93" s="40"/>
      <c r="G93" s="40"/>
      <c r="H93" s="40"/>
      <c r="I93" s="40"/>
      <c r="J93" s="40"/>
      <c r="K93" s="40"/>
      <c r="L93" s="40"/>
      <c r="M93" s="39"/>
      <c r="N93" s="39"/>
      <c r="O93" s="39"/>
      <c r="P93" s="39"/>
      <c r="Q93" s="39"/>
      <c r="R93" s="39"/>
      <c r="S93" s="39"/>
      <c r="T93" s="39"/>
      <c r="U93" s="39"/>
      <c r="W93" s="517"/>
      <c r="X93" s="517"/>
      <c r="Y93" s="518"/>
      <c r="Z93" s="518"/>
      <c r="AA93" s="518"/>
    </row>
    <row r="94" spans="2:27">
      <c r="C94" s="39"/>
      <c r="D94" s="39"/>
      <c r="E94" s="39"/>
      <c r="F94" s="39"/>
      <c r="G94" s="39"/>
      <c r="H94" s="39"/>
      <c r="I94" s="39"/>
      <c r="J94" s="39"/>
      <c r="K94" s="39"/>
      <c r="L94" s="39"/>
      <c r="M94" s="39"/>
      <c r="N94" s="39"/>
      <c r="O94" s="39"/>
      <c r="P94" s="39"/>
      <c r="Q94" s="39"/>
      <c r="R94" s="39"/>
      <c r="S94" s="39"/>
      <c r="T94" s="39"/>
      <c r="U94" s="39"/>
    </row>
  </sheetData>
  <mergeCells count="25">
    <mergeCell ref="B53:M53"/>
    <mergeCell ref="B76:M76"/>
    <mergeCell ref="B11:M11"/>
    <mergeCell ref="B20:M20"/>
    <mergeCell ref="C3:D4"/>
    <mergeCell ref="I24:K24"/>
    <mergeCell ref="G4:H4"/>
    <mergeCell ref="C24:D24"/>
    <mergeCell ref="C42:E42"/>
    <mergeCell ref="C46:E46"/>
    <mergeCell ref="C48:D48"/>
    <mergeCell ref="C49:D49"/>
    <mergeCell ref="C15:E15"/>
    <mergeCell ref="C16:E16"/>
    <mergeCell ref="C17:E17"/>
    <mergeCell ref="J2:M8"/>
    <mergeCell ref="E1:F1"/>
    <mergeCell ref="I1:J1"/>
    <mergeCell ref="G10:H10"/>
    <mergeCell ref="C18:E18"/>
    <mergeCell ref="C47:D47"/>
    <mergeCell ref="C43:D43"/>
    <mergeCell ref="C44:D44"/>
    <mergeCell ref="C13:E13"/>
    <mergeCell ref="C14:E14"/>
  </mergeCells>
  <conditionalFormatting sqref="L58:M60 F17">
    <cfRule type="expression" dxfId="24" priority="28">
      <formula>$L$60&gt;$F$16</formula>
    </cfRule>
  </conditionalFormatting>
  <dataValidations count="2">
    <dataValidation type="list" allowBlank="1" showInputMessage="1" showErrorMessage="1" sqref="WVL983059:WVL983064 IZ27:IZ32 SV27:SV32 ACR27:ACR32 AMN27:AMN32 AWJ27:AWJ32 BGF27:BGF32 BQB27:BQB32 BZX27:BZX32 CJT27:CJT32 CTP27:CTP32 DDL27:DDL32 DNH27:DNH32 DXD27:DXD32 EGZ27:EGZ32 EQV27:EQV32 FAR27:FAR32 FKN27:FKN32 FUJ27:FUJ32 GEF27:GEF32 GOB27:GOB32 GXX27:GXX32 HHT27:HHT32 HRP27:HRP32 IBL27:IBL32 ILH27:ILH32 IVD27:IVD32 JEZ27:JEZ32 JOV27:JOV32 JYR27:JYR32 KIN27:KIN32 KSJ27:KSJ32 LCF27:LCF32 LMB27:LMB32 LVX27:LVX32 MFT27:MFT32 MPP27:MPP32 MZL27:MZL32 NJH27:NJH32 NTD27:NTD32 OCZ27:OCZ32 OMV27:OMV32 OWR27:OWR32 PGN27:PGN32 PQJ27:PQJ32 QAF27:QAF32 QKB27:QKB32 QTX27:QTX32 RDT27:RDT32 RNP27:RNP32 RXL27:RXL32 SHH27:SHH32 SRD27:SRD32 TAZ27:TAZ32 TKV27:TKV32 TUR27:TUR32 UEN27:UEN32 UOJ27:UOJ32 UYF27:UYF32 VIB27:VIB32 VRX27:VRX32 WBT27:WBT32 WLP27:WLP32 WVL27:WVL32 D65555:D65560 IZ65555:IZ65560 SV65555:SV65560 ACR65555:ACR65560 AMN65555:AMN65560 AWJ65555:AWJ65560 BGF65555:BGF65560 BQB65555:BQB65560 BZX65555:BZX65560 CJT65555:CJT65560 CTP65555:CTP65560 DDL65555:DDL65560 DNH65555:DNH65560 DXD65555:DXD65560 EGZ65555:EGZ65560 EQV65555:EQV65560 FAR65555:FAR65560 FKN65555:FKN65560 FUJ65555:FUJ65560 GEF65555:GEF65560 GOB65555:GOB65560 GXX65555:GXX65560 HHT65555:HHT65560 HRP65555:HRP65560 IBL65555:IBL65560 ILH65555:ILH65560 IVD65555:IVD65560 JEZ65555:JEZ65560 JOV65555:JOV65560 JYR65555:JYR65560 KIN65555:KIN65560 KSJ65555:KSJ65560 LCF65555:LCF65560 LMB65555:LMB65560 LVX65555:LVX65560 MFT65555:MFT65560 MPP65555:MPP65560 MZL65555:MZL65560 NJH65555:NJH65560 NTD65555:NTD65560 OCZ65555:OCZ65560 OMV65555:OMV65560 OWR65555:OWR65560 PGN65555:PGN65560 PQJ65555:PQJ65560 QAF65555:QAF65560 QKB65555:QKB65560 QTX65555:QTX65560 RDT65555:RDT65560 RNP65555:RNP65560 RXL65555:RXL65560 SHH65555:SHH65560 SRD65555:SRD65560 TAZ65555:TAZ65560 TKV65555:TKV65560 TUR65555:TUR65560 UEN65555:UEN65560 UOJ65555:UOJ65560 UYF65555:UYF65560 VIB65555:VIB65560 VRX65555:VRX65560 WBT65555:WBT65560 WLP65555:WLP65560 WVL65555:WVL65560 D131091:D131096 IZ131091:IZ131096 SV131091:SV131096 ACR131091:ACR131096 AMN131091:AMN131096 AWJ131091:AWJ131096 BGF131091:BGF131096 BQB131091:BQB131096 BZX131091:BZX131096 CJT131091:CJT131096 CTP131091:CTP131096 DDL131091:DDL131096 DNH131091:DNH131096 DXD131091:DXD131096 EGZ131091:EGZ131096 EQV131091:EQV131096 FAR131091:FAR131096 FKN131091:FKN131096 FUJ131091:FUJ131096 GEF131091:GEF131096 GOB131091:GOB131096 GXX131091:GXX131096 HHT131091:HHT131096 HRP131091:HRP131096 IBL131091:IBL131096 ILH131091:ILH131096 IVD131091:IVD131096 JEZ131091:JEZ131096 JOV131091:JOV131096 JYR131091:JYR131096 KIN131091:KIN131096 KSJ131091:KSJ131096 LCF131091:LCF131096 LMB131091:LMB131096 LVX131091:LVX131096 MFT131091:MFT131096 MPP131091:MPP131096 MZL131091:MZL131096 NJH131091:NJH131096 NTD131091:NTD131096 OCZ131091:OCZ131096 OMV131091:OMV131096 OWR131091:OWR131096 PGN131091:PGN131096 PQJ131091:PQJ131096 QAF131091:QAF131096 QKB131091:QKB131096 QTX131091:QTX131096 RDT131091:RDT131096 RNP131091:RNP131096 RXL131091:RXL131096 SHH131091:SHH131096 SRD131091:SRD131096 TAZ131091:TAZ131096 TKV131091:TKV131096 TUR131091:TUR131096 UEN131091:UEN131096 UOJ131091:UOJ131096 UYF131091:UYF131096 VIB131091:VIB131096 VRX131091:VRX131096 WBT131091:WBT131096 WLP131091:WLP131096 WVL131091:WVL131096 D196627:D196632 IZ196627:IZ196632 SV196627:SV196632 ACR196627:ACR196632 AMN196627:AMN196632 AWJ196627:AWJ196632 BGF196627:BGF196632 BQB196627:BQB196632 BZX196627:BZX196632 CJT196627:CJT196632 CTP196627:CTP196632 DDL196627:DDL196632 DNH196627:DNH196632 DXD196627:DXD196632 EGZ196627:EGZ196632 EQV196627:EQV196632 FAR196627:FAR196632 FKN196627:FKN196632 FUJ196627:FUJ196632 GEF196627:GEF196632 GOB196627:GOB196632 GXX196627:GXX196632 HHT196627:HHT196632 HRP196627:HRP196632 IBL196627:IBL196632 ILH196627:ILH196632 IVD196627:IVD196632 JEZ196627:JEZ196632 JOV196627:JOV196632 JYR196627:JYR196632 KIN196627:KIN196632 KSJ196627:KSJ196632 LCF196627:LCF196632 LMB196627:LMB196632 LVX196627:LVX196632 MFT196627:MFT196632 MPP196627:MPP196632 MZL196627:MZL196632 NJH196627:NJH196632 NTD196627:NTD196632 OCZ196627:OCZ196632 OMV196627:OMV196632 OWR196627:OWR196632 PGN196627:PGN196632 PQJ196627:PQJ196632 QAF196627:QAF196632 QKB196627:QKB196632 QTX196627:QTX196632 RDT196627:RDT196632 RNP196627:RNP196632 RXL196627:RXL196632 SHH196627:SHH196632 SRD196627:SRD196632 TAZ196627:TAZ196632 TKV196627:TKV196632 TUR196627:TUR196632 UEN196627:UEN196632 UOJ196627:UOJ196632 UYF196627:UYF196632 VIB196627:VIB196632 VRX196627:VRX196632 WBT196627:WBT196632 WLP196627:WLP196632 WVL196627:WVL196632 D262163:D262168 IZ262163:IZ262168 SV262163:SV262168 ACR262163:ACR262168 AMN262163:AMN262168 AWJ262163:AWJ262168 BGF262163:BGF262168 BQB262163:BQB262168 BZX262163:BZX262168 CJT262163:CJT262168 CTP262163:CTP262168 DDL262163:DDL262168 DNH262163:DNH262168 DXD262163:DXD262168 EGZ262163:EGZ262168 EQV262163:EQV262168 FAR262163:FAR262168 FKN262163:FKN262168 FUJ262163:FUJ262168 GEF262163:GEF262168 GOB262163:GOB262168 GXX262163:GXX262168 HHT262163:HHT262168 HRP262163:HRP262168 IBL262163:IBL262168 ILH262163:ILH262168 IVD262163:IVD262168 JEZ262163:JEZ262168 JOV262163:JOV262168 JYR262163:JYR262168 KIN262163:KIN262168 KSJ262163:KSJ262168 LCF262163:LCF262168 LMB262163:LMB262168 LVX262163:LVX262168 MFT262163:MFT262168 MPP262163:MPP262168 MZL262163:MZL262168 NJH262163:NJH262168 NTD262163:NTD262168 OCZ262163:OCZ262168 OMV262163:OMV262168 OWR262163:OWR262168 PGN262163:PGN262168 PQJ262163:PQJ262168 QAF262163:QAF262168 QKB262163:QKB262168 QTX262163:QTX262168 RDT262163:RDT262168 RNP262163:RNP262168 RXL262163:RXL262168 SHH262163:SHH262168 SRD262163:SRD262168 TAZ262163:TAZ262168 TKV262163:TKV262168 TUR262163:TUR262168 UEN262163:UEN262168 UOJ262163:UOJ262168 UYF262163:UYF262168 VIB262163:VIB262168 VRX262163:VRX262168 WBT262163:WBT262168 WLP262163:WLP262168 WVL262163:WVL262168 D327699:D327704 IZ327699:IZ327704 SV327699:SV327704 ACR327699:ACR327704 AMN327699:AMN327704 AWJ327699:AWJ327704 BGF327699:BGF327704 BQB327699:BQB327704 BZX327699:BZX327704 CJT327699:CJT327704 CTP327699:CTP327704 DDL327699:DDL327704 DNH327699:DNH327704 DXD327699:DXD327704 EGZ327699:EGZ327704 EQV327699:EQV327704 FAR327699:FAR327704 FKN327699:FKN327704 FUJ327699:FUJ327704 GEF327699:GEF327704 GOB327699:GOB327704 GXX327699:GXX327704 HHT327699:HHT327704 HRP327699:HRP327704 IBL327699:IBL327704 ILH327699:ILH327704 IVD327699:IVD327704 JEZ327699:JEZ327704 JOV327699:JOV327704 JYR327699:JYR327704 KIN327699:KIN327704 KSJ327699:KSJ327704 LCF327699:LCF327704 LMB327699:LMB327704 LVX327699:LVX327704 MFT327699:MFT327704 MPP327699:MPP327704 MZL327699:MZL327704 NJH327699:NJH327704 NTD327699:NTD327704 OCZ327699:OCZ327704 OMV327699:OMV327704 OWR327699:OWR327704 PGN327699:PGN327704 PQJ327699:PQJ327704 QAF327699:QAF327704 QKB327699:QKB327704 QTX327699:QTX327704 RDT327699:RDT327704 RNP327699:RNP327704 RXL327699:RXL327704 SHH327699:SHH327704 SRD327699:SRD327704 TAZ327699:TAZ327704 TKV327699:TKV327704 TUR327699:TUR327704 UEN327699:UEN327704 UOJ327699:UOJ327704 UYF327699:UYF327704 VIB327699:VIB327704 VRX327699:VRX327704 WBT327699:WBT327704 WLP327699:WLP327704 WVL327699:WVL327704 D393235:D393240 IZ393235:IZ393240 SV393235:SV393240 ACR393235:ACR393240 AMN393235:AMN393240 AWJ393235:AWJ393240 BGF393235:BGF393240 BQB393235:BQB393240 BZX393235:BZX393240 CJT393235:CJT393240 CTP393235:CTP393240 DDL393235:DDL393240 DNH393235:DNH393240 DXD393235:DXD393240 EGZ393235:EGZ393240 EQV393235:EQV393240 FAR393235:FAR393240 FKN393235:FKN393240 FUJ393235:FUJ393240 GEF393235:GEF393240 GOB393235:GOB393240 GXX393235:GXX393240 HHT393235:HHT393240 HRP393235:HRP393240 IBL393235:IBL393240 ILH393235:ILH393240 IVD393235:IVD393240 JEZ393235:JEZ393240 JOV393235:JOV393240 JYR393235:JYR393240 KIN393235:KIN393240 KSJ393235:KSJ393240 LCF393235:LCF393240 LMB393235:LMB393240 LVX393235:LVX393240 MFT393235:MFT393240 MPP393235:MPP393240 MZL393235:MZL393240 NJH393235:NJH393240 NTD393235:NTD393240 OCZ393235:OCZ393240 OMV393235:OMV393240 OWR393235:OWR393240 PGN393235:PGN393240 PQJ393235:PQJ393240 QAF393235:QAF393240 QKB393235:QKB393240 QTX393235:QTX393240 RDT393235:RDT393240 RNP393235:RNP393240 RXL393235:RXL393240 SHH393235:SHH393240 SRD393235:SRD393240 TAZ393235:TAZ393240 TKV393235:TKV393240 TUR393235:TUR393240 UEN393235:UEN393240 UOJ393235:UOJ393240 UYF393235:UYF393240 VIB393235:VIB393240 VRX393235:VRX393240 WBT393235:WBT393240 WLP393235:WLP393240 WVL393235:WVL393240 D458771:D458776 IZ458771:IZ458776 SV458771:SV458776 ACR458771:ACR458776 AMN458771:AMN458776 AWJ458771:AWJ458776 BGF458771:BGF458776 BQB458771:BQB458776 BZX458771:BZX458776 CJT458771:CJT458776 CTP458771:CTP458776 DDL458771:DDL458776 DNH458771:DNH458776 DXD458771:DXD458776 EGZ458771:EGZ458776 EQV458771:EQV458776 FAR458771:FAR458776 FKN458771:FKN458776 FUJ458771:FUJ458776 GEF458771:GEF458776 GOB458771:GOB458776 GXX458771:GXX458776 HHT458771:HHT458776 HRP458771:HRP458776 IBL458771:IBL458776 ILH458771:ILH458776 IVD458771:IVD458776 JEZ458771:JEZ458776 JOV458771:JOV458776 JYR458771:JYR458776 KIN458771:KIN458776 KSJ458771:KSJ458776 LCF458771:LCF458776 LMB458771:LMB458776 LVX458771:LVX458776 MFT458771:MFT458776 MPP458771:MPP458776 MZL458771:MZL458776 NJH458771:NJH458776 NTD458771:NTD458776 OCZ458771:OCZ458776 OMV458771:OMV458776 OWR458771:OWR458776 PGN458771:PGN458776 PQJ458771:PQJ458776 QAF458771:QAF458776 QKB458771:QKB458776 QTX458771:QTX458776 RDT458771:RDT458776 RNP458771:RNP458776 RXL458771:RXL458776 SHH458771:SHH458776 SRD458771:SRD458776 TAZ458771:TAZ458776 TKV458771:TKV458776 TUR458771:TUR458776 UEN458771:UEN458776 UOJ458771:UOJ458776 UYF458771:UYF458776 VIB458771:VIB458776 VRX458771:VRX458776 WBT458771:WBT458776 WLP458771:WLP458776 WVL458771:WVL458776 D524307:D524312 IZ524307:IZ524312 SV524307:SV524312 ACR524307:ACR524312 AMN524307:AMN524312 AWJ524307:AWJ524312 BGF524307:BGF524312 BQB524307:BQB524312 BZX524307:BZX524312 CJT524307:CJT524312 CTP524307:CTP524312 DDL524307:DDL524312 DNH524307:DNH524312 DXD524307:DXD524312 EGZ524307:EGZ524312 EQV524307:EQV524312 FAR524307:FAR524312 FKN524307:FKN524312 FUJ524307:FUJ524312 GEF524307:GEF524312 GOB524307:GOB524312 GXX524307:GXX524312 HHT524307:HHT524312 HRP524307:HRP524312 IBL524307:IBL524312 ILH524307:ILH524312 IVD524307:IVD524312 JEZ524307:JEZ524312 JOV524307:JOV524312 JYR524307:JYR524312 KIN524307:KIN524312 KSJ524307:KSJ524312 LCF524307:LCF524312 LMB524307:LMB524312 LVX524307:LVX524312 MFT524307:MFT524312 MPP524307:MPP524312 MZL524307:MZL524312 NJH524307:NJH524312 NTD524307:NTD524312 OCZ524307:OCZ524312 OMV524307:OMV524312 OWR524307:OWR524312 PGN524307:PGN524312 PQJ524307:PQJ524312 QAF524307:QAF524312 QKB524307:QKB524312 QTX524307:QTX524312 RDT524307:RDT524312 RNP524307:RNP524312 RXL524307:RXL524312 SHH524307:SHH524312 SRD524307:SRD524312 TAZ524307:TAZ524312 TKV524307:TKV524312 TUR524307:TUR524312 UEN524307:UEN524312 UOJ524307:UOJ524312 UYF524307:UYF524312 VIB524307:VIB524312 VRX524307:VRX524312 WBT524307:WBT524312 WLP524307:WLP524312 WVL524307:WVL524312 D589843:D589848 IZ589843:IZ589848 SV589843:SV589848 ACR589843:ACR589848 AMN589843:AMN589848 AWJ589843:AWJ589848 BGF589843:BGF589848 BQB589843:BQB589848 BZX589843:BZX589848 CJT589843:CJT589848 CTP589843:CTP589848 DDL589843:DDL589848 DNH589843:DNH589848 DXD589843:DXD589848 EGZ589843:EGZ589848 EQV589843:EQV589848 FAR589843:FAR589848 FKN589843:FKN589848 FUJ589843:FUJ589848 GEF589843:GEF589848 GOB589843:GOB589848 GXX589843:GXX589848 HHT589843:HHT589848 HRP589843:HRP589848 IBL589843:IBL589848 ILH589843:ILH589848 IVD589843:IVD589848 JEZ589843:JEZ589848 JOV589843:JOV589848 JYR589843:JYR589848 KIN589843:KIN589848 KSJ589843:KSJ589848 LCF589843:LCF589848 LMB589843:LMB589848 LVX589843:LVX589848 MFT589843:MFT589848 MPP589843:MPP589848 MZL589843:MZL589848 NJH589843:NJH589848 NTD589843:NTD589848 OCZ589843:OCZ589848 OMV589843:OMV589848 OWR589843:OWR589848 PGN589843:PGN589848 PQJ589843:PQJ589848 QAF589843:QAF589848 QKB589843:QKB589848 QTX589843:QTX589848 RDT589843:RDT589848 RNP589843:RNP589848 RXL589843:RXL589848 SHH589843:SHH589848 SRD589843:SRD589848 TAZ589843:TAZ589848 TKV589843:TKV589848 TUR589843:TUR589848 UEN589843:UEN589848 UOJ589843:UOJ589848 UYF589843:UYF589848 VIB589843:VIB589848 VRX589843:VRX589848 WBT589843:WBT589848 WLP589843:WLP589848 WVL589843:WVL589848 D655379:D655384 IZ655379:IZ655384 SV655379:SV655384 ACR655379:ACR655384 AMN655379:AMN655384 AWJ655379:AWJ655384 BGF655379:BGF655384 BQB655379:BQB655384 BZX655379:BZX655384 CJT655379:CJT655384 CTP655379:CTP655384 DDL655379:DDL655384 DNH655379:DNH655384 DXD655379:DXD655384 EGZ655379:EGZ655384 EQV655379:EQV655384 FAR655379:FAR655384 FKN655379:FKN655384 FUJ655379:FUJ655384 GEF655379:GEF655384 GOB655379:GOB655384 GXX655379:GXX655384 HHT655379:HHT655384 HRP655379:HRP655384 IBL655379:IBL655384 ILH655379:ILH655384 IVD655379:IVD655384 JEZ655379:JEZ655384 JOV655379:JOV655384 JYR655379:JYR655384 KIN655379:KIN655384 KSJ655379:KSJ655384 LCF655379:LCF655384 LMB655379:LMB655384 LVX655379:LVX655384 MFT655379:MFT655384 MPP655379:MPP655384 MZL655379:MZL655384 NJH655379:NJH655384 NTD655379:NTD655384 OCZ655379:OCZ655384 OMV655379:OMV655384 OWR655379:OWR655384 PGN655379:PGN655384 PQJ655379:PQJ655384 QAF655379:QAF655384 QKB655379:QKB655384 QTX655379:QTX655384 RDT655379:RDT655384 RNP655379:RNP655384 RXL655379:RXL655384 SHH655379:SHH655384 SRD655379:SRD655384 TAZ655379:TAZ655384 TKV655379:TKV655384 TUR655379:TUR655384 UEN655379:UEN655384 UOJ655379:UOJ655384 UYF655379:UYF655384 VIB655379:VIB655384 VRX655379:VRX655384 WBT655379:WBT655384 WLP655379:WLP655384 WVL655379:WVL655384 D720915:D720920 IZ720915:IZ720920 SV720915:SV720920 ACR720915:ACR720920 AMN720915:AMN720920 AWJ720915:AWJ720920 BGF720915:BGF720920 BQB720915:BQB720920 BZX720915:BZX720920 CJT720915:CJT720920 CTP720915:CTP720920 DDL720915:DDL720920 DNH720915:DNH720920 DXD720915:DXD720920 EGZ720915:EGZ720920 EQV720915:EQV720920 FAR720915:FAR720920 FKN720915:FKN720920 FUJ720915:FUJ720920 GEF720915:GEF720920 GOB720915:GOB720920 GXX720915:GXX720920 HHT720915:HHT720920 HRP720915:HRP720920 IBL720915:IBL720920 ILH720915:ILH720920 IVD720915:IVD720920 JEZ720915:JEZ720920 JOV720915:JOV720920 JYR720915:JYR720920 KIN720915:KIN720920 KSJ720915:KSJ720920 LCF720915:LCF720920 LMB720915:LMB720920 LVX720915:LVX720920 MFT720915:MFT720920 MPP720915:MPP720920 MZL720915:MZL720920 NJH720915:NJH720920 NTD720915:NTD720920 OCZ720915:OCZ720920 OMV720915:OMV720920 OWR720915:OWR720920 PGN720915:PGN720920 PQJ720915:PQJ720920 QAF720915:QAF720920 QKB720915:QKB720920 QTX720915:QTX720920 RDT720915:RDT720920 RNP720915:RNP720920 RXL720915:RXL720920 SHH720915:SHH720920 SRD720915:SRD720920 TAZ720915:TAZ720920 TKV720915:TKV720920 TUR720915:TUR720920 UEN720915:UEN720920 UOJ720915:UOJ720920 UYF720915:UYF720920 VIB720915:VIB720920 VRX720915:VRX720920 WBT720915:WBT720920 WLP720915:WLP720920 WVL720915:WVL720920 D786451:D786456 IZ786451:IZ786456 SV786451:SV786456 ACR786451:ACR786456 AMN786451:AMN786456 AWJ786451:AWJ786456 BGF786451:BGF786456 BQB786451:BQB786456 BZX786451:BZX786456 CJT786451:CJT786456 CTP786451:CTP786456 DDL786451:DDL786456 DNH786451:DNH786456 DXD786451:DXD786456 EGZ786451:EGZ786456 EQV786451:EQV786456 FAR786451:FAR786456 FKN786451:FKN786456 FUJ786451:FUJ786456 GEF786451:GEF786456 GOB786451:GOB786456 GXX786451:GXX786456 HHT786451:HHT786456 HRP786451:HRP786456 IBL786451:IBL786456 ILH786451:ILH786456 IVD786451:IVD786456 JEZ786451:JEZ786456 JOV786451:JOV786456 JYR786451:JYR786456 KIN786451:KIN786456 KSJ786451:KSJ786456 LCF786451:LCF786456 LMB786451:LMB786456 LVX786451:LVX786456 MFT786451:MFT786456 MPP786451:MPP786456 MZL786451:MZL786456 NJH786451:NJH786456 NTD786451:NTD786456 OCZ786451:OCZ786456 OMV786451:OMV786456 OWR786451:OWR786456 PGN786451:PGN786456 PQJ786451:PQJ786456 QAF786451:QAF786456 QKB786451:QKB786456 QTX786451:QTX786456 RDT786451:RDT786456 RNP786451:RNP786456 RXL786451:RXL786456 SHH786451:SHH786456 SRD786451:SRD786456 TAZ786451:TAZ786456 TKV786451:TKV786456 TUR786451:TUR786456 UEN786451:UEN786456 UOJ786451:UOJ786456 UYF786451:UYF786456 VIB786451:VIB786456 VRX786451:VRX786456 WBT786451:WBT786456 WLP786451:WLP786456 WVL786451:WVL786456 D851987:D851992 IZ851987:IZ851992 SV851987:SV851992 ACR851987:ACR851992 AMN851987:AMN851992 AWJ851987:AWJ851992 BGF851987:BGF851992 BQB851987:BQB851992 BZX851987:BZX851992 CJT851987:CJT851992 CTP851987:CTP851992 DDL851987:DDL851992 DNH851987:DNH851992 DXD851987:DXD851992 EGZ851987:EGZ851992 EQV851987:EQV851992 FAR851987:FAR851992 FKN851987:FKN851992 FUJ851987:FUJ851992 GEF851987:GEF851992 GOB851987:GOB851992 GXX851987:GXX851992 HHT851987:HHT851992 HRP851987:HRP851992 IBL851987:IBL851992 ILH851987:ILH851992 IVD851987:IVD851992 JEZ851987:JEZ851992 JOV851987:JOV851992 JYR851987:JYR851992 KIN851987:KIN851992 KSJ851987:KSJ851992 LCF851987:LCF851992 LMB851987:LMB851992 LVX851987:LVX851992 MFT851987:MFT851992 MPP851987:MPP851992 MZL851987:MZL851992 NJH851987:NJH851992 NTD851987:NTD851992 OCZ851987:OCZ851992 OMV851987:OMV851992 OWR851987:OWR851992 PGN851987:PGN851992 PQJ851987:PQJ851992 QAF851987:QAF851992 QKB851987:QKB851992 QTX851987:QTX851992 RDT851987:RDT851992 RNP851987:RNP851992 RXL851987:RXL851992 SHH851987:SHH851992 SRD851987:SRD851992 TAZ851987:TAZ851992 TKV851987:TKV851992 TUR851987:TUR851992 UEN851987:UEN851992 UOJ851987:UOJ851992 UYF851987:UYF851992 VIB851987:VIB851992 VRX851987:VRX851992 WBT851987:WBT851992 WLP851987:WLP851992 WVL851987:WVL851992 D917523:D917528 IZ917523:IZ917528 SV917523:SV917528 ACR917523:ACR917528 AMN917523:AMN917528 AWJ917523:AWJ917528 BGF917523:BGF917528 BQB917523:BQB917528 BZX917523:BZX917528 CJT917523:CJT917528 CTP917523:CTP917528 DDL917523:DDL917528 DNH917523:DNH917528 DXD917523:DXD917528 EGZ917523:EGZ917528 EQV917523:EQV917528 FAR917523:FAR917528 FKN917523:FKN917528 FUJ917523:FUJ917528 GEF917523:GEF917528 GOB917523:GOB917528 GXX917523:GXX917528 HHT917523:HHT917528 HRP917523:HRP917528 IBL917523:IBL917528 ILH917523:ILH917528 IVD917523:IVD917528 JEZ917523:JEZ917528 JOV917523:JOV917528 JYR917523:JYR917528 KIN917523:KIN917528 KSJ917523:KSJ917528 LCF917523:LCF917528 LMB917523:LMB917528 LVX917523:LVX917528 MFT917523:MFT917528 MPP917523:MPP917528 MZL917523:MZL917528 NJH917523:NJH917528 NTD917523:NTD917528 OCZ917523:OCZ917528 OMV917523:OMV917528 OWR917523:OWR917528 PGN917523:PGN917528 PQJ917523:PQJ917528 QAF917523:QAF917528 QKB917523:QKB917528 QTX917523:QTX917528 RDT917523:RDT917528 RNP917523:RNP917528 RXL917523:RXL917528 SHH917523:SHH917528 SRD917523:SRD917528 TAZ917523:TAZ917528 TKV917523:TKV917528 TUR917523:TUR917528 UEN917523:UEN917528 UOJ917523:UOJ917528 UYF917523:UYF917528 VIB917523:VIB917528 VRX917523:VRX917528 WBT917523:WBT917528 WLP917523:WLP917528 WVL917523:WVL917528 D983059:D983064 IZ983059:IZ983064 SV983059:SV983064 ACR983059:ACR983064 AMN983059:AMN983064 AWJ983059:AWJ983064 BGF983059:BGF983064 BQB983059:BQB983064 BZX983059:BZX983064 CJT983059:CJT983064 CTP983059:CTP983064 DDL983059:DDL983064 DNH983059:DNH983064 DXD983059:DXD983064 EGZ983059:EGZ983064 EQV983059:EQV983064 FAR983059:FAR983064 FKN983059:FKN983064 FUJ983059:FUJ983064 GEF983059:GEF983064 GOB983059:GOB983064 GXX983059:GXX983064 HHT983059:HHT983064 HRP983059:HRP983064 IBL983059:IBL983064 ILH983059:ILH983064 IVD983059:IVD983064 JEZ983059:JEZ983064 JOV983059:JOV983064 JYR983059:JYR983064 KIN983059:KIN983064 KSJ983059:KSJ983064 LCF983059:LCF983064 LMB983059:LMB983064 LVX983059:LVX983064 MFT983059:MFT983064 MPP983059:MPP983064 MZL983059:MZL983064 NJH983059:NJH983064 NTD983059:NTD983064 OCZ983059:OCZ983064 OMV983059:OMV983064 OWR983059:OWR983064 PGN983059:PGN983064 PQJ983059:PQJ983064 QAF983059:QAF983064 QKB983059:QKB983064 QTX983059:QTX983064 RDT983059:RDT983064 RNP983059:RNP983064 RXL983059:RXL983064 SHH983059:SHH983064 SRD983059:SRD983064 TAZ983059:TAZ983064 TKV983059:TKV983064 TUR983059:TUR983064 UEN983059:UEN983064 UOJ983059:UOJ983064 UYF983059:UYF983064 VIB983059:VIB983064 VRX983059:VRX983064 WBT983059:WBT983064 WLP983059:WLP983064">
      <formula1>AFC</formula1>
    </dataValidation>
    <dataValidation type="list" allowBlank="1" showInputMessage="1" prompt="Select from list or type in job title" sqref="C27:C32">
      <formula1>Staff_List</formula1>
    </dataValidation>
  </dataValidations>
  <pageMargins left="0.70866141732283472" right="0.70866141732283472" top="0.74803149606299213" bottom="0.74803149606299213" header="0.31496062992125984" footer="0.31496062992125984"/>
  <pageSetup paperSize="9" scale="35" orientation="portrait"/>
  <colBreaks count="1" manualBreakCount="1">
    <brk id="14" max="1048575" man="1"/>
  </colBreaks>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staff_costs!$A$4:$A$21</xm:f>
          </x14:formula1>
          <xm:sqref>D27:D32</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4" tint="-0.249977111117893"/>
    <pageSetUpPr fitToPage="1"/>
  </sheetPr>
  <dimension ref="A1:BW105"/>
  <sheetViews>
    <sheetView showGridLines="0" topLeftCell="B1" zoomScale="60" zoomScaleNormal="60" zoomScaleSheetLayoutView="85" zoomScalePageLayoutView="75" workbookViewId="0">
      <pane ySplit="1" topLeftCell="A2" activePane="bottomLeft" state="frozen"/>
      <selection activeCell="C3" sqref="C3"/>
      <selection pane="bottomLeft" activeCell="N58" sqref="N58"/>
    </sheetView>
  </sheetViews>
  <sheetFormatPr defaultColWidth="8.85546875" defaultRowHeight="14.25" outlineLevelCol="1"/>
  <cols>
    <col min="1" max="1" width="56.140625" style="1079" hidden="1" customWidth="1" outlineLevel="1"/>
    <col min="2" max="2" width="15.7109375" style="1079" customWidth="1" collapsed="1"/>
    <col min="3" max="3" width="45.7109375" style="1079" customWidth="1"/>
    <col min="4" max="4" width="18.42578125" style="1079" customWidth="1"/>
    <col min="5" max="5" width="18.140625" style="1079" customWidth="1"/>
    <col min="6" max="10" width="15.7109375" style="1079" customWidth="1"/>
    <col min="11" max="11" width="45.7109375" style="1083" customWidth="1"/>
    <col min="12" max="12" width="23.28515625" style="1079" bestFit="1" customWidth="1"/>
    <col min="13" max="13" width="22.28515625" style="1119" bestFit="1" customWidth="1"/>
    <col min="14" max="14" width="78.28515625" style="1119" customWidth="1"/>
    <col min="15" max="15" width="7.42578125" style="1079" customWidth="1"/>
    <col min="16" max="16" width="19.140625" style="1079" customWidth="1"/>
    <col min="17" max="17" width="23.42578125" style="1079" customWidth="1"/>
    <col min="18" max="18" width="24.42578125" style="1079" bestFit="1" customWidth="1"/>
    <col min="19" max="20" width="8.85546875" style="1079"/>
    <col min="21" max="24" width="6.42578125" style="1079" customWidth="1"/>
    <col min="25" max="26" width="34.7109375" style="1079" customWidth="1"/>
    <col min="27" max="27" width="14.7109375" style="1079" customWidth="1"/>
    <col min="28" max="28" width="17.7109375" style="1079" customWidth="1"/>
    <col min="29" max="29" width="15.42578125" style="1079" customWidth="1"/>
    <col min="30" max="16384" width="8.85546875" style="1079"/>
  </cols>
  <sheetData>
    <row r="1" spans="1:75" s="1078"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2"/>
      <c r="H1" s="1763"/>
      <c r="I1" s="2311" t="str">
        <f>HYPERLINK("[.\]outputs_by_channel!A1", "To Intervention data outputs by channel")</f>
        <v>To Intervention data outputs by channel</v>
      </c>
      <c r="J1" s="2312"/>
      <c r="K1" s="1762"/>
      <c r="L1" s="1762"/>
      <c r="M1" s="1762"/>
      <c r="O1" s="532"/>
      <c r="Q1" s="532"/>
      <c r="R1" s="532"/>
      <c r="S1" s="532"/>
      <c r="T1" s="532"/>
      <c r="V1" s="532"/>
      <c r="W1" s="532"/>
      <c r="X1" s="532"/>
      <c r="Y1" s="532"/>
      <c r="AA1" s="532"/>
      <c r="AB1" s="532"/>
      <c r="AC1" s="532"/>
      <c r="AD1" s="532"/>
      <c r="AF1" s="532"/>
      <c r="AG1" s="532"/>
      <c r="AH1" s="532"/>
      <c r="AI1" s="532"/>
      <c r="AK1" s="532"/>
      <c r="AL1" s="532"/>
      <c r="AM1" s="532"/>
      <c r="AN1" s="532"/>
      <c r="AP1" s="532"/>
      <c r="AQ1" s="532"/>
      <c r="AR1" s="532"/>
      <c r="AS1" s="532"/>
      <c r="AU1" s="532"/>
      <c r="AV1" s="532"/>
      <c r="AW1" s="532"/>
      <c r="AX1" s="532"/>
      <c r="AZ1" s="532"/>
      <c r="BA1" s="532"/>
      <c r="BB1" s="532"/>
      <c r="BC1" s="532"/>
      <c r="BE1" s="532"/>
      <c r="BF1" s="532"/>
      <c r="BG1" s="532"/>
      <c r="BH1" s="532"/>
      <c r="BJ1" s="532"/>
      <c r="BK1" s="532"/>
      <c r="BL1" s="532"/>
      <c r="BM1" s="532"/>
      <c r="BO1" s="532"/>
      <c r="BP1" s="532"/>
      <c r="BQ1" s="532"/>
      <c r="BR1" s="532"/>
      <c r="BT1" s="532"/>
      <c r="BU1" s="532"/>
      <c r="BV1" s="532"/>
      <c r="BW1" s="532"/>
    </row>
    <row r="2" spans="1:75" s="1083" customFormat="1" ht="33.75" customHeight="1">
      <c r="A2" s="1080"/>
      <c r="B2" s="1085"/>
      <c r="C2" s="1086"/>
      <c r="D2" s="1086"/>
      <c r="E2" s="1086"/>
      <c r="F2" s="543"/>
      <c r="G2" s="543"/>
      <c r="H2" s="543"/>
      <c r="I2" s="543"/>
      <c r="J2" s="543"/>
      <c r="K2" s="2368"/>
      <c r="L2" s="2368"/>
      <c r="M2" s="2369"/>
      <c r="N2" s="1081"/>
      <c r="O2" s="1082"/>
      <c r="S2" s="1081"/>
      <c r="T2" s="1081"/>
      <c r="V2" s="1081"/>
      <c r="W2" s="1084"/>
      <c r="X2" s="1081"/>
      <c r="Y2" s="1081"/>
    </row>
    <row r="3" spans="1:75" s="1083" customFormat="1" ht="15.75" thickBot="1">
      <c r="A3" s="1080"/>
      <c r="B3" s="1085"/>
      <c r="C3" s="1086"/>
      <c r="D3" s="1086"/>
      <c r="E3" s="1086"/>
      <c r="F3" s="1046"/>
      <c r="G3" s="1079"/>
      <c r="H3" s="1046"/>
      <c r="I3" s="1046"/>
      <c r="J3" s="1046"/>
      <c r="K3" s="2370"/>
      <c r="L3" s="2370"/>
      <c r="M3" s="2371"/>
      <c r="O3" s="1082"/>
      <c r="S3" s="1081"/>
      <c r="T3" s="1081"/>
      <c r="V3" s="1081"/>
      <c r="W3" s="1084"/>
      <c r="X3" s="1081"/>
      <c r="Y3" s="1081"/>
    </row>
    <row r="4" spans="1:75" s="1083" customFormat="1" ht="15">
      <c r="B4" s="1085"/>
      <c r="C4" s="2362" t="str">
        <f>Menu!B19</f>
        <v>Integrated clinical hubs - Increasing Clinical advisor consultations</v>
      </c>
      <c r="D4" s="2363"/>
      <c r="E4" s="1086"/>
      <c r="G4" s="1182"/>
      <c r="H4" s="1182"/>
      <c r="I4" s="1182"/>
      <c r="J4" s="2064"/>
      <c r="K4" s="2370"/>
      <c r="L4" s="2370"/>
      <c r="M4" s="2371"/>
      <c r="N4" s="1081"/>
      <c r="O4" s="1082"/>
      <c r="S4" s="1081"/>
      <c r="T4" s="1081"/>
      <c r="V4" s="1081"/>
      <c r="W4" s="1084"/>
      <c r="X4" s="1081"/>
      <c r="Y4" s="1081"/>
    </row>
    <row r="5" spans="1:75" s="1083" customFormat="1" ht="15.75" thickBot="1">
      <c r="B5" s="1085"/>
      <c r="C5" s="2364"/>
      <c r="D5" s="2365"/>
      <c r="E5" s="1086"/>
      <c r="G5" s="2366"/>
      <c r="H5" s="2367"/>
      <c r="I5" s="1323"/>
      <c r="J5" s="724"/>
      <c r="K5" s="2370"/>
      <c r="L5" s="2370"/>
      <c r="M5" s="2371"/>
      <c r="N5" s="1081"/>
      <c r="O5" s="1082"/>
      <c r="S5" s="1081"/>
      <c r="T5" s="1081"/>
      <c r="V5" s="1081"/>
      <c r="W5" s="1084"/>
      <c r="X5" s="1081"/>
      <c r="Y5" s="1081"/>
    </row>
    <row r="6" spans="1:75" s="1083" customFormat="1" ht="15" customHeight="1" thickBot="1">
      <c r="B6" s="1085"/>
      <c r="C6" s="200"/>
      <c r="D6" s="1086"/>
      <c r="E6" s="1086"/>
      <c r="F6" s="1087"/>
      <c r="G6" s="1323"/>
      <c r="H6" s="1324"/>
      <c r="I6" s="1323"/>
      <c r="J6" s="1327"/>
      <c r="K6" s="2370"/>
      <c r="L6" s="2370"/>
      <c r="M6" s="2371"/>
      <c r="N6" s="1081"/>
      <c r="O6" s="1082"/>
      <c r="S6" s="1081"/>
      <c r="T6" s="1081"/>
      <c r="V6" s="1081"/>
      <c r="W6" s="1084"/>
      <c r="X6" s="1081"/>
      <c r="Y6" s="1081"/>
    </row>
    <row r="7" spans="1:75" s="1083" customFormat="1" ht="15.75" thickBot="1">
      <c r="B7" s="1085"/>
      <c r="C7" s="797" t="s">
        <v>582</v>
      </c>
      <c r="D7" s="796">
        <v>988837</v>
      </c>
      <c r="E7" s="1086"/>
      <c r="F7" s="1087"/>
      <c r="G7" s="1323"/>
      <c r="H7" s="1324"/>
      <c r="I7" s="1323"/>
      <c r="J7" s="1327"/>
      <c r="K7" s="2370"/>
      <c r="L7" s="2370"/>
      <c r="M7" s="2371"/>
      <c r="N7" s="1081"/>
      <c r="O7" s="1082"/>
      <c r="S7" s="1081"/>
      <c r="T7" s="1081"/>
      <c r="V7" s="1081"/>
      <c r="W7" s="1084"/>
      <c r="X7" s="1081"/>
      <c r="Y7" s="1081"/>
    </row>
    <row r="8" spans="1:75" s="1083" customFormat="1" ht="15">
      <c r="B8" s="1137"/>
      <c r="C8" s="1079"/>
      <c r="D8" s="1079"/>
      <c r="E8" s="1086"/>
      <c r="F8" s="1087"/>
      <c r="G8" s="1323"/>
      <c r="H8" s="1324"/>
      <c r="I8" s="1323"/>
      <c r="J8" s="1327"/>
      <c r="K8" s="2370"/>
      <c r="L8" s="2370"/>
      <c r="M8" s="2371"/>
      <c r="N8" s="1081"/>
      <c r="O8" s="1082"/>
      <c r="S8" s="1081"/>
      <c r="T8" s="1081"/>
      <c r="V8" s="1081"/>
      <c r="W8" s="1084"/>
      <c r="X8" s="1081"/>
      <c r="Y8" s="1081"/>
    </row>
    <row r="9" spans="1:75" s="1083" customFormat="1" ht="15">
      <c r="B9" s="1137"/>
      <c r="C9" s="1777" t="str">
        <f>HYPERLINK("[.\]E_ICH!A2","To Evidence")</f>
        <v>To Evidence</v>
      </c>
      <c r="D9" s="1079"/>
      <c r="E9" s="1086"/>
      <c r="F9" s="1087"/>
      <c r="G9" s="1323"/>
      <c r="H9" s="1324"/>
      <c r="I9" s="1323"/>
      <c r="J9" s="1327"/>
      <c r="K9" s="1082"/>
      <c r="M9" s="1131"/>
      <c r="N9" s="1081"/>
      <c r="O9" s="1082"/>
      <c r="S9" s="1081"/>
      <c r="T9" s="1081"/>
      <c r="V9" s="1081"/>
      <c r="W9" s="1084"/>
      <c r="X9" s="1081"/>
      <c r="Y9" s="1081"/>
    </row>
    <row r="10" spans="1:75" s="1083" customFormat="1" ht="15">
      <c r="B10" s="1137"/>
      <c r="C10" s="1079"/>
      <c r="D10" s="1079"/>
      <c r="E10" s="1079"/>
      <c r="F10" s="1079"/>
      <c r="G10" s="1323"/>
      <c r="H10" s="1324"/>
      <c r="I10" s="1323"/>
      <c r="J10" s="1327"/>
      <c r="K10" s="1082"/>
      <c r="M10" s="1131"/>
      <c r="N10" s="1081"/>
      <c r="O10" s="1082"/>
      <c r="S10" s="1081"/>
      <c r="T10" s="1081"/>
      <c r="V10" s="1081"/>
      <c r="W10" s="1084"/>
      <c r="X10" s="1081"/>
      <c r="Y10" s="1081"/>
    </row>
    <row r="11" spans="1:75" s="1090" customFormat="1">
      <c r="A11" s="1083"/>
      <c r="B11" s="1138"/>
      <c r="C11" s="1079"/>
      <c r="D11" s="1079"/>
      <c r="E11" s="1079"/>
      <c r="F11" s="1079"/>
      <c r="G11" s="1079"/>
      <c r="H11" s="1079"/>
      <c r="I11" s="1079"/>
      <c r="J11" s="1079"/>
      <c r="K11" s="1079"/>
      <c r="L11" s="1079"/>
      <c r="M11" s="1132"/>
      <c r="N11" s="1091"/>
      <c r="O11" s="1092"/>
      <c r="P11" s="1093"/>
      <c r="Q11" s="1093"/>
      <c r="R11" s="1091"/>
      <c r="S11" s="1091"/>
      <c r="T11" s="1091"/>
      <c r="V11" s="1091"/>
      <c r="W11" s="545"/>
      <c r="X11" s="1091"/>
      <c r="Y11" s="1091"/>
      <c r="Z11" s="1091"/>
    </row>
    <row r="12" spans="1:75" s="1090" customFormat="1" ht="15">
      <c r="A12" s="1089" t="s">
        <v>103</v>
      </c>
      <c r="B12" s="2343" t="s">
        <v>119</v>
      </c>
      <c r="C12" s="2360"/>
      <c r="D12" s="2360"/>
      <c r="E12" s="2360"/>
      <c r="F12" s="2360"/>
      <c r="G12" s="2360"/>
      <c r="H12" s="2360"/>
      <c r="I12" s="2360"/>
      <c r="J12" s="2360"/>
      <c r="K12" s="2360"/>
      <c r="L12" s="2360"/>
      <c r="M12" s="2361"/>
      <c r="N12" s="1091"/>
      <c r="O12" s="1093"/>
      <c r="P12" s="1093"/>
      <c r="Q12" s="1091"/>
      <c r="R12" s="1091"/>
      <c r="T12" s="1091"/>
      <c r="U12" s="545"/>
      <c r="V12" s="1091"/>
      <c r="W12" s="1091"/>
      <c r="X12" s="1091"/>
    </row>
    <row r="13" spans="1:75" s="1091" customFormat="1" ht="15">
      <c r="A13" s="1090"/>
      <c r="B13" s="1047"/>
      <c r="C13" s="1093"/>
      <c r="D13" s="1093"/>
      <c r="E13" s="1093"/>
      <c r="F13" s="1093"/>
      <c r="G13" s="1093"/>
      <c r="H13" s="1093"/>
      <c r="I13" s="1038"/>
      <c r="J13" s="1038"/>
      <c r="K13" s="526"/>
      <c r="L13" s="1038"/>
      <c r="M13" s="615"/>
      <c r="U13" s="545"/>
    </row>
    <row r="14" spans="1:75" s="1091" customFormat="1" ht="15">
      <c r="A14" s="1090"/>
      <c r="B14" s="1047"/>
      <c r="C14" s="2354" t="s">
        <v>547</v>
      </c>
      <c r="D14" s="2358"/>
      <c r="E14" s="2359"/>
      <c r="F14" s="549">
        <v>238769</v>
      </c>
      <c r="H14" s="1038"/>
      <c r="I14" s="1094" t="s">
        <v>156</v>
      </c>
      <c r="J14" s="1038"/>
      <c r="K14" s="526"/>
      <c r="L14" s="551"/>
      <c r="M14" s="552" t="s">
        <v>141</v>
      </c>
      <c r="U14" s="545"/>
    </row>
    <row r="15" spans="1:75" s="1091" customFormat="1" ht="15">
      <c r="B15" s="1047"/>
      <c r="C15" s="2354" t="s">
        <v>1068</v>
      </c>
      <c r="D15" s="2355"/>
      <c r="E15" s="2356"/>
      <c r="F15" s="968">
        <v>0.25</v>
      </c>
      <c r="H15" s="1038"/>
      <c r="I15" s="1094" t="s">
        <v>156</v>
      </c>
      <c r="J15" s="1038"/>
      <c r="K15" s="526"/>
      <c r="L15" s="1095"/>
      <c r="M15" s="552" t="s">
        <v>143</v>
      </c>
    </row>
    <row r="16" spans="1:75" s="1091" customFormat="1" ht="15">
      <c r="A16" s="616"/>
      <c r="B16" s="1047"/>
      <c r="C16" s="2354" t="s">
        <v>994</v>
      </c>
      <c r="D16" s="2355"/>
      <c r="E16" s="2356"/>
      <c r="F16" s="968">
        <v>0.35</v>
      </c>
      <c r="H16" s="1038"/>
      <c r="I16" s="618"/>
      <c r="J16" s="1038"/>
      <c r="K16" s="526"/>
      <c r="L16" s="554" t="s">
        <v>556</v>
      </c>
      <c r="M16" s="552" t="s">
        <v>143</v>
      </c>
    </row>
    <row r="17" spans="1:25" s="1091" customFormat="1" ht="42.75">
      <c r="A17" s="616"/>
      <c r="B17" s="1047"/>
      <c r="C17" s="2354" t="s">
        <v>995</v>
      </c>
      <c r="D17" s="2355"/>
      <c r="E17" s="2356"/>
      <c r="F17" s="81">
        <f>(F16-F15)*F14</f>
        <v>23876.899999999994</v>
      </c>
      <c r="H17" s="1038"/>
      <c r="I17" s="525"/>
      <c r="J17" s="1038"/>
      <c r="K17" s="526"/>
      <c r="L17" s="2193"/>
      <c r="M17" s="507" t="s">
        <v>1299</v>
      </c>
    </row>
    <row r="18" spans="1:25" s="1091" customFormat="1" ht="15">
      <c r="A18" s="616"/>
      <c r="B18" s="1047"/>
      <c r="C18" s="2354" t="s">
        <v>1249</v>
      </c>
      <c r="D18" s="2355"/>
      <c r="E18" s="2356"/>
      <c r="F18" s="81">
        <f>L43</f>
        <v>23490</v>
      </c>
      <c r="I18" s="525"/>
      <c r="J18" s="1038"/>
      <c r="K18" s="526"/>
      <c r="L18" s="1038"/>
      <c r="M18" s="615"/>
    </row>
    <row r="19" spans="1:25" s="1091" customFormat="1" ht="15">
      <c r="A19" s="616"/>
      <c r="B19" s="1047"/>
      <c r="C19" s="2354" t="s">
        <v>584</v>
      </c>
      <c r="D19" s="2355"/>
      <c r="E19" s="2356"/>
      <c r="F19" s="1096">
        <f>F18/F17</f>
        <v>0.98379605392659875</v>
      </c>
      <c r="I19" s="525"/>
      <c r="J19" s="1038"/>
      <c r="K19" s="526"/>
      <c r="L19" s="1038"/>
      <c r="M19" s="615"/>
    </row>
    <row r="20" spans="1:25" s="1091" customFormat="1" ht="15">
      <c r="A20" s="616"/>
      <c r="B20" s="1047"/>
      <c r="C20" s="525"/>
      <c r="D20" s="525"/>
      <c r="E20" s="525"/>
      <c r="F20" s="1038"/>
      <c r="G20" s="1038"/>
      <c r="H20" s="1038"/>
      <c r="I20" s="1038"/>
      <c r="J20" s="1038"/>
      <c r="K20" s="526"/>
      <c r="L20" s="1038"/>
      <c r="M20" s="615"/>
    </row>
    <row r="21" spans="1:25" s="1090" customFormat="1" ht="15">
      <c r="A21" s="616"/>
      <c r="B21" s="2343" t="s">
        <v>117</v>
      </c>
      <c r="C21" s="2360"/>
      <c r="D21" s="2360"/>
      <c r="E21" s="2360"/>
      <c r="F21" s="2360"/>
      <c r="G21" s="2360"/>
      <c r="H21" s="2360"/>
      <c r="I21" s="2360"/>
      <c r="J21" s="2360"/>
      <c r="K21" s="2360"/>
      <c r="L21" s="2360"/>
      <c r="M21" s="2361"/>
      <c r="N21" s="1093"/>
      <c r="O21" s="1093"/>
      <c r="P21" s="1093"/>
      <c r="Q21" s="1091"/>
      <c r="R21" s="1091"/>
      <c r="T21" s="1091"/>
      <c r="U21" s="545"/>
      <c r="V21" s="1091"/>
      <c r="W21" s="1091"/>
      <c r="X21" s="1091"/>
    </row>
    <row r="22" spans="1:25" s="1090" customFormat="1" ht="15">
      <c r="A22" s="616"/>
      <c r="B22" s="813"/>
      <c r="C22" s="685"/>
      <c r="D22" s="685"/>
      <c r="E22" s="685"/>
      <c r="F22" s="685"/>
      <c r="G22" s="685"/>
      <c r="H22" s="685"/>
      <c r="I22" s="685"/>
      <c r="J22" s="685"/>
      <c r="K22" s="685"/>
      <c r="L22" s="685"/>
      <c r="M22" s="686"/>
      <c r="N22" s="1093"/>
      <c r="O22" s="1093"/>
      <c r="P22" s="1093"/>
      <c r="Q22" s="1091"/>
      <c r="R22" s="1091"/>
      <c r="T22" s="1091"/>
      <c r="U22" s="545"/>
      <c r="V22" s="1091"/>
      <c r="W22" s="1091"/>
      <c r="X22" s="1091"/>
    </row>
    <row r="23" spans="1:25" s="1090" customFormat="1" ht="15">
      <c r="B23" s="1097"/>
      <c r="C23" s="1777" t="str">
        <f>HYPERLINK("[.\]Set_up_ICH!A4","To Set up costs template")</f>
        <v>To Set up costs template</v>
      </c>
      <c r="D23" s="1714"/>
      <c r="E23" s="526"/>
      <c r="F23" s="1093"/>
      <c r="G23" s="560"/>
      <c r="H23" s="526"/>
      <c r="I23" s="526"/>
      <c r="J23" s="1041"/>
      <c r="K23" s="526"/>
      <c r="L23" s="1038"/>
      <c r="M23" s="615"/>
      <c r="N23" s="1093"/>
      <c r="O23" s="1093"/>
      <c r="P23" s="1093"/>
      <c r="Q23" s="1093"/>
      <c r="R23" s="526"/>
      <c r="S23" s="1091"/>
      <c r="T23" s="1091"/>
      <c r="U23" s="1091"/>
      <c r="V23" s="1091"/>
      <c r="W23" s="1091"/>
      <c r="X23" s="1091"/>
      <c r="Y23" s="1091"/>
    </row>
    <row r="24" spans="1:25" s="1090" customFormat="1" ht="15">
      <c r="B24" s="1097"/>
      <c r="C24" s="528"/>
      <c r="D24" s="526"/>
      <c r="E24" s="526"/>
      <c r="F24" s="1093"/>
      <c r="G24" s="560"/>
      <c r="H24" s="526"/>
      <c r="I24" s="526"/>
      <c r="J24" s="1041"/>
      <c r="K24" s="526"/>
      <c r="L24" s="1038"/>
      <c r="M24" s="615"/>
      <c r="N24" s="1093"/>
      <c r="O24" s="1093"/>
      <c r="P24" s="1093"/>
      <c r="Q24" s="1093"/>
      <c r="R24" s="526"/>
      <c r="S24" s="1091"/>
      <c r="T24" s="1091"/>
      <c r="U24" s="1091"/>
      <c r="V24" s="1091"/>
      <c r="W24" s="1091"/>
      <c r="X24" s="1091"/>
      <c r="Y24" s="1091"/>
    </row>
    <row r="25" spans="1:25" s="1090" customFormat="1" ht="15">
      <c r="B25" s="1097"/>
      <c r="C25" s="2357" t="s">
        <v>996</v>
      </c>
      <c r="D25" s="2250"/>
      <c r="E25" s="1208">
        <f>Set_up_ICH!B7</f>
        <v>20000</v>
      </c>
      <c r="G25" s="1092"/>
      <c r="I25" s="526"/>
      <c r="J25" s="1041"/>
      <c r="K25" s="526" t="s">
        <v>997</v>
      </c>
      <c r="L25" s="1038"/>
      <c r="M25" s="615"/>
      <c r="N25" s="1093"/>
      <c r="O25" s="1093"/>
      <c r="P25" s="1093"/>
      <c r="Q25" s="1093"/>
      <c r="R25" s="526"/>
      <c r="S25" s="1091"/>
      <c r="T25" s="1091"/>
      <c r="U25" s="1091"/>
      <c r="V25" s="1091"/>
      <c r="W25" s="1091"/>
      <c r="X25" s="1091"/>
      <c r="Y25" s="1091"/>
    </row>
    <row r="26" spans="1:25" s="1090" customFormat="1" ht="15">
      <c r="B26" s="1097"/>
      <c r="C26" s="526"/>
      <c r="D26" s="1093"/>
      <c r="E26" s="1093"/>
      <c r="F26" s="559"/>
      <c r="G26" s="526"/>
      <c r="H26" s="526"/>
      <c r="I26" s="1041"/>
      <c r="J26" s="1038"/>
      <c r="K26" s="560"/>
      <c r="L26" s="1038"/>
      <c r="M26" s="615"/>
      <c r="N26" s="1093"/>
      <c r="O26" s="1093"/>
      <c r="P26" s="1093"/>
      <c r="Q26" s="526"/>
      <c r="R26" s="1091"/>
      <c r="S26" s="1091"/>
      <c r="T26" s="1091"/>
      <c r="U26" s="1091"/>
      <c r="V26" s="1091"/>
      <c r="W26" s="1091"/>
      <c r="X26" s="1091"/>
    </row>
    <row r="27" spans="1:25" s="1090" customFormat="1" ht="60">
      <c r="B27" s="1097"/>
      <c r="C27" s="1039" t="s">
        <v>133</v>
      </c>
      <c r="D27" s="684" t="s">
        <v>116</v>
      </c>
      <c r="E27" s="444" t="s">
        <v>115</v>
      </c>
      <c r="F27" s="563" t="s">
        <v>114</v>
      </c>
      <c r="G27" s="563" t="s">
        <v>113</v>
      </c>
      <c r="H27" s="563" t="s">
        <v>112</v>
      </c>
      <c r="J27" s="1092"/>
      <c r="K27" s="564" t="s">
        <v>634</v>
      </c>
      <c r="L27" s="564" t="s">
        <v>110</v>
      </c>
      <c r="M27" s="615"/>
      <c r="N27" s="1093"/>
      <c r="O27" s="1093"/>
      <c r="P27" s="1093"/>
      <c r="Q27" s="526"/>
      <c r="R27" s="1091"/>
      <c r="S27" s="1091"/>
      <c r="T27" s="1091"/>
      <c r="U27" s="1091"/>
      <c r="V27" s="1091"/>
      <c r="W27" s="1091"/>
      <c r="X27" s="1091"/>
    </row>
    <row r="28" spans="1:25" s="1090" customFormat="1" ht="15">
      <c r="B28" s="1097"/>
      <c r="C28" s="1098" t="s">
        <v>1226</v>
      </c>
      <c r="D28" s="665" t="s">
        <v>8</v>
      </c>
      <c r="E28" s="1099">
        <v>1</v>
      </c>
      <c r="F28" s="1133">
        <f>IF(D28&lt;&gt;"",VLOOKUP(D28,staff_costs!$A$3:$H$22,6,0),"")</f>
        <v>111848</v>
      </c>
      <c r="G28" s="568">
        <v>0.2</v>
      </c>
      <c r="H28" s="568">
        <v>0.35</v>
      </c>
      <c r="J28" s="1092"/>
      <c r="K28" s="585" t="str">
        <f t="shared" ref="K28:K33" si="0">IF(C28&gt;"",C28,"")</f>
        <v>GP advisor</v>
      </c>
      <c r="L28" s="1133">
        <f t="shared" ref="L28:L33" si="1">IF($D28="","",E28*F28+(E28*G28*(F28*H28)))</f>
        <v>119677.36</v>
      </c>
      <c r="M28" s="1100"/>
      <c r="N28" s="1093"/>
      <c r="O28" s="1093"/>
      <c r="P28" s="1093"/>
      <c r="Q28" s="526"/>
      <c r="R28" s="1091"/>
      <c r="S28" s="1091"/>
      <c r="T28" s="1091"/>
      <c r="U28" s="1091"/>
      <c r="V28" s="1091"/>
      <c r="W28" s="1091"/>
      <c r="X28" s="1091"/>
    </row>
    <row r="29" spans="1:25" s="1090" customFormat="1" ht="15">
      <c r="B29" s="1097"/>
      <c r="C29" s="1098" t="s">
        <v>1227</v>
      </c>
      <c r="D29" s="665">
        <v>6</v>
      </c>
      <c r="E29" s="1099">
        <v>1.5</v>
      </c>
      <c r="F29" s="1133">
        <f>IF(D29&lt;&gt;"",VLOOKUP(D29,staff_costs!$A$3:$H$22,6,0),"")</f>
        <v>37642.68</v>
      </c>
      <c r="G29" s="568">
        <v>0.2</v>
      </c>
      <c r="H29" s="568">
        <v>0.35</v>
      </c>
      <c r="J29" s="1092"/>
      <c r="K29" s="585" t="str">
        <f t="shared" si="0"/>
        <v>Nurse advisor</v>
      </c>
      <c r="L29" s="1133">
        <f t="shared" si="1"/>
        <v>60416.501400000008</v>
      </c>
      <c r="M29" s="1100"/>
      <c r="N29" s="1093"/>
      <c r="O29" s="1093"/>
      <c r="P29" s="1093"/>
      <c r="Q29" s="526"/>
      <c r="R29" s="1091"/>
      <c r="S29" s="1091"/>
      <c r="T29" s="1091"/>
      <c r="U29" s="1091"/>
      <c r="V29" s="1091"/>
      <c r="W29" s="1091"/>
      <c r="X29" s="1091"/>
    </row>
    <row r="30" spans="1:25" s="1090" customFormat="1" ht="15">
      <c r="B30" s="1097"/>
      <c r="C30" s="1098" t="s">
        <v>1228</v>
      </c>
      <c r="D30" s="665">
        <v>6</v>
      </c>
      <c r="E30" s="1099">
        <v>0.5</v>
      </c>
      <c r="F30" s="1133">
        <f>IF(D30&lt;&gt;"",VLOOKUP(D30,staff_costs!$A$3:$H$22,6,0),"")</f>
        <v>37642.68</v>
      </c>
      <c r="G30" s="568">
        <v>0.2</v>
      </c>
      <c r="H30" s="568">
        <v>0.35</v>
      </c>
      <c r="J30" s="1092"/>
      <c r="K30" s="585" t="str">
        <f t="shared" si="0"/>
        <v>Pharmacist advisor</v>
      </c>
      <c r="L30" s="1133">
        <f t="shared" si="1"/>
        <v>20138.8338</v>
      </c>
      <c r="M30" s="1100"/>
      <c r="N30" s="1093"/>
      <c r="O30" s="1093"/>
      <c r="P30" s="1093"/>
      <c r="Q30" s="526"/>
      <c r="R30" s="1091"/>
      <c r="S30" s="1091"/>
      <c r="T30" s="1091"/>
      <c r="U30" s="1091"/>
      <c r="V30" s="1091"/>
      <c r="W30" s="1091"/>
      <c r="X30" s="1091"/>
    </row>
    <row r="31" spans="1:25" s="1090" customFormat="1" ht="15">
      <c r="B31" s="1097"/>
      <c r="C31" s="1098" t="s">
        <v>155</v>
      </c>
      <c r="D31" s="665">
        <v>7</v>
      </c>
      <c r="E31" s="1099">
        <v>0</v>
      </c>
      <c r="F31" s="1133">
        <f>IF(D31&lt;&gt;"",VLOOKUP(D31,staff_costs!$A$3:$H$22,6,0),"")</f>
        <v>44950</v>
      </c>
      <c r="G31" s="568">
        <v>0.1</v>
      </c>
      <c r="H31" s="568">
        <v>0.35</v>
      </c>
      <c r="J31" s="1092"/>
      <c r="K31" s="585" t="str">
        <f t="shared" si="0"/>
        <v>Clinical manager</v>
      </c>
      <c r="L31" s="1133">
        <f t="shared" si="1"/>
        <v>0</v>
      </c>
      <c r="M31" s="1100"/>
      <c r="N31" s="1093"/>
      <c r="O31" s="1093"/>
      <c r="P31" s="1093"/>
      <c r="Q31" s="526"/>
      <c r="R31" s="1091"/>
      <c r="S31" s="1091"/>
      <c r="T31" s="1091"/>
      <c r="U31" s="1091"/>
      <c r="V31" s="1091"/>
      <c r="W31" s="1091"/>
      <c r="X31" s="1091"/>
    </row>
    <row r="32" spans="1:25" s="1090" customFormat="1" ht="15">
      <c r="B32" s="1097"/>
      <c r="C32" s="1098" t="s">
        <v>154</v>
      </c>
      <c r="D32" s="665">
        <v>6</v>
      </c>
      <c r="E32" s="1099">
        <v>1</v>
      </c>
      <c r="F32" s="1133">
        <f>IF(D32&lt;&gt;"",VLOOKUP(D32,staff_costs!$A$3:$H$22,6,0),"")</f>
        <v>37642.68</v>
      </c>
      <c r="G32" s="568">
        <v>0.2</v>
      </c>
      <c r="H32" s="568">
        <v>0.35</v>
      </c>
      <c r="J32" s="1092"/>
      <c r="K32" s="585" t="str">
        <f t="shared" si="0"/>
        <v>Nurse (MH)</v>
      </c>
      <c r="L32" s="1133">
        <f t="shared" si="1"/>
        <v>40277.667600000001</v>
      </c>
      <c r="M32" s="1100"/>
      <c r="N32" s="1093"/>
      <c r="O32" s="1093"/>
      <c r="P32" s="1093"/>
      <c r="Q32" s="526"/>
      <c r="R32" s="1091"/>
      <c r="S32" s="1091"/>
      <c r="T32" s="1091"/>
      <c r="U32" s="1091"/>
      <c r="V32" s="1091"/>
      <c r="W32" s="1091"/>
      <c r="X32" s="1091"/>
    </row>
    <row r="33" spans="1:25" s="1090" customFormat="1" ht="15">
      <c r="B33" s="1097"/>
      <c r="C33" s="1098"/>
      <c r="D33" s="665"/>
      <c r="E33" s="1099"/>
      <c r="F33" s="1133" t="str">
        <f>IF(D33&lt;&gt;"",VLOOKUP(D33,staff_costs!$A$3:$H$22,6,0),"")</f>
        <v/>
      </c>
      <c r="G33" s="568"/>
      <c r="H33" s="568"/>
      <c r="J33" s="1092"/>
      <c r="K33" s="585" t="str">
        <f t="shared" si="0"/>
        <v/>
      </c>
      <c r="L33" s="1133" t="str">
        <f t="shared" si="1"/>
        <v/>
      </c>
      <c r="M33" s="1100"/>
      <c r="N33" s="1093"/>
      <c r="O33" s="1093"/>
      <c r="P33" s="1093"/>
      <c r="Q33" s="526"/>
      <c r="R33" s="1091"/>
      <c r="S33" s="1091"/>
      <c r="T33" s="1091"/>
      <c r="U33" s="1091"/>
      <c r="V33" s="1091"/>
      <c r="W33" s="1091"/>
      <c r="X33" s="1091"/>
    </row>
    <row r="34" spans="1:25" s="1090" customFormat="1" ht="15">
      <c r="B34" s="1097"/>
      <c r="C34" s="1039" t="s">
        <v>109</v>
      </c>
      <c r="D34" s="780"/>
      <c r="E34" s="1335">
        <f>SUM(E28:E33)</f>
        <v>4</v>
      </c>
      <c r="F34" s="1041"/>
      <c r="G34" s="526"/>
      <c r="H34" s="526"/>
      <c r="J34" s="1092"/>
      <c r="K34" s="585" t="s">
        <v>184</v>
      </c>
      <c r="L34" s="1133">
        <f>SUM(L28:L33)</f>
        <v>240510.3628</v>
      </c>
      <c r="M34" s="1100"/>
      <c r="N34" s="1093"/>
      <c r="O34" s="1093"/>
      <c r="P34" s="1093"/>
      <c r="Q34" s="526"/>
      <c r="R34" s="1091"/>
      <c r="S34" s="1091"/>
      <c r="T34" s="1091"/>
      <c r="U34" s="1091"/>
      <c r="V34" s="1091"/>
      <c r="W34" s="1091"/>
      <c r="X34" s="1091"/>
    </row>
    <row r="35" spans="1:25" s="1090" customFormat="1" ht="15">
      <c r="B35" s="1097"/>
      <c r="C35" s="526"/>
      <c r="D35" s="1093"/>
      <c r="E35" s="1093"/>
      <c r="F35" s="559"/>
      <c r="G35" s="526"/>
      <c r="H35" s="526"/>
      <c r="I35" s="1092"/>
      <c r="J35" s="1092"/>
      <c r="M35" s="615"/>
      <c r="N35" s="1093"/>
      <c r="O35" s="1093"/>
      <c r="P35" s="1093"/>
      <c r="Q35" s="526"/>
      <c r="R35" s="1091"/>
      <c r="S35" s="1091"/>
      <c r="T35" s="1091"/>
      <c r="U35" s="1091"/>
      <c r="V35" s="1091"/>
      <c r="W35" s="1091"/>
      <c r="X35" s="1091"/>
    </row>
    <row r="36" spans="1:25" s="1090" customFormat="1" ht="75">
      <c r="B36" s="1097"/>
      <c r="C36" s="684" t="s">
        <v>108</v>
      </c>
      <c r="D36" s="684" t="s">
        <v>116</v>
      </c>
      <c r="E36" s="563" t="s">
        <v>153</v>
      </c>
      <c r="F36" s="563" t="s">
        <v>1069</v>
      </c>
      <c r="G36" s="563" t="s">
        <v>106</v>
      </c>
      <c r="H36" s="563" t="s">
        <v>250</v>
      </c>
      <c r="J36" s="1092"/>
      <c r="K36" s="1039" t="s">
        <v>133</v>
      </c>
      <c r="L36" s="564" t="s">
        <v>152</v>
      </c>
      <c r="M36" s="615"/>
      <c r="N36" s="1093"/>
      <c r="O36" s="1093"/>
      <c r="P36" s="1093"/>
      <c r="Q36" s="526"/>
      <c r="R36" s="1091"/>
      <c r="S36" s="1091"/>
      <c r="T36" s="1091"/>
      <c r="U36" s="1091"/>
      <c r="V36" s="1091"/>
      <c r="W36" s="1091"/>
      <c r="X36" s="1091"/>
    </row>
    <row r="37" spans="1:25" s="1090" customFormat="1" ht="15">
      <c r="B37" s="1097"/>
      <c r="C37" s="1044" t="str">
        <f t="shared" ref="C37:D42" si="2">IF(C28="","",C28)</f>
        <v>GP advisor</v>
      </c>
      <c r="D37" s="563" t="str">
        <f t="shared" si="2"/>
        <v>GP</v>
      </c>
      <c r="E37" s="568">
        <v>0.8</v>
      </c>
      <c r="F37" s="576">
        <v>10</v>
      </c>
      <c r="G37" s="576">
        <v>42</v>
      </c>
      <c r="H37" s="1101">
        <v>37.5</v>
      </c>
      <c r="J37" s="1092"/>
      <c r="K37" s="585" t="str">
        <f t="shared" ref="K37:K42" si="3">IF(C37&gt;"",C37,"")</f>
        <v>GP advisor</v>
      </c>
      <c r="L37" s="1337">
        <f t="shared" ref="L37:L42" si="4">IF(F37="","",E28*G37*H37*E37*60/F37)</f>
        <v>7560</v>
      </c>
      <c r="M37" s="615"/>
      <c r="N37" s="1093"/>
      <c r="O37" s="1093"/>
      <c r="P37" s="1093"/>
      <c r="Q37" s="526"/>
      <c r="R37" s="1091"/>
      <c r="S37" s="1091"/>
      <c r="T37" s="1091"/>
      <c r="U37" s="1091"/>
      <c r="V37" s="1091"/>
      <c r="W37" s="1091"/>
      <c r="X37" s="1091"/>
    </row>
    <row r="38" spans="1:25" s="1090" customFormat="1" ht="15">
      <c r="B38" s="1097"/>
      <c r="C38" s="1044" t="str">
        <f t="shared" si="2"/>
        <v>Nurse advisor</v>
      </c>
      <c r="D38" s="563">
        <f t="shared" si="2"/>
        <v>6</v>
      </c>
      <c r="E38" s="568">
        <v>0.7</v>
      </c>
      <c r="F38" s="576">
        <v>10</v>
      </c>
      <c r="G38" s="576">
        <v>40</v>
      </c>
      <c r="H38" s="1101">
        <v>37.5</v>
      </c>
      <c r="J38" s="1092"/>
      <c r="K38" s="585" t="str">
        <f t="shared" si="3"/>
        <v>Nurse advisor</v>
      </c>
      <c r="L38" s="1337">
        <f t="shared" si="4"/>
        <v>9450</v>
      </c>
      <c r="M38" s="615"/>
      <c r="N38" s="1093"/>
      <c r="O38" s="1093"/>
      <c r="P38" s="1093"/>
      <c r="Q38" s="526"/>
      <c r="R38" s="1091"/>
      <c r="S38" s="1091"/>
      <c r="T38" s="1091"/>
      <c r="U38" s="1091"/>
      <c r="V38" s="1091"/>
      <c r="W38" s="1091"/>
      <c r="X38" s="1091"/>
    </row>
    <row r="39" spans="1:25" s="1090" customFormat="1" ht="15">
      <c r="B39" s="1097"/>
      <c r="C39" s="1044" t="str">
        <f t="shared" si="2"/>
        <v>Pharmacist advisor</v>
      </c>
      <c r="D39" s="563">
        <f t="shared" si="2"/>
        <v>6</v>
      </c>
      <c r="E39" s="568">
        <v>0.8</v>
      </c>
      <c r="F39" s="576">
        <v>10</v>
      </c>
      <c r="G39" s="576">
        <v>42</v>
      </c>
      <c r="H39" s="1101">
        <v>37.5</v>
      </c>
      <c r="J39" s="1092"/>
      <c r="K39" s="585" t="str">
        <f t="shared" si="3"/>
        <v>Pharmacist advisor</v>
      </c>
      <c r="L39" s="1337">
        <f t="shared" si="4"/>
        <v>3780</v>
      </c>
      <c r="M39" s="615"/>
      <c r="N39" s="1093"/>
      <c r="O39" s="1093"/>
      <c r="P39" s="1093"/>
      <c r="Q39" s="526"/>
      <c r="R39" s="1091"/>
      <c r="S39" s="1091"/>
      <c r="T39" s="1091"/>
      <c r="U39" s="1091"/>
      <c r="V39" s="1091"/>
      <c r="W39" s="1091"/>
      <c r="X39" s="1091"/>
    </row>
    <row r="40" spans="1:25" s="1090" customFormat="1" ht="15">
      <c r="B40" s="1097"/>
      <c r="C40" s="1044" t="str">
        <f t="shared" si="2"/>
        <v>Clinical manager</v>
      </c>
      <c r="D40" s="563">
        <f t="shared" si="2"/>
        <v>7</v>
      </c>
      <c r="E40" s="568">
        <v>0</v>
      </c>
      <c r="F40" s="576">
        <v>10</v>
      </c>
      <c r="G40" s="576">
        <v>42</v>
      </c>
      <c r="H40" s="1101">
        <v>37.5</v>
      </c>
      <c r="J40" s="1092"/>
      <c r="K40" s="585" t="str">
        <f t="shared" si="3"/>
        <v>Clinical manager</v>
      </c>
      <c r="L40" s="577">
        <f t="shared" si="4"/>
        <v>0</v>
      </c>
      <c r="M40" s="615"/>
      <c r="N40" s="1093"/>
      <c r="O40" s="1093"/>
      <c r="P40" s="1093"/>
      <c r="Q40" s="526"/>
      <c r="R40" s="1091"/>
      <c r="S40" s="1091"/>
      <c r="T40" s="1091"/>
      <c r="U40" s="1091"/>
      <c r="V40" s="1091"/>
      <c r="W40" s="1091"/>
      <c r="X40" s="1091"/>
    </row>
    <row r="41" spans="1:25" s="1090" customFormat="1" ht="15">
      <c r="B41" s="1097"/>
      <c r="C41" s="1044" t="str">
        <f t="shared" si="2"/>
        <v>Nurse (MH)</v>
      </c>
      <c r="D41" s="563">
        <f t="shared" si="2"/>
        <v>6</v>
      </c>
      <c r="E41" s="568">
        <v>0.6</v>
      </c>
      <c r="F41" s="576">
        <v>20</v>
      </c>
      <c r="G41" s="576">
        <v>40</v>
      </c>
      <c r="H41" s="1101">
        <v>37.5</v>
      </c>
      <c r="J41" s="1092"/>
      <c r="K41" s="585" t="str">
        <f t="shared" si="3"/>
        <v>Nurse (MH)</v>
      </c>
      <c r="L41" s="1337">
        <f t="shared" si="4"/>
        <v>2700</v>
      </c>
      <c r="M41" s="615"/>
      <c r="N41" s="1093"/>
      <c r="O41" s="1093"/>
      <c r="P41" s="1093"/>
      <c r="Q41" s="526"/>
      <c r="R41" s="1091"/>
      <c r="S41" s="1091"/>
      <c r="T41" s="1091"/>
      <c r="U41" s="1091"/>
      <c r="V41" s="1091"/>
      <c r="W41" s="1091"/>
      <c r="X41" s="1091"/>
    </row>
    <row r="42" spans="1:25" s="1090" customFormat="1" ht="15">
      <c r="B42" s="1097"/>
      <c r="C42" s="1044" t="str">
        <f t="shared" si="2"/>
        <v/>
      </c>
      <c r="D42" s="563" t="str">
        <f t="shared" si="2"/>
        <v/>
      </c>
      <c r="E42" s="568"/>
      <c r="F42" s="576"/>
      <c r="G42" s="576"/>
      <c r="H42" s="1101"/>
      <c r="J42" s="1092"/>
      <c r="K42" s="585" t="str">
        <f t="shared" si="3"/>
        <v/>
      </c>
      <c r="L42" s="577" t="str">
        <f t="shared" si="4"/>
        <v/>
      </c>
      <c r="M42" s="615"/>
      <c r="N42" s="1093"/>
      <c r="O42" s="1093"/>
      <c r="P42" s="1093"/>
      <c r="Q42" s="526"/>
      <c r="R42" s="1091"/>
      <c r="S42" s="1091"/>
      <c r="T42" s="1091"/>
      <c r="U42" s="1091"/>
      <c r="V42" s="1091"/>
      <c r="W42" s="1091"/>
      <c r="X42" s="1091"/>
    </row>
    <row r="43" spans="1:25" s="1090" customFormat="1" ht="30">
      <c r="B43" s="1097"/>
      <c r="C43" s="525"/>
      <c r="D43" s="526"/>
      <c r="E43" s="526"/>
      <c r="F43" s="560"/>
      <c r="G43" s="1041"/>
      <c r="H43" s="560"/>
      <c r="I43" s="560"/>
      <c r="J43" s="560"/>
      <c r="K43" s="585" t="s">
        <v>998</v>
      </c>
      <c r="L43" s="577">
        <f>SUM(L37:L42)</f>
        <v>23490</v>
      </c>
      <c r="M43" s="1100"/>
      <c r="N43" s="1093"/>
      <c r="O43" s="1093"/>
      <c r="P43" s="1093"/>
      <c r="Q43" s="526"/>
      <c r="R43" s="1091"/>
      <c r="S43" s="1091"/>
      <c r="T43" s="1091"/>
      <c r="U43" s="1091"/>
      <c r="V43" s="1091"/>
      <c r="W43" s="1091"/>
      <c r="X43" s="1091"/>
    </row>
    <row r="44" spans="1:25" s="1090" customFormat="1" ht="30">
      <c r="B44" s="1097"/>
      <c r="C44" s="563" t="s">
        <v>130</v>
      </c>
      <c r="D44" s="563" t="s">
        <v>132</v>
      </c>
      <c r="E44" s="563" t="s">
        <v>131</v>
      </c>
      <c r="H44" s="1093"/>
      <c r="I44" s="1092"/>
      <c r="J44" s="1092"/>
      <c r="K44" s="584"/>
      <c r="L44" s="603"/>
      <c r="M44" s="1100"/>
      <c r="N44" s="1093"/>
      <c r="O44" s="1093"/>
      <c r="P44" s="1093"/>
      <c r="Q44" s="1093"/>
      <c r="R44" s="526"/>
      <c r="S44" s="1091"/>
      <c r="T44" s="1093"/>
      <c r="U44" s="1091"/>
      <c r="V44" s="1091"/>
      <c r="W44" s="1091"/>
      <c r="X44" s="1091"/>
      <c r="Y44" s="1091"/>
    </row>
    <row r="45" spans="1:25" s="1090" customFormat="1" ht="15">
      <c r="B45" s="1097"/>
      <c r="C45" s="565" t="s">
        <v>128</v>
      </c>
      <c r="D45" s="567">
        <f>E34</f>
        <v>4</v>
      </c>
      <c r="E45" s="1049">
        <v>100</v>
      </c>
      <c r="H45" s="1092"/>
      <c r="I45" s="1092"/>
      <c r="J45" s="1092"/>
      <c r="K45" s="585" t="s">
        <v>127</v>
      </c>
      <c r="L45" s="1133">
        <f>(D45*E45)+(D46*E46)+(D47*E47)</f>
        <v>2400</v>
      </c>
      <c r="M45" s="1104"/>
      <c r="O45" s="1093"/>
      <c r="P45" s="1093"/>
      <c r="Q45" s="1093"/>
      <c r="R45" s="526"/>
      <c r="S45" s="1091"/>
      <c r="T45" s="1093"/>
      <c r="U45" s="1091"/>
      <c r="V45" s="1091"/>
      <c r="W45" s="1091"/>
      <c r="X45" s="1091"/>
      <c r="Y45" s="1091"/>
    </row>
    <row r="46" spans="1:25" s="1090" customFormat="1" ht="15">
      <c r="A46" s="1102"/>
      <c r="B46" s="1097"/>
      <c r="C46" s="565" t="s">
        <v>151</v>
      </c>
      <c r="D46" s="567">
        <f>E34</f>
        <v>4</v>
      </c>
      <c r="E46" s="1049">
        <v>500</v>
      </c>
      <c r="H46" s="1093"/>
      <c r="I46" s="1092"/>
      <c r="J46" s="1092"/>
      <c r="K46" s="585" t="s">
        <v>25</v>
      </c>
      <c r="L46" s="1133">
        <f>L34+L45</f>
        <v>242910.3628</v>
      </c>
      <c r="M46" s="1100"/>
      <c r="N46" s="1093"/>
      <c r="O46" s="1093"/>
      <c r="P46" s="1093"/>
      <c r="Q46" s="1093"/>
      <c r="R46" s="526"/>
      <c r="S46" s="1091"/>
      <c r="T46" s="1093"/>
      <c r="U46" s="1091"/>
      <c r="V46" s="1091"/>
      <c r="W46" s="1091"/>
      <c r="X46" s="1091"/>
      <c r="Y46" s="1091"/>
    </row>
    <row r="47" spans="1:25" s="1090" customFormat="1" ht="15">
      <c r="B47" s="1097"/>
      <c r="C47" s="565"/>
      <c r="D47" s="573"/>
      <c r="E47" s="1049"/>
      <c r="H47" s="526"/>
      <c r="I47" s="1092"/>
      <c r="J47" s="1092"/>
      <c r="K47" s="585" t="s">
        <v>150</v>
      </c>
      <c r="L47" s="1050">
        <f>L46/L43</f>
        <v>10.341011613452533</v>
      </c>
      <c r="M47" s="1100"/>
      <c r="N47" s="1093"/>
      <c r="O47" s="1093"/>
      <c r="P47" s="1093"/>
      <c r="Q47" s="1093"/>
      <c r="R47" s="526"/>
      <c r="S47" s="1091"/>
      <c r="T47" s="1093"/>
      <c r="U47" s="1091"/>
      <c r="V47" s="1091"/>
      <c r="W47" s="1091"/>
      <c r="X47" s="1091"/>
    </row>
    <row r="48" spans="1:25" s="1090" customFormat="1" ht="15">
      <c r="B48" s="1097"/>
      <c r="C48" s="1038"/>
      <c r="D48" s="1038"/>
      <c r="E48" s="1038"/>
      <c r="F48" s="1038"/>
      <c r="G48" s="1038"/>
      <c r="H48" s="526"/>
      <c r="I48" s="1092"/>
      <c r="J48" s="1092"/>
      <c r="K48" s="585" t="s">
        <v>999</v>
      </c>
      <c r="L48" s="1105">
        <f>(((F15*F14))+L43)/F14</f>
        <v>0.34837960539265983</v>
      </c>
      <c r="M48" s="1100"/>
      <c r="N48" s="1093"/>
      <c r="O48" s="1093"/>
      <c r="P48" s="1093"/>
      <c r="Q48" s="1093"/>
      <c r="R48" s="526"/>
      <c r="S48" s="1091"/>
      <c r="T48" s="1093"/>
      <c r="U48" s="1091"/>
      <c r="V48" s="1091"/>
      <c r="W48" s="1091"/>
      <c r="X48" s="1091"/>
    </row>
    <row r="49" spans="2:25" s="1090" customFormat="1">
      <c r="B49" s="1106"/>
      <c r="C49" s="1107"/>
      <c r="D49" s="1107"/>
      <c r="E49" s="1107"/>
      <c r="F49" s="1107"/>
      <c r="G49" s="1107"/>
      <c r="H49" s="1107"/>
      <c r="I49" s="1107"/>
      <c r="J49" s="1093"/>
      <c r="K49" s="1093"/>
      <c r="L49" s="1093"/>
      <c r="M49" s="1100"/>
      <c r="N49" s="1091"/>
      <c r="O49" s="1091"/>
      <c r="P49" s="1091"/>
      <c r="Q49" s="1091"/>
      <c r="R49" s="1091"/>
      <c r="S49" s="1091"/>
      <c r="T49" s="1091"/>
      <c r="U49" s="1091"/>
      <c r="V49" s="1091"/>
      <c r="W49" s="1091"/>
      <c r="X49" s="1091"/>
    </row>
    <row r="50" spans="2:25" s="1090" customFormat="1" ht="15">
      <c r="B50" s="2343" t="s">
        <v>102</v>
      </c>
      <c r="C50" s="2360"/>
      <c r="D50" s="2360"/>
      <c r="E50" s="2360"/>
      <c r="F50" s="2360"/>
      <c r="G50" s="2360"/>
      <c r="H50" s="2360"/>
      <c r="I50" s="2360"/>
      <c r="J50" s="2360"/>
      <c r="K50" s="2360"/>
      <c r="L50" s="2360"/>
      <c r="M50" s="2361"/>
      <c r="N50" s="1093"/>
      <c r="O50" s="1093"/>
      <c r="P50" s="1093"/>
      <c r="Q50" s="1091"/>
      <c r="R50" s="1091"/>
      <c r="T50" s="1091"/>
      <c r="U50" s="545"/>
      <c r="V50" s="1091"/>
      <c r="W50" s="1091"/>
      <c r="X50" s="1091"/>
    </row>
    <row r="51" spans="2:25" s="1090" customFormat="1" ht="15">
      <c r="B51" s="1097"/>
      <c r="C51" s="1078"/>
      <c r="D51" s="1093"/>
      <c r="E51" s="1093"/>
      <c r="F51" s="1108"/>
      <c r="G51" s="1093"/>
      <c r="H51" s="1108"/>
      <c r="I51" s="1108"/>
      <c r="J51" s="1093"/>
      <c r="K51" s="149"/>
      <c r="L51" s="1042"/>
      <c r="M51" s="1100"/>
      <c r="N51" s="1093"/>
      <c r="O51" s="1091"/>
      <c r="P51" s="1091"/>
      <c r="Q51" s="1091"/>
      <c r="R51" s="1091"/>
      <c r="S51" s="1091"/>
      <c r="T51" s="1091"/>
      <c r="U51" s="1091"/>
      <c r="V51" s="1091"/>
      <c r="W51" s="1091"/>
      <c r="X51" s="1091"/>
      <c r="Y51" s="1091"/>
    </row>
    <row r="52" spans="2:25" s="1090" customFormat="1" ht="45.75" customHeight="1">
      <c r="B52" s="1097"/>
      <c r="C52" s="1078"/>
      <c r="D52" s="1093"/>
      <c r="E52" s="1093"/>
      <c r="F52" s="1108"/>
      <c r="G52" s="1093"/>
      <c r="H52" s="2372"/>
      <c r="I52" s="2372"/>
      <c r="J52" s="1042"/>
      <c r="K52" s="585" t="s">
        <v>998</v>
      </c>
      <c r="L52" s="1337">
        <f>L43</f>
        <v>23490</v>
      </c>
      <c r="M52" s="1100"/>
      <c r="N52" s="1093"/>
      <c r="O52" s="1091"/>
      <c r="P52" s="1091"/>
      <c r="Q52" s="1091"/>
      <c r="R52" s="1091"/>
      <c r="S52" s="1091"/>
      <c r="T52" s="1091"/>
      <c r="U52" s="1091"/>
      <c r="V52" s="1091"/>
      <c r="W52" s="1091"/>
      <c r="X52" s="1091"/>
      <c r="Y52" s="1091"/>
    </row>
    <row r="53" spans="2:25" s="1090" customFormat="1" ht="30" customHeight="1">
      <c r="B53" s="1097"/>
      <c r="C53" s="804" t="s">
        <v>1000</v>
      </c>
      <c r="D53" s="563" t="s">
        <v>122</v>
      </c>
      <c r="E53" s="563" t="s">
        <v>100</v>
      </c>
      <c r="F53" s="563" t="s">
        <v>99</v>
      </c>
      <c r="G53" s="1108"/>
      <c r="H53" s="2372"/>
      <c r="I53" s="2372"/>
      <c r="J53" s="560"/>
      <c r="K53" s="585" t="s">
        <v>1001</v>
      </c>
      <c r="L53" s="564" t="s">
        <v>121</v>
      </c>
      <c r="M53" s="1134" t="s">
        <v>148</v>
      </c>
      <c r="N53" s="1093"/>
      <c r="O53" s="1091"/>
      <c r="P53" s="1091"/>
      <c r="Q53" s="1091"/>
      <c r="R53" s="1091"/>
      <c r="S53" s="1091"/>
      <c r="T53" s="1091"/>
      <c r="U53" s="1091"/>
      <c r="V53" s="1091"/>
      <c r="W53" s="1091"/>
      <c r="X53" s="1091"/>
      <c r="Y53" s="1091"/>
    </row>
    <row r="54" spans="2:25" s="1090" customFormat="1" ht="15">
      <c r="B54" s="1097"/>
      <c r="C54" s="572" t="s">
        <v>77</v>
      </c>
      <c r="D54" s="1109">
        <v>0</v>
      </c>
      <c r="E54" s="1109">
        <v>0.1</v>
      </c>
      <c r="F54" s="1110">
        <v>0.04</v>
      </c>
      <c r="G54" s="1108"/>
      <c r="H54" s="2373"/>
      <c r="I54" s="2373"/>
      <c r="J54" s="575"/>
      <c r="K54" s="585" t="str">
        <f>C54</f>
        <v>Ambulance - see and treat</v>
      </c>
      <c r="L54" s="1337">
        <f>F54*$L$52</f>
        <v>939.6</v>
      </c>
      <c r="M54" s="631">
        <f t="shared" ref="M54:M56" si="5">SIGN(F54)*INT(ABS(L54)/E74)*E74</f>
        <v>0</v>
      </c>
      <c r="N54" s="1093"/>
      <c r="O54" s="1091"/>
      <c r="P54" s="1091"/>
      <c r="Q54" s="1091"/>
      <c r="R54" s="1091"/>
      <c r="S54" s="1091"/>
      <c r="T54" s="1091"/>
      <c r="U54" s="1091"/>
      <c r="V54" s="1091"/>
      <c r="W54" s="1091"/>
      <c r="X54" s="1091"/>
      <c r="Y54" s="1091"/>
    </row>
    <row r="55" spans="2:25" s="1090" customFormat="1" ht="15">
      <c r="B55" s="1097"/>
      <c r="C55" s="572" t="s">
        <v>46</v>
      </c>
      <c r="D55" s="1109">
        <v>0.03</v>
      </c>
      <c r="E55" s="1109">
        <v>0.1</v>
      </c>
      <c r="F55" s="1110">
        <v>0.02</v>
      </c>
      <c r="G55" s="1108"/>
      <c r="H55" s="2373"/>
      <c r="I55" s="2373"/>
      <c r="J55" s="575"/>
      <c r="K55" s="585" t="str">
        <f>C55</f>
        <v>Ambulance - see and convey to ED</v>
      </c>
      <c r="L55" s="1337">
        <f>F55*$L$52</f>
        <v>469.8</v>
      </c>
      <c r="M55" s="631">
        <f t="shared" si="5"/>
        <v>0</v>
      </c>
      <c r="N55" s="1093"/>
      <c r="O55" s="1091"/>
      <c r="P55" s="1091"/>
      <c r="Q55" s="1091"/>
      <c r="R55" s="1091"/>
      <c r="S55" s="1091"/>
      <c r="T55" s="1091"/>
      <c r="U55" s="1091"/>
      <c r="V55" s="1091"/>
      <c r="W55" s="1091"/>
      <c r="X55" s="1091"/>
      <c r="Y55" s="1091"/>
    </row>
    <row r="56" spans="2:25" s="1090" customFormat="1" ht="30">
      <c r="B56" s="1097"/>
      <c r="C56" s="572" t="s">
        <v>1250</v>
      </c>
      <c r="D56" s="1109">
        <v>0.1</v>
      </c>
      <c r="E56" s="1109">
        <v>0.3</v>
      </c>
      <c r="F56" s="604">
        <f>F55</f>
        <v>0.02</v>
      </c>
      <c r="G56" s="1108"/>
      <c r="H56" s="2373"/>
      <c r="I56" s="2373"/>
      <c r="J56" s="575"/>
      <c r="K56" s="585" t="str">
        <f>C57</f>
        <v>ED Minor attends</v>
      </c>
      <c r="L56" s="1337">
        <f>(F56+F57)*L52</f>
        <v>939.6</v>
      </c>
      <c r="M56" s="631">
        <f t="shared" si="5"/>
        <v>0</v>
      </c>
      <c r="N56" s="1093"/>
      <c r="O56" s="1091"/>
      <c r="P56" s="1091"/>
      <c r="Q56" s="1091"/>
      <c r="R56" s="1091"/>
      <c r="S56" s="1091"/>
      <c r="T56" s="1091"/>
      <c r="U56" s="1091"/>
      <c r="V56" s="1091"/>
      <c r="W56" s="1091"/>
      <c r="X56" s="1091"/>
      <c r="Y56" s="1091"/>
    </row>
    <row r="57" spans="2:25" s="1090" customFormat="1" ht="15">
      <c r="B57" s="1097"/>
      <c r="C57" s="572" t="s">
        <v>49</v>
      </c>
      <c r="D57" s="1109">
        <v>0.02</v>
      </c>
      <c r="E57" s="1109">
        <v>0.06</v>
      </c>
      <c r="F57" s="1110">
        <v>0.02</v>
      </c>
      <c r="G57" s="1108"/>
      <c r="H57" s="2373"/>
      <c r="I57" s="2373"/>
      <c r="J57" s="575"/>
      <c r="K57" s="585" t="str">
        <f>C58</f>
        <v>OOH clinic visits</v>
      </c>
      <c r="L57" s="297">
        <f>F58*$L$43</f>
        <v>0</v>
      </c>
      <c r="M57" s="631">
        <f>SIGN(F58)*INT(ABS(L57)/E77)*E77</f>
        <v>0</v>
      </c>
      <c r="N57" s="1093"/>
      <c r="O57" s="1091"/>
      <c r="P57" s="1091"/>
      <c r="Q57" s="1091"/>
      <c r="R57" s="1091"/>
      <c r="S57" s="1091"/>
      <c r="T57" s="1091"/>
      <c r="U57" s="1091"/>
      <c r="V57" s="1091"/>
      <c r="W57" s="1091"/>
      <c r="X57" s="1091"/>
      <c r="Y57" s="1091"/>
    </row>
    <row r="58" spans="2:25" s="1090" customFormat="1" ht="15">
      <c r="B58" s="1097"/>
      <c r="C58" s="572" t="s">
        <v>44</v>
      </c>
      <c r="D58" s="1109">
        <v>0.05</v>
      </c>
      <c r="E58" s="1109">
        <v>0.15</v>
      </c>
      <c r="F58" s="1110">
        <v>0</v>
      </c>
      <c r="G58" s="1108"/>
      <c r="H58" s="2373"/>
      <c r="I58" s="2373"/>
      <c r="J58" s="575"/>
      <c r="K58" s="585" t="str">
        <f>C59</f>
        <v>UCC attends</v>
      </c>
      <c r="L58" s="1337">
        <f>F59*$L$43</f>
        <v>4698</v>
      </c>
      <c r="M58" s="631">
        <f t="shared" ref="M58" si="6">SIGN(F59)*INT(ABS(L58)/E78)*E78</f>
        <v>0</v>
      </c>
      <c r="N58" s="1093"/>
      <c r="O58" s="1091"/>
      <c r="P58" s="1091"/>
      <c r="Q58" s="1091"/>
      <c r="R58" s="1091"/>
      <c r="S58" s="1091"/>
      <c r="T58" s="1091"/>
      <c r="U58" s="1091"/>
      <c r="V58" s="1091"/>
      <c r="W58" s="1091"/>
      <c r="X58" s="1091"/>
      <c r="Y58" s="1091"/>
    </row>
    <row r="59" spans="2:25" s="1090" customFormat="1" ht="15">
      <c r="B59" s="1097"/>
      <c r="C59" s="572" t="s">
        <v>67</v>
      </c>
      <c r="D59" s="1109">
        <v>-0.2</v>
      </c>
      <c r="E59" s="1109">
        <v>0.2</v>
      </c>
      <c r="F59" s="1110">
        <v>0.2</v>
      </c>
      <c r="G59" s="1108"/>
      <c r="H59" s="2373"/>
      <c r="I59" s="2373"/>
      <c r="J59" s="575"/>
      <c r="K59" s="585" t="str">
        <f>C60</f>
        <v>GP attends</v>
      </c>
      <c r="L59" s="1337">
        <f>F60*$L$43</f>
        <v>4932.8999999999996</v>
      </c>
      <c r="M59" s="631">
        <f>SIGN(F60)*INT(ABS(L59)/E79)*E79</f>
        <v>4932</v>
      </c>
      <c r="N59" s="1093"/>
      <c r="O59" s="1091"/>
      <c r="P59" s="1091"/>
      <c r="Q59" s="1091"/>
      <c r="R59" s="1091"/>
      <c r="S59" s="1091"/>
      <c r="T59" s="1091"/>
      <c r="U59" s="1091"/>
      <c r="V59" s="1091"/>
      <c r="W59" s="1091"/>
      <c r="X59" s="1091"/>
      <c r="Y59" s="1091"/>
    </row>
    <row r="60" spans="2:25" s="1090" customFormat="1" ht="15">
      <c r="B60" s="1097"/>
      <c r="C60" s="572" t="s">
        <v>32</v>
      </c>
      <c r="D60" s="1109">
        <v>0.05</v>
      </c>
      <c r="E60" s="1109">
        <v>0.15</v>
      </c>
      <c r="F60" s="1110">
        <v>0.21</v>
      </c>
      <c r="G60" s="1108"/>
      <c r="H60" s="2373"/>
      <c r="I60" s="2373"/>
      <c r="J60" s="575"/>
      <c r="K60" s="585" t="str">
        <f>C61</f>
        <v>Community contacts</v>
      </c>
      <c r="L60" s="297">
        <f>F61*$L$43</f>
        <v>0</v>
      </c>
      <c r="M60" s="631">
        <f>SIGN(F61)*INT(ABS(L60)/E80)*E80</f>
        <v>0</v>
      </c>
      <c r="N60" s="1093"/>
      <c r="O60" s="1091"/>
      <c r="P60" s="1091"/>
      <c r="Q60" s="1091"/>
      <c r="R60" s="1091"/>
      <c r="S60" s="1091"/>
      <c r="T60" s="1091"/>
      <c r="U60" s="1091"/>
      <c r="V60" s="1091"/>
      <c r="W60" s="1091"/>
      <c r="X60" s="1091"/>
      <c r="Y60" s="1091"/>
    </row>
    <row r="61" spans="2:25" s="1090" customFormat="1" ht="15">
      <c r="B61" s="1097"/>
      <c r="C61" s="572" t="s">
        <v>30</v>
      </c>
      <c r="D61" s="1109">
        <v>0</v>
      </c>
      <c r="E61" s="1109">
        <v>0.05</v>
      </c>
      <c r="F61" s="1110">
        <v>0</v>
      </c>
      <c r="G61" s="1108"/>
      <c r="H61" s="1108"/>
      <c r="I61" s="1108"/>
      <c r="J61" s="1093"/>
      <c r="K61" s="149"/>
      <c r="L61" s="1042"/>
      <c r="M61" s="1100"/>
      <c r="N61" s="1093"/>
      <c r="O61" s="1091"/>
      <c r="P61" s="1091"/>
      <c r="Q61" s="1091"/>
      <c r="R61" s="1091"/>
      <c r="S61" s="1091"/>
      <c r="T61" s="1091"/>
      <c r="U61" s="1091"/>
      <c r="V61" s="1091"/>
      <c r="W61" s="1091"/>
      <c r="X61" s="1091"/>
      <c r="Y61" s="1091"/>
    </row>
    <row r="62" spans="2:25" s="1090" customFormat="1" ht="30">
      <c r="B62" s="1097"/>
      <c r="C62" s="1111" t="s">
        <v>147</v>
      </c>
      <c r="D62" s="1093"/>
      <c r="E62" s="1093"/>
      <c r="F62" s="1112">
        <f>1-((ABS(F54)+ABS(F55)+ABS(F57)+ABS(F58)+ABS(F59)+ABS(F60)+ABS(F61)))</f>
        <v>0.51</v>
      </c>
      <c r="G62" s="1093"/>
      <c r="H62" s="2333"/>
      <c r="I62" s="2333"/>
      <c r="J62" s="560"/>
      <c r="K62" s="585" t="s">
        <v>1002</v>
      </c>
      <c r="L62" s="563" t="s">
        <v>659</v>
      </c>
      <c r="M62" s="1134" t="s">
        <v>120</v>
      </c>
      <c r="N62" s="1093"/>
      <c r="O62" s="1091"/>
      <c r="P62" s="1091"/>
      <c r="Q62" s="1091"/>
      <c r="R62" s="1091"/>
      <c r="S62" s="1091"/>
      <c r="T62" s="1091"/>
      <c r="U62" s="1091"/>
      <c r="V62" s="1091"/>
      <c r="W62" s="1091"/>
      <c r="X62" s="1091"/>
      <c r="Y62" s="1091"/>
    </row>
    <row r="63" spans="2:25" s="1090" customFormat="1" ht="15">
      <c r="B63" s="1097"/>
      <c r="C63" s="1093"/>
      <c r="D63" s="1093"/>
      <c r="E63" s="1093"/>
      <c r="F63" s="1093"/>
      <c r="G63" s="1093"/>
      <c r="H63" s="2373"/>
      <c r="I63" s="2373"/>
      <c r="J63" s="575"/>
      <c r="K63" s="585" t="str">
        <f t="shared" ref="K63:K69" si="7">K54</f>
        <v>Ambulance - see and treat</v>
      </c>
      <c r="L63" s="1133">
        <f t="shared" ref="L63:L69" si="8">L54*D74</f>
        <v>168969.78710544534</v>
      </c>
      <c r="M63" s="1135">
        <f t="shared" ref="M63:M69" si="9">(L54-M54)*F74+M54*G74</f>
        <v>15177.828599999999</v>
      </c>
      <c r="N63" s="1093"/>
      <c r="O63" s="1091"/>
      <c r="P63" s="1091"/>
      <c r="Q63" s="1091"/>
      <c r="R63" s="1091"/>
      <c r="S63" s="1091"/>
      <c r="T63" s="1091"/>
      <c r="U63" s="1091"/>
      <c r="V63" s="1091"/>
      <c r="W63" s="1091"/>
      <c r="X63" s="1091"/>
      <c r="Y63" s="1091"/>
    </row>
    <row r="64" spans="2:25" s="1090" customFormat="1" ht="15">
      <c r="B64" s="1097"/>
      <c r="C64" s="1093"/>
      <c r="D64" s="1093"/>
      <c r="E64" s="1093"/>
      <c r="F64" s="1093"/>
      <c r="G64" s="1093"/>
      <c r="H64" s="2373"/>
      <c r="I64" s="2373"/>
      <c r="J64" s="575"/>
      <c r="K64" s="585" t="str">
        <f t="shared" si="7"/>
        <v>Ambulance - see and convey to ED</v>
      </c>
      <c r="L64" s="1133">
        <f t="shared" si="8"/>
        <v>109472.79632283274</v>
      </c>
      <c r="M64" s="1135">
        <f t="shared" si="9"/>
        <v>12096.26946</v>
      </c>
      <c r="N64" s="1093"/>
      <c r="O64" s="1091"/>
      <c r="P64" s="1091"/>
      <c r="Q64" s="1091"/>
      <c r="R64" s="1091"/>
      <c r="S64" s="1091"/>
      <c r="T64" s="1091"/>
      <c r="U64" s="1091"/>
      <c r="V64" s="1091"/>
      <c r="W64" s="1091"/>
      <c r="X64" s="1091"/>
      <c r="Y64" s="1091"/>
    </row>
    <row r="65" spans="1:25" s="1090" customFormat="1" ht="15">
      <c r="B65" s="1097"/>
      <c r="C65" s="1093"/>
      <c r="D65" s="1093"/>
      <c r="E65" s="1093"/>
      <c r="F65" s="1093"/>
      <c r="G65" s="1093"/>
      <c r="H65" s="2373"/>
      <c r="I65" s="2373"/>
      <c r="J65" s="596"/>
      <c r="K65" s="585" t="str">
        <f t="shared" si="7"/>
        <v>ED Minor attends</v>
      </c>
      <c r="L65" s="1133">
        <f t="shared" si="8"/>
        <v>84125.301554950129</v>
      </c>
      <c r="M65" s="1135">
        <f t="shared" si="9"/>
        <v>10250.503996330091</v>
      </c>
      <c r="N65" s="1093"/>
      <c r="O65" s="1091"/>
      <c r="P65" s="1091"/>
      <c r="Q65" s="1091"/>
      <c r="R65" s="1091"/>
      <c r="S65" s="1091"/>
      <c r="T65" s="1091"/>
      <c r="U65" s="1091"/>
      <c r="V65" s="1091"/>
      <c r="W65" s="1091"/>
      <c r="X65" s="1091"/>
      <c r="Y65" s="1091"/>
    </row>
    <row r="66" spans="1:25" s="1090" customFormat="1" ht="15">
      <c r="B66" s="1097"/>
      <c r="C66" s="1093"/>
      <c r="D66" s="1093"/>
      <c r="E66" s="1093"/>
      <c r="F66" s="1093"/>
      <c r="G66" s="1093"/>
      <c r="H66" s="2373"/>
      <c r="I66" s="2373"/>
      <c r="J66" s="596"/>
      <c r="K66" s="585" t="str">
        <f t="shared" si="7"/>
        <v>OOH clinic visits</v>
      </c>
      <c r="L66" s="1133">
        <f t="shared" si="8"/>
        <v>0</v>
      </c>
      <c r="M66" s="1135">
        <f t="shared" si="9"/>
        <v>0</v>
      </c>
      <c r="N66" s="1093"/>
      <c r="O66" s="1091"/>
      <c r="P66" s="1091"/>
      <c r="Q66" s="1091"/>
      <c r="R66" s="1091"/>
      <c r="S66" s="1091"/>
      <c r="T66" s="1091"/>
      <c r="U66" s="1091"/>
      <c r="V66" s="1091"/>
      <c r="W66" s="1091"/>
      <c r="X66" s="1091"/>
      <c r="Y66" s="1091"/>
    </row>
    <row r="67" spans="1:25" s="1090" customFormat="1" ht="15">
      <c r="B67" s="1097"/>
      <c r="C67" s="1093"/>
      <c r="D67" s="1093"/>
      <c r="E67" s="1093"/>
      <c r="F67" s="1093"/>
      <c r="G67" s="1093"/>
      <c r="H67" s="2373"/>
      <c r="I67" s="2373"/>
      <c r="J67" s="596"/>
      <c r="K67" s="585" t="str">
        <f t="shared" si="7"/>
        <v>UCC attends</v>
      </c>
      <c r="L67" s="1133">
        <f t="shared" si="8"/>
        <v>267786</v>
      </c>
      <c r="M67" s="1135">
        <f t="shared" si="9"/>
        <v>20483.28</v>
      </c>
      <c r="N67" s="1093"/>
      <c r="O67" s="1091"/>
      <c r="P67" s="1091"/>
      <c r="Q67" s="1091"/>
      <c r="R67" s="1091"/>
      <c r="S67" s="1091"/>
      <c r="T67" s="1091"/>
      <c r="U67" s="1091"/>
      <c r="V67" s="1091"/>
      <c r="W67" s="1091"/>
      <c r="X67" s="1091"/>
      <c r="Y67" s="1091"/>
    </row>
    <row r="68" spans="1:25" s="1090" customFormat="1" ht="15">
      <c r="B68" s="1097"/>
      <c r="C68" s="1093"/>
      <c r="D68" s="1093"/>
      <c r="E68" s="1093"/>
      <c r="F68" s="1093"/>
      <c r="G68" s="1093"/>
      <c r="H68" s="2373"/>
      <c r="I68" s="2373"/>
      <c r="J68" s="575"/>
      <c r="K68" s="585" t="str">
        <f t="shared" si="7"/>
        <v>GP attends</v>
      </c>
      <c r="L68" s="1133">
        <f t="shared" si="8"/>
        <v>182517.3</v>
      </c>
      <c r="M68" s="1135">
        <f t="shared" si="9"/>
        <v>20506.583254293204</v>
      </c>
      <c r="N68" s="1093"/>
      <c r="O68" s="1091"/>
      <c r="P68" s="1091"/>
      <c r="Q68" s="1091"/>
      <c r="R68" s="1091"/>
      <c r="S68" s="1091"/>
      <c r="T68" s="1091"/>
      <c r="U68" s="1091"/>
      <c r="V68" s="1091"/>
      <c r="W68" s="1091"/>
      <c r="X68" s="1091"/>
      <c r="Y68" s="1091"/>
    </row>
    <row r="69" spans="1:25" s="1090" customFormat="1" ht="15">
      <c r="B69" s="1097"/>
      <c r="C69" s="1093"/>
      <c r="D69" s="1093"/>
      <c r="E69" s="1093"/>
      <c r="F69" s="1093"/>
      <c r="G69" s="1093"/>
      <c r="H69" s="2373"/>
      <c r="I69" s="2373"/>
      <c r="J69" s="575"/>
      <c r="K69" s="585" t="str">
        <f t="shared" si="7"/>
        <v>Community contacts</v>
      </c>
      <c r="L69" s="1133">
        <f t="shared" si="8"/>
        <v>0</v>
      </c>
      <c r="M69" s="1135">
        <f t="shared" si="9"/>
        <v>0</v>
      </c>
      <c r="N69" s="1093"/>
      <c r="O69" s="1091"/>
      <c r="P69" s="1091"/>
      <c r="Q69" s="1091"/>
      <c r="R69" s="1091"/>
      <c r="S69" s="1091"/>
      <c r="T69" s="1091"/>
      <c r="U69" s="1091"/>
      <c r="V69" s="1091"/>
      <c r="W69" s="1091"/>
      <c r="X69" s="1091"/>
      <c r="Y69" s="1091"/>
    </row>
    <row r="70" spans="1:25" s="1090" customFormat="1" ht="15">
      <c r="B70" s="1097"/>
      <c r="C70" s="1093"/>
      <c r="D70" s="1093"/>
      <c r="E70" s="1093"/>
      <c r="F70" s="1093"/>
      <c r="G70" s="1093"/>
      <c r="H70" s="2373"/>
      <c r="I70" s="2373"/>
      <c r="J70" s="596"/>
      <c r="K70" s="585" t="s">
        <v>146</v>
      </c>
      <c r="L70" s="1133">
        <f>SUM(L63:L69)</f>
        <v>812871.18498322833</v>
      </c>
      <c r="M70" s="1135">
        <f>SUM(M63:M69)</f>
        <v>78514.465310623287</v>
      </c>
      <c r="N70" s="1093"/>
      <c r="O70" s="1091"/>
      <c r="P70" s="1091"/>
      <c r="Q70" s="1091"/>
      <c r="R70" s="1091"/>
      <c r="S70" s="1091"/>
      <c r="T70" s="1091"/>
      <c r="U70" s="1091"/>
      <c r="V70" s="1091"/>
      <c r="W70" s="1091"/>
      <c r="X70" s="1091"/>
      <c r="Y70" s="1091"/>
    </row>
    <row r="71" spans="1:25" s="1090" customFormat="1" ht="15">
      <c r="B71" s="1097"/>
      <c r="C71" s="1093"/>
      <c r="D71" s="1093"/>
      <c r="E71" s="1093"/>
      <c r="F71" s="1093"/>
      <c r="G71" s="1093"/>
      <c r="H71" s="609"/>
      <c r="I71" s="596"/>
      <c r="J71" s="596"/>
      <c r="L71" s="625"/>
      <c r="M71" s="1136"/>
      <c r="N71" s="1093"/>
      <c r="O71" s="1091"/>
      <c r="P71" s="1091"/>
      <c r="Q71" s="1091"/>
      <c r="R71" s="1091"/>
      <c r="S71" s="1091"/>
      <c r="T71" s="1091"/>
      <c r="U71" s="1091"/>
      <c r="V71" s="1091"/>
      <c r="W71" s="1091"/>
      <c r="X71" s="1091"/>
      <c r="Y71" s="1091"/>
    </row>
    <row r="72" spans="1:25" s="1090" customFormat="1" ht="15">
      <c r="B72" s="1097"/>
      <c r="C72" s="1093"/>
      <c r="D72" s="1093"/>
      <c r="E72" s="1093"/>
      <c r="F72" s="1108"/>
      <c r="G72" s="1093"/>
      <c r="H72" s="1108"/>
      <c r="I72" s="1042"/>
      <c r="J72" s="1042"/>
      <c r="K72" s="149"/>
      <c r="L72" s="1042"/>
      <c r="M72" s="1100"/>
      <c r="N72" s="1093"/>
      <c r="O72" s="1091"/>
      <c r="P72" s="1091"/>
      <c r="Q72" s="1091"/>
      <c r="R72" s="1091"/>
      <c r="S72" s="1091"/>
      <c r="T72" s="1091"/>
      <c r="U72" s="1091"/>
      <c r="V72" s="1091"/>
      <c r="W72" s="1091"/>
      <c r="X72" s="1091"/>
      <c r="Y72" s="1091"/>
    </row>
    <row r="73" spans="1:25" s="1090" customFormat="1" ht="75">
      <c r="B73" s="1097"/>
      <c r="C73" s="582" t="s">
        <v>1214</v>
      </c>
      <c r="D73" s="563" t="s">
        <v>660</v>
      </c>
      <c r="E73" s="563" t="s">
        <v>145</v>
      </c>
      <c r="F73" s="563" t="s">
        <v>144</v>
      </c>
      <c r="G73" s="563" t="s">
        <v>561</v>
      </c>
      <c r="J73" s="1038"/>
      <c r="K73" s="526"/>
      <c r="L73" s="1038"/>
      <c r="M73" s="591"/>
      <c r="N73" s="1093"/>
      <c r="O73" s="1093"/>
      <c r="P73" s="526"/>
      <c r="Q73" s="1091"/>
      <c r="R73" s="1091"/>
      <c r="S73" s="1091"/>
      <c r="T73" s="1091"/>
      <c r="U73" s="1091"/>
      <c r="V73" s="1091"/>
      <c r="W73" s="1091"/>
    </row>
    <row r="74" spans="1:25" s="1090" customFormat="1" ht="15">
      <c r="B74" s="1097"/>
      <c r="C74" s="597" t="str">
        <f>C54</f>
        <v>Ambulance - see and treat</v>
      </c>
      <c r="D74" s="1194">
        <f>VLOOKUP($C74,local_data_input!$B$4:$K$20,2,FALSE)</f>
        <v>179.83161675760465</v>
      </c>
      <c r="E74" s="1337">
        <f>VLOOKUP($C74,local_data_input!$B$4:$K$20,7,FALSE)</f>
        <v>3150</v>
      </c>
      <c r="F74" s="1194">
        <f>VLOOKUP($C74,local_data_input!$B$4:$K$20,8,FALSE)</f>
        <v>16.153499999999998</v>
      </c>
      <c r="G74" s="1194">
        <f>VLOOKUP($C74,local_data_input!$B$4:$K$20,9,FALSE)</f>
        <v>16.153499999999998</v>
      </c>
      <c r="J74" s="1038"/>
      <c r="K74" s="526"/>
      <c r="L74" s="1038"/>
      <c r="M74" s="591"/>
      <c r="N74" s="1093"/>
      <c r="O74" s="1093"/>
      <c r="P74" s="526"/>
      <c r="Q74" s="1091"/>
      <c r="R74" s="1091"/>
      <c r="S74" s="1091"/>
      <c r="T74" s="1091"/>
      <c r="U74" s="1091"/>
      <c r="V74" s="1091"/>
      <c r="W74" s="1091"/>
    </row>
    <row r="75" spans="1:25" s="1090" customFormat="1" ht="15">
      <c r="B75" s="1097"/>
      <c r="C75" s="597" t="str">
        <f>C55</f>
        <v>Ambulance - see and convey to ED</v>
      </c>
      <c r="D75" s="1194">
        <f>VLOOKUP($C75,local_data_input!$B$4:$K$20,2,FALSE)</f>
        <v>233.02000068717058</v>
      </c>
      <c r="E75" s="1337">
        <f>VLOOKUP($C75,local_data_input!$B$4:$K$20,7,FALSE)</f>
        <v>3150</v>
      </c>
      <c r="F75" s="1194">
        <f>VLOOKUP($C75,local_data_input!$B$4:$K$20,8,FALSE)</f>
        <v>25.747699999999998</v>
      </c>
      <c r="G75" s="1194">
        <f>VLOOKUP($C75,local_data_input!$B$4:$K$20,9,FALSE)</f>
        <v>25.747699999999998</v>
      </c>
      <c r="J75" s="1038"/>
      <c r="K75" s="526"/>
      <c r="L75" s="1038"/>
      <c r="M75" s="591"/>
      <c r="N75" s="1093"/>
      <c r="O75" s="1093"/>
      <c r="P75" s="526"/>
      <c r="Q75" s="1091"/>
      <c r="R75" s="1091"/>
      <c r="S75" s="1091"/>
      <c r="T75" s="1091"/>
      <c r="U75" s="1091"/>
      <c r="V75" s="1091"/>
      <c r="W75" s="1091"/>
    </row>
    <row r="76" spans="1:25" s="1090" customFormat="1" ht="15">
      <c r="A76" s="1114"/>
      <c r="B76" s="1097"/>
      <c r="C76" s="597" t="str">
        <f>C57</f>
        <v>ED Minor attends</v>
      </c>
      <c r="D76" s="1194">
        <f>VLOOKUP($C76,local_data_input!$B$4:$K$20,2,FALSE)</f>
        <v>89.533100846051653</v>
      </c>
      <c r="E76" s="1337">
        <f>VLOOKUP($C76,local_data_input!$B$4:$K$20,7,FALSE)</f>
        <v>6300</v>
      </c>
      <c r="F76" s="1194">
        <f>VLOOKUP($C76,local_data_input!$B$4:$K$20,8,FALSE)</f>
        <v>10.909433797711889</v>
      </c>
      <c r="G76" s="1194">
        <f>VLOOKUP($C76,local_data_input!$B$4:$K$20,9,FALSE)</f>
        <v>10.909433797711889</v>
      </c>
      <c r="J76" s="1038"/>
      <c r="K76" s="526"/>
      <c r="L76" s="1038"/>
      <c r="M76" s="591"/>
      <c r="N76" s="1093"/>
      <c r="O76" s="1093"/>
      <c r="P76" s="526"/>
      <c r="Q76" s="1091"/>
      <c r="R76" s="1091"/>
      <c r="S76" s="1091"/>
      <c r="T76" s="1091"/>
      <c r="U76" s="1091"/>
      <c r="V76" s="1091"/>
      <c r="W76" s="1091"/>
    </row>
    <row r="77" spans="1:25" s="1090" customFormat="1" ht="15">
      <c r="B77" s="1097"/>
      <c r="C77" s="597" t="str">
        <f>C58</f>
        <v>OOH clinic visits</v>
      </c>
      <c r="D77" s="1194">
        <f>VLOOKUP($C77,local_data_input!$B$4:$K$20,2,FALSE)</f>
        <v>68.3</v>
      </c>
      <c r="E77" s="1337">
        <f>VLOOKUP($C77,local_data_input!$B$4:$K$20,7,FALSE)</f>
        <v>6300</v>
      </c>
      <c r="F77" s="1194">
        <f>VLOOKUP($C77,local_data_input!$B$4:$K$20,8,FALSE)</f>
        <v>7.6578249999227763</v>
      </c>
      <c r="G77" s="1194">
        <f>VLOOKUP($C77,local_data_input!$B$4:$K$20,9,FALSE)</f>
        <v>7.6578249999227763</v>
      </c>
      <c r="J77" s="1038"/>
      <c r="K77" s="526"/>
      <c r="L77" s="1038"/>
      <c r="M77" s="591"/>
      <c r="N77" s="1093"/>
      <c r="O77" s="1093"/>
      <c r="P77" s="526"/>
      <c r="Q77" s="1091"/>
      <c r="R77" s="1091"/>
      <c r="S77" s="1091"/>
      <c r="T77" s="1091"/>
      <c r="U77" s="1091"/>
      <c r="V77" s="1091"/>
      <c r="W77" s="1091"/>
    </row>
    <row r="78" spans="1:25" s="1090" customFormat="1" ht="15">
      <c r="B78" s="1097"/>
      <c r="C78" s="597" t="str">
        <f>C59</f>
        <v>UCC attends</v>
      </c>
      <c r="D78" s="1194">
        <f>VLOOKUP($C78,local_data_input!$B$4:$K$20,2,FALSE)</f>
        <v>57</v>
      </c>
      <c r="E78" s="1337">
        <f>VLOOKUP($C78,local_data_input!$B$4:$K$20,7,FALSE)</f>
        <v>4725</v>
      </c>
      <c r="F78" s="1194">
        <f>VLOOKUP($C78,local_data_input!$B$4:$K$20,8,FALSE)</f>
        <v>4.3599999999999994</v>
      </c>
      <c r="G78" s="1194">
        <f>VLOOKUP($C78,local_data_input!$B$4:$K$20,9,FALSE)</f>
        <v>4.3599999999999994</v>
      </c>
      <c r="J78" s="1038"/>
      <c r="K78" s="526"/>
      <c r="L78" s="1038"/>
      <c r="M78" s="591"/>
      <c r="N78" s="1093"/>
      <c r="O78" s="1093"/>
      <c r="P78" s="526"/>
      <c r="Q78" s="1091"/>
      <c r="R78" s="1091"/>
      <c r="S78" s="1091"/>
      <c r="T78" s="1091"/>
      <c r="U78" s="1091"/>
      <c r="V78" s="1091"/>
      <c r="W78" s="1091"/>
    </row>
    <row r="79" spans="1:25" s="1090" customFormat="1" ht="15">
      <c r="B79" s="1097"/>
      <c r="C79" s="597" t="str">
        <f>C60</f>
        <v>GP attends</v>
      </c>
      <c r="D79" s="1194">
        <f>VLOOKUP($C79,local_data_input!$B$4:$K$20,2,FALSE)</f>
        <v>37</v>
      </c>
      <c r="E79" s="1337">
        <f>VLOOKUP($C79,local_data_input!$B$4:$K$20,7,FALSE)</f>
        <v>1</v>
      </c>
      <c r="F79" s="1194">
        <f>VLOOKUP($C79,local_data_input!$B$4:$K$20,8,FALSE)</f>
        <v>4.1571049999580785</v>
      </c>
      <c r="G79" s="1194">
        <f>VLOOKUP($C79,local_data_input!$B$4:$K$20,9,FALSE)</f>
        <v>4.1571049999580785</v>
      </c>
      <c r="J79" s="1038"/>
      <c r="K79" s="526"/>
      <c r="L79" s="1038"/>
      <c r="M79" s="591"/>
      <c r="N79" s="1093"/>
      <c r="O79" s="1093"/>
      <c r="P79" s="526"/>
      <c r="Q79" s="1091"/>
      <c r="R79" s="1091"/>
      <c r="S79" s="1091"/>
      <c r="T79" s="1091"/>
      <c r="U79" s="1091"/>
      <c r="V79" s="1091"/>
      <c r="W79" s="1091"/>
    </row>
    <row r="80" spans="1:25" s="1090" customFormat="1" ht="15">
      <c r="B80" s="1097"/>
      <c r="C80" s="597" t="str">
        <f>C61</f>
        <v>Community contacts</v>
      </c>
      <c r="D80" s="1194">
        <f>VLOOKUP($C80,local_data_input!$B$4:$K$20,2,FALSE)</f>
        <v>37.264451156891667</v>
      </c>
      <c r="E80" s="1337">
        <f>VLOOKUP($C80,local_data_input!$B$4:$K$20,7,FALSE)</f>
        <v>3150</v>
      </c>
      <c r="F80" s="1194">
        <f>VLOOKUP($C80,local_data_input!$B$4:$K$20,8,FALSE)</f>
        <v>3.8289124999613882</v>
      </c>
      <c r="G80" s="1194">
        <f>VLOOKUP($C80,local_data_input!$B$4:$K$20,9,FALSE)</f>
        <v>3.8289124999613882</v>
      </c>
      <c r="J80" s="1042"/>
      <c r="K80" s="149"/>
      <c r="L80" s="1042"/>
      <c r="M80" s="1100"/>
      <c r="N80" s="1093"/>
      <c r="O80" s="1091"/>
      <c r="P80" s="1091"/>
      <c r="Q80" s="1091"/>
      <c r="R80" s="1091"/>
      <c r="S80" s="1091"/>
      <c r="T80" s="1091"/>
      <c r="U80" s="1091"/>
      <c r="V80" s="1091"/>
      <c r="W80" s="1091"/>
      <c r="X80" s="1091"/>
      <c r="Y80" s="1091"/>
    </row>
    <row r="81" spans="1:27" ht="15">
      <c r="A81" s="1090"/>
      <c r="B81" s="1115"/>
      <c r="C81" s="1116"/>
      <c r="D81" s="1116"/>
      <c r="E81" s="1116"/>
      <c r="F81" s="1117"/>
      <c r="G81" s="1116"/>
      <c r="H81" s="1117"/>
      <c r="I81" s="1045"/>
      <c r="J81" s="1045"/>
      <c r="K81" s="374"/>
      <c r="L81" s="1045"/>
      <c r="M81" s="1118"/>
      <c r="N81" s="1116"/>
      <c r="O81" s="1119"/>
      <c r="P81" s="1119"/>
      <c r="Q81" s="1119"/>
      <c r="R81" s="1119"/>
      <c r="S81" s="1119"/>
      <c r="T81" s="1119"/>
      <c r="U81" s="1119"/>
      <c r="V81" s="1119"/>
      <c r="W81" s="1119"/>
      <c r="X81" s="1119"/>
      <c r="Y81" s="1119"/>
    </row>
    <row r="82" spans="1:27" ht="15">
      <c r="A82" s="1090"/>
      <c r="B82" s="2374" t="s">
        <v>97</v>
      </c>
      <c r="C82" s="2375"/>
      <c r="D82" s="2375"/>
      <c r="E82" s="2375"/>
      <c r="F82" s="2375"/>
      <c r="G82" s="2375"/>
      <c r="H82" s="2375"/>
      <c r="I82" s="2375"/>
      <c r="J82" s="2375"/>
      <c r="K82" s="2375"/>
      <c r="L82" s="2375"/>
      <c r="M82" s="2376"/>
      <c r="N82" s="1120"/>
      <c r="O82" s="1120"/>
      <c r="P82" s="1120"/>
      <c r="Q82" s="1119"/>
      <c r="R82" s="1119"/>
      <c r="T82" s="1119"/>
      <c r="U82" s="137"/>
      <c r="V82" s="1119"/>
      <c r="W82" s="1119"/>
      <c r="X82" s="1119"/>
    </row>
    <row r="83" spans="1:27">
      <c r="B83" s="1115"/>
      <c r="C83" s="1121"/>
      <c r="D83" s="1120"/>
      <c r="E83" s="1120"/>
      <c r="F83" s="1116"/>
      <c r="G83" s="1120"/>
      <c r="H83" s="1120"/>
      <c r="I83" s="1120"/>
      <c r="J83" s="1120"/>
      <c r="K83" s="1088"/>
      <c r="L83" s="1120"/>
      <c r="M83" s="1118"/>
      <c r="O83" s="1119"/>
      <c r="P83" s="1119"/>
      <c r="Q83" s="1119"/>
      <c r="R83" s="1119"/>
      <c r="S83" s="1119"/>
      <c r="T83" s="1119"/>
      <c r="U83" s="1119"/>
      <c r="V83" s="4"/>
      <c r="W83" s="4"/>
      <c r="X83" s="4"/>
      <c r="Y83" s="5"/>
      <c r="Z83" s="5"/>
      <c r="AA83" s="5"/>
    </row>
    <row r="84" spans="1:27">
      <c r="B84" s="1115"/>
      <c r="C84" s="1116"/>
      <c r="D84" s="1120"/>
      <c r="E84" s="1120"/>
      <c r="F84" s="1116"/>
      <c r="G84" s="1120"/>
      <c r="H84" s="1120"/>
      <c r="I84" s="1120"/>
      <c r="J84" s="1120"/>
      <c r="K84" s="1088"/>
      <c r="L84" s="1120"/>
      <c r="M84" s="1118"/>
      <c r="O84" s="1119"/>
      <c r="P84" s="1119"/>
      <c r="Q84" s="1119"/>
      <c r="R84" s="1119"/>
      <c r="S84" s="1119"/>
      <c r="T84" s="1119"/>
      <c r="U84" s="1119"/>
      <c r="V84" s="4"/>
      <c r="W84" s="4"/>
      <c r="X84" s="4"/>
      <c r="Y84" s="5"/>
      <c r="Z84" s="5"/>
      <c r="AA84" s="5"/>
    </row>
    <row r="85" spans="1:27">
      <c r="B85" s="1115"/>
      <c r="C85" s="1116"/>
      <c r="D85" s="1120"/>
      <c r="E85" s="1120"/>
      <c r="F85" s="1116"/>
      <c r="G85" s="1120"/>
      <c r="H85" s="1120"/>
      <c r="I85" s="1120"/>
      <c r="J85" s="1120"/>
      <c r="K85" s="1088"/>
      <c r="L85" s="1120"/>
      <c r="M85" s="1118"/>
      <c r="O85" s="1119"/>
      <c r="P85" s="1119"/>
      <c r="Q85" s="1119"/>
      <c r="R85" s="1119"/>
      <c r="S85" s="1119"/>
      <c r="T85" s="1119"/>
      <c r="U85" s="1119"/>
      <c r="V85" s="4"/>
      <c r="W85" s="4"/>
      <c r="X85" s="4"/>
      <c r="Y85" s="5"/>
      <c r="Z85" s="5"/>
      <c r="AA85" s="5"/>
    </row>
    <row r="86" spans="1:27">
      <c r="B86" s="1115"/>
      <c r="C86" s="1116"/>
      <c r="D86" s="1120"/>
      <c r="E86" s="1120"/>
      <c r="F86" s="1116"/>
      <c r="G86" s="1120"/>
      <c r="H86" s="1120"/>
      <c r="I86" s="1120"/>
      <c r="J86" s="1120"/>
      <c r="K86" s="1088"/>
      <c r="L86" s="1120"/>
      <c r="M86" s="1118"/>
      <c r="O86" s="1119"/>
      <c r="P86" s="1119"/>
      <c r="Q86" s="1119"/>
      <c r="R86" s="1119"/>
      <c r="S86" s="1119"/>
      <c r="T86" s="1119"/>
      <c r="U86" s="1119"/>
      <c r="V86" s="4"/>
      <c r="W86" s="4"/>
      <c r="X86" s="4"/>
      <c r="Y86" s="5"/>
      <c r="Z86" s="5"/>
      <c r="AA86" s="5"/>
    </row>
    <row r="87" spans="1:27" ht="15">
      <c r="B87" s="1115"/>
      <c r="C87" s="628"/>
      <c r="D87" s="1120"/>
      <c r="E87" s="1120"/>
      <c r="F87" s="1116"/>
      <c r="G87" s="1120"/>
      <c r="H87" s="1120"/>
      <c r="I87" s="1120"/>
      <c r="J87" s="1120"/>
      <c r="K87" s="1088"/>
      <c r="L87" s="1120"/>
      <c r="M87" s="1118"/>
      <c r="O87" s="1119"/>
      <c r="P87" s="1119"/>
      <c r="Q87" s="1119"/>
      <c r="R87" s="1119"/>
      <c r="S87" s="1119"/>
      <c r="T87" s="1119"/>
      <c r="U87" s="1119"/>
      <c r="V87" s="4"/>
      <c r="W87" s="4"/>
      <c r="X87" s="4"/>
      <c r="Y87" s="5"/>
      <c r="Z87" s="5"/>
      <c r="AA87" s="5"/>
    </row>
    <row r="88" spans="1:27">
      <c r="B88" s="1115"/>
      <c r="C88" s="1116"/>
      <c r="D88" s="1120"/>
      <c r="E88" s="1120"/>
      <c r="F88" s="1116"/>
      <c r="G88" s="1120"/>
      <c r="H88" s="1120"/>
      <c r="I88" s="1120"/>
      <c r="J88" s="1120"/>
      <c r="K88" s="1088"/>
      <c r="L88" s="1120"/>
      <c r="M88" s="1118"/>
      <c r="O88" s="1119"/>
      <c r="P88" s="1119"/>
      <c r="Q88" s="1119"/>
      <c r="R88" s="1119"/>
      <c r="S88" s="1119"/>
      <c r="T88" s="1119"/>
      <c r="U88" s="1119"/>
      <c r="V88" s="4"/>
      <c r="W88" s="4"/>
      <c r="X88" s="4"/>
      <c r="Y88" s="5"/>
      <c r="Z88" s="5"/>
      <c r="AA88" s="5"/>
    </row>
    <row r="89" spans="1:27">
      <c r="B89" s="1115"/>
      <c r="C89" s="1116"/>
      <c r="D89" s="1120"/>
      <c r="E89" s="1120"/>
      <c r="F89" s="1116"/>
      <c r="G89" s="1120"/>
      <c r="H89" s="1120"/>
      <c r="I89" s="1120"/>
      <c r="J89" s="1120"/>
      <c r="K89" s="1088"/>
      <c r="L89" s="1120"/>
      <c r="M89" s="1118"/>
      <c r="O89" s="1119"/>
      <c r="P89" s="1119"/>
      <c r="Q89" s="1119"/>
      <c r="R89" s="1119"/>
      <c r="S89" s="1119"/>
      <c r="T89" s="1119"/>
      <c r="U89" s="1119"/>
      <c r="V89" s="4"/>
      <c r="W89" s="4"/>
      <c r="X89" s="4"/>
      <c r="Y89" s="5"/>
      <c r="Z89" s="5"/>
      <c r="AA89" s="5"/>
    </row>
    <row r="90" spans="1:27" ht="15.75" thickBot="1">
      <c r="B90" s="1122"/>
      <c r="C90" s="172"/>
      <c r="D90" s="1123"/>
      <c r="E90" s="1123"/>
      <c r="F90" s="1124"/>
      <c r="G90" s="1124"/>
      <c r="H90" s="1124"/>
      <c r="I90" s="1124"/>
      <c r="J90" s="1124"/>
      <c r="K90" s="1125"/>
      <c r="L90" s="1126"/>
      <c r="M90" s="1127"/>
      <c r="O90" s="1119"/>
      <c r="P90" s="1119"/>
      <c r="Q90" s="1119"/>
      <c r="R90" s="1119"/>
      <c r="S90" s="1119"/>
      <c r="T90" s="1119"/>
      <c r="U90" s="1119"/>
      <c r="V90" s="1119"/>
      <c r="W90" s="1119"/>
      <c r="X90" s="1119"/>
    </row>
    <row r="91" spans="1:27" ht="15">
      <c r="B91" s="1119"/>
      <c r="C91" s="537"/>
      <c r="D91" s="1120"/>
      <c r="E91" s="1120"/>
      <c r="F91" s="1116"/>
      <c r="G91" s="1116"/>
      <c r="H91" s="1116"/>
      <c r="I91" s="1116"/>
      <c r="J91" s="1116"/>
      <c r="K91" s="1116"/>
      <c r="L91" s="1116"/>
      <c r="M91" s="1116"/>
      <c r="O91" s="1119"/>
      <c r="P91" s="1119"/>
      <c r="Q91" s="1119"/>
      <c r="R91" s="1119"/>
      <c r="S91" s="1119"/>
      <c r="T91" s="1119"/>
      <c r="U91" s="1119"/>
      <c r="V91" s="4"/>
      <c r="W91" s="4"/>
      <c r="X91" s="4"/>
      <c r="Y91" s="5"/>
      <c r="Z91" s="5"/>
      <c r="AA91" s="5"/>
    </row>
    <row r="92" spans="1:27" ht="15">
      <c r="B92" s="1119"/>
      <c r="C92" s="537"/>
      <c r="D92" s="1119"/>
      <c r="E92" s="1119"/>
      <c r="F92" s="1116"/>
      <c r="G92" s="1116"/>
      <c r="H92" s="1116"/>
      <c r="I92" s="1116"/>
      <c r="J92" s="1116"/>
      <c r="K92" s="1116"/>
      <c r="L92" s="1116"/>
      <c r="M92" s="1116"/>
      <c r="O92" s="1119"/>
      <c r="P92" s="1119"/>
      <c r="Q92" s="1119"/>
      <c r="R92" s="1119"/>
      <c r="S92" s="1119"/>
      <c r="T92" s="1119"/>
      <c r="U92" s="1119"/>
      <c r="V92" s="4"/>
      <c r="W92" s="4"/>
      <c r="X92" s="4"/>
      <c r="Y92" s="5"/>
      <c r="Z92" s="5"/>
      <c r="AA92" s="5"/>
    </row>
    <row r="93" spans="1:27" ht="15">
      <c r="B93" s="1119"/>
      <c r="C93" s="537"/>
      <c r="D93" s="537"/>
      <c r="E93" s="537"/>
      <c r="F93" s="1116"/>
      <c r="G93" s="1116"/>
      <c r="H93" s="1116"/>
      <c r="I93" s="1116"/>
      <c r="J93" s="1116"/>
      <c r="K93" s="1116"/>
      <c r="L93" s="1116"/>
      <c r="M93" s="1116"/>
      <c r="O93" s="1119"/>
      <c r="P93" s="1119"/>
      <c r="Q93" s="1119"/>
      <c r="R93" s="1119"/>
      <c r="S93" s="1119"/>
      <c r="T93" s="1119"/>
      <c r="U93" s="1119"/>
      <c r="V93" s="4"/>
      <c r="W93" s="4"/>
      <c r="X93" s="4"/>
      <c r="Y93" s="5"/>
      <c r="Z93" s="5"/>
      <c r="AA93" s="5"/>
    </row>
    <row r="94" spans="1:27" ht="15">
      <c r="B94" s="1119"/>
      <c r="C94" s="537"/>
      <c r="D94" s="537"/>
      <c r="E94" s="537"/>
      <c r="F94" s="1116"/>
      <c r="G94" s="1116"/>
      <c r="H94" s="1116"/>
      <c r="I94" s="1116"/>
      <c r="J94" s="1116"/>
      <c r="K94" s="1116"/>
      <c r="L94" s="1116"/>
      <c r="M94" s="1116"/>
      <c r="O94" s="1119"/>
      <c r="P94" s="1119"/>
      <c r="Q94" s="1119"/>
      <c r="R94" s="1119"/>
      <c r="S94" s="1119"/>
      <c r="T94" s="1119"/>
      <c r="U94" s="1119"/>
      <c r="V94" s="4"/>
      <c r="W94" s="4"/>
      <c r="X94" s="4"/>
      <c r="Y94" s="5"/>
      <c r="Z94" s="5"/>
      <c r="AA94" s="5"/>
    </row>
    <row r="95" spans="1:27">
      <c r="B95" s="1119"/>
      <c r="C95" s="1116"/>
      <c r="D95" s="1120"/>
      <c r="E95" s="1120"/>
      <c r="F95" s="1128"/>
      <c r="G95" s="1128"/>
      <c r="H95" s="1128"/>
      <c r="I95" s="1128"/>
      <c r="J95" s="1128"/>
      <c r="K95" s="1128"/>
      <c r="L95" s="1128"/>
      <c r="M95" s="1116"/>
      <c r="O95" s="1119"/>
      <c r="P95" s="1119"/>
      <c r="Q95" s="1119"/>
      <c r="R95" s="1119"/>
      <c r="S95" s="1119"/>
      <c r="T95" s="1119"/>
      <c r="U95" s="1119"/>
      <c r="V95" s="4"/>
      <c r="W95" s="4"/>
      <c r="X95" s="4"/>
      <c r="Y95" s="5"/>
      <c r="Z95" s="5"/>
      <c r="AA95" s="5"/>
    </row>
    <row r="96" spans="1:27">
      <c r="B96" s="1119"/>
      <c r="C96" s="1116"/>
      <c r="D96" s="1120"/>
      <c r="E96" s="1120"/>
      <c r="F96" s="1116"/>
      <c r="G96" s="1116"/>
      <c r="H96" s="1116"/>
      <c r="I96" s="1116"/>
      <c r="J96" s="1116"/>
      <c r="K96" s="1116"/>
      <c r="L96" s="1116"/>
      <c r="M96" s="1116"/>
      <c r="O96" s="1119"/>
      <c r="P96" s="1119"/>
      <c r="Q96" s="1119"/>
      <c r="R96" s="1119"/>
      <c r="S96" s="1119"/>
      <c r="T96" s="1119"/>
      <c r="U96" s="1119"/>
      <c r="V96" s="4"/>
      <c r="W96" s="4"/>
      <c r="X96" s="4"/>
      <c r="Y96" s="5"/>
      <c r="Z96" s="5"/>
      <c r="AA96" s="5"/>
    </row>
    <row r="97" spans="2:29">
      <c r="B97" s="1119"/>
      <c r="C97" s="1129"/>
      <c r="D97" s="1120"/>
      <c r="E97" s="1120"/>
      <c r="F97" s="1121"/>
      <c r="G97" s="1116"/>
      <c r="H97" s="1116"/>
      <c r="I97" s="1116"/>
      <c r="J97" s="1116"/>
      <c r="K97" s="1116"/>
      <c r="L97" s="1116"/>
      <c r="M97" s="1116"/>
      <c r="O97" s="1119"/>
      <c r="P97" s="1119"/>
      <c r="Q97" s="1119"/>
      <c r="R97" s="1119"/>
      <c r="S97" s="1119"/>
      <c r="T97" s="1119"/>
      <c r="U97" s="1119"/>
      <c r="V97" s="4"/>
      <c r="W97" s="4"/>
      <c r="X97" s="4"/>
      <c r="Y97" s="5"/>
      <c r="Z97" s="5"/>
      <c r="AA97" s="5"/>
    </row>
    <row r="98" spans="2:29">
      <c r="B98" s="1119"/>
      <c r="C98" s="1120"/>
      <c r="D98" s="1120"/>
      <c r="E98" s="1120"/>
      <c r="F98" s="1120"/>
      <c r="G98" s="1120"/>
      <c r="H98" s="1120"/>
      <c r="I98" s="1120"/>
      <c r="J98" s="1120"/>
      <c r="K98" s="1088"/>
      <c r="L98" s="1120"/>
      <c r="M98" s="1120"/>
      <c r="O98" s="1119"/>
      <c r="P98" s="1119"/>
      <c r="Q98" s="1119"/>
      <c r="R98" s="1119"/>
      <c r="S98" s="1119"/>
      <c r="T98" s="1119"/>
      <c r="U98" s="1119"/>
      <c r="V98" s="4"/>
      <c r="W98" s="4"/>
      <c r="X98" s="4"/>
      <c r="Y98" s="5"/>
      <c r="Z98" s="5"/>
      <c r="AA98" s="5"/>
    </row>
    <row r="99" spans="2:29">
      <c r="B99" s="1119"/>
      <c r="C99" s="1116"/>
      <c r="D99" s="1120"/>
      <c r="E99" s="1120"/>
      <c r="F99" s="1130"/>
      <c r="G99" s="1130"/>
      <c r="H99" s="1130"/>
      <c r="I99" s="1130"/>
      <c r="J99" s="1130"/>
      <c r="K99" s="1130"/>
      <c r="L99" s="1130"/>
      <c r="M99" s="1130"/>
      <c r="O99" s="1119"/>
      <c r="P99" s="1119"/>
      <c r="Q99" s="1119"/>
      <c r="R99" s="1119"/>
      <c r="S99" s="1119"/>
      <c r="T99" s="1119"/>
      <c r="U99" s="1119"/>
      <c r="V99" s="4"/>
      <c r="W99" s="4"/>
      <c r="X99" s="4"/>
      <c r="Y99" s="5"/>
      <c r="Z99" s="5"/>
      <c r="AA99" s="5"/>
    </row>
    <row r="100" spans="2:29">
      <c r="B100" s="1119"/>
      <c r="C100" s="1116"/>
      <c r="D100" s="1120"/>
      <c r="E100" s="1120"/>
      <c r="F100" s="1116"/>
      <c r="G100" s="1116"/>
      <c r="H100" s="1116"/>
      <c r="I100" s="1116"/>
      <c r="J100" s="1116"/>
      <c r="K100" s="1116"/>
      <c r="L100" s="1116"/>
      <c r="M100" s="1116"/>
      <c r="O100" s="1119"/>
      <c r="P100" s="1119"/>
      <c r="Q100" s="1119"/>
      <c r="R100" s="1119"/>
      <c r="S100" s="1119"/>
      <c r="T100" s="1119"/>
      <c r="U100" s="1119"/>
      <c r="V100" s="4"/>
      <c r="W100" s="4"/>
      <c r="X100" s="4"/>
      <c r="Y100" s="5"/>
      <c r="Z100" s="5"/>
      <c r="AA100" s="5"/>
    </row>
    <row r="101" spans="2:29">
      <c r="B101" s="1119"/>
      <c r="C101" s="1116"/>
      <c r="D101" s="1120"/>
      <c r="E101" s="1120"/>
      <c r="F101" s="1116"/>
      <c r="G101" s="1116"/>
      <c r="H101" s="1116"/>
      <c r="I101" s="1116"/>
      <c r="J101" s="1116"/>
      <c r="K101" s="1116"/>
      <c r="L101" s="1116"/>
      <c r="M101" s="1116"/>
      <c r="O101" s="1119"/>
      <c r="P101" s="1119"/>
      <c r="Q101" s="1119"/>
      <c r="R101" s="1119"/>
      <c r="S101" s="1119"/>
      <c r="T101" s="1119"/>
      <c r="U101" s="1119"/>
      <c r="V101" s="4"/>
      <c r="W101" s="4"/>
      <c r="X101" s="4"/>
      <c r="Y101" s="5"/>
      <c r="Z101" s="5"/>
      <c r="AA101" s="5"/>
    </row>
    <row r="102" spans="2:29" ht="15">
      <c r="B102" s="1119"/>
      <c r="C102" s="537"/>
      <c r="D102" s="1120"/>
      <c r="E102" s="1120"/>
      <c r="F102" s="1116"/>
      <c r="G102" s="1116"/>
      <c r="H102" s="1116"/>
      <c r="I102" s="1116"/>
      <c r="J102" s="1116"/>
      <c r="K102" s="1116"/>
      <c r="L102" s="1116"/>
      <c r="M102" s="1116"/>
      <c r="N102" s="1116"/>
      <c r="O102" s="1116"/>
      <c r="P102" s="1119"/>
      <c r="Q102" s="1119"/>
      <c r="R102" s="1119"/>
      <c r="S102" s="1119"/>
      <c r="T102" s="1119"/>
      <c r="U102" s="1119"/>
      <c r="V102" s="1119"/>
      <c r="W102" s="1119"/>
      <c r="X102" s="4"/>
      <c r="Y102" s="4"/>
      <c r="Z102" s="4"/>
      <c r="AA102" s="5"/>
      <c r="AB102" s="5"/>
      <c r="AC102" s="5"/>
    </row>
    <row r="103" spans="2:29">
      <c r="B103" s="1119"/>
      <c r="C103" s="1116"/>
      <c r="D103" s="1120"/>
      <c r="E103" s="1120"/>
      <c r="F103" s="1130"/>
      <c r="G103" s="1130"/>
      <c r="H103" s="1130"/>
      <c r="I103" s="1130"/>
      <c r="J103" s="1130"/>
      <c r="K103" s="1130"/>
      <c r="L103" s="1130"/>
      <c r="M103" s="1130"/>
      <c r="N103" s="1130"/>
      <c r="O103" s="1130"/>
      <c r="P103" s="1119"/>
      <c r="Q103" s="1119"/>
      <c r="R103" s="1119"/>
      <c r="S103" s="1119"/>
      <c r="T103" s="1119"/>
      <c r="U103" s="1119"/>
      <c r="V103" s="1119"/>
      <c r="W103" s="1119"/>
      <c r="X103" s="4"/>
      <c r="Y103" s="4"/>
      <c r="Z103" s="4"/>
      <c r="AA103" s="5"/>
      <c r="AB103" s="5"/>
      <c r="AC103" s="5"/>
    </row>
    <row r="104" spans="2:29">
      <c r="B104" s="1119"/>
      <c r="C104" s="1116"/>
      <c r="D104" s="1120"/>
      <c r="E104" s="1120"/>
      <c r="F104" s="1116"/>
      <c r="G104" s="1116"/>
      <c r="H104" s="1116"/>
      <c r="I104" s="1116"/>
      <c r="J104" s="1116"/>
      <c r="K104" s="1116"/>
      <c r="L104" s="1116"/>
      <c r="M104" s="1116"/>
      <c r="N104" s="1116"/>
      <c r="O104" s="1116"/>
      <c r="P104" s="1119"/>
      <c r="Q104" s="1119"/>
      <c r="R104" s="1119"/>
      <c r="S104" s="1119"/>
      <c r="T104" s="1119"/>
      <c r="U104" s="1119"/>
      <c r="V104" s="1119"/>
      <c r="W104" s="1119"/>
      <c r="X104" s="4"/>
      <c r="Y104" s="4"/>
      <c r="Z104" s="4"/>
      <c r="AA104" s="5"/>
      <c r="AB104" s="5"/>
      <c r="AC104" s="5"/>
    </row>
    <row r="105" spans="2:29">
      <c r="C105" s="1119"/>
      <c r="D105" s="1119"/>
      <c r="E105" s="1119"/>
      <c r="F105" s="1119"/>
      <c r="G105" s="1119"/>
      <c r="H105" s="1119"/>
      <c r="I105" s="1119"/>
      <c r="J105" s="1119"/>
      <c r="K105" s="1081"/>
      <c r="L105" s="1119"/>
      <c r="O105" s="1119"/>
      <c r="P105" s="1119"/>
      <c r="Q105" s="1119"/>
      <c r="R105" s="1119"/>
      <c r="S105" s="1119"/>
      <c r="T105" s="1119"/>
      <c r="U105" s="1119"/>
      <c r="V105" s="1119"/>
      <c r="W105" s="1119"/>
    </row>
  </sheetData>
  <mergeCells count="34">
    <mergeCell ref="B82:M82"/>
    <mergeCell ref="H59:I59"/>
    <mergeCell ref="H62:I62"/>
    <mergeCell ref="H63:I63"/>
    <mergeCell ref="H64:I64"/>
    <mergeCell ref="H65:I65"/>
    <mergeCell ref="H60:I60"/>
    <mergeCell ref="H67:I67"/>
    <mergeCell ref="H68:I68"/>
    <mergeCell ref="H69:I69"/>
    <mergeCell ref="H70:I70"/>
    <mergeCell ref="B50:M50"/>
    <mergeCell ref="H52:I52"/>
    <mergeCell ref="H66:I66"/>
    <mergeCell ref="H53:I53"/>
    <mergeCell ref="H54:I54"/>
    <mergeCell ref="H55:I55"/>
    <mergeCell ref="H58:I58"/>
    <mergeCell ref="H56:I56"/>
    <mergeCell ref="H57:I57"/>
    <mergeCell ref="E1:F1"/>
    <mergeCell ref="I1:J1"/>
    <mergeCell ref="C19:E19"/>
    <mergeCell ref="C25:D25"/>
    <mergeCell ref="C14:E14"/>
    <mergeCell ref="C15:E15"/>
    <mergeCell ref="C16:E16"/>
    <mergeCell ref="B21:M21"/>
    <mergeCell ref="C4:D5"/>
    <mergeCell ref="G5:H5"/>
    <mergeCell ref="C17:E17"/>
    <mergeCell ref="C18:E18"/>
    <mergeCell ref="B12:M12"/>
    <mergeCell ref="K2:M8"/>
  </mergeCells>
  <conditionalFormatting sqref="L43 F18">
    <cfRule type="expression" dxfId="23" priority="1">
      <formula>$L$43&gt;$F$17</formula>
    </cfRule>
  </conditionalFormatting>
  <dataValidations count="3">
    <dataValidation errorStyle="warning" operator="lessThanOrEqual" allowBlank="1" showInputMessage="1" showErrorMessage="1" errorTitle="number over target!!!" error="The red box indicates the input is generating capacity that is above the targets - The resource input generates capacity for more calls than needed. Reduce resource input e.g reduction in the no. of GP's" prompt="This should be less than target" sqref="L43"/>
    <dataValidation type="custom" errorStyle="warning" allowBlank="1" showInputMessage="1" showErrorMessage="1" error="Exceeding target resource requirement" sqref="E28:E33">
      <formula1>$L$43&lt;$F$17</formula1>
    </dataValidation>
    <dataValidation type="list" allowBlank="1" showInputMessage="1" prompt="Select from list or type in job title" sqref="C28:C33">
      <formula1>Staff_List</formula1>
    </dataValidation>
  </dataValidations>
  <pageMargins left="0.70866141732283472" right="0.70866141732283472" top="0.74803149606299213" bottom="0.74803149606299213" header="0.31496062992125984" footer="0.31496062992125984"/>
  <pageSetup paperSize="9" scale="32" orientation="portrait"/>
  <ignoredErrors>
    <ignoredError sqref="D33" numberStoredAsText="1"/>
  </ignoredErrors>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staff_costs!$A$4:$A$21</xm:f>
          </x14:formula1>
          <xm:sqref>D28:D33</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4" tint="-0.249977111117893"/>
    <pageSetUpPr fitToPage="1"/>
  </sheetPr>
  <dimension ref="A1:BW61"/>
  <sheetViews>
    <sheetView showGridLines="0" zoomScale="75" zoomScaleNormal="75" zoomScaleSheetLayoutView="85" zoomScalePageLayoutView="75" workbookViewId="0">
      <pane ySplit="1" topLeftCell="A2" activePane="bottomLeft" state="frozen"/>
      <selection activeCell="C3" sqref="C3"/>
      <selection pane="bottomLeft" activeCell="D7" sqref="D7"/>
    </sheetView>
  </sheetViews>
  <sheetFormatPr defaultColWidth="8.85546875" defaultRowHeight="14.25" outlineLevelCol="1"/>
  <cols>
    <col min="1" max="1" width="56.140625" style="38" hidden="1" customWidth="1" outlineLevel="1"/>
    <col min="2" max="2" width="15.7109375" style="38" customWidth="1" collapsed="1"/>
    <col min="3" max="3" width="45.7109375" style="38" customWidth="1"/>
    <col min="4" max="4" width="17" style="38" customWidth="1"/>
    <col min="5" max="10" width="15.7109375" style="38" customWidth="1"/>
    <col min="11" max="11" width="44.42578125" style="38" customWidth="1"/>
    <col min="12" max="12" width="17.42578125" style="38" customWidth="1"/>
    <col min="13" max="13" width="15.7109375" style="35" customWidth="1"/>
    <col min="14" max="14" width="78.28515625" style="35" customWidth="1"/>
    <col min="15" max="15" width="7.42578125" style="38" customWidth="1"/>
    <col min="16" max="16" width="19.140625" style="38" customWidth="1"/>
    <col min="17" max="17" width="23.42578125" style="38" customWidth="1"/>
    <col min="18" max="18" width="24.42578125" style="38" bestFit="1" customWidth="1"/>
    <col min="19" max="20" width="8.85546875" style="38"/>
    <col min="21" max="24" width="6.42578125" style="38" customWidth="1"/>
    <col min="25" max="26" width="34.7109375" style="38" customWidth="1"/>
    <col min="27" max="27" width="14.7109375" style="38" customWidth="1"/>
    <col min="28" max="28" width="17.7109375" style="38" customWidth="1"/>
    <col min="29" max="29" width="15.42578125" style="38" customWidth="1"/>
    <col min="30" max="16384" width="8.85546875" style="38"/>
  </cols>
  <sheetData>
    <row r="1" spans="1:75" s="51"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2"/>
      <c r="H1" s="1763"/>
      <c r="I1" s="2311" t="str">
        <f>HYPERLINK("[.\]outputs_by_channel!A1", "To Intervention data outputs by channel")</f>
        <v>To Intervention data outputs by channel</v>
      </c>
      <c r="J1" s="2272"/>
      <c r="K1" s="1078"/>
      <c r="L1" s="1078"/>
      <c r="M1" s="1078"/>
      <c r="O1" s="52"/>
      <c r="Q1" s="52"/>
      <c r="R1" s="52"/>
      <c r="S1" s="52"/>
      <c r="T1" s="52"/>
      <c r="V1" s="52"/>
      <c r="W1" s="52"/>
      <c r="X1" s="52"/>
      <c r="Y1" s="52"/>
      <c r="AA1" s="52"/>
      <c r="AB1" s="52"/>
      <c r="AC1" s="52"/>
      <c r="AD1" s="52"/>
      <c r="AF1" s="52"/>
      <c r="AG1" s="52"/>
      <c r="AH1" s="52"/>
      <c r="AI1" s="52"/>
      <c r="AK1" s="52"/>
      <c r="AL1" s="52"/>
      <c r="AM1" s="52"/>
      <c r="AN1" s="52"/>
      <c r="AP1" s="52"/>
      <c r="AQ1" s="52"/>
      <c r="AR1" s="52"/>
      <c r="AS1" s="52"/>
      <c r="AU1" s="52"/>
      <c r="AV1" s="52"/>
      <c r="AW1" s="52"/>
      <c r="AX1" s="52"/>
      <c r="AZ1" s="52"/>
      <c r="BA1" s="52"/>
      <c r="BB1" s="52"/>
      <c r="BC1" s="52"/>
      <c r="BE1" s="52"/>
      <c r="BF1" s="52"/>
      <c r="BG1" s="52"/>
      <c r="BH1" s="52"/>
      <c r="BJ1" s="52"/>
      <c r="BK1" s="52"/>
      <c r="BL1" s="52"/>
      <c r="BM1" s="52"/>
      <c r="BO1" s="52"/>
      <c r="BP1" s="52"/>
      <c r="BQ1" s="52"/>
      <c r="BR1" s="52"/>
      <c r="BT1" s="52"/>
      <c r="BU1" s="52"/>
      <c r="BV1" s="52"/>
      <c r="BW1" s="52"/>
    </row>
    <row r="2" spans="1:75" ht="15">
      <c r="A2" s="136"/>
      <c r="B2" s="138"/>
      <c r="C2" s="613"/>
      <c r="D2" s="613"/>
      <c r="E2" s="613"/>
      <c r="F2" s="543"/>
      <c r="G2" s="543"/>
      <c r="H2" s="543"/>
      <c r="I2" s="543"/>
      <c r="J2" s="2382"/>
      <c r="K2" s="2382"/>
      <c r="L2" s="2382"/>
      <c r="M2" s="2383"/>
      <c r="O2" s="67"/>
      <c r="S2" s="35"/>
      <c r="T2" s="35"/>
      <c r="V2" s="35"/>
      <c r="W2" s="137"/>
      <c r="X2" s="35"/>
      <c r="Y2" s="35"/>
    </row>
    <row r="3" spans="1:75" ht="15.75" thickBot="1">
      <c r="A3" s="136"/>
      <c r="B3" s="138"/>
      <c r="C3" s="139"/>
      <c r="D3" s="139"/>
      <c r="E3" s="139"/>
      <c r="F3" s="71"/>
      <c r="G3" s="71"/>
      <c r="H3" s="71"/>
      <c r="I3" s="71"/>
      <c r="J3" s="2384"/>
      <c r="K3" s="2384"/>
      <c r="L3" s="2384"/>
      <c r="M3" s="2385"/>
      <c r="N3" s="38"/>
      <c r="O3" s="67"/>
      <c r="S3" s="35"/>
      <c r="T3" s="35"/>
      <c r="V3" s="35"/>
      <c r="W3" s="137"/>
      <c r="X3" s="35"/>
      <c r="Y3" s="35"/>
    </row>
    <row r="4" spans="1:75" ht="15" customHeight="1">
      <c r="B4" s="138"/>
      <c r="C4" s="2362" t="str">
        <f>Menu!B20</f>
        <v>Integrated clinical hubs - Integration of 111 and OOH hubs</v>
      </c>
      <c r="D4" s="2378"/>
      <c r="E4" s="139"/>
      <c r="F4"/>
      <c r="G4" s="64"/>
      <c r="H4" s="1182"/>
      <c r="I4" s="1182"/>
      <c r="J4" s="2384"/>
      <c r="K4" s="2384"/>
      <c r="L4" s="2384"/>
      <c r="M4" s="2385"/>
      <c r="O4" s="67"/>
      <c r="S4" s="35"/>
      <c r="T4" s="35"/>
      <c r="V4" s="35"/>
      <c r="W4" s="137"/>
      <c r="X4" s="35"/>
      <c r="Y4" s="35"/>
    </row>
    <row r="5" spans="1:75" ht="15.75" thickBot="1">
      <c r="B5" s="138"/>
      <c r="C5" s="2364"/>
      <c r="D5" s="2379"/>
      <c r="E5" s="139"/>
      <c r="F5"/>
      <c r="G5" s="64"/>
      <c r="H5" s="64"/>
      <c r="I5" s="64"/>
      <c r="J5" s="2384"/>
      <c r="K5" s="2384"/>
      <c r="L5" s="2384"/>
      <c r="M5" s="2385"/>
      <c r="O5" s="67"/>
      <c r="S5" s="35"/>
      <c r="T5" s="35"/>
      <c r="V5" s="35"/>
      <c r="W5" s="137"/>
      <c r="X5" s="35"/>
      <c r="Y5" s="35"/>
    </row>
    <row r="6" spans="1:75" ht="15.75" thickBot="1">
      <c r="B6" s="138"/>
      <c r="C6" s="60"/>
      <c r="D6" s="139"/>
      <c r="E6" s="139"/>
      <c r="F6" s="140"/>
      <c r="G6" s="64"/>
      <c r="H6" s="1318"/>
      <c r="I6" s="64"/>
      <c r="J6" s="2384"/>
      <c r="K6" s="2384"/>
      <c r="L6" s="2384"/>
      <c r="M6" s="2385"/>
      <c r="O6" s="67"/>
      <c r="S6" s="35"/>
      <c r="T6" s="35"/>
      <c r="V6" s="35"/>
      <c r="W6" s="137"/>
      <c r="X6" s="35"/>
      <c r="Y6" s="35"/>
    </row>
    <row r="7" spans="1:75" ht="15.75" thickBot="1">
      <c r="B7" s="138"/>
      <c r="C7" s="797" t="s">
        <v>582</v>
      </c>
      <c r="D7" s="796">
        <v>988837</v>
      </c>
      <c r="E7" s="139"/>
      <c r="F7" s="140"/>
      <c r="G7" s="64"/>
      <c r="H7" s="1318"/>
      <c r="I7" s="64"/>
      <c r="J7" s="2384"/>
      <c r="K7" s="2384"/>
      <c r="L7" s="2384"/>
      <c r="M7" s="2385"/>
      <c r="O7" s="67"/>
      <c r="S7" s="35"/>
      <c r="T7" s="35"/>
      <c r="V7" s="35"/>
      <c r="W7" s="137"/>
      <c r="X7" s="35"/>
      <c r="Y7" s="35"/>
    </row>
    <row r="8" spans="1:75" ht="15">
      <c r="B8" s="138"/>
      <c r="C8" s="535"/>
      <c r="D8" s="535"/>
      <c r="E8" s="535"/>
      <c r="F8" s="613"/>
      <c r="G8" s="64"/>
      <c r="H8" s="1318"/>
      <c r="I8" s="64"/>
      <c r="J8" s="2384"/>
      <c r="K8" s="2384"/>
      <c r="L8" s="2384"/>
      <c r="M8" s="2385"/>
      <c r="O8" s="67"/>
      <c r="S8" s="35"/>
      <c r="T8" s="35"/>
      <c r="V8" s="35"/>
      <c r="W8" s="137"/>
      <c r="X8" s="35"/>
      <c r="Y8" s="35"/>
    </row>
    <row r="9" spans="1:75" ht="15">
      <c r="B9" s="138"/>
      <c r="C9" s="1777" t="str">
        <f>HYPERLINK("[.\]E_ICH!A2","To Evidence")</f>
        <v>To Evidence</v>
      </c>
      <c r="D9" s="36"/>
      <c r="E9" s="36"/>
      <c r="F9" s="36"/>
      <c r="G9" s="64"/>
      <c r="H9" s="1318"/>
      <c r="I9" s="64"/>
      <c r="J9" s="1318"/>
      <c r="M9" s="153"/>
      <c r="O9" s="67"/>
      <c r="P9" s="36"/>
      <c r="Q9" s="36"/>
      <c r="R9" s="35"/>
      <c r="S9" s="35"/>
      <c r="T9" s="35"/>
      <c r="V9" s="35"/>
      <c r="W9" s="137"/>
      <c r="X9" s="35"/>
      <c r="Y9" s="35"/>
      <c r="Z9" s="35"/>
    </row>
    <row r="10" spans="1:75" ht="15">
      <c r="B10" s="138"/>
      <c r="C10" s="36"/>
      <c r="D10" s="36"/>
      <c r="E10" s="36"/>
      <c r="F10" s="36"/>
      <c r="G10" s="64"/>
      <c r="H10" s="1318"/>
      <c r="I10" s="64"/>
      <c r="J10" s="1318"/>
      <c r="M10" s="153"/>
      <c r="O10" s="67"/>
      <c r="P10" s="36"/>
      <c r="Q10" s="36"/>
      <c r="R10" s="35"/>
      <c r="S10" s="35"/>
      <c r="T10" s="35"/>
      <c r="V10" s="35"/>
      <c r="W10" s="137"/>
      <c r="X10" s="35"/>
      <c r="Y10" s="35"/>
      <c r="Z10" s="35"/>
    </row>
    <row r="11" spans="1:75" ht="15">
      <c r="B11" s="169"/>
      <c r="C11" s="36"/>
      <c r="D11" s="36"/>
      <c r="E11" s="36"/>
      <c r="F11" s="36"/>
      <c r="G11" s="36"/>
      <c r="H11" s="36"/>
      <c r="I11" s="143"/>
      <c r="J11" s="537"/>
      <c r="K11" s="537"/>
      <c r="L11" s="144"/>
      <c r="M11" s="1139"/>
      <c r="O11" s="67"/>
      <c r="P11" s="36"/>
      <c r="Q11" s="36"/>
      <c r="R11" s="35"/>
      <c r="S11" s="35"/>
      <c r="T11" s="35"/>
      <c r="V11" s="35"/>
      <c r="W11" s="137"/>
      <c r="X11" s="35"/>
      <c r="Y11" s="35"/>
      <c r="Z11" s="35"/>
    </row>
    <row r="12" spans="1:75" s="42" customFormat="1" ht="15">
      <c r="A12" s="141" t="s">
        <v>103</v>
      </c>
      <c r="B12" s="2343" t="s">
        <v>119</v>
      </c>
      <c r="C12" s="2360"/>
      <c r="D12" s="2360"/>
      <c r="E12" s="2360"/>
      <c r="F12" s="2360"/>
      <c r="G12" s="2360"/>
      <c r="H12" s="2360"/>
      <c r="I12" s="2360"/>
      <c r="J12" s="2360"/>
      <c r="K12" s="2360"/>
      <c r="L12" s="2360"/>
      <c r="M12" s="2361"/>
      <c r="N12" s="39"/>
      <c r="O12" s="40"/>
      <c r="P12" s="40"/>
      <c r="Q12" s="39"/>
      <c r="R12" s="39"/>
      <c r="T12" s="39"/>
      <c r="U12" s="74"/>
      <c r="V12" s="39"/>
      <c r="W12" s="39"/>
      <c r="X12" s="39"/>
    </row>
    <row r="13" spans="1:75" s="39" customFormat="1" ht="15">
      <c r="A13" s="38"/>
      <c r="B13" s="76"/>
      <c r="C13" s="40"/>
      <c r="D13" s="40"/>
      <c r="E13" s="40"/>
      <c r="F13" s="40"/>
      <c r="G13" s="40"/>
      <c r="H13" s="40"/>
      <c r="I13" s="45"/>
      <c r="J13" s="45"/>
      <c r="K13" s="45"/>
      <c r="L13" s="45"/>
      <c r="M13" s="145"/>
      <c r="U13" s="74"/>
    </row>
    <row r="14" spans="1:75" s="39" customFormat="1" ht="15">
      <c r="A14" s="38"/>
      <c r="B14" s="76"/>
      <c r="C14" s="2354" t="s">
        <v>163</v>
      </c>
      <c r="D14" s="2358"/>
      <c r="E14" s="2359"/>
      <c r="F14" s="147">
        <v>28686</v>
      </c>
      <c r="H14" s="45"/>
      <c r="I14" s="40"/>
      <c r="J14" s="45"/>
      <c r="K14" s="45"/>
      <c r="L14" s="77"/>
      <c r="M14" s="78" t="s">
        <v>141</v>
      </c>
    </row>
    <row r="15" spans="1:75" s="39" customFormat="1" ht="15">
      <c r="A15" s="38"/>
      <c r="B15" s="76"/>
      <c r="C15" s="2354" t="s">
        <v>162</v>
      </c>
      <c r="D15" s="2355"/>
      <c r="E15" s="2356"/>
      <c r="F15" s="147">
        <v>0</v>
      </c>
      <c r="H15" s="45"/>
      <c r="I15" s="40"/>
      <c r="J15" s="45"/>
      <c r="K15" s="45"/>
      <c r="L15" s="63"/>
      <c r="M15" s="78" t="s">
        <v>143</v>
      </c>
    </row>
    <row r="16" spans="1:75" s="39" customFormat="1" ht="15">
      <c r="A16" s="42"/>
      <c r="B16" s="76"/>
      <c r="C16" s="2354" t="s">
        <v>161</v>
      </c>
      <c r="D16" s="2355"/>
      <c r="E16" s="2356"/>
      <c r="F16" s="147">
        <v>0</v>
      </c>
      <c r="H16" s="45"/>
      <c r="I16" s="148"/>
      <c r="J16" s="45"/>
      <c r="K16" s="45"/>
      <c r="L16" s="80" t="s">
        <v>556</v>
      </c>
      <c r="M16" s="78" t="s">
        <v>143</v>
      </c>
    </row>
    <row r="17" spans="1:25" s="39" customFormat="1" ht="42.75">
      <c r="B17" s="76"/>
      <c r="C17" s="2354" t="s">
        <v>160</v>
      </c>
      <c r="D17" s="2355"/>
      <c r="E17" s="2356"/>
      <c r="F17" s="81">
        <f>SUM(F14:F16)</f>
        <v>28686</v>
      </c>
      <c r="H17" s="45"/>
      <c r="I17" s="40"/>
      <c r="J17" s="45"/>
      <c r="K17" s="45"/>
      <c r="L17" s="2193"/>
      <c r="M17" s="507" t="s">
        <v>1299</v>
      </c>
    </row>
    <row r="18" spans="1:25" s="39" customFormat="1" ht="15">
      <c r="A18" s="146"/>
      <c r="B18" s="76"/>
      <c r="C18" s="2354" t="s">
        <v>187</v>
      </c>
      <c r="D18" s="2355"/>
      <c r="E18" s="2356"/>
      <c r="F18" s="81">
        <f>L35</f>
        <v>28686</v>
      </c>
      <c r="H18" s="148"/>
      <c r="I18" s="148"/>
      <c r="J18" s="45"/>
      <c r="K18" s="45"/>
      <c r="L18" s="45"/>
      <c r="M18" s="145"/>
    </row>
    <row r="19" spans="1:25" s="39" customFormat="1" ht="15">
      <c r="A19" s="146"/>
      <c r="B19" s="76"/>
      <c r="C19" s="41"/>
      <c r="D19" s="41"/>
      <c r="E19" s="41"/>
      <c r="F19" s="45"/>
      <c r="G19" s="45"/>
      <c r="H19" s="45"/>
      <c r="I19" s="45"/>
      <c r="J19" s="45"/>
      <c r="K19" s="45"/>
      <c r="L19" s="45"/>
      <c r="M19" s="145"/>
    </row>
    <row r="20" spans="1:25" s="42" customFormat="1" ht="15">
      <c r="A20" s="146"/>
      <c r="B20" s="2343" t="s">
        <v>117</v>
      </c>
      <c r="C20" s="2360"/>
      <c r="D20" s="2360"/>
      <c r="E20" s="2360"/>
      <c r="F20" s="2360"/>
      <c r="G20" s="2360"/>
      <c r="H20" s="2360"/>
      <c r="I20" s="2360"/>
      <c r="J20" s="2360"/>
      <c r="K20" s="2360"/>
      <c r="L20" s="2360"/>
      <c r="M20" s="2361"/>
      <c r="N20" s="40"/>
      <c r="O20" s="40"/>
      <c r="P20" s="40"/>
      <c r="Q20" s="39"/>
      <c r="R20" s="39"/>
      <c r="T20" s="39"/>
      <c r="U20" s="74"/>
      <c r="V20" s="39"/>
      <c r="W20" s="39"/>
      <c r="X20" s="39"/>
    </row>
    <row r="21" spans="1:25" s="42" customFormat="1" ht="15">
      <c r="A21" s="146"/>
      <c r="B21" s="84"/>
      <c r="C21" s="46"/>
      <c r="D21" s="44"/>
      <c r="E21" s="44"/>
      <c r="F21" s="40"/>
      <c r="G21" s="44"/>
      <c r="H21" s="44"/>
      <c r="I21" s="44"/>
      <c r="J21" s="47"/>
      <c r="K21" s="45"/>
      <c r="L21" s="45"/>
      <c r="M21" s="145"/>
      <c r="N21" s="40"/>
      <c r="O21" s="40"/>
      <c r="P21" s="40"/>
      <c r="Q21" s="40"/>
      <c r="R21" s="44"/>
      <c r="S21" s="39"/>
      <c r="T21" s="39"/>
      <c r="U21" s="39"/>
      <c r="V21" s="39"/>
      <c r="W21" s="39"/>
      <c r="X21" s="39"/>
      <c r="Y21" s="39"/>
    </row>
    <row r="22" spans="1:25" s="42" customFormat="1" ht="15">
      <c r="A22" s="146"/>
      <c r="B22" s="84"/>
      <c r="C22" s="1777" t="str">
        <f>HYPERLINK("[.\]Set_up_ICH!A10","To Set up costs template")</f>
        <v>To Set up costs template</v>
      </c>
      <c r="D22" s="1714"/>
      <c r="E22" s="526"/>
      <c r="F22" s="40"/>
      <c r="G22" s="526"/>
      <c r="H22" s="526"/>
      <c r="I22" s="526"/>
      <c r="J22" s="1711"/>
      <c r="K22" s="1722"/>
      <c r="L22" s="1722"/>
      <c r="M22" s="615"/>
      <c r="N22" s="40"/>
      <c r="O22" s="40"/>
      <c r="P22" s="40"/>
      <c r="Q22" s="40"/>
      <c r="R22" s="526"/>
      <c r="S22" s="39"/>
      <c r="T22" s="39"/>
      <c r="U22" s="39"/>
      <c r="V22" s="39"/>
      <c r="W22" s="39"/>
      <c r="X22" s="39"/>
      <c r="Y22" s="39"/>
    </row>
    <row r="23" spans="1:25" s="42" customFormat="1" ht="15">
      <c r="A23" s="146"/>
      <c r="B23" s="84"/>
      <c r="C23" s="528"/>
      <c r="D23" s="526"/>
      <c r="E23" s="526"/>
      <c r="F23" s="40"/>
      <c r="G23" s="526"/>
      <c r="H23" s="526"/>
      <c r="I23" s="526"/>
      <c r="J23" s="1711"/>
      <c r="K23" s="1722"/>
      <c r="L23" s="1722"/>
      <c r="M23" s="615"/>
      <c r="N23" s="40"/>
      <c r="O23" s="40"/>
      <c r="P23" s="40"/>
      <c r="Q23" s="40"/>
      <c r="R23" s="526"/>
      <c r="S23" s="39"/>
      <c r="T23" s="39"/>
      <c r="U23" s="39"/>
      <c r="V23" s="39"/>
      <c r="W23" s="39"/>
      <c r="X23" s="39"/>
      <c r="Y23" s="39"/>
    </row>
    <row r="24" spans="1:25" s="42" customFormat="1" ht="15">
      <c r="B24" s="84"/>
      <c r="C24" s="2357" t="s">
        <v>1070</v>
      </c>
      <c r="D24" s="2250"/>
      <c r="E24" s="1208">
        <f>Set_up_ICH!B20</f>
        <v>480000</v>
      </c>
      <c r="G24" s="129"/>
      <c r="H24" s="44"/>
      <c r="I24" s="44"/>
      <c r="J24" s="47"/>
      <c r="K24" s="45"/>
      <c r="L24" s="45"/>
      <c r="M24" s="145"/>
      <c r="N24" s="40"/>
      <c r="O24" s="40"/>
      <c r="P24" s="40"/>
      <c r="Q24" s="40"/>
      <c r="R24" s="44"/>
      <c r="S24" s="39"/>
      <c r="T24" s="39"/>
      <c r="U24" s="39"/>
      <c r="V24" s="39"/>
      <c r="W24" s="39"/>
      <c r="X24" s="39"/>
      <c r="Y24" s="39"/>
    </row>
    <row r="25" spans="1:25" s="42" customFormat="1" ht="15">
      <c r="B25" s="84"/>
      <c r="C25" s="45"/>
      <c r="D25" s="45"/>
      <c r="E25" s="45"/>
      <c r="F25" s="45"/>
      <c r="G25" s="79"/>
      <c r="H25" s="45"/>
      <c r="I25" s="45"/>
      <c r="J25" s="45"/>
      <c r="K25" s="45"/>
      <c r="L25" s="45"/>
      <c r="M25" s="145"/>
      <c r="N25" s="40"/>
      <c r="O25" s="40"/>
      <c r="P25" s="40"/>
      <c r="Q25" s="44"/>
      <c r="R25" s="39"/>
      <c r="S25" s="39"/>
      <c r="T25" s="39"/>
      <c r="U25" s="39"/>
      <c r="V25" s="39"/>
      <c r="W25" s="39"/>
      <c r="X25" s="39"/>
    </row>
    <row r="26" spans="1:25" s="42" customFormat="1" ht="15">
      <c r="B26" s="84"/>
      <c r="C26" s="44"/>
      <c r="D26" s="40"/>
      <c r="E26" s="40"/>
      <c r="F26" s="44"/>
      <c r="G26" s="117"/>
      <c r="H26" s="44"/>
      <c r="I26" s="85"/>
      <c r="J26" s="85"/>
      <c r="K26" s="73"/>
      <c r="L26" s="47"/>
      <c r="M26" s="83"/>
      <c r="N26" s="40"/>
      <c r="O26" s="40"/>
      <c r="P26" s="40"/>
      <c r="Q26" s="44"/>
      <c r="R26" s="39"/>
      <c r="S26" s="39"/>
      <c r="T26" s="39"/>
      <c r="U26" s="39"/>
      <c r="V26" s="39"/>
      <c r="W26" s="39"/>
      <c r="X26" s="39"/>
    </row>
    <row r="27" spans="1:25" s="42" customFormat="1" ht="15">
      <c r="B27" s="84"/>
      <c r="C27" s="2357" t="s">
        <v>159</v>
      </c>
      <c r="D27" s="2250"/>
      <c r="E27" s="1208"/>
      <c r="G27" s="117"/>
      <c r="H27" s="44"/>
      <c r="I27" s="149"/>
      <c r="J27" s="85"/>
      <c r="K27" s="47"/>
      <c r="L27" s="47"/>
      <c r="M27" s="83"/>
      <c r="N27" s="40"/>
      <c r="O27" s="40"/>
      <c r="P27" s="40"/>
      <c r="Q27" s="44"/>
      <c r="R27" s="39"/>
      <c r="S27" s="39"/>
      <c r="T27" s="39"/>
      <c r="U27" s="39"/>
      <c r="V27" s="39"/>
      <c r="W27" s="39"/>
      <c r="X27" s="39"/>
    </row>
    <row r="28" spans="1:25" s="42" customFormat="1" ht="15">
      <c r="B28" s="84"/>
      <c r="C28" s="44"/>
      <c r="D28" s="40"/>
      <c r="E28" s="40"/>
      <c r="F28" s="44"/>
      <c r="G28" s="44"/>
      <c r="H28" s="44"/>
      <c r="I28" s="85"/>
      <c r="J28" s="85"/>
      <c r="K28" s="47"/>
      <c r="L28" s="47"/>
      <c r="M28" s="83"/>
      <c r="N28" s="40"/>
      <c r="O28" s="40"/>
      <c r="P28" s="40"/>
      <c r="Q28" s="44"/>
      <c r="R28" s="39"/>
      <c r="S28" s="39"/>
      <c r="T28" s="39"/>
      <c r="U28" s="39"/>
      <c r="V28" s="39"/>
      <c r="W28" s="39"/>
      <c r="X28" s="39"/>
    </row>
    <row r="29" spans="1:25" s="42" customFormat="1" ht="15">
      <c r="B29" s="2343" t="s">
        <v>102</v>
      </c>
      <c r="C29" s="2360"/>
      <c r="D29" s="2360"/>
      <c r="E29" s="2360"/>
      <c r="F29" s="2360"/>
      <c r="G29" s="2360"/>
      <c r="H29" s="2360"/>
      <c r="I29" s="2360"/>
      <c r="J29" s="2360"/>
      <c r="K29" s="2360"/>
      <c r="L29" s="2360"/>
      <c r="M29" s="2361"/>
      <c r="N29" s="40"/>
      <c r="O29" s="40"/>
      <c r="P29" s="40"/>
      <c r="Q29" s="39"/>
      <c r="R29" s="39"/>
      <c r="T29" s="39"/>
      <c r="U29" s="74"/>
      <c r="V29" s="39"/>
      <c r="W29" s="39"/>
      <c r="X29" s="39"/>
    </row>
    <row r="30" spans="1:25" s="42" customFormat="1" ht="15">
      <c r="B30" s="84"/>
      <c r="C30" s="51"/>
      <c r="D30" s="40"/>
      <c r="E30" s="40"/>
      <c r="F30" s="43"/>
      <c r="G30" s="40"/>
      <c r="H30" s="43"/>
      <c r="I30" s="43"/>
      <c r="J30" s="40"/>
      <c r="K30" s="98"/>
      <c r="L30" s="98"/>
      <c r="M30" s="83"/>
      <c r="N30" s="40"/>
      <c r="O30" s="39"/>
      <c r="P30" s="39"/>
      <c r="Q30" s="39"/>
      <c r="R30" s="39"/>
      <c r="S30" s="39"/>
      <c r="T30" s="39"/>
      <c r="U30" s="39"/>
      <c r="V30" s="39"/>
      <c r="W30" s="39"/>
      <c r="X30" s="39"/>
      <c r="Y30" s="39"/>
    </row>
    <row r="31" spans="1:25" s="42" customFormat="1" ht="48" customHeight="1">
      <c r="B31" s="84"/>
      <c r="C31" s="2323" t="s">
        <v>158</v>
      </c>
      <c r="D31" s="2380"/>
      <c r="E31" s="2381"/>
      <c r="F31" s="563" t="s">
        <v>149</v>
      </c>
      <c r="G31" s="40"/>
      <c r="H31" s="2333"/>
      <c r="I31" s="2333"/>
      <c r="J31" s="560"/>
      <c r="K31" s="564" t="s">
        <v>1003</v>
      </c>
      <c r="L31" s="564" t="s">
        <v>121</v>
      </c>
      <c r="M31" s="1134" t="s">
        <v>157</v>
      </c>
      <c r="N31" s="40"/>
      <c r="O31" s="39"/>
      <c r="P31" s="39"/>
      <c r="Q31" s="39"/>
      <c r="R31" s="39"/>
      <c r="S31" s="39"/>
      <c r="T31" s="39"/>
      <c r="U31" s="39"/>
      <c r="V31" s="39"/>
      <c r="W31" s="39"/>
      <c r="X31" s="39"/>
      <c r="Y31" s="39"/>
    </row>
    <row r="32" spans="1:25" s="42" customFormat="1" ht="33" customHeight="1">
      <c r="B32" s="84"/>
      <c r="C32" s="2323" t="s">
        <v>942</v>
      </c>
      <c r="D32" s="2341"/>
      <c r="E32" s="2377"/>
      <c r="F32" s="103">
        <v>1</v>
      </c>
      <c r="G32" s="40"/>
      <c r="H32" s="2373"/>
      <c r="I32" s="2373"/>
      <c r="J32" s="95"/>
      <c r="K32" s="585" t="str">
        <f>IF(C32&gt;"",C32,"")</f>
        <v>111 calls where disposition OOH or ambulance service</v>
      </c>
      <c r="L32" s="1337">
        <f>F32*F14</f>
        <v>28686</v>
      </c>
      <c r="M32" s="636"/>
      <c r="N32" s="40"/>
      <c r="O32" s="39"/>
      <c r="P32" s="39"/>
      <c r="Q32" s="39"/>
      <c r="R32" s="39"/>
      <c r="S32" s="39"/>
      <c r="T32" s="39"/>
      <c r="U32" s="39"/>
      <c r="V32" s="39"/>
      <c r="W32" s="39"/>
      <c r="X32" s="39"/>
      <c r="Y32" s="39"/>
    </row>
    <row r="33" spans="1:27" s="42" customFormat="1" ht="30">
      <c r="B33" s="84"/>
      <c r="C33" s="2323" t="s">
        <v>943</v>
      </c>
      <c r="D33" s="2341"/>
      <c r="E33" s="2377"/>
      <c r="F33" s="103">
        <v>1</v>
      </c>
      <c r="G33" s="40"/>
      <c r="H33" s="2373"/>
      <c r="I33" s="2373"/>
      <c r="J33" s="95"/>
      <c r="K33" s="585" t="str">
        <f>IF(C33&gt;"",C33,"")</f>
        <v>OOH calls where disposition 111 or ambulance service</v>
      </c>
      <c r="L33" s="122">
        <f>F33*F15</f>
        <v>0</v>
      </c>
      <c r="M33" s="636"/>
      <c r="N33" s="40"/>
      <c r="O33" s="39"/>
      <c r="P33" s="39"/>
      <c r="Q33" s="39"/>
      <c r="R33" s="39"/>
      <c r="S33" s="39"/>
      <c r="T33" s="39"/>
      <c r="U33" s="39"/>
      <c r="V33" s="39"/>
      <c r="W33" s="39"/>
      <c r="X33" s="39"/>
      <c r="Y33" s="39"/>
    </row>
    <row r="34" spans="1:27" s="42" customFormat="1" ht="30">
      <c r="B34" s="84"/>
      <c r="C34" s="2323" t="s">
        <v>944</v>
      </c>
      <c r="D34" s="2341"/>
      <c r="E34" s="2377"/>
      <c r="F34" s="103">
        <v>1</v>
      </c>
      <c r="G34" s="40"/>
      <c r="H34" s="2373"/>
      <c r="I34" s="2373"/>
      <c r="J34" s="95"/>
      <c r="K34" s="585" t="str">
        <f>IF(C34&gt;"",C34,"")</f>
        <v>Ambulance service calls where disposition 111 or OOH</v>
      </c>
      <c r="L34" s="122">
        <f>F34*F16</f>
        <v>0</v>
      </c>
      <c r="M34" s="636"/>
      <c r="N34" s="40"/>
      <c r="O34" s="39"/>
      <c r="P34" s="39"/>
      <c r="Q34" s="39"/>
      <c r="R34" s="39"/>
      <c r="S34" s="39"/>
      <c r="T34" s="39"/>
      <c r="U34" s="39"/>
      <c r="V34" s="39"/>
      <c r="W34" s="39"/>
      <c r="X34" s="39"/>
      <c r="Y34" s="39"/>
    </row>
    <row r="35" spans="1:27" s="42" customFormat="1" ht="15">
      <c r="B35" s="84"/>
      <c r="C35" s="40"/>
      <c r="D35" s="40"/>
      <c r="E35" s="40"/>
      <c r="F35" s="40"/>
      <c r="G35" s="40"/>
      <c r="H35" s="2373"/>
      <c r="I35" s="2373"/>
      <c r="J35" s="120"/>
      <c r="K35" s="585" t="s">
        <v>586</v>
      </c>
      <c r="L35" s="1337">
        <f>SUM(L32:L34)</f>
        <v>28686</v>
      </c>
      <c r="M35" s="1338">
        <f>INT(L35/E41)*E41</f>
        <v>28350</v>
      </c>
      <c r="N35" s="40"/>
      <c r="O35" s="151"/>
      <c r="P35" s="39"/>
      <c r="Q35" s="39"/>
      <c r="R35" s="39"/>
      <c r="S35" s="39"/>
      <c r="T35" s="39"/>
      <c r="U35" s="39"/>
      <c r="V35" s="39"/>
      <c r="W35" s="39"/>
      <c r="X35" s="39"/>
      <c r="Y35" s="39"/>
    </row>
    <row r="36" spans="1:27" s="42" customFormat="1" ht="15">
      <c r="B36" s="84"/>
      <c r="C36" s="40"/>
      <c r="D36" s="40"/>
      <c r="E36" s="40"/>
      <c r="F36" s="40"/>
      <c r="G36" s="40"/>
      <c r="H36" s="40"/>
      <c r="I36" s="40"/>
      <c r="J36" s="40"/>
      <c r="L36" s="40"/>
      <c r="M36" s="1043"/>
      <c r="N36" s="40"/>
      <c r="O36" s="39"/>
      <c r="P36" s="39"/>
      <c r="Q36" s="39"/>
      <c r="R36" s="39"/>
      <c r="S36" s="39"/>
      <c r="T36" s="39"/>
      <c r="U36" s="39"/>
      <c r="V36" s="39"/>
      <c r="W36" s="39"/>
      <c r="X36" s="39"/>
      <c r="Y36" s="39"/>
    </row>
    <row r="37" spans="1:27" s="42" customFormat="1" ht="30">
      <c r="B37" s="84"/>
      <c r="C37" s="40"/>
      <c r="D37" s="40"/>
      <c r="E37" s="40"/>
      <c r="F37" s="40"/>
      <c r="G37" s="40"/>
      <c r="H37" s="2333"/>
      <c r="I37" s="2333"/>
      <c r="J37" s="85"/>
      <c r="K37" s="564" t="s">
        <v>1002</v>
      </c>
      <c r="L37" s="563" t="s">
        <v>659</v>
      </c>
      <c r="M37" s="1134" t="s">
        <v>120</v>
      </c>
      <c r="N37" s="40"/>
      <c r="O37" s="39"/>
      <c r="P37" s="39"/>
      <c r="Q37" s="39"/>
      <c r="R37" s="39"/>
      <c r="S37" s="39"/>
      <c r="T37" s="39"/>
      <c r="U37" s="39"/>
      <c r="V37" s="39"/>
      <c r="W37" s="39"/>
      <c r="X37" s="39"/>
      <c r="Y37" s="39"/>
    </row>
    <row r="38" spans="1:27" s="42" customFormat="1" ht="15">
      <c r="B38" s="84"/>
      <c r="C38" s="40"/>
      <c r="D38" s="40"/>
      <c r="E38" s="40"/>
      <c r="F38" s="40"/>
      <c r="G38" s="40"/>
      <c r="H38" s="2372"/>
      <c r="I38" s="2372"/>
      <c r="J38" s="73"/>
      <c r="K38" s="585" t="s">
        <v>50</v>
      </c>
      <c r="L38" s="1133">
        <f>L35*D$41</f>
        <v>200802</v>
      </c>
      <c r="M38" s="1135">
        <f>(L35-M35)*F41+M35*G41</f>
        <v>10060.180199999984</v>
      </c>
      <c r="N38" s="40"/>
      <c r="O38" s="39"/>
      <c r="P38" s="39"/>
      <c r="Q38" s="39"/>
      <c r="R38" s="39"/>
      <c r="S38" s="39"/>
      <c r="T38" s="39"/>
      <c r="U38" s="39"/>
      <c r="V38" s="39"/>
      <c r="W38" s="39"/>
      <c r="X38" s="39"/>
      <c r="Y38" s="39"/>
    </row>
    <row r="39" spans="1:27" s="42" customFormat="1" ht="15">
      <c r="B39" s="84"/>
      <c r="C39" s="40"/>
      <c r="D39" s="40"/>
      <c r="E39" s="40"/>
      <c r="F39" s="43"/>
      <c r="G39" s="40"/>
      <c r="H39" s="43"/>
      <c r="I39" s="98"/>
      <c r="J39" s="98"/>
      <c r="K39" s="98"/>
      <c r="L39" s="98"/>
      <c r="M39" s="83"/>
      <c r="N39" s="40"/>
      <c r="O39" s="39"/>
      <c r="P39" s="39"/>
      <c r="Q39" s="39"/>
      <c r="R39" s="39"/>
      <c r="S39" s="39"/>
      <c r="T39" s="39"/>
      <c r="U39" s="39"/>
      <c r="V39" s="39"/>
      <c r="W39" s="39"/>
      <c r="X39" s="39"/>
      <c r="Y39" s="39"/>
    </row>
    <row r="40" spans="1:27" s="42" customFormat="1" ht="75">
      <c r="B40" s="84"/>
      <c r="C40" s="582" t="s">
        <v>1214</v>
      </c>
      <c r="D40" s="87" t="s">
        <v>660</v>
      </c>
      <c r="E40" s="87" t="s">
        <v>145</v>
      </c>
      <c r="F40" s="87" t="s">
        <v>144</v>
      </c>
      <c r="G40" s="87" t="s">
        <v>561</v>
      </c>
      <c r="J40" s="45"/>
      <c r="K40" s="45"/>
      <c r="L40" s="45"/>
      <c r="M40" s="107"/>
      <c r="N40" s="40"/>
      <c r="O40" s="40"/>
      <c r="P40" s="44"/>
      <c r="Q40" s="39"/>
      <c r="R40" s="39"/>
      <c r="S40" s="39"/>
      <c r="T40" s="39"/>
      <c r="U40" s="39"/>
      <c r="V40" s="39"/>
      <c r="W40" s="39"/>
    </row>
    <row r="41" spans="1:27" s="42" customFormat="1" ht="15">
      <c r="B41" s="84"/>
      <c r="C41" s="121" t="s">
        <v>50</v>
      </c>
      <c r="D41" s="1194">
        <f>VLOOKUP($C41,local_data_input!$B$4:$K$20,2,FALSE)</f>
        <v>7</v>
      </c>
      <c r="E41" s="122">
        <f>VLOOKUP($C41,local_data_input!$B$4:$K$20,7,FALSE)</f>
        <v>9450</v>
      </c>
      <c r="F41" s="1194">
        <f>VLOOKUP($C41,local_data_input!$B$4:$K$20,8,FALSE)</f>
        <v>0.35069999999999946</v>
      </c>
      <c r="G41" s="1194">
        <f>VLOOKUP($C41,local_data_input!$B$4:$K$20,9,FALSE)</f>
        <v>0.35069999999999946</v>
      </c>
      <c r="J41" s="45"/>
      <c r="K41" s="45"/>
      <c r="L41" s="45"/>
      <c r="M41" s="107"/>
      <c r="N41" s="40"/>
      <c r="O41" s="40"/>
      <c r="P41" s="44"/>
      <c r="Q41" s="39"/>
      <c r="R41" s="39"/>
      <c r="S41" s="39"/>
      <c r="T41" s="39"/>
      <c r="U41" s="39"/>
      <c r="V41" s="39"/>
      <c r="W41" s="39"/>
    </row>
    <row r="42" spans="1:27" s="42" customFormat="1" ht="15">
      <c r="B42" s="84"/>
      <c r="C42" s="51"/>
      <c r="D42" s="40"/>
      <c r="E42" s="40"/>
      <c r="F42" s="43"/>
      <c r="G42" s="40"/>
      <c r="H42" s="43"/>
      <c r="I42" s="43"/>
      <c r="J42" s="40"/>
      <c r="K42" s="98"/>
      <c r="L42" s="98"/>
      <c r="M42" s="133"/>
      <c r="N42" s="40"/>
      <c r="O42" s="39"/>
      <c r="P42" s="39"/>
      <c r="Q42" s="39"/>
      <c r="R42" s="39"/>
      <c r="S42" s="39"/>
      <c r="T42" s="39"/>
      <c r="U42" s="39"/>
      <c r="V42" s="39"/>
      <c r="W42" s="39"/>
      <c r="X42" s="39"/>
      <c r="Y42" s="39"/>
    </row>
    <row r="43" spans="1:27" s="42" customFormat="1" ht="15">
      <c r="B43" s="2343" t="s">
        <v>97</v>
      </c>
      <c r="C43" s="2360"/>
      <c r="D43" s="2360"/>
      <c r="E43" s="2360"/>
      <c r="F43" s="2360"/>
      <c r="G43" s="2360"/>
      <c r="H43" s="2360"/>
      <c r="I43" s="2360"/>
      <c r="J43" s="2360"/>
      <c r="K43" s="2360"/>
      <c r="L43" s="2360"/>
      <c r="M43" s="2361"/>
      <c r="N43" s="40"/>
      <c r="O43" s="40"/>
      <c r="P43" s="40"/>
      <c r="Q43" s="39"/>
      <c r="R43" s="39"/>
      <c r="T43" s="39"/>
      <c r="U43" s="74"/>
      <c r="V43" s="39"/>
      <c r="W43" s="39"/>
      <c r="X43" s="39"/>
    </row>
    <row r="44" spans="1:27" s="42" customFormat="1">
      <c r="B44" s="84"/>
      <c r="C44" s="73"/>
      <c r="D44" s="40"/>
      <c r="E44" s="40"/>
      <c r="F44" s="40"/>
      <c r="G44" s="40"/>
      <c r="H44" s="40"/>
      <c r="I44" s="40"/>
      <c r="J44" s="40"/>
      <c r="K44" s="40"/>
      <c r="L44" s="40"/>
      <c r="M44" s="83"/>
      <c r="N44" s="39"/>
      <c r="O44" s="39"/>
      <c r="P44" s="39"/>
      <c r="Q44" s="39"/>
      <c r="R44" s="39"/>
      <c r="S44" s="39"/>
      <c r="T44" s="39"/>
      <c r="U44" s="39"/>
      <c r="V44" s="2"/>
      <c r="W44" s="2"/>
      <c r="X44" s="2"/>
      <c r="Y44" s="3"/>
      <c r="Z44" s="3"/>
      <c r="AA44" s="3"/>
    </row>
    <row r="45" spans="1:27" s="42" customFormat="1">
      <c r="B45" s="84"/>
      <c r="C45" s="40" t="s">
        <v>96</v>
      </c>
      <c r="D45" s="40"/>
      <c r="E45" s="40"/>
      <c r="F45" s="40"/>
      <c r="G45" s="40"/>
      <c r="H45" s="40"/>
      <c r="I45" s="40"/>
      <c r="J45" s="40"/>
      <c r="K45" s="40"/>
      <c r="L45" s="40"/>
      <c r="M45" s="83"/>
      <c r="N45" s="39"/>
      <c r="O45" s="39"/>
      <c r="P45" s="39"/>
      <c r="Q45" s="39"/>
      <c r="R45" s="39"/>
      <c r="S45" s="39"/>
      <c r="T45" s="39"/>
      <c r="U45" s="39"/>
      <c r="V45" s="2"/>
      <c r="W45" s="2"/>
      <c r="X45" s="2"/>
      <c r="Y45" s="3"/>
      <c r="Z45" s="3"/>
      <c r="AA45" s="3"/>
    </row>
    <row r="46" spans="1:27" s="42" customFormat="1" ht="15.75" thickBot="1">
      <c r="B46" s="108"/>
      <c r="C46" s="134"/>
      <c r="D46" s="109"/>
      <c r="E46" s="109"/>
      <c r="F46" s="109"/>
      <c r="G46" s="109"/>
      <c r="H46" s="109"/>
      <c r="I46" s="109"/>
      <c r="J46" s="109"/>
      <c r="K46" s="135"/>
      <c r="L46" s="135"/>
      <c r="M46" s="110"/>
      <c r="N46" s="39"/>
      <c r="O46" s="39"/>
      <c r="P46" s="39"/>
      <c r="Q46" s="39"/>
      <c r="R46" s="39"/>
      <c r="S46" s="39"/>
      <c r="T46" s="39"/>
      <c r="U46" s="39"/>
      <c r="V46" s="39"/>
      <c r="W46" s="39"/>
      <c r="X46" s="39"/>
    </row>
    <row r="47" spans="1:27" ht="15">
      <c r="A47" s="42"/>
      <c r="B47" s="35"/>
      <c r="C47" s="56"/>
      <c r="D47" s="36"/>
      <c r="E47" s="36"/>
      <c r="F47" s="62"/>
      <c r="G47" s="62"/>
      <c r="H47" s="62"/>
      <c r="I47" s="62"/>
      <c r="J47" s="62"/>
      <c r="K47" s="62"/>
      <c r="L47" s="62"/>
      <c r="M47" s="62"/>
      <c r="O47" s="35"/>
      <c r="P47" s="35"/>
      <c r="Q47" s="35"/>
      <c r="R47" s="35"/>
      <c r="S47" s="35"/>
      <c r="T47" s="35"/>
      <c r="U47" s="35"/>
      <c r="V47" s="4"/>
      <c r="W47" s="4"/>
      <c r="X47" s="4"/>
      <c r="Y47" s="5"/>
      <c r="Z47" s="5"/>
      <c r="AA47" s="5"/>
    </row>
    <row r="48" spans="1:27" ht="15">
      <c r="A48" s="42"/>
      <c r="B48" s="35"/>
      <c r="C48" s="56"/>
      <c r="D48" s="35"/>
      <c r="E48" s="35"/>
      <c r="F48" s="62"/>
      <c r="G48" s="62"/>
      <c r="H48" s="62"/>
      <c r="I48" s="62"/>
      <c r="J48" s="62"/>
      <c r="K48" s="62"/>
      <c r="L48" s="62"/>
      <c r="M48" s="62"/>
      <c r="O48" s="35"/>
      <c r="P48" s="35"/>
      <c r="Q48" s="35"/>
      <c r="R48" s="35"/>
      <c r="S48" s="35"/>
      <c r="T48" s="35"/>
      <c r="U48" s="35"/>
      <c r="V48" s="4"/>
      <c r="W48" s="4"/>
      <c r="X48" s="4"/>
      <c r="Y48" s="5"/>
      <c r="Z48" s="5"/>
      <c r="AA48" s="5"/>
    </row>
    <row r="49" spans="1:29" ht="15">
      <c r="A49" s="42"/>
      <c r="B49" s="35"/>
      <c r="C49" s="56"/>
      <c r="D49" s="56"/>
      <c r="E49" s="56"/>
      <c r="F49" s="62"/>
      <c r="G49" s="62"/>
      <c r="H49" s="62"/>
      <c r="I49" s="62"/>
      <c r="J49" s="62"/>
      <c r="K49" s="62"/>
      <c r="L49" s="62"/>
      <c r="M49" s="62"/>
      <c r="O49" s="35"/>
      <c r="P49" s="35"/>
      <c r="Q49" s="35"/>
      <c r="R49" s="35"/>
      <c r="S49" s="35"/>
      <c r="T49" s="35"/>
      <c r="U49" s="35"/>
      <c r="V49" s="4"/>
      <c r="W49" s="4"/>
      <c r="X49" s="4"/>
      <c r="Y49" s="5"/>
      <c r="Z49" s="5"/>
      <c r="AA49" s="5"/>
    </row>
    <row r="50" spans="1:29" ht="15">
      <c r="A50" s="42"/>
      <c r="B50" s="35"/>
      <c r="C50" s="56"/>
      <c r="D50" s="56"/>
      <c r="E50" s="56"/>
      <c r="F50" s="62"/>
      <c r="G50" s="62"/>
      <c r="H50" s="62"/>
      <c r="I50" s="62"/>
      <c r="J50" s="62"/>
      <c r="K50" s="62"/>
      <c r="L50" s="62"/>
      <c r="M50" s="62"/>
      <c r="O50" s="35"/>
      <c r="P50" s="35"/>
      <c r="Q50" s="35"/>
      <c r="R50" s="35"/>
      <c r="S50" s="35"/>
      <c r="T50" s="35"/>
      <c r="U50" s="35"/>
      <c r="V50" s="4"/>
      <c r="W50" s="4"/>
      <c r="X50" s="4"/>
      <c r="Y50" s="5"/>
      <c r="Z50" s="5"/>
      <c r="AA50" s="5"/>
    </row>
    <row r="51" spans="1:29">
      <c r="B51" s="35"/>
      <c r="C51" s="62"/>
      <c r="D51" s="36"/>
      <c r="E51" s="36"/>
      <c r="F51" s="111"/>
      <c r="G51" s="111"/>
      <c r="H51" s="111"/>
      <c r="I51" s="111"/>
      <c r="J51" s="111"/>
      <c r="K51" s="111"/>
      <c r="L51" s="111"/>
      <c r="M51" s="62"/>
      <c r="O51" s="35"/>
      <c r="P51" s="35"/>
      <c r="Q51" s="35"/>
      <c r="R51" s="35"/>
      <c r="S51" s="35"/>
      <c r="T51" s="35"/>
      <c r="U51" s="35"/>
      <c r="V51" s="4"/>
      <c r="W51" s="4"/>
      <c r="X51" s="4"/>
      <c r="Y51" s="5"/>
      <c r="Z51" s="5"/>
      <c r="AA51" s="5"/>
    </row>
    <row r="52" spans="1:29">
      <c r="B52" s="35"/>
      <c r="C52" s="62"/>
      <c r="D52" s="36"/>
      <c r="E52" s="36"/>
      <c r="F52" s="62"/>
      <c r="G52" s="62"/>
      <c r="H52" s="62"/>
      <c r="I52" s="62"/>
      <c r="J52" s="62"/>
      <c r="K52" s="62"/>
      <c r="L52" s="62"/>
      <c r="M52" s="62"/>
      <c r="O52" s="35"/>
      <c r="P52" s="35"/>
      <c r="Q52" s="35"/>
      <c r="R52" s="35"/>
      <c r="S52" s="35"/>
      <c r="T52" s="35"/>
      <c r="U52" s="35"/>
      <c r="V52" s="4"/>
      <c r="W52" s="4"/>
      <c r="X52" s="4"/>
      <c r="Y52" s="5"/>
      <c r="Z52" s="5"/>
      <c r="AA52" s="5"/>
    </row>
    <row r="53" spans="1:29">
      <c r="B53" s="35"/>
      <c r="C53" s="112"/>
      <c r="D53" s="36"/>
      <c r="E53" s="36"/>
      <c r="F53" s="67"/>
      <c r="G53" s="62"/>
      <c r="H53" s="62"/>
      <c r="I53" s="62"/>
      <c r="J53" s="62"/>
      <c r="K53" s="62"/>
      <c r="L53" s="62"/>
      <c r="M53" s="62"/>
      <c r="O53" s="35"/>
      <c r="P53" s="35"/>
      <c r="Q53" s="35"/>
      <c r="R53" s="35"/>
      <c r="S53" s="35"/>
      <c r="T53" s="35"/>
      <c r="U53" s="35"/>
      <c r="V53" s="4"/>
      <c r="W53" s="4"/>
      <c r="X53" s="4"/>
      <c r="Y53" s="5"/>
      <c r="Z53" s="5"/>
      <c r="AA53" s="5"/>
    </row>
    <row r="54" spans="1:29">
      <c r="B54" s="35"/>
      <c r="C54" s="36"/>
      <c r="D54" s="36"/>
      <c r="E54" s="36"/>
      <c r="F54" s="36"/>
      <c r="G54" s="36"/>
      <c r="H54" s="36"/>
      <c r="I54" s="36"/>
      <c r="J54" s="36"/>
      <c r="K54" s="36"/>
      <c r="L54" s="36"/>
      <c r="M54" s="36"/>
      <c r="O54" s="35"/>
      <c r="P54" s="35"/>
      <c r="Q54" s="35"/>
      <c r="R54" s="35"/>
      <c r="S54" s="35"/>
      <c r="T54" s="35"/>
      <c r="U54" s="35"/>
      <c r="V54" s="4"/>
      <c r="W54" s="4"/>
      <c r="X54" s="4"/>
      <c r="Y54" s="5"/>
      <c r="Z54" s="5"/>
      <c r="AA54" s="5"/>
    </row>
    <row r="55" spans="1:29">
      <c r="B55" s="35"/>
      <c r="C55" s="62"/>
      <c r="D55" s="36"/>
      <c r="E55" s="36"/>
      <c r="F55" s="113"/>
      <c r="G55" s="113"/>
      <c r="H55" s="113"/>
      <c r="I55" s="113"/>
      <c r="J55" s="113"/>
      <c r="K55" s="113"/>
      <c r="L55" s="113"/>
      <c r="M55" s="113"/>
      <c r="O55" s="35"/>
      <c r="P55" s="35"/>
      <c r="Q55" s="35"/>
      <c r="R55" s="35"/>
      <c r="S55" s="35"/>
      <c r="T55" s="35"/>
      <c r="U55" s="35"/>
      <c r="V55" s="4"/>
      <c r="W55" s="4"/>
      <c r="X55" s="4"/>
      <c r="Y55" s="5"/>
      <c r="Z55" s="5"/>
      <c r="AA55" s="5"/>
    </row>
    <row r="56" spans="1:29">
      <c r="B56" s="35"/>
      <c r="C56" s="62"/>
      <c r="D56" s="36"/>
      <c r="E56" s="36"/>
      <c r="F56" s="62"/>
      <c r="G56" s="62"/>
      <c r="H56" s="62"/>
      <c r="I56" s="62"/>
      <c r="J56" s="62"/>
      <c r="K56" s="62"/>
      <c r="L56" s="62"/>
      <c r="M56" s="62"/>
      <c r="O56" s="35"/>
      <c r="P56" s="35"/>
      <c r="Q56" s="35"/>
      <c r="R56" s="35"/>
      <c r="S56" s="35"/>
      <c r="T56" s="35"/>
      <c r="U56" s="35"/>
      <c r="V56" s="4"/>
      <c r="W56" s="4"/>
      <c r="X56" s="4"/>
      <c r="Y56" s="5"/>
      <c r="Z56" s="5"/>
      <c r="AA56" s="5"/>
    </row>
    <row r="57" spans="1:29">
      <c r="B57" s="35"/>
      <c r="C57" s="62"/>
      <c r="D57" s="36"/>
      <c r="E57" s="36"/>
      <c r="F57" s="62"/>
      <c r="G57" s="62"/>
      <c r="H57" s="62"/>
      <c r="I57" s="62"/>
      <c r="J57" s="62"/>
      <c r="K57" s="62"/>
      <c r="L57" s="62"/>
      <c r="M57" s="62"/>
      <c r="O57" s="35"/>
      <c r="P57" s="35"/>
      <c r="Q57" s="35"/>
      <c r="R57" s="35"/>
      <c r="S57" s="35"/>
      <c r="T57" s="35"/>
      <c r="U57" s="35"/>
      <c r="V57" s="4"/>
      <c r="W57" s="4"/>
      <c r="X57" s="4"/>
      <c r="Y57" s="5"/>
      <c r="Z57" s="5"/>
      <c r="AA57" s="5"/>
    </row>
    <row r="58" spans="1:29" ht="15">
      <c r="B58" s="35"/>
      <c r="C58" s="56"/>
      <c r="D58" s="36"/>
      <c r="E58" s="36"/>
      <c r="F58" s="62"/>
      <c r="G58" s="62"/>
      <c r="H58" s="62"/>
      <c r="I58" s="62"/>
      <c r="J58" s="62"/>
      <c r="K58" s="62"/>
      <c r="L58" s="62"/>
      <c r="M58" s="62"/>
      <c r="N58" s="62"/>
      <c r="O58" s="62"/>
      <c r="P58" s="35"/>
      <c r="Q58" s="35"/>
      <c r="R58" s="35"/>
      <c r="S58" s="35"/>
      <c r="T58" s="35"/>
      <c r="U58" s="35"/>
      <c r="V58" s="35"/>
      <c r="W58" s="35"/>
      <c r="X58" s="4"/>
      <c r="Y58" s="4"/>
      <c r="Z58" s="4"/>
      <c r="AA58" s="5"/>
      <c r="AB58" s="5"/>
      <c r="AC58" s="5"/>
    </row>
    <row r="59" spans="1:29">
      <c r="B59" s="35"/>
      <c r="C59" s="62"/>
      <c r="D59" s="36"/>
      <c r="E59" s="36"/>
      <c r="F59" s="113"/>
      <c r="G59" s="113"/>
      <c r="H59" s="113"/>
      <c r="I59" s="113"/>
      <c r="J59" s="113"/>
      <c r="K59" s="113"/>
      <c r="L59" s="113"/>
      <c r="M59" s="113"/>
      <c r="N59" s="113"/>
      <c r="O59" s="113"/>
      <c r="P59" s="35"/>
      <c r="Q59" s="35"/>
      <c r="R59" s="35"/>
      <c r="S59" s="35"/>
      <c r="T59" s="35"/>
      <c r="U59" s="35"/>
      <c r="V59" s="35"/>
      <c r="W59" s="35"/>
      <c r="X59" s="4"/>
      <c r="Y59" s="4"/>
      <c r="Z59" s="4"/>
      <c r="AA59" s="5"/>
      <c r="AB59" s="5"/>
      <c r="AC59" s="5"/>
    </row>
    <row r="60" spans="1:29">
      <c r="B60" s="35"/>
      <c r="C60" s="62"/>
      <c r="D60" s="36"/>
      <c r="E60" s="36"/>
      <c r="F60" s="62"/>
      <c r="G60" s="62"/>
      <c r="H60" s="62"/>
      <c r="I60" s="62"/>
      <c r="J60" s="62"/>
      <c r="K60" s="62"/>
      <c r="L60" s="62"/>
      <c r="M60" s="62"/>
      <c r="N60" s="62"/>
      <c r="O60" s="62"/>
      <c r="P60" s="35"/>
      <c r="Q60" s="35"/>
      <c r="R60" s="35"/>
      <c r="S60" s="35"/>
      <c r="T60" s="35"/>
      <c r="U60" s="35"/>
      <c r="V60" s="35"/>
      <c r="W60" s="35"/>
      <c r="X60" s="4"/>
      <c r="Y60" s="4"/>
      <c r="Z60" s="4"/>
      <c r="AA60" s="5"/>
      <c r="AB60" s="5"/>
      <c r="AC60" s="5"/>
    </row>
    <row r="61" spans="1:29">
      <c r="C61" s="35"/>
      <c r="D61" s="35"/>
      <c r="E61" s="35"/>
      <c r="F61" s="35"/>
      <c r="G61" s="35"/>
      <c r="H61" s="35"/>
      <c r="I61" s="35"/>
      <c r="J61" s="35"/>
      <c r="K61" s="35"/>
      <c r="L61" s="35"/>
      <c r="O61" s="35"/>
      <c r="P61" s="35"/>
      <c r="Q61" s="35"/>
      <c r="R61" s="35"/>
      <c r="S61" s="35"/>
      <c r="T61" s="35"/>
      <c r="U61" s="35"/>
      <c r="V61" s="35"/>
      <c r="W61" s="35"/>
    </row>
  </sheetData>
  <mergeCells count="26">
    <mergeCell ref="J2:M8"/>
    <mergeCell ref="B20:M20"/>
    <mergeCell ref="B29:M29"/>
    <mergeCell ref="H31:I31"/>
    <mergeCell ref="C14:E14"/>
    <mergeCell ref="C15:E15"/>
    <mergeCell ref="C16:E16"/>
    <mergeCell ref="C17:E17"/>
    <mergeCell ref="C18:E18"/>
    <mergeCell ref="C24:D24"/>
    <mergeCell ref="E1:F1"/>
    <mergeCell ref="I1:J1"/>
    <mergeCell ref="B43:M43"/>
    <mergeCell ref="H37:I37"/>
    <mergeCell ref="H38:I38"/>
    <mergeCell ref="H32:I32"/>
    <mergeCell ref="H34:I34"/>
    <mergeCell ref="H33:I33"/>
    <mergeCell ref="H35:I35"/>
    <mergeCell ref="C32:E32"/>
    <mergeCell ref="C33:E33"/>
    <mergeCell ref="C34:E34"/>
    <mergeCell ref="B12:M12"/>
    <mergeCell ref="C4:D5"/>
    <mergeCell ref="C27:D27"/>
    <mergeCell ref="C31:E31"/>
  </mergeCells>
  <pageMargins left="0.70866141732283472" right="0.70866141732283472" top="0.74803149606299213" bottom="0.74803149606299213" header="0.31496062992125984" footer="0.31496062992125984"/>
  <pageSetup paperSize="9" scale="34" orientation="portrait"/>
  <drawing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tint="-0.249977111117893"/>
    <pageSetUpPr fitToPage="1"/>
  </sheetPr>
  <dimension ref="A1:BW118"/>
  <sheetViews>
    <sheetView showGridLines="0" topLeftCell="B1" zoomScale="75" zoomScaleNormal="75" zoomScaleSheetLayoutView="70" zoomScalePageLayoutView="75" workbookViewId="0">
      <pane ySplit="1" topLeftCell="A2" activePane="bottomLeft" state="frozen"/>
      <selection activeCell="C3" sqref="C3"/>
      <selection pane="bottomLeft" activeCell="C92" sqref="C92:G92"/>
    </sheetView>
  </sheetViews>
  <sheetFormatPr defaultColWidth="8.7109375" defaultRowHeight="14.25" outlineLevelCol="1"/>
  <cols>
    <col min="1" max="1" width="56.140625" style="42" hidden="1" customWidth="1" outlineLevel="1"/>
    <col min="2" max="2" width="15.7109375" style="42" customWidth="1" collapsed="1"/>
    <col min="3" max="3" width="45.7109375" style="42" customWidth="1"/>
    <col min="4" max="4" width="18" style="42" customWidth="1"/>
    <col min="5" max="8" width="15.7109375" style="42" customWidth="1"/>
    <col min="9" max="9" width="20.42578125" style="42" customWidth="1"/>
    <col min="10" max="10" width="15.7109375" style="42" customWidth="1"/>
    <col min="11" max="11" width="38.85546875" style="42" customWidth="1"/>
    <col min="12" max="12" width="18.140625" style="42" customWidth="1"/>
    <col min="13" max="13" width="15.7109375" style="42" customWidth="1"/>
    <col min="14" max="17" width="8.7109375" style="42"/>
    <col min="18" max="18" width="3" style="42" customWidth="1"/>
    <col min="19" max="19" width="9.42578125" style="42" customWidth="1"/>
    <col min="20" max="21" width="34.7109375" style="42" customWidth="1"/>
    <col min="22" max="22" width="14.7109375" style="42" customWidth="1"/>
    <col min="23" max="23" width="17.7109375" style="42" customWidth="1"/>
    <col min="24" max="24" width="15.42578125" style="42" customWidth="1"/>
    <col min="25" max="16384" width="8.7109375" style="42"/>
  </cols>
  <sheetData>
    <row r="1" spans="1:75" s="1078"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2"/>
      <c r="H1" s="1763"/>
      <c r="I1" s="2311" t="str">
        <f>HYPERLINK("[.\]outputs_by_channel!A1", "To Intervention data outputs by channel")</f>
        <v>To Intervention data outputs by channel</v>
      </c>
      <c r="J1" s="2312"/>
      <c r="K1" s="1762"/>
      <c r="L1" s="1762"/>
      <c r="M1" s="1762"/>
      <c r="O1" s="532"/>
      <c r="Q1" s="532"/>
      <c r="R1" s="532"/>
      <c r="S1" s="532"/>
      <c r="T1" s="532"/>
      <c r="V1" s="532"/>
      <c r="W1" s="532"/>
      <c r="X1" s="532"/>
      <c r="Y1" s="532"/>
      <c r="AA1" s="532"/>
      <c r="AB1" s="532"/>
      <c r="AC1" s="532"/>
      <c r="AD1" s="532"/>
      <c r="AF1" s="532"/>
      <c r="AG1" s="532"/>
      <c r="AH1" s="532"/>
      <c r="AI1" s="532"/>
      <c r="AK1" s="532"/>
      <c r="AL1" s="532"/>
      <c r="AM1" s="532"/>
      <c r="AN1" s="532"/>
      <c r="AP1" s="532"/>
      <c r="AQ1" s="532"/>
      <c r="AR1" s="532"/>
      <c r="AS1" s="532"/>
      <c r="AU1" s="532"/>
      <c r="AV1" s="532"/>
      <c r="AW1" s="532"/>
      <c r="AX1" s="532"/>
      <c r="AZ1" s="532"/>
      <c r="BA1" s="532"/>
      <c r="BB1" s="532"/>
      <c r="BC1" s="532"/>
      <c r="BE1" s="532"/>
      <c r="BF1" s="532"/>
      <c r="BG1" s="532"/>
      <c r="BH1" s="532"/>
      <c r="BJ1" s="532"/>
      <c r="BK1" s="532"/>
      <c r="BL1" s="532"/>
      <c r="BM1" s="532"/>
      <c r="BO1" s="532"/>
      <c r="BP1" s="532"/>
      <c r="BQ1" s="532"/>
      <c r="BR1" s="532"/>
      <c r="BT1" s="532"/>
      <c r="BU1" s="532"/>
      <c r="BV1" s="532"/>
      <c r="BW1" s="532"/>
    </row>
    <row r="2" spans="1:75" ht="15">
      <c r="A2" s="525"/>
      <c r="B2" s="1473"/>
      <c r="C2" s="1474"/>
      <c r="D2" s="1474"/>
      <c r="E2" s="1474"/>
      <c r="F2" s="2091"/>
      <c r="G2" s="2091"/>
      <c r="H2" s="2091"/>
      <c r="I2" s="2091"/>
      <c r="J2" s="2091"/>
      <c r="K2" s="2368"/>
      <c r="L2" s="2368"/>
      <c r="M2" s="2369"/>
      <c r="N2" s="39"/>
      <c r="O2" s="73"/>
      <c r="S2" s="39"/>
      <c r="T2" s="39"/>
      <c r="V2" s="39"/>
      <c r="W2" s="545"/>
      <c r="X2" s="39"/>
      <c r="Y2" s="39"/>
    </row>
    <row r="3" spans="1:75" ht="15.75" thickBot="1">
      <c r="A3" s="525"/>
      <c r="B3" s="84"/>
      <c r="C3" s="580"/>
      <c r="D3" s="580"/>
      <c r="E3" s="580"/>
      <c r="F3" s="2205"/>
      <c r="G3" s="2205"/>
      <c r="H3" s="580"/>
      <c r="I3" s="580"/>
      <c r="J3" s="40"/>
      <c r="K3" s="2370"/>
      <c r="L3" s="2370"/>
      <c r="M3" s="2409"/>
      <c r="O3" s="73"/>
      <c r="S3" s="39"/>
      <c r="T3" s="39"/>
      <c r="V3" s="39"/>
      <c r="W3" s="545"/>
      <c r="X3" s="39"/>
      <c r="Y3" s="39"/>
    </row>
    <row r="4" spans="1:75" ht="15" customHeight="1">
      <c r="B4" s="84"/>
      <c r="C4" s="2397" t="str">
        <f>Menu!B21</f>
        <v>Ambulatory Emergency Care</v>
      </c>
      <c r="D4" s="2398"/>
      <c r="E4" s="580"/>
      <c r="F4" s="2205"/>
      <c r="G4" s="2204"/>
      <c r="H4" s="2217"/>
      <c r="I4" s="2217"/>
      <c r="J4" s="2082"/>
      <c r="K4" s="2370"/>
      <c r="L4" s="2370"/>
      <c r="M4" s="2409"/>
      <c r="N4" s="39"/>
      <c r="O4" s="73"/>
      <c r="S4" s="39"/>
      <c r="T4" s="39"/>
      <c r="V4" s="39"/>
      <c r="W4" s="545"/>
      <c r="X4" s="39"/>
      <c r="Y4" s="39"/>
    </row>
    <row r="5" spans="1:75" ht="15.75" thickBot="1">
      <c r="B5" s="84"/>
      <c r="C5" s="2364"/>
      <c r="D5" s="2399"/>
      <c r="E5" s="580"/>
      <c r="F5" s="2205"/>
      <c r="G5" s="2200"/>
      <c r="H5" s="1325"/>
      <c r="I5" s="2204"/>
      <c r="J5" s="2208"/>
      <c r="K5" s="2370"/>
      <c r="L5" s="2370"/>
      <c r="M5" s="2409"/>
      <c r="N5" s="39"/>
      <c r="O5" s="73"/>
      <c r="S5" s="39"/>
      <c r="T5" s="39"/>
      <c r="V5" s="39"/>
      <c r="W5" s="545"/>
      <c r="X5" s="39"/>
      <c r="Y5" s="39"/>
    </row>
    <row r="6" spans="1:75" ht="15.75" thickBot="1">
      <c r="B6" s="84"/>
      <c r="C6" s="2204"/>
      <c r="D6" s="2204"/>
      <c r="E6" s="580"/>
      <c r="F6" s="2205"/>
      <c r="G6" s="2204"/>
      <c r="H6" s="1325"/>
      <c r="I6" s="2204"/>
      <c r="J6" s="2073"/>
      <c r="K6" s="2370"/>
      <c r="L6" s="2370"/>
      <c r="M6" s="2409"/>
      <c r="N6" s="39"/>
      <c r="O6" s="73"/>
      <c r="S6" s="39"/>
      <c r="T6" s="39"/>
      <c r="V6" s="39"/>
      <c r="W6" s="545"/>
      <c r="X6" s="39"/>
      <c r="Y6" s="39"/>
    </row>
    <row r="7" spans="1:75" ht="15.75" thickBot="1">
      <c r="B7" s="84"/>
      <c r="C7" s="2136" t="s">
        <v>582</v>
      </c>
      <c r="D7" s="2190">
        <v>300000</v>
      </c>
      <c r="E7" s="580"/>
      <c r="F7" s="593"/>
      <c r="G7" s="2204"/>
      <c r="H7" s="1325"/>
      <c r="I7" s="2204"/>
      <c r="J7" s="2073"/>
      <c r="K7" s="2370"/>
      <c r="L7" s="2370"/>
      <c r="M7" s="2409"/>
      <c r="N7" s="39"/>
      <c r="O7" s="73"/>
      <c r="S7" s="39"/>
      <c r="T7" s="39"/>
      <c r="V7" s="39"/>
      <c r="W7" s="545"/>
      <c r="X7" s="39"/>
      <c r="Y7" s="39"/>
    </row>
    <row r="8" spans="1:75" ht="15.75" customHeight="1">
      <c r="B8" s="1142"/>
      <c r="C8" s="2205"/>
      <c r="D8" s="2205"/>
      <c r="E8" s="2205"/>
      <c r="F8" s="2205"/>
      <c r="G8" s="2204"/>
      <c r="H8" s="1325"/>
      <c r="I8" s="2204"/>
      <c r="J8" s="2073"/>
      <c r="K8" s="2370"/>
      <c r="L8" s="2370"/>
      <c r="M8" s="2409"/>
      <c r="N8" s="39"/>
      <c r="O8" s="73"/>
      <c r="S8" s="39"/>
      <c r="T8" s="39"/>
      <c r="V8" s="39"/>
      <c r="W8" s="545"/>
      <c r="X8" s="39"/>
      <c r="Y8" s="39"/>
    </row>
    <row r="9" spans="1:75" ht="15">
      <c r="B9" s="1142"/>
      <c r="C9" s="1777" t="str">
        <f>HYPERLINK("[.\]E_AEC!A2","To Evidence")</f>
        <v>To Evidence</v>
      </c>
      <c r="D9" s="2205"/>
      <c r="E9" s="2205"/>
      <c r="F9" s="2205"/>
      <c r="G9" s="2204"/>
      <c r="H9" s="1325"/>
      <c r="I9" s="2204"/>
      <c r="J9" s="2203"/>
      <c r="K9" s="2204"/>
      <c r="L9" s="2204"/>
      <c r="M9" s="2221"/>
      <c r="N9" s="39"/>
      <c r="O9" s="39"/>
      <c r="P9" s="39"/>
      <c r="Q9" s="39"/>
      <c r="R9" s="39"/>
      <c r="S9" s="39"/>
      <c r="T9" s="619"/>
      <c r="U9" s="39"/>
    </row>
    <row r="10" spans="1:75" ht="15" customHeight="1">
      <c r="B10" s="1142"/>
      <c r="C10" s="2205"/>
      <c r="D10" s="2205"/>
      <c r="E10" s="2205"/>
      <c r="F10" s="2205"/>
      <c r="G10" s="2204"/>
      <c r="H10" s="1325"/>
      <c r="I10" s="2204"/>
      <c r="J10" s="2203"/>
      <c r="K10" s="2204"/>
      <c r="L10" s="2204"/>
      <c r="M10" s="2221"/>
      <c r="N10" s="39"/>
      <c r="O10" s="39"/>
      <c r="P10" s="39"/>
      <c r="Q10" s="39"/>
      <c r="R10" s="39"/>
      <c r="S10" s="39"/>
      <c r="T10" s="619"/>
      <c r="U10" s="39"/>
    </row>
    <row r="11" spans="1:75" ht="15">
      <c r="B11" s="1143"/>
      <c r="C11" s="2205"/>
      <c r="D11" s="2205"/>
      <c r="E11" s="2205"/>
      <c r="F11" s="2205"/>
      <c r="G11" s="2205"/>
      <c r="H11" s="2205"/>
      <c r="I11" s="2205"/>
      <c r="J11" s="2205"/>
      <c r="K11" s="40"/>
      <c r="L11" s="40"/>
      <c r="M11" s="2222"/>
      <c r="N11" s="39"/>
      <c r="O11" s="39"/>
      <c r="P11" s="39"/>
      <c r="Q11" s="39"/>
      <c r="R11" s="39"/>
      <c r="S11" s="39"/>
      <c r="T11" s="619"/>
      <c r="U11" s="39"/>
    </row>
    <row r="12" spans="1:75" ht="15">
      <c r="A12" s="75" t="s">
        <v>103</v>
      </c>
      <c r="B12" s="2395" t="s">
        <v>119</v>
      </c>
      <c r="C12" s="2392"/>
      <c r="D12" s="2392"/>
      <c r="E12" s="2392"/>
      <c r="F12" s="2392"/>
      <c r="G12" s="2392"/>
      <c r="H12" s="2392"/>
      <c r="I12" s="2392"/>
      <c r="J12" s="2392"/>
      <c r="K12" s="2392"/>
      <c r="L12" s="2392"/>
      <c r="M12" s="2396"/>
      <c r="N12" s="39"/>
      <c r="O12" s="40"/>
      <c r="P12" s="40"/>
      <c r="Q12" s="39"/>
      <c r="R12" s="39"/>
      <c r="T12" s="40"/>
      <c r="U12" s="545"/>
      <c r="V12" s="39"/>
      <c r="W12" s="39"/>
      <c r="X12" s="39"/>
    </row>
    <row r="13" spans="1:75" s="39" customFormat="1" ht="15">
      <c r="B13" s="1266"/>
      <c r="C13" s="2219"/>
      <c r="D13" s="2219"/>
      <c r="E13" s="2219"/>
      <c r="F13" s="2219"/>
      <c r="G13" s="2219"/>
      <c r="H13" s="2219"/>
      <c r="I13" s="2219"/>
      <c r="J13" s="2219"/>
      <c r="K13" s="2219"/>
      <c r="L13" s="2219"/>
      <c r="M13" s="2223"/>
      <c r="T13" s="40"/>
    </row>
    <row r="14" spans="1:75" s="39" customFormat="1" ht="15" customHeight="1">
      <c r="A14" s="527"/>
      <c r="B14" s="1266"/>
      <c r="C14" s="2400" t="s">
        <v>548</v>
      </c>
      <c r="D14" s="2401"/>
      <c r="E14" s="2402"/>
      <c r="F14" s="573">
        <v>26900</v>
      </c>
      <c r="G14" s="2219"/>
      <c r="H14" s="40"/>
      <c r="I14" s="40"/>
      <c r="J14" s="2219"/>
      <c r="K14" s="2219"/>
      <c r="L14" s="551"/>
      <c r="M14" s="2224" t="s">
        <v>141</v>
      </c>
      <c r="T14" s="40"/>
    </row>
    <row r="15" spans="1:75" s="39" customFormat="1" ht="15">
      <c r="A15" s="527"/>
      <c r="B15" s="1266"/>
      <c r="C15" s="2400" t="s">
        <v>549</v>
      </c>
      <c r="D15" s="2403"/>
      <c r="E15" s="2404"/>
      <c r="F15" s="573">
        <v>5622</v>
      </c>
      <c r="G15" s="2219"/>
      <c r="H15" s="2219"/>
      <c r="I15" s="40"/>
      <c r="J15" s="2219"/>
      <c r="K15" s="2219"/>
      <c r="L15" s="418"/>
      <c r="M15" s="2224" t="s">
        <v>143</v>
      </c>
      <c r="T15" s="40"/>
    </row>
    <row r="16" spans="1:75" s="39" customFormat="1" ht="15">
      <c r="A16" s="527"/>
      <c r="B16" s="1266"/>
      <c r="C16" s="2400" t="s">
        <v>216</v>
      </c>
      <c r="D16" s="2403"/>
      <c r="E16" s="2404"/>
      <c r="F16" s="1476">
        <f>F15/F14</f>
        <v>0.20899628252788105</v>
      </c>
      <c r="G16" s="2219"/>
      <c r="H16" s="2219"/>
      <c r="I16" s="40"/>
      <c r="J16" s="2219"/>
      <c r="K16" s="2219"/>
      <c r="L16" s="554" t="s">
        <v>556</v>
      </c>
      <c r="M16" s="2224" t="s">
        <v>143</v>
      </c>
      <c r="T16" s="40"/>
    </row>
    <row r="17" spans="1:21" s="39" customFormat="1" ht="42.75">
      <c r="A17" s="616"/>
      <c r="B17" s="1266"/>
      <c r="C17" s="2400" t="s">
        <v>545</v>
      </c>
      <c r="D17" s="2403"/>
      <c r="E17" s="2404"/>
      <c r="F17" s="568">
        <v>0.3</v>
      </c>
      <c r="G17" s="2219"/>
      <c r="H17" s="2219"/>
      <c r="I17" s="40"/>
      <c r="J17" s="2219"/>
      <c r="K17" s="618"/>
      <c r="L17" s="2193"/>
      <c r="M17" s="2225" t="s">
        <v>1299</v>
      </c>
      <c r="T17" s="40"/>
    </row>
    <row r="18" spans="1:21" s="39" customFormat="1" ht="15">
      <c r="A18" s="616"/>
      <c r="B18" s="1266"/>
      <c r="C18" s="2400" t="s">
        <v>544</v>
      </c>
      <c r="D18" s="2403"/>
      <c r="E18" s="2404"/>
      <c r="F18" s="1477">
        <f>(F17-F16)*F14</f>
        <v>2447.9999999999995</v>
      </c>
      <c r="G18" s="2219"/>
      <c r="H18" s="2219"/>
      <c r="I18" s="40"/>
      <c r="J18" s="2219"/>
      <c r="K18" s="2219"/>
      <c r="L18" s="2219"/>
      <c r="M18" s="2223"/>
      <c r="T18" s="40"/>
    </row>
    <row r="19" spans="1:21" s="39" customFormat="1" ht="15.75" customHeight="1">
      <c r="A19" s="616"/>
      <c r="B19" s="1266"/>
      <c r="C19" s="2400" t="s">
        <v>587</v>
      </c>
      <c r="D19" s="2401"/>
      <c r="E19" s="2402"/>
      <c r="F19" s="1477">
        <f>L46</f>
        <v>1919.53125</v>
      </c>
      <c r="G19" s="2219"/>
      <c r="H19" s="2219"/>
      <c r="I19" s="40"/>
      <c r="J19" s="40"/>
      <c r="K19" s="2219"/>
      <c r="L19" s="2219"/>
      <c r="M19" s="2223"/>
      <c r="T19" s="619"/>
    </row>
    <row r="20" spans="1:21" s="39" customFormat="1" ht="15">
      <c r="A20" s="616"/>
      <c r="B20" s="1266"/>
      <c r="C20" s="2400" t="s">
        <v>584</v>
      </c>
      <c r="D20" s="2403"/>
      <c r="E20" s="2404"/>
      <c r="F20" s="1096">
        <f>F19/F18</f>
        <v>0.78412224264705899</v>
      </c>
      <c r="G20" s="2219"/>
      <c r="H20" s="2219"/>
      <c r="I20" s="40"/>
      <c r="J20" s="2219"/>
      <c r="K20" s="2219"/>
      <c r="L20" s="2219"/>
      <c r="M20" s="2223"/>
      <c r="T20" s="619"/>
    </row>
    <row r="21" spans="1:21" s="39" customFormat="1" ht="15">
      <c r="A21" s="616"/>
      <c r="B21" s="1266"/>
      <c r="C21" s="2219"/>
      <c r="D21" s="2219"/>
      <c r="E21" s="2219"/>
      <c r="F21" s="2219"/>
      <c r="G21" s="2219"/>
      <c r="H21" s="2219"/>
      <c r="I21" s="2219"/>
      <c r="J21" s="2219"/>
      <c r="K21" s="2219"/>
      <c r="L21" s="2219"/>
      <c r="M21" s="2223"/>
      <c r="T21" s="619"/>
    </row>
    <row r="22" spans="1:21" ht="15">
      <c r="A22" s="616"/>
      <c r="B22" s="2395" t="s">
        <v>215</v>
      </c>
      <c r="C22" s="2392"/>
      <c r="D22" s="2392"/>
      <c r="E22" s="2392"/>
      <c r="F22" s="2392"/>
      <c r="G22" s="2392"/>
      <c r="H22" s="2392"/>
      <c r="I22" s="2392"/>
      <c r="J22" s="2392"/>
      <c r="K22" s="2392"/>
      <c r="L22" s="2392"/>
      <c r="M22" s="2396"/>
      <c r="N22" s="39"/>
      <c r="O22" s="39"/>
      <c r="P22" s="39"/>
      <c r="Q22" s="39"/>
      <c r="R22" s="39"/>
      <c r="S22" s="39"/>
      <c r="T22" s="39"/>
      <c r="U22" s="39"/>
    </row>
    <row r="23" spans="1:21" ht="15">
      <c r="A23" s="616"/>
      <c r="B23" s="84"/>
      <c r="C23" s="528"/>
      <c r="D23" s="526"/>
      <c r="E23" s="40"/>
      <c r="F23" s="560"/>
      <c r="G23" s="526"/>
      <c r="H23" s="526"/>
      <c r="I23" s="526"/>
      <c r="J23" s="526"/>
      <c r="K23" s="2202"/>
      <c r="L23" s="2202"/>
      <c r="M23" s="2222"/>
      <c r="N23" s="526"/>
      <c r="O23" s="39"/>
      <c r="P23" s="39"/>
      <c r="Q23" s="39"/>
      <c r="R23" s="39"/>
      <c r="S23" s="39"/>
      <c r="T23" s="39"/>
      <c r="U23" s="39"/>
    </row>
    <row r="24" spans="1:21" ht="15">
      <c r="A24" s="616"/>
      <c r="B24" s="84"/>
      <c r="C24" s="1777" t="str">
        <f>HYPERLINK("[.\]Set_up_AEC!A3","To Set up costs template")</f>
        <v>To Set up costs template</v>
      </c>
      <c r="D24" s="1714"/>
      <c r="E24" s="40"/>
      <c r="F24" s="560"/>
      <c r="G24" s="526"/>
      <c r="H24" s="526"/>
      <c r="I24" s="526"/>
      <c r="J24" s="526"/>
      <c r="K24" s="2202"/>
      <c r="L24" s="2202"/>
      <c r="M24" s="2222"/>
      <c r="N24" s="526"/>
      <c r="O24" s="39"/>
      <c r="P24" s="39"/>
      <c r="Q24" s="39"/>
      <c r="R24" s="39"/>
      <c r="S24" s="39"/>
      <c r="T24" s="39"/>
      <c r="U24" s="39"/>
    </row>
    <row r="25" spans="1:21" ht="15">
      <c r="A25" s="616"/>
      <c r="B25" s="84"/>
      <c r="C25" s="528"/>
      <c r="D25" s="526"/>
      <c r="E25" s="40"/>
      <c r="F25" s="560"/>
      <c r="G25" s="526"/>
      <c r="H25" s="526"/>
      <c r="I25" s="526"/>
      <c r="J25" s="526"/>
      <c r="K25" s="2202"/>
      <c r="L25" s="2202"/>
      <c r="M25" s="2222"/>
      <c r="N25" s="526"/>
      <c r="O25" s="39"/>
      <c r="P25" s="39"/>
      <c r="Q25" s="39"/>
      <c r="R25" s="39"/>
      <c r="S25" s="39"/>
      <c r="T25" s="39"/>
      <c r="U25" s="39"/>
    </row>
    <row r="26" spans="1:21" ht="15">
      <c r="A26" s="616"/>
      <c r="B26" s="84"/>
      <c r="C26" s="2415" t="s">
        <v>1070</v>
      </c>
      <c r="D26" s="2413"/>
      <c r="E26" s="1208">
        <f>Set_up_AEC!B5</f>
        <v>40000</v>
      </c>
      <c r="F26" s="2204"/>
      <c r="G26" s="526"/>
      <c r="H26" s="526"/>
      <c r="I26" s="526"/>
      <c r="J26" s="526"/>
      <c r="K26" s="2202"/>
      <c r="L26" s="2202"/>
      <c r="M26" s="2222"/>
      <c r="N26" s="526"/>
      <c r="O26" s="39"/>
      <c r="P26" s="39"/>
      <c r="Q26" s="39"/>
      <c r="R26" s="39"/>
      <c r="S26" s="39"/>
      <c r="T26" s="39"/>
      <c r="U26" s="39"/>
    </row>
    <row r="27" spans="1:21" ht="15">
      <c r="A27" s="616"/>
      <c r="B27" s="84"/>
      <c r="C27" s="526"/>
      <c r="D27" s="526"/>
      <c r="E27" s="526"/>
      <c r="F27" s="526"/>
      <c r="G27" s="526"/>
      <c r="H27" s="526"/>
      <c r="I27" s="526"/>
      <c r="J27" s="526"/>
      <c r="K27" s="2202"/>
      <c r="L27" s="2202"/>
      <c r="M27" s="2222"/>
      <c r="N27" s="526"/>
      <c r="O27" s="39"/>
      <c r="P27" s="39"/>
      <c r="Q27" s="39"/>
      <c r="R27" s="39"/>
      <c r="S27" s="39"/>
      <c r="T27" s="39"/>
      <c r="U27" s="39"/>
    </row>
    <row r="28" spans="1:21" ht="60">
      <c r="B28" s="84"/>
      <c r="C28" s="684" t="s">
        <v>214</v>
      </c>
      <c r="D28" s="684" t="s">
        <v>116</v>
      </c>
      <c r="E28" s="2216" t="s">
        <v>115</v>
      </c>
      <c r="F28" s="2216" t="s">
        <v>114</v>
      </c>
      <c r="G28" s="2216" t="s">
        <v>113</v>
      </c>
      <c r="H28" s="2216" t="s">
        <v>112</v>
      </c>
      <c r="I28" s="2204"/>
      <c r="J28" s="2202"/>
      <c r="K28" s="684" t="s">
        <v>214</v>
      </c>
      <c r="L28" s="2216" t="s">
        <v>213</v>
      </c>
      <c r="M28" s="1134" t="s">
        <v>212</v>
      </c>
      <c r="N28" s="526"/>
      <c r="O28" s="39"/>
      <c r="P28" s="39"/>
      <c r="Q28" s="39"/>
      <c r="R28" s="39"/>
      <c r="S28" s="39"/>
      <c r="T28" s="39"/>
      <c r="U28" s="39"/>
    </row>
    <row r="29" spans="1:21" ht="15">
      <c r="B29" s="84"/>
      <c r="C29" s="798" t="s">
        <v>211</v>
      </c>
      <c r="D29" s="566" t="s">
        <v>7</v>
      </c>
      <c r="E29" s="570">
        <v>0.5</v>
      </c>
      <c r="F29" s="774">
        <f>IF(D29&lt;&gt;"",VLOOKUP(D29,staff_costs!$A$3:$H$22,6,0),"")</f>
        <v>138709.80999999997</v>
      </c>
      <c r="G29" s="568">
        <v>0.2</v>
      </c>
      <c r="H29" s="568">
        <v>0.3</v>
      </c>
      <c r="I29" s="2204"/>
      <c r="J29" s="526"/>
      <c r="K29" s="1680" t="str">
        <f t="shared" ref="K29:K38" si="0">IF(E29=0," ",C29)</f>
        <v>Consultant</v>
      </c>
      <c r="L29" s="774">
        <f t="shared" ref="L29:L38" si="1">IF($D29="","",E29*F29+(G29*(F29*H29)))</f>
        <v>77677.493599999987</v>
      </c>
      <c r="M29" s="1338">
        <f t="shared" ref="M29:M38" si="2">E29*$E$42*$E$43</f>
        <v>787.5</v>
      </c>
      <c r="N29" s="526"/>
      <c r="O29" s="39"/>
      <c r="P29" s="39"/>
      <c r="Q29" s="39"/>
      <c r="R29" s="39"/>
      <c r="S29" s="39"/>
      <c r="T29" s="39"/>
      <c r="U29" s="39"/>
    </row>
    <row r="30" spans="1:21" ht="15">
      <c r="B30" s="84"/>
      <c r="C30" s="798" t="s">
        <v>210</v>
      </c>
      <c r="D30" s="566" t="s">
        <v>6</v>
      </c>
      <c r="E30" s="570">
        <v>0.5</v>
      </c>
      <c r="F30" s="774">
        <f>IF(D30&lt;&gt;"",VLOOKUP(D30,staff_costs!$A$3:$H$22,6,0),"")</f>
        <v>91194.559999999998</v>
      </c>
      <c r="G30" s="568">
        <v>0.2</v>
      </c>
      <c r="H30" s="568">
        <v>0.3</v>
      </c>
      <c r="I30" s="2204"/>
      <c r="J30" s="526"/>
      <c r="K30" s="1680" t="str">
        <f t="shared" si="0"/>
        <v>Associate Specialist</v>
      </c>
      <c r="L30" s="774">
        <f t="shared" si="1"/>
        <v>51068.953600000001</v>
      </c>
      <c r="M30" s="1338">
        <f t="shared" si="2"/>
        <v>787.5</v>
      </c>
      <c r="N30" s="526"/>
      <c r="O30" s="39"/>
      <c r="P30" s="39"/>
      <c r="Q30" s="39"/>
      <c r="R30" s="39"/>
      <c r="S30" s="39"/>
      <c r="T30" s="39"/>
      <c r="U30" s="39"/>
    </row>
    <row r="31" spans="1:21" ht="15">
      <c r="B31" s="84"/>
      <c r="C31" s="798" t="s">
        <v>1230</v>
      </c>
      <c r="D31" s="566">
        <v>6</v>
      </c>
      <c r="E31" s="570">
        <v>2</v>
      </c>
      <c r="F31" s="774">
        <f>IF(D31&lt;&gt;"",VLOOKUP(D31,staff_costs!$A$3:$H$22,6,0),"")</f>
        <v>37642.68</v>
      </c>
      <c r="G31" s="568">
        <v>0.2</v>
      </c>
      <c r="H31" s="568">
        <v>0.3</v>
      </c>
      <c r="I31" s="2204"/>
      <c r="J31" s="526"/>
      <c r="K31" s="1680" t="str">
        <f t="shared" si="0"/>
        <v>Nurse</v>
      </c>
      <c r="L31" s="774">
        <f t="shared" si="1"/>
        <v>77543.920800000007</v>
      </c>
      <c r="M31" s="1338">
        <f t="shared" si="2"/>
        <v>3150</v>
      </c>
      <c r="N31" s="526"/>
      <c r="O31" s="39"/>
      <c r="P31" s="39"/>
      <c r="Q31" s="39"/>
      <c r="R31" s="39"/>
      <c r="S31" s="39"/>
      <c r="T31" s="39"/>
      <c r="U31" s="39"/>
    </row>
    <row r="32" spans="1:21" ht="15">
      <c r="B32" s="84"/>
      <c r="C32" s="798" t="s">
        <v>1230</v>
      </c>
      <c r="D32" s="566">
        <v>5</v>
      </c>
      <c r="E32" s="570">
        <v>1.5</v>
      </c>
      <c r="F32" s="774">
        <f>IF(D32&lt;&gt;"",VLOOKUP(D32,staff_costs!$A$3:$H$22,6,0),"")</f>
        <v>31369.52</v>
      </c>
      <c r="G32" s="568">
        <v>0.1</v>
      </c>
      <c r="H32" s="568">
        <v>0.3</v>
      </c>
      <c r="I32" s="2204"/>
      <c r="J32" s="526"/>
      <c r="K32" s="1680" t="str">
        <f t="shared" si="0"/>
        <v>Nurse</v>
      </c>
      <c r="L32" s="774">
        <f t="shared" si="1"/>
        <v>47995.365599999997</v>
      </c>
      <c r="M32" s="1338">
        <f t="shared" si="2"/>
        <v>2362.5</v>
      </c>
      <c r="N32" s="526"/>
      <c r="O32" s="39"/>
      <c r="P32" s="39"/>
      <c r="Q32" s="39"/>
      <c r="R32" s="39"/>
      <c r="S32" s="39"/>
      <c r="T32" s="39"/>
      <c r="U32" s="39"/>
    </row>
    <row r="33" spans="1:21" ht="15">
      <c r="B33" s="84"/>
      <c r="C33" s="798" t="s">
        <v>700</v>
      </c>
      <c r="D33" s="566">
        <v>3</v>
      </c>
      <c r="E33" s="570">
        <v>2</v>
      </c>
      <c r="F33" s="774">
        <f>IF(D33&lt;&gt;"",VLOOKUP(D33,staff_costs!$A$3:$H$22,6,0),"")</f>
        <v>22508.48</v>
      </c>
      <c r="G33" s="568">
        <v>0.2</v>
      </c>
      <c r="H33" s="568">
        <v>0.3</v>
      </c>
      <c r="I33" s="2204"/>
      <c r="J33" s="526"/>
      <c r="K33" s="1680" t="str">
        <f t="shared" si="0"/>
        <v>HCA</v>
      </c>
      <c r="L33" s="774">
        <f t="shared" si="1"/>
        <v>46367.468800000002</v>
      </c>
      <c r="M33" s="1338">
        <f t="shared" si="2"/>
        <v>3150</v>
      </c>
      <c r="N33" s="526"/>
      <c r="O33" s="39"/>
      <c r="P33" s="39"/>
      <c r="Q33" s="39"/>
      <c r="R33" s="39"/>
      <c r="S33" s="39"/>
      <c r="T33" s="39"/>
      <c r="U33" s="39"/>
    </row>
    <row r="34" spans="1:21" ht="15">
      <c r="B34" s="84"/>
      <c r="C34" s="798"/>
      <c r="D34" s="566"/>
      <c r="E34" s="570"/>
      <c r="F34" s="774" t="str">
        <f>IF(D34&lt;&gt;"",VLOOKUP(D34,staff_costs!$A$3:$H$22,6,0),"")</f>
        <v/>
      </c>
      <c r="G34" s="568"/>
      <c r="H34" s="568"/>
      <c r="I34" s="2204"/>
      <c r="J34" s="526"/>
      <c r="K34" s="1680" t="str">
        <f t="shared" si="0"/>
        <v xml:space="preserve"> </v>
      </c>
      <c r="L34" s="774" t="str">
        <f t="shared" si="1"/>
        <v/>
      </c>
      <c r="M34" s="631">
        <f t="shared" si="2"/>
        <v>0</v>
      </c>
      <c r="N34" s="526"/>
      <c r="O34" s="39"/>
      <c r="P34" s="39"/>
      <c r="Q34" s="39"/>
      <c r="R34" s="39"/>
      <c r="S34" s="39"/>
      <c r="T34" s="39"/>
      <c r="U34" s="39"/>
    </row>
    <row r="35" spans="1:21" ht="15">
      <c r="B35" s="84"/>
      <c r="C35" s="798"/>
      <c r="D35" s="566"/>
      <c r="E35" s="570"/>
      <c r="F35" s="774" t="str">
        <f>IF(D35&lt;&gt;"",VLOOKUP(D35,staff_costs!$A$3:$H$22,6,0),"")</f>
        <v/>
      </c>
      <c r="G35" s="568"/>
      <c r="H35" s="568"/>
      <c r="I35" s="2204"/>
      <c r="J35" s="526"/>
      <c r="K35" s="1680" t="str">
        <f t="shared" si="0"/>
        <v xml:space="preserve"> </v>
      </c>
      <c r="L35" s="774" t="str">
        <f t="shared" si="1"/>
        <v/>
      </c>
      <c r="M35" s="631">
        <f t="shared" si="2"/>
        <v>0</v>
      </c>
      <c r="N35" s="526"/>
      <c r="O35" s="39"/>
      <c r="P35" s="39"/>
      <c r="Q35" s="39"/>
      <c r="R35" s="39"/>
      <c r="S35" s="39"/>
      <c r="T35" s="39"/>
      <c r="U35" s="39"/>
    </row>
    <row r="36" spans="1:21" ht="15">
      <c r="B36" s="84"/>
      <c r="C36" s="798"/>
      <c r="D36" s="566"/>
      <c r="E36" s="570"/>
      <c r="F36" s="774" t="str">
        <f>IF(D36&lt;&gt;"",VLOOKUP(D36,staff_costs!$A$3:$H$22,6,0),"")</f>
        <v/>
      </c>
      <c r="G36" s="568"/>
      <c r="H36" s="568"/>
      <c r="I36" s="2204"/>
      <c r="J36" s="526"/>
      <c r="K36" s="1680" t="str">
        <f t="shared" si="0"/>
        <v xml:space="preserve"> </v>
      </c>
      <c r="L36" s="774" t="str">
        <f t="shared" si="1"/>
        <v/>
      </c>
      <c r="M36" s="631">
        <f t="shared" si="2"/>
        <v>0</v>
      </c>
      <c r="N36" s="526"/>
      <c r="O36" s="39"/>
      <c r="P36" s="39"/>
      <c r="Q36" s="39"/>
      <c r="R36" s="39"/>
      <c r="S36" s="39"/>
      <c r="T36" s="39"/>
      <c r="U36" s="39"/>
    </row>
    <row r="37" spans="1:21" ht="15">
      <c r="B37" s="84"/>
      <c r="C37" s="798"/>
      <c r="D37" s="566"/>
      <c r="E37" s="570"/>
      <c r="F37" s="774" t="str">
        <f>IF(D37&lt;&gt;"",VLOOKUP(D37,staff_costs!$A$3:$H$22,6,0),"")</f>
        <v/>
      </c>
      <c r="G37" s="568"/>
      <c r="H37" s="568"/>
      <c r="I37" s="2204"/>
      <c r="J37" s="526"/>
      <c r="K37" s="1680" t="str">
        <f t="shared" si="0"/>
        <v xml:space="preserve"> </v>
      </c>
      <c r="L37" s="774" t="str">
        <f t="shared" si="1"/>
        <v/>
      </c>
      <c r="M37" s="631">
        <f t="shared" si="2"/>
        <v>0</v>
      </c>
      <c r="N37" s="526"/>
      <c r="O37" s="39"/>
      <c r="P37" s="39"/>
      <c r="Q37" s="39"/>
      <c r="R37" s="39"/>
      <c r="S37" s="39"/>
      <c r="T37" s="39"/>
      <c r="U37" s="39"/>
    </row>
    <row r="38" spans="1:21" ht="15">
      <c r="B38" s="84"/>
      <c r="C38" s="798"/>
      <c r="D38" s="566"/>
      <c r="E38" s="570"/>
      <c r="F38" s="774" t="str">
        <f>IF(D38&lt;&gt;"",VLOOKUP(D38,staff_costs!$A$3:$H$22,6,0),"")</f>
        <v/>
      </c>
      <c r="G38" s="568"/>
      <c r="H38" s="568"/>
      <c r="I38" s="2204"/>
      <c r="J38" s="526"/>
      <c r="K38" s="1680" t="str">
        <f t="shared" si="0"/>
        <v xml:space="preserve"> </v>
      </c>
      <c r="L38" s="774" t="str">
        <f t="shared" si="1"/>
        <v/>
      </c>
      <c r="M38" s="631">
        <f t="shared" si="2"/>
        <v>0</v>
      </c>
      <c r="N38" s="526"/>
      <c r="O38" s="39"/>
      <c r="P38" s="39"/>
      <c r="Q38" s="39"/>
      <c r="R38" s="39"/>
      <c r="S38" s="39"/>
      <c r="T38" s="39"/>
      <c r="U38" s="39"/>
    </row>
    <row r="39" spans="1:21" ht="15">
      <c r="B39" s="84"/>
      <c r="C39" s="2214" t="s">
        <v>109</v>
      </c>
      <c r="D39" s="2144"/>
      <c r="E39" s="972">
        <f>SUM(E29:E38)</f>
        <v>6.5</v>
      </c>
      <c r="F39" s="526"/>
      <c r="G39" s="40"/>
      <c r="H39" s="2204"/>
      <c r="I39" s="2204"/>
      <c r="J39" s="526"/>
      <c r="K39" s="585" t="s">
        <v>184</v>
      </c>
      <c r="L39" s="774">
        <f>SUM(L29:L38)</f>
        <v>300653.20240000001</v>
      </c>
      <c r="M39" s="1338">
        <f>SUM(M29:M38)</f>
        <v>10237.5</v>
      </c>
      <c r="N39" s="39"/>
      <c r="O39" s="39"/>
      <c r="P39" s="39"/>
      <c r="Q39" s="39"/>
      <c r="R39" s="39"/>
      <c r="S39" s="39"/>
      <c r="T39" s="39"/>
      <c r="U39" s="39"/>
    </row>
    <row r="40" spans="1:21" ht="15">
      <c r="B40" s="84"/>
      <c r="C40" s="51"/>
      <c r="D40" s="526"/>
      <c r="E40" s="40"/>
      <c r="F40" s="526"/>
      <c r="G40" s="40"/>
      <c r="H40" s="40"/>
      <c r="I40" s="40"/>
      <c r="J40" s="526"/>
      <c r="K40" s="40"/>
      <c r="L40" s="2202"/>
      <c r="M40" s="2226"/>
      <c r="N40" s="39"/>
      <c r="O40" s="39"/>
      <c r="P40" s="39"/>
      <c r="Q40" s="39"/>
      <c r="R40" s="39"/>
      <c r="S40" s="39"/>
      <c r="T40" s="39"/>
      <c r="U40" s="39"/>
    </row>
    <row r="41" spans="1:21" ht="15">
      <c r="B41" s="84"/>
      <c r="C41" s="2411" t="s">
        <v>108</v>
      </c>
      <c r="D41" s="2412"/>
      <c r="E41" s="2413"/>
      <c r="F41" s="2204"/>
      <c r="G41" s="526"/>
      <c r="H41" s="526"/>
      <c r="I41" s="526"/>
      <c r="J41" s="526"/>
      <c r="K41" s="526"/>
      <c r="L41" s="526"/>
      <c r="M41" s="2226"/>
    </row>
    <row r="42" spans="1:21" ht="15" customHeight="1">
      <c r="B42" s="84"/>
      <c r="C42" s="2414" t="s">
        <v>106</v>
      </c>
      <c r="D42" s="2407"/>
      <c r="E42" s="576">
        <v>42</v>
      </c>
      <c r="F42" s="2204"/>
      <c r="G42" s="526"/>
      <c r="H42" s="526"/>
      <c r="I42" s="526"/>
      <c r="J42" s="526"/>
      <c r="K42" s="526"/>
      <c r="L42" s="526"/>
      <c r="M42" s="2226"/>
    </row>
    <row r="43" spans="1:21" ht="15">
      <c r="B43" s="84"/>
      <c r="C43" s="2414" t="s">
        <v>250</v>
      </c>
      <c r="D43" s="2407"/>
      <c r="E43" s="579">
        <v>37.5</v>
      </c>
      <c r="F43" s="2204"/>
      <c r="G43" s="526"/>
      <c r="H43" s="526"/>
      <c r="I43" s="526"/>
      <c r="J43" s="526"/>
      <c r="K43" s="526"/>
      <c r="L43" s="526"/>
      <c r="M43" s="2226"/>
    </row>
    <row r="44" spans="1:21" ht="15">
      <c r="B44" s="84"/>
      <c r="C44" s="51"/>
      <c r="D44" s="40"/>
      <c r="E44" s="40"/>
      <c r="F44" s="2218"/>
      <c r="G44" s="526"/>
      <c r="H44" s="526"/>
      <c r="I44" s="600"/>
      <c r="J44" s="600"/>
      <c r="K44" s="2204"/>
      <c r="L44" s="526"/>
      <c r="M44" s="2226"/>
      <c r="N44" s="39"/>
      <c r="O44" s="39"/>
      <c r="P44" s="39"/>
      <c r="Q44" s="39"/>
      <c r="R44" s="39"/>
      <c r="S44" s="39"/>
      <c r="T44" s="39"/>
      <c r="U44" s="39"/>
    </row>
    <row r="45" spans="1:21" ht="15">
      <c r="B45" s="84"/>
      <c r="C45" s="2411" t="s">
        <v>105</v>
      </c>
      <c r="D45" s="2412"/>
      <c r="E45" s="2413"/>
      <c r="F45" s="2204"/>
      <c r="G45" s="40"/>
      <c r="H45" s="40"/>
      <c r="I45" s="625"/>
      <c r="J45" s="600"/>
      <c r="K45" s="2410" t="s">
        <v>209</v>
      </c>
      <c r="L45" s="2407"/>
      <c r="M45" s="2226"/>
      <c r="N45" s="39"/>
      <c r="O45" s="39"/>
      <c r="P45" s="39"/>
      <c r="Q45" s="39"/>
      <c r="R45" s="39"/>
      <c r="S45" s="39"/>
      <c r="T45" s="39"/>
      <c r="U45" s="39"/>
    </row>
    <row r="46" spans="1:21" ht="30">
      <c r="B46" s="84"/>
      <c r="C46" s="2406" t="s">
        <v>208</v>
      </c>
      <c r="D46" s="2261"/>
      <c r="E46" s="576">
        <v>4</v>
      </c>
      <c r="F46" s="2204"/>
      <c r="G46" s="40"/>
      <c r="H46" s="40"/>
      <c r="I46" s="2206"/>
      <c r="J46" s="600"/>
      <c r="K46" s="1140" t="s">
        <v>207</v>
      </c>
      <c r="L46" s="1337">
        <f>M39/E46*E47</f>
        <v>1919.53125</v>
      </c>
      <c r="M46" s="2227"/>
      <c r="N46" s="39"/>
      <c r="O46" s="39"/>
      <c r="P46" s="39"/>
      <c r="Q46" s="39"/>
      <c r="R46" s="39"/>
      <c r="S46" s="39"/>
      <c r="T46" s="39"/>
      <c r="U46" s="39"/>
    </row>
    <row r="47" spans="1:21" ht="15">
      <c r="B47" s="84"/>
      <c r="C47" s="2406" t="s">
        <v>206</v>
      </c>
      <c r="D47" s="2407"/>
      <c r="E47" s="568">
        <v>0.75</v>
      </c>
      <c r="F47" s="2204"/>
      <c r="G47" s="40"/>
      <c r="H47" s="40"/>
      <c r="I47" s="575"/>
      <c r="J47" s="600"/>
      <c r="K47" s="575"/>
      <c r="L47" s="575"/>
      <c r="M47" s="2226"/>
      <c r="N47" s="39"/>
      <c r="O47" s="39"/>
      <c r="P47" s="39"/>
      <c r="Q47" s="39"/>
      <c r="R47" s="39"/>
      <c r="S47" s="39"/>
      <c r="T47" s="39"/>
      <c r="U47" s="39"/>
    </row>
    <row r="48" spans="1:21" ht="15">
      <c r="A48" s="248"/>
      <c r="B48" s="84"/>
      <c r="C48" s="51"/>
      <c r="D48" s="526"/>
      <c r="E48" s="40"/>
      <c r="F48" s="687"/>
      <c r="G48" s="40"/>
      <c r="H48" s="40"/>
      <c r="I48" s="575"/>
      <c r="J48" s="600"/>
      <c r="K48" s="575"/>
      <c r="L48" s="575"/>
      <c r="M48" s="2226"/>
      <c r="N48" s="39"/>
      <c r="O48" s="39"/>
      <c r="P48" s="39"/>
      <c r="Q48" s="39"/>
      <c r="R48" s="39"/>
      <c r="S48" s="39"/>
      <c r="T48" s="39"/>
      <c r="U48" s="39"/>
    </row>
    <row r="49" spans="1:21" ht="30">
      <c r="B49" s="84"/>
      <c r="C49" s="684" t="s">
        <v>130</v>
      </c>
      <c r="D49" s="2216" t="s">
        <v>138</v>
      </c>
      <c r="E49" s="582" t="s">
        <v>131</v>
      </c>
      <c r="F49" s="2204"/>
      <c r="G49" s="2204"/>
      <c r="H49" s="40"/>
      <c r="I49" s="625"/>
      <c r="J49" s="600"/>
      <c r="K49" s="598" t="s">
        <v>205</v>
      </c>
      <c r="L49" s="598" t="s">
        <v>110</v>
      </c>
      <c r="M49" s="2226"/>
      <c r="N49" s="39"/>
      <c r="O49" s="39"/>
      <c r="P49" s="39"/>
      <c r="Q49" s="39"/>
      <c r="R49" s="39"/>
      <c r="S49" s="39"/>
      <c r="T49" s="39"/>
      <c r="U49" s="39"/>
    </row>
    <row r="50" spans="1:21" ht="15">
      <c r="B50" s="84"/>
      <c r="C50" s="800" t="s">
        <v>204</v>
      </c>
      <c r="D50" s="2034">
        <f>L46</f>
        <v>1919.53125</v>
      </c>
      <c r="E50" s="1208">
        <v>55</v>
      </c>
      <c r="F50" s="2204"/>
      <c r="G50" s="2204"/>
      <c r="H50" s="40"/>
      <c r="I50" s="2206"/>
      <c r="J50" s="600"/>
      <c r="K50" s="1141" t="str">
        <f t="shared" ref="K50:K55" si="3">IF(E50=0," ",C50)</f>
        <v>Diagnostics</v>
      </c>
      <c r="L50" s="774">
        <f t="shared" ref="L50:L55" si="4">E50*D50</f>
        <v>105574.21875</v>
      </c>
      <c r="M50" s="2226"/>
      <c r="N50" s="39"/>
      <c r="O50" s="39"/>
      <c r="P50" s="39"/>
      <c r="Q50" s="39"/>
      <c r="R50" s="39"/>
      <c r="S50" s="39"/>
      <c r="T50" s="39"/>
      <c r="U50" s="39"/>
    </row>
    <row r="51" spans="1:21" ht="15">
      <c r="B51" s="84"/>
      <c r="C51" s="800" t="s">
        <v>203</v>
      </c>
      <c r="D51" s="2034">
        <f>L46</f>
        <v>1919.53125</v>
      </c>
      <c r="E51" s="1208">
        <v>45</v>
      </c>
      <c r="F51" s="2204"/>
      <c r="G51" s="2204"/>
      <c r="H51" s="40"/>
      <c r="I51" s="2206"/>
      <c r="J51" s="600"/>
      <c r="K51" s="1141" t="str">
        <f t="shared" si="3"/>
        <v>Other Variable Cost</v>
      </c>
      <c r="L51" s="774">
        <f t="shared" si="4"/>
        <v>86378.90625</v>
      </c>
      <c r="M51" s="2226"/>
      <c r="N51" s="39"/>
      <c r="O51" s="39"/>
      <c r="P51" s="39"/>
      <c r="Q51" s="39"/>
      <c r="R51" s="39"/>
      <c r="S51" s="39"/>
      <c r="T51" s="39"/>
      <c r="U51" s="39"/>
    </row>
    <row r="52" spans="1:21" ht="15">
      <c r="B52" s="84"/>
      <c r="C52" s="800"/>
      <c r="D52" s="803"/>
      <c r="E52" s="773"/>
      <c r="F52" s="2204"/>
      <c r="G52" s="2204"/>
      <c r="H52" s="40"/>
      <c r="I52" s="2206"/>
      <c r="J52" s="600"/>
      <c r="K52" s="1141" t="str">
        <f t="shared" si="3"/>
        <v xml:space="preserve"> </v>
      </c>
      <c r="L52" s="774">
        <f t="shared" si="4"/>
        <v>0</v>
      </c>
      <c r="M52" s="2226"/>
      <c r="N52" s="39"/>
      <c r="O52" s="39"/>
      <c r="P52" s="39"/>
      <c r="Q52" s="39"/>
      <c r="R52" s="39"/>
      <c r="S52" s="39"/>
      <c r="T52" s="39"/>
      <c r="U52" s="39"/>
    </row>
    <row r="53" spans="1:21" ht="15">
      <c r="B53" s="84"/>
      <c r="C53" s="800"/>
      <c r="D53" s="803"/>
      <c r="E53" s="773"/>
      <c r="F53" s="2204"/>
      <c r="G53" s="2204"/>
      <c r="H53" s="40"/>
      <c r="I53" s="2206"/>
      <c r="J53" s="600"/>
      <c r="K53" s="1141" t="str">
        <f t="shared" si="3"/>
        <v xml:space="preserve"> </v>
      </c>
      <c r="L53" s="774">
        <f t="shared" si="4"/>
        <v>0</v>
      </c>
      <c r="M53" s="2226"/>
      <c r="N53" s="39"/>
      <c r="O53" s="39"/>
      <c r="P53" s="39"/>
      <c r="Q53" s="39"/>
      <c r="R53" s="39"/>
      <c r="S53" s="39"/>
      <c r="T53" s="39"/>
      <c r="U53" s="39"/>
    </row>
    <row r="54" spans="1:21" ht="15">
      <c r="B54" s="84"/>
      <c r="C54" s="570"/>
      <c r="D54" s="803"/>
      <c r="E54" s="773"/>
      <c r="F54" s="2204"/>
      <c r="G54" s="2204"/>
      <c r="H54" s="40"/>
      <c r="I54" s="2206"/>
      <c r="J54" s="600"/>
      <c r="K54" s="1141" t="str">
        <f t="shared" si="3"/>
        <v xml:space="preserve"> </v>
      </c>
      <c r="L54" s="774">
        <f t="shared" si="4"/>
        <v>0</v>
      </c>
      <c r="M54" s="2226"/>
      <c r="N54" s="39"/>
      <c r="O54" s="39"/>
      <c r="P54" s="39"/>
      <c r="Q54" s="39"/>
      <c r="R54" s="39"/>
      <c r="S54" s="39"/>
      <c r="T54" s="39"/>
      <c r="U54" s="39"/>
    </row>
    <row r="55" spans="1:21" ht="15">
      <c r="B55" s="84"/>
      <c r="C55" s="570"/>
      <c r="D55" s="803"/>
      <c r="E55" s="773"/>
      <c r="F55" s="2204"/>
      <c r="G55" s="2204"/>
      <c r="H55" s="40"/>
      <c r="I55" s="2206"/>
      <c r="J55" s="600"/>
      <c r="K55" s="1141" t="str">
        <f t="shared" si="3"/>
        <v xml:space="preserve"> </v>
      </c>
      <c r="L55" s="774">
        <f t="shared" si="4"/>
        <v>0</v>
      </c>
      <c r="M55" s="2226"/>
      <c r="N55" s="39"/>
      <c r="O55" s="39"/>
      <c r="P55" s="39"/>
      <c r="Q55" s="39"/>
      <c r="R55" s="39"/>
      <c r="S55" s="39"/>
      <c r="T55" s="39"/>
      <c r="U55" s="39"/>
    </row>
    <row r="56" spans="1:21" ht="15">
      <c r="B56" s="84"/>
      <c r="C56" s="40"/>
      <c r="D56" s="40"/>
      <c r="E56" s="40"/>
      <c r="F56" s="40"/>
      <c r="G56" s="40"/>
      <c r="H56" s="40"/>
      <c r="I56" s="2206"/>
      <c r="J56" s="600"/>
      <c r="K56" s="1141" t="s">
        <v>98</v>
      </c>
      <c r="L56" s="774">
        <f>SUM(L50:L55)</f>
        <v>191953.125</v>
      </c>
      <c r="M56" s="2226"/>
      <c r="N56" s="39"/>
      <c r="O56" s="39"/>
      <c r="P56" s="39"/>
      <c r="Q56" s="39"/>
      <c r="R56" s="39"/>
      <c r="S56" s="39"/>
      <c r="T56" s="39"/>
      <c r="U56" s="39"/>
    </row>
    <row r="57" spans="1:21" ht="15">
      <c r="B57" s="84"/>
      <c r="C57" s="40"/>
      <c r="D57" s="40"/>
      <c r="E57" s="40"/>
      <c r="F57" s="40"/>
      <c r="G57" s="40"/>
      <c r="H57" s="40"/>
      <c r="I57" s="575"/>
      <c r="J57" s="600"/>
      <c r="K57" s="575"/>
      <c r="L57" s="575"/>
      <c r="M57" s="2226"/>
      <c r="N57" s="39"/>
      <c r="O57" s="39"/>
      <c r="P57" s="39"/>
      <c r="Q57" s="39"/>
      <c r="R57" s="39"/>
      <c r="S57" s="39"/>
      <c r="T57" s="619"/>
      <c r="U57" s="39"/>
    </row>
    <row r="58" spans="1:21" ht="15">
      <c r="B58" s="84"/>
      <c r="C58" s="40"/>
      <c r="D58" s="40"/>
      <c r="E58" s="40"/>
      <c r="F58" s="40"/>
      <c r="G58" s="40"/>
      <c r="H58" s="40"/>
      <c r="I58" s="2206"/>
      <c r="J58" s="575"/>
      <c r="K58" s="1141" t="s">
        <v>25</v>
      </c>
      <c r="L58" s="774">
        <f>L56+L39</f>
        <v>492606.32740000001</v>
      </c>
      <c r="M58" s="2226"/>
      <c r="N58" s="39"/>
      <c r="O58" s="39"/>
      <c r="P58" s="39"/>
      <c r="Q58" s="39"/>
      <c r="R58" s="39"/>
      <c r="S58" s="39"/>
      <c r="T58" s="39"/>
      <c r="U58" s="39"/>
    </row>
    <row r="59" spans="1:21" ht="15">
      <c r="B59" s="84"/>
      <c r="C59" s="40"/>
      <c r="D59" s="40"/>
      <c r="E59" s="40"/>
      <c r="F59" s="40"/>
      <c r="G59" s="526"/>
      <c r="H59" s="526"/>
      <c r="I59" s="600"/>
      <c r="J59" s="600"/>
      <c r="K59" s="600"/>
      <c r="L59" s="600"/>
      <c r="M59" s="2226"/>
      <c r="N59" s="39"/>
      <c r="O59" s="39"/>
      <c r="P59" s="39"/>
      <c r="Q59" s="39"/>
      <c r="R59" s="39"/>
      <c r="S59" s="39"/>
      <c r="T59" s="39"/>
      <c r="U59" s="39"/>
    </row>
    <row r="60" spans="1:21" ht="15">
      <c r="B60" s="84"/>
      <c r="C60" s="2204"/>
      <c r="D60" s="2204"/>
      <c r="E60" s="2204"/>
      <c r="F60" s="2204"/>
      <c r="G60" s="526"/>
      <c r="H60" s="526"/>
      <c r="I60" s="600"/>
      <c r="J60" s="600"/>
      <c r="K60" s="600"/>
      <c r="L60" s="600"/>
      <c r="M60" s="2226"/>
      <c r="N60" s="39"/>
      <c r="O60" s="39"/>
      <c r="P60" s="39"/>
      <c r="Q60" s="39"/>
      <c r="R60" s="39"/>
      <c r="S60" s="39"/>
      <c r="T60" s="39"/>
      <c r="U60" s="39"/>
    </row>
    <row r="61" spans="1:21" ht="15">
      <c r="B61" s="84"/>
      <c r="C61" s="40"/>
      <c r="D61" s="40"/>
      <c r="E61" s="40"/>
      <c r="F61" s="40"/>
      <c r="G61" s="40"/>
      <c r="H61" s="40"/>
      <c r="I61" s="2206"/>
      <c r="J61" s="575"/>
      <c r="K61" s="1141" t="s">
        <v>201</v>
      </c>
      <c r="L61" s="815">
        <f>L58/L46</f>
        <v>256.62844895075295</v>
      </c>
      <c r="M61" s="2226"/>
      <c r="N61" s="39"/>
      <c r="O61" s="39"/>
      <c r="P61" s="39"/>
      <c r="Q61" s="39"/>
      <c r="R61" s="39"/>
      <c r="S61" s="39"/>
      <c r="T61" s="39"/>
      <c r="U61" s="39"/>
    </row>
    <row r="62" spans="1:21" s="39" customFormat="1" ht="15">
      <c r="A62" s="42"/>
      <c r="B62" s="84"/>
      <c r="C62" s="40"/>
      <c r="D62" s="40"/>
      <c r="E62" s="40"/>
      <c r="F62" s="40"/>
      <c r="G62" s="40"/>
      <c r="H62" s="40"/>
      <c r="I62" s="2209"/>
      <c r="J62" s="40"/>
      <c r="K62" s="673"/>
      <c r="L62" s="40"/>
      <c r="M62" s="2226"/>
    </row>
    <row r="63" spans="1:21" ht="15">
      <c r="B63" s="2395" t="s">
        <v>102</v>
      </c>
      <c r="C63" s="2392"/>
      <c r="D63" s="2392"/>
      <c r="E63" s="2392"/>
      <c r="F63" s="2392"/>
      <c r="G63" s="2392"/>
      <c r="H63" s="2392"/>
      <c r="I63" s="2392"/>
      <c r="J63" s="2392"/>
      <c r="K63" s="2392"/>
      <c r="L63" s="2392"/>
      <c r="M63" s="2396"/>
      <c r="N63" s="39"/>
      <c r="O63" s="39"/>
      <c r="P63" s="39"/>
      <c r="Q63" s="39"/>
      <c r="R63" s="39"/>
      <c r="S63" s="39"/>
      <c r="T63" s="39"/>
      <c r="U63" s="39"/>
    </row>
    <row r="64" spans="1:21" ht="15">
      <c r="B64" s="84"/>
      <c r="C64" s="2204"/>
      <c r="D64" s="526"/>
      <c r="E64" s="40"/>
      <c r="F64" s="2215"/>
      <c r="G64" s="40"/>
      <c r="H64" s="40"/>
      <c r="I64" s="40"/>
      <c r="J64" s="40"/>
      <c r="K64" s="2202"/>
      <c r="L64" s="2202"/>
      <c r="M64" s="2226"/>
      <c r="N64" s="40"/>
      <c r="O64" s="39"/>
      <c r="P64" s="39"/>
      <c r="Q64" s="39"/>
      <c r="R64" s="39"/>
      <c r="S64" s="39"/>
      <c r="T64" s="39"/>
      <c r="U64" s="39"/>
    </row>
    <row r="65" spans="1:21" ht="15">
      <c r="B65" s="84"/>
      <c r="C65" s="2204"/>
      <c r="D65" s="526"/>
      <c r="E65" s="40"/>
      <c r="F65" s="2215"/>
      <c r="G65" s="40"/>
      <c r="H65" s="40"/>
      <c r="I65" s="2417" t="s">
        <v>588</v>
      </c>
      <c r="J65" s="2261"/>
      <c r="K65" s="626">
        <f>L46</f>
        <v>1919.53125</v>
      </c>
      <c r="L65" s="2204"/>
      <c r="M65" s="2226"/>
      <c r="N65" s="40"/>
      <c r="O65" s="39"/>
      <c r="P65" s="39"/>
      <c r="Q65" s="39"/>
      <c r="R65" s="39"/>
      <c r="S65" s="39"/>
      <c r="T65" s="39"/>
      <c r="U65" s="39"/>
    </row>
    <row r="66" spans="1:21" ht="15">
      <c r="B66" s="84"/>
      <c r="C66" s="2204"/>
      <c r="D66" s="526"/>
      <c r="E66" s="40"/>
      <c r="F66" s="2215"/>
      <c r="G66" s="2204"/>
      <c r="H66" s="40"/>
      <c r="I66" s="2207"/>
      <c r="J66" s="2207"/>
      <c r="K66" s="1263"/>
      <c r="L66" s="627"/>
      <c r="M66" s="2226"/>
      <c r="N66" s="40"/>
      <c r="O66" s="39"/>
      <c r="P66" s="39"/>
      <c r="Q66" s="39"/>
      <c r="R66" s="39"/>
      <c r="S66" s="39"/>
      <c r="T66" s="39"/>
      <c r="U66" s="39"/>
    </row>
    <row r="67" spans="1:21" s="248" customFormat="1" ht="45">
      <c r="A67" s="42"/>
      <c r="B67" s="254"/>
      <c r="C67" s="562" t="s">
        <v>200</v>
      </c>
      <c r="D67" s="2216" t="s">
        <v>122</v>
      </c>
      <c r="E67" s="2216" t="s">
        <v>100</v>
      </c>
      <c r="F67" s="2216" t="s">
        <v>199</v>
      </c>
      <c r="G67" s="209"/>
      <c r="H67" s="209"/>
      <c r="I67" s="2394" t="s">
        <v>1004</v>
      </c>
      <c r="J67" s="2261"/>
      <c r="K67" s="2216" t="s">
        <v>193</v>
      </c>
      <c r="L67" s="564" t="s">
        <v>121</v>
      </c>
      <c r="M67" s="1134" t="s">
        <v>148</v>
      </c>
      <c r="N67" s="40"/>
      <c r="O67" s="560"/>
      <c r="P67" s="251"/>
      <c r="Q67" s="251"/>
      <c r="R67" s="251"/>
      <c r="S67" s="251"/>
      <c r="T67" s="251"/>
      <c r="U67" s="251"/>
    </row>
    <row r="68" spans="1:21" ht="30">
      <c r="B68" s="629">
        <v>1</v>
      </c>
      <c r="C68" s="2228" t="s">
        <v>198</v>
      </c>
      <c r="D68" s="2023">
        <v>0</v>
      </c>
      <c r="E68" s="2023">
        <v>1</v>
      </c>
      <c r="F68" s="568">
        <v>0.5</v>
      </c>
      <c r="G68" s="40"/>
      <c r="H68" s="40"/>
      <c r="I68" s="2405" t="s">
        <v>43</v>
      </c>
      <c r="J68" s="2261"/>
      <c r="K68" s="630">
        <f xml:space="preserve"> F68</f>
        <v>0.5</v>
      </c>
      <c r="L68" s="1337">
        <f>K68*L$46</f>
        <v>959.765625</v>
      </c>
      <c r="M68" s="631">
        <f>INT(L68/E82)*E82</f>
        <v>0</v>
      </c>
      <c r="N68" s="40"/>
      <c r="O68" s="39"/>
      <c r="P68" s="39"/>
      <c r="Q68" s="40"/>
      <c r="R68" s="39"/>
      <c r="S68" s="39"/>
      <c r="T68" s="39"/>
      <c r="U68" s="39"/>
    </row>
    <row r="69" spans="1:21" ht="15">
      <c r="B69" s="629">
        <v>2</v>
      </c>
      <c r="C69" s="2228" t="s">
        <v>197</v>
      </c>
      <c r="D69" s="2023">
        <v>0.05</v>
      </c>
      <c r="E69" s="2023">
        <v>0.15</v>
      </c>
      <c r="F69" s="568">
        <v>0.1</v>
      </c>
      <c r="G69" s="40"/>
      <c r="H69" s="40"/>
      <c r="I69" s="2405" t="s">
        <v>69</v>
      </c>
      <c r="J69" s="2261"/>
      <c r="K69" s="632">
        <f>F71*F72</f>
        <v>1.2000000000000002</v>
      </c>
      <c r="L69" s="1337">
        <f>K69*L$46</f>
        <v>2303.4375000000005</v>
      </c>
      <c r="M69" s="1338">
        <f>INT(L69/E83)*E83</f>
        <v>2190</v>
      </c>
      <c r="N69" s="40"/>
      <c r="O69" s="39"/>
      <c r="P69" s="39"/>
      <c r="Q69" s="39"/>
      <c r="R69" s="39"/>
      <c r="S69" s="39"/>
      <c r="T69" s="39"/>
      <c r="U69" s="39"/>
    </row>
    <row r="70" spans="1:21" ht="15">
      <c r="B70" s="629">
        <v>3</v>
      </c>
      <c r="C70" s="2228" t="s">
        <v>196</v>
      </c>
      <c r="D70" s="2023">
        <v>0</v>
      </c>
      <c r="E70" s="2023">
        <v>0.2</v>
      </c>
      <c r="F70" s="568">
        <v>0.1</v>
      </c>
      <c r="G70" s="40"/>
      <c r="H70" s="40"/>
      <c r="I70" s="2373"/>
      <c r="J70" s="2373"/>
      <c r="K70" s="2373"/>
      <c r="L70" s="633"/>
      <c r="M70" s="2229"/>
      <c r="N70" s="40"/>
      <c r="O70" s="39"/>
      <c r="P70" s="39"/>
      <c r="Q70" s="39"/>
      <c r="R70" s="39"/>
      <c r="S70" s="39"/>
      <c r="T70" s="39"/>
      <c r="U70" s="39"/>
    </row>
    <row r="71" spans="1:21" ht="45">
      <c r="B71" s="634">
        <v>4</v>
      </c>
      <c r="C71" s="2228" t="s">
        <v>686</v>
      </c>
      <c r="D71" s="2023">
        <v>0.3</v>
      </c>
      <c r="E71" s="2023">
        <v>0.95</v>
      </c>
      <c r="F71" s="1476">
        <f>1-F70-F69</f>
        <v>0.8</v>
      </c>
      <c r="G71" s="40"/>
      <c r="H71" s="40"/>
      <c r="I71" s="2394" t="s">
        <v>1005</v>
      </c>
      <c r="J71" s="2261"/>
      <c r="K71" s="2216" t="s">
        <v>193</v>
      </c>
      <c r="L71" s="564" t="s">
        <v>121</v>
      </c>
      <c r="M71" s="1134" t="s">
        <v>148</v>
      </c>
      <c r="N71" s="40"/>
      <c r="O71" s="39"/>
      <c r="P71" s="39"/>
      <c r="Q71" s="39"/>
      <c r="R71" s="39"/>
      <c r="S71" s="39"/>
      <c r="T71" s="39"/>
      <c r="U71" s="39"/>
    </row>
    <row r="72" spans="1:21" ht="38.450000000000003" customHeight="1">
      <c r="B72" s="634">
        <v>5</v>
      </c>
      <c r="C72" s="2228" t="s">
        <v>195</v>
      </c>
      <c r="D72" s="2024">
        <v>1</v>
      </c>
      <c r="E72" s="2024">
        <v>3</v>
      </c>
      <c r="F72" s="566">
        <v>1.5</v>
      </c>
      <c r="G72" s="40"/>
      <c r="H72" s="40"/>
      <c r="I72" s="2393" t="s">
        <v>30</v>
      </c>
      <c r="J72" s="2261"/>
      <c r="K72" s="632">
        <f>F73*F71</f>
        <v>0.8</v>
      </c>
      <c r="L72" s="1337">
        <f>K72*L$46</f>
        <v>1535.625</v>
      </c>
      <c r="M72" s="631">
        <f>INT(L72/E84)*E84</f>
        <v>0</v>
      </c>
      <c r="N72" s="40"/>
      <c r="O72" s="39"/>
      <c r="P72" s="39"/>
      <c r="Q72" s="39"/>
      <c r="R72" s="39"/>
      <c r="S72" s="39"/>
      <c r="T72" s="39"/>
      <c r="U72" s="39"/>
    </row>
    <row r="73" spans="1:21" ht="45">
      <c r="B73" s="634">
        <v>6</v>
      </c>
      <c r="C73" s="2230" t="s">
        <v>687</v>
      </c>
      <c r="D73" s="2024">
        <v>0</v>
      </c>
      <c r="E73" s="2024">
        <v>4</v>
      </c>
      <c r="F73" s="167">
        <v>1</v>
      </c>
      <c r="G73" s="40"/>
      <c r="H73" s="40"/>
      <c r="I73" s="2204"/>
      <c r="J73" s="2204"/>
      <c r="K73" s="2204"/>
      <c r="L73" s="2204"/>
      <c r="M73" s="2229"/>
      <c r="N73" s="40"/>
      <c r="O73" s="39"/>
      <c r="P73" s="39"/>
      <c r="Q73" s="39"/>
      <c r="R73" s="39"/>
      <c r="S73" s="39"/>
      <c r="T73" s="39"/>
      <c r="U73" s="39"/>
    </row>
    <row r="74" spans="1:21" ht="30">
      <c r="B74" s="781"/>
      <c r="C74" s="2204"/>
      <c r="D74" s="2204"/>
      <c r="E74" s="2204"/>
      <c r="F74" s="168"/>
      <c r="G74" s="2215"/>
      <c r="H74" s="40"/>
      <c r="I74" s="2204"/>
      <c r="J74" s="1694"/>
      <c r="K74" s="1680" t="s">
        <v>1006</v>
      </c>
      <c r="L74" s="691" t="s">
        <v>659</v>
      </c>
      <c r="M74" s="1173" t="s">
        <v>120</v>
      </c>
      <c r="N74" s="523"/>
      <c r="O74" s="517"/>
      <c r="P74" s="517"/>
      <c r="Q74" s="518"/>
      <c r="R74" s="518"/>
      <c r="S74" s="518"/>
    </row>
    <row r="75" spans="1:21" ht="15">
      <c r="B75" s="84"/>
      <c r="C75" s="2387" t="s">
        <v>1309</v>
      </c>
      <c r="D75" s="2388"/>
      <c r="E75" s="2388"/>
      <c r="F75" s="2389"/>
      <c r="G75" s="40"/>
      <c r="H75" s="40"/>
      <c r="I75" s="2204"/>
      <c r="J75" s="1694"/>
      <c r="K75" s="1680" t="s">
        <v>43</v>
      </c>
      <c r="L75" s="774">
        <f>L68*D82</f>
        <v>147990.99711344065</v>
      </c>
      <c r="M75" s="786">
        <f>(L68-M68)*F82+(M68*G82)</f>
        <v>12487.751753609355</v>
      </c>
      <c r="N75" s="517"/>
      <c r="O75" s="517"/>
      <c r="P75" s="517"/>
      <c r="Q75" s="518"/>
      <c r="R75" s="518"/>
      <c r="S75" s="518"/>
    </row>
    <row r="76" spans="1:21" ht="15">
      <c r="B76" s="84"/>
      <c r="C76" s="2387" t="s">
        <v>43</v>
      </c>
      <c r="D76" s="2416"/>
      <c r="E76" s="2261"/>
      <c r="F76" s="980">
        <f>1/K68</f>
        <v>2</v>
      </c>
      <c r="G76" s="40"/>
      <c r="H76" s="40"/>
      <c r="I76" s="2204"/>
      <c r="J76" s="1694"/>
      <c r="K76" s="1680" t="s">
        <v>69</v>
      </c>
      <c r="L76" s="774">
        <f>L69*D83</f>
        <v>1086197.0722134202</v>
      </c>
      <c r="M76" s="786">
        <f>(L69-M69)*F83+(M69*G83)</f>
        <v>175954.53963364899</v>
      </c>
      <c r="N76" s="517"/>
      <c r="O76" s="517"/>
      <c r="P76" s="523"/>
      <c r="Q76" s="518"/>
      <c r="R76" s="518"/>
      <c r="S76" s="518"/>
    </row>
    <row r="77" spans="1:21" ht="15">
      <c r="B77" s="84"/>
      <c r="C77" s="2387" t="s">
        <v>69</v>
      </c>
      <c r="D77" s="2416"/>
      <c r="E77" s="2261"/>
      <c r="F77" s="642">
        <f>1/K69</f>
        <v>0.83333333333333326</v>
      </c>
      <c r="G77" s="40"/>
      <c r="H77" s="40"/>
      <c r="I77" s="2204"/>
      <c r="J77" s="1694"/>
      <c r="K77" s="1680" t="s">
        <v>30</v>
      </c>
      <c r="L77" s="815">
        <f>-L72*D84</f>
        <v>-57224.222807801765</v>
      </c>
      <c r="M77" s="786">
        <f>-((L72-M72)*F84+(M72*G84))</f>
        <v>-5879.7737577532071</v>
      </c>
      <c r="N77" s="517"/>
      <c r="O77" s="517"/>
      <c r="P77" s="523"/>
      <c r="Q77" s="518"/>
      <c r="R77" s="518"/>
      <c r="S77" s="518"/>
    </row>
    <row r="78" spans="1:21" ht="15">
      <c r="B78" s="84"/>
      <c r="C78" s="40"/>
      <c r="D78" s="40"/>
      <c r="E78" s="40"/>
      <c r="F78" s="40"/>
      <c r="G78" s="40"/>
      <c r="H78" s="40"/>
      <c r="I78" s="2204"/>
      <c r="J78" s="1694"/>
      <c r="K78" s="2231" t="s">
        <v>98</v>
      </c>
      <c r="L78" s="774">
        <f>SUM(L75:L77)</f>
        <v>1176963.846519059</v>
      </c>
      <c r="M78" s="786">
        <f>SUM(M75:M77)</f>
        <v>182562.51762950516</v>
      </c>
      <c r="N78" s="517"/>
      <c r="O78" s="517"/>
      <c r="P78" s="523"/>
      <c r="Q78" s="518"/>
      <c r="R78" s="518"/>
      <c r="S78" s="518"/>
    </row>
    <row r="79" spans="1:21" ht="15">
      <c r="B79" s="84"/>
      <c r="C79" s="40"/>
      <c r="D79" s="40"/>
      <c r="E79" s="40"/>
      <c r="F79" s="40"/>
      <c r="G79" s="40"/>
      <c r="H79" s="40"/>
      <c r="I79" s="2390"/>
      <c r="J79" s="2391"/>
      <c r="K79" s="2204"/>
      <c r="L79" s="575"/>
      <c r="M79" s="2232"/>
      <c r="N79" s="517"/>
      <c r="O79" s="517"/>
      <c r="P79" s="523"/>
      <c r="Q79" s="518"/>
      <c r="R79" s="518"/>
      <c r="S79" s="518"/>
    </row>
    <row r="80" spans="1:21">
      <c r="B80" s="84"/>
      <c r="C80" s="40"/>
      <c r="D80" s="40"/>
      <c r="E80" s="40"/>
      <c r="F80" s="40"/>
      <c r="G80" s="40"/>
      <c r="H80" s="40"/>
      <c r="I80" s="2204"/>
      <c r="J80" s="2204"/>
      <c r="K80" s="2204"/>
      <c r="L80" s="2204"/>
      <c r="M80" s="2226"/>
      <c r="N80" s="517"/>
      <c r="O80" s="517"/>
      <c r="P80" s="523"/>
      <c r="Q80" s="518"/>
      <c r="R80" s="518"/>
      <c r="S80" s="518"/>
    </row>
    <row r="81" spans="2:24" ht="75">
      <c r="B81" s="84"/>
      <c r="C81" s="582" t="s">
        <v>1214</v>
      </c>
      <c r="D81" s="2216" t="s">
        <v>660</v>
      </c>
      <c r="E81" s="2216" t="s">
        <v>145</v>
      </c>
      <c r="F81" s="2216" t="s">
        <v>144</v>
      </c>
      <c r="G81" s="2216" t="s">
        <v>561</v>
      </c>
      <c r="H81" s="2204"/>
      <c r="I81" s="2204"/>
      <c r="J81" s="2219"/>
      <c r="K81" s="2219"/>
      <c r="L81" s="2219"/>
      <c r="M81" s="2223"/>
      <c r="N81" s="40"/>
      <c r="O81" s="40"/>
      <c r="P81" s="526"/>
      <c r="Q81" s="39"/>
      <c r="R81" s="39"/>
      <c r="S81" s="39"/>
      <c r="T81" s="39"/>
      <c r="U81" s="39"/>
      <c r="V81" s="39"/>
      <c r="W81" s="39"/>
    </row>
    <row r="82" spans="2:24" ht="15">
      <c r="B82" s="84"/>
      <c r="C82" s="597" t="str">
        <f>K75</f>
        <v>ED attends</v>
      </c>
      <c r="D82" s="2109">
        <f>VLOOKUP($C82,local_data_input!$B$4:$K$20,2,FALSE)</f>
        <v>154.19493390737</v>
      </c>
      <c r="E82" s="1337">
        <f>VLOOKUP($C82,local_data_input!$B$4:$K$20,7,FALSE)</f>
        <v>4725</v>
      </c>
      <c r="F82" s="2109">
        <f>VLOOKUP($C82,local_data_input!$B$4:$K$20,8,FALSE)</f>
        <v>13.011251318371977</v>
      </c>
      <c r="G82" s="2109">
        <f>VLOOKUP($C82,local_data_input!$B$4:$K$20,9,FALSE)</f>
        <v>13.011251318371977</v>
      </c>
      <c r="H82" s="2204"/>
      <c r="I82" s="2204"/>
      <c r="J82" s="2219"/>
      <c r="K82" s="2219"/>
      <c r="L82" s="2219"/>
      <c r="M82" s="2223"/>
      <c r="N82" s="40"/>
      <c r="O82" s="40"/>
      <c r="P82" s="526"/>
      <c r="Q82" s="39"/>
      <c r="R82" s="39"/>
      <c r="S82" s="39"/>
      <c r="T82" s="39"/>
      <c r="U82" s="39"/>
      <c r="V82" s="39"/>
      <c r="W82" s="39"/>
    </row>
    <row r="83" spans="2:24" ht="15">
      <c r="B83" s="84"/>
      <c r="C83" s="597" t="str">
        <f>K76</f>
        <v>Emergency bed days</v>
      </c>
      <c r="D83" s="2109">
        <f>VLOOKUP($C83,local_data_input!$B$4:$K$20,2,FALSE)</f>
        <v>471.55482717174652</v>
      </c>
      <c r="E83" s="1337">
        <f>VLOOKUP($C83,local_data_input!$B$4:$K$20,7,FALSE)</f>
        <v>2190</v>
      </c>
      <c r="F83" s="2109">
        <f>VLOOKUP($C83,local_data_input!$B$4:$K$20,8,FALSE)</f>
        <v>76.38780719409533</v>
      </c>
      <c r="G83" s="2109">
        <f>VLOOKUP($C83,local_data_input!$B$4:$K$20,9,FALSE)</f>
        <v>76.38780719409533</v>
      </c>
      <c r="H83" s="2204"/>
      <c r="I83" s="2204"/>
      <c r="J83" s="2219"/>
      <c r="K83" s="2219"/>
      <c r="L83" s="2219"/>
      <c r="M83" s="2223"/>
      <c r="N83" s="40"/>
      <c r="O83" s="40"/>
      <c r="P83" s="526"/>
      <c r="Q83" s="39"/>
      <c r="R83" s="39"/>
      <c r="S83" s="39"/>
      <c r="T83" s="39"/>
      <c r="U83" s="39"/>
      <c r="V83" s="39"/>
      <c r="W83" s="39"/>
    </row>
    <row r="84" spans="2:24" ht="15">
      <c r="B84" s="84"/>
      <c r="C84" s="597" t="str">
        <f>K77</f>
        <v>Community contacts</v>
      </c>
      <c r="D84" s="2109">
        <f>VLOOKUP($C84,local_data_input!$B$4:$K$20,2,FALSE)</f>
        <v>37.264451156891667</v>
      </c>
      <c r="E84" s="1337">
        <f>VLOOKUP($C84,local_data_input!$B$4:$K$20,7,FALSE)</f>
        <v>3150</v>
      </c>
      <c r="F84" s="2109">
        <f>VLOOKUP($C84,local_data_input!$B$4:$K$20,8,FALSE)</f>
        <v>3.8289124999613882</v>
      </c>
      <c r="G84" s="2109">
        <f>VLOOKUP($C84,local_data_input!$B$4:$K$20,9,FALSE)</f>
        <v>3.8289124999613882</v>
      </c>
      <c r="H84" s="2204"/>
      <c r="I84" s="2204"/>
      <c r="J84" s="2219"/>
      <c r="K84" s="2219"/>
      <c r="L84" s="2219"/>
      <c r="M84" s="2223"/>
      <c r="N84" s="40"/>
      <c r="O84" s="40"/>
      <c r="P84" s="526"/>
      <c r="Q84" s="39"/>
      <c r="R84" s="39"/>
      <c r="S84" s="39"/>
      <c r="T84" s="39"/>
      <c r="U84" s="39"/>
      <c r="V84" s="39"/>
      <c r="W84" s="39"/>
    </row>
    <row r="85" spans="2:24" ht="15">
      <c r="B85" s="130"/>
      <c r="C85" s="1203"/>
      <c r="D85" s="1203"/>
      <c r="E85" s="1203"/>
      <c r="F85" s="2233"/>
      <c r="G85" s="1203"/>
      <c r="H85" s="1203"/>
      <c r="I85" s="1203"/>
      <c r="J85" s="1203"/>
      <c r="K85" s="1203"/>
      <c r="L85" s="1203"/>
      <c r="M85" s="1430"/>
      <c r="N85" s="39"/>
      <c r="O85" s="39"/>
      <c r="P85" s="39"/>
      <c r="Q85" s="39"/>
      <c r="R85" s="39"/>
      <c r="S85" s="39"/>
      <c r="T85" s="39"/>
      <c r="U85" s="39"/>
    </row>
    <row r="86" spans="2:24" ht="18.75" customHeight="1">
      <c r="B86" s="2210"/>
      <c r="C86" s="2211"/>
      <c r="D86" s="2392" t="s">
        <v>194</v>
      </c>
      <c r="E86" s="2392"/>
      <c r="F86" s="2392"/>
      <c r="G86" s="2392"/>
      <c r="H86" s="2392"/>
      <c r="I86" s="2392"/>
      <c r="J86" s="2392"/>
      <c r="K86" s="2211"/>
      <c r="L86" s="2211"/>
      <c r="M86" s="2212"/>
      <c r="N86" s="39"/>
      <c r="O86" s="39"/>
      <c r="P86" s="39"/>
      <c r="Q86" s="39"/>
      <c r="R86" s="39"/>
      <c r="S86" s="39"/>
      <c r="T86" s="39"/>
      <c r="U86" s="39"/>
    </row>
    <row r="87" spans="2:24">
      <c r="B87" s="84"/>
      <c r="C87" s="2204"/>
      <c r="D87" s="2204"/>
      <c r="E87" s="40"/>
      <c r="F87" s="2215"/>
      <c r="G87" s="40"/>
      <c r="H87" s="40"/>
      <c r="I87" s="40"/>
      <c r="J87" s="40"/>
      <c r="K87" s="40"/>
      <c r="L87" s="40"/>
      <c r="M87" s="2226"/>
      <c r="N87" s="39"/>
      <c r="O87" s="39"/>
      <c r="P87" s="39"/>
      <c r="Q87" s="39"/>
      <c r="R87" s="39"/>
      <c r="S87" s="517"/>
      <c r="T87" s="517"/>
      <c r="U87" s="517"/>
      <c r="V87" s="518"/>
      <c r="W87" s="518"/>
      <c r="X87" s="518"/>
    </row>
    <row r="88" spans="2:24" ht="45">
      <c r="B88" s="84"/>
      <c r="C88" s="2386"/>
      <c r="D88" s="2386"/>
      <c r="E88" s="2386"/>
      <c r="F88" s="2386"/>
      <c r="G88" s="2386"/>
      <c r="H88" s="40"/>
      <c r="I88" s="2204"/>
      <c r="J88" s="2216" t="s">
        <v>193</v>
      </c>
      <c r="K88" s="2216" t="s">
        <v>192</v>
      </c>
      <c r="L88" s="2216" t="s">
        <v>191</v>
      </c>
      <c r="M88" s="2226"/>
      <c r="N88" s="39"/>
      <c r="O88" s="39"/>
      <c r="P88" s="39"/>
      <c r="Q88" s="39"/>
      <c r="R88" s="39"/>
      <c r="S88" s="517"/>
      <c r="T88" s="517"/>
      <c r="U88" s="517"/>
      <c r="V88" s="518"/>
      <c r="W88" s="518"/>
      <c r="X88" s="518"/>
    </row>
    <row r="89" spans="2:24" ht="15">
      <c r="B89" s="84"/>
      <c r="C89" s="2386" t="s">
        <v>190</v>
      </c>
      <c r="D89" s="2386"/>
      <c r="E89" s="2386"/>
      <c r="F89" s="2386"/>
      <c r="G89" s="2386"/>
      <c r="H89" s="40"/>
      <c r="I89" s="2204"/>
      <c r="J89" s="637">
        <f>F70</f>
        <v>0.1</v>
      </c>
      <c r="K89" s="638">
        <f>J89*L46</f>
        <v>191.953125</v>
      </c>
      <c r="L89" s="774">
        <f>K89*L61</f>
        <v>49260.632740000001</v>
      </c>
      <c r="M89" s="2226"/>
      <c r="N89" s="39"/>
      <c r="O89" s="39"/>
      <c r="P89" s="39"/>
      <c r="Q89" s="39"/>
      <c r="R89" s="39"/>
      <c r="S89" s="517"/>
      <c r="T89" s="517"/>
      <c r="U89" s="517"/>
      <c r="V89" s="518"/>
      <c r="W89" s="518"/>
      <c r="X89" s="518"/>
    </row>
    <row r="90" spans="2:24" ht="15">
      <c r="B90" s="84"/>
      <c r="C90" s="2386" t="s">
        <v>189</v>
      </c>
      <c r="D90" s="2386"/>
      <c r="E90" s="2386"/>
      <c r="F90" s="2386"/>
      <c r="G90" s="2386"/>
      <c r="H90" s="40"/>
      <c r="I90" s="40"/>
      <c r="J90" s="40"/>
      <c r="K90" s="40"/>
      <c r="L90" s="40"/>
      <c r="M90" s="2226"/>
      <c r="N90" s="39"/>
      <c r="O90" s="39"/>
      <c r="P90" s="39"/>
      <c r="Q90" s="39"/>
      <c r="R90" s="39"/>
      <c r="S90" s="517"/>
      <c r="T90" s="517"/>
      <c r="U90" s="517"/>
      <c r="V90" s="518"/>
      <c r="W90" s="518"/>
      <c r="X90" s="518"/>
    </row>
    <row r="91" spans="2:24" ht="15">
      <c r="B91" s="84"/>
      <c r="C91" s="2386" t="s">
        <v>188</v>
      </c>
      <c r="D91" s="2386"/>
      <c r="E91" s="2386"/>
      <c r="F91" s="2386"/>
      <c r="G91" s="2386"/>
      <c r="H91" s="40"/>
      <c r="I91" s="40"/>
      <c r="J91" s="40"/>
      <c r="K91" s="40"/>
      <c r="L91" s="40"/>
      <c r="M91" s="2226"/>
      <c r="N91" s="39"/>
      <c r="O91" s="39"/>
      <c r="P91" s="39"/>
      <c r="Q91" s="39"/>
      <c r="R91" s="39"/>
      <c r="S91" s="517"/>
      <c r="T91" s="517"/>
      <c r="U91" s="517"/>
      <c r="V91" s="518"/>
      <c r="W91" s="518"/>
      <c r="X91" s="518"/>
    </row>
    <row r="92" spans="2:24" ht="15.75" thickBot="1">
      <c r="B92" s="108"/>
      <c r="C92" s="2408" t="s">
        <v>1312</v>
      </c>
      <c r="D92" s="2408"/>
      <c r="E92" s="2408"/>
      <c r="F92" s="2408"/>
      <c r="G92" s="2408"/>
      <c r="H92" s="2167"/>
      <c r="I92" s="2167"/>
      <c r="J92" s="2167"/>
      <c r="K92" s="2167"/>
      <c r="L92" s="2234"/>
      <c r="M92" s="110"/>
      <c r="N92" s="39"/>
      <c r="O92" s="39"/>
      <c r="P92" s="39"/>
      <c r="Q92" s="39"/>
      <c r="R92" s="39"/>
      <c r="S92" s="39"/>
      <c r="T92" s="39"/>
      <c r="U92" s="39"/>
    </row>
    <row r="93" spans="2:24" ht="15">
      <c r="B93" s="39"/>
      <c r="C93" s="526"/>
      <c r="D93" s="526"/>
      <c r="E93" s="40"/>
      <c r="F93" s="258"/>
      <c r="G93" s="40"/>
      <c r="H93" s="40"/>
      <c r="I93" s="40"/>
      <c r="J93" s="40"/>
      <c r="K93" s="40"/>
      <c r="L93" s="40"/>
      <c r="M93" s="40"/>
      <c r="N93" s="39"/>
      <c r="O93" s="39"/>
      <c r="P93" s="39"/>
      <c r="Q93" s="39"/>
      <c r="R93" s="39"/>
      <c r="S93" s="517"/>
      <c r="T93" s="517"/>
      <c r="U93" s="517"/>
      <c r="V93" s="518"/>
      <c r="W93" s="518"/>
      <c r="X93" s="518"/>
    </row>
    <row r="94" spans="2:24" ht="15">
      <c r="B94" s="39"/>
      <c r="C94" s="526"/>
      <c r="D94" s="526"/>
      <c r="E94" s="39"/>
      <c r="F94" s="258"/>
      <c r="G94" s="40"/>
      <c r="H94" s="40"/>
      <c r="I94" s="40"/>
      <c r="J94" s="40"/>
      <c r="K94" s="40"/>
      <c r="L94" s="40"/>
      <c r="M94" s="40"/>
      <c r="N94" s="39"/>
      <c r="O94" s="39"/>
      <c r="P94" s="39"/>
      <c r="Q94" s="39"/>
      <c r="R94" s="39"/>
      <c r="S94" s="517"/>
      <c r="T94" s="517"/>
      <c r="U94" s="517"/>
      <c r="V94" s="518"/>
      <c r="W94" s="518"/>
      <c r="X94" s="518"/>
    </row>
    <row r="95" spans="2:24" ht="15">
      <c r="B95" s="39"/>
      <c r="C95" s="526"/>
      <c r="D95" s="526"/>
      <c r="E95" s="526"/>
      <c r="F95" s="258"/>
      <c r="G95" s="40"/>
      <c r="H95" s="40"/>
      <c r="I95" s="40"/>
      <c r="J95" s="40"/>
      <c r="K95" s="40"/>
      <c r="L95" s="40"/>
      <c r="M95" s="40"/>
      <c r="N95" s="39"/>
      <c r="O95" s="39"/>
      <c r="P95" s="39"/>
      <c r="Q95" s="39"/>
      <c r="R95" s="39"/>
      <c r="S95" s="517"/>
      <c r="T95" s="517"/>
      <c r="U95" s="517"/>
      <c r="V95" s="518"/>
      <c r="W95" s="518"/>
      <c r="X95" s="518"/>
    </row>
    <row r="96" spans="2:24" ht="15">
      <c r="B96" s="39"/>
      <c r="C96" s="526"/>
      <c r="D96" s="526"/>
      <c r="E96" s="526"/>
      <c r="F96" s="258"/>
      <c r="G96" s="40"/>
      <c r="H96" s="40"/>
      <c r="I96" s="40"/>
      <c r="J96" s="40"/>
      <c r="K96" s="40"/>
      <c r="L96" s="40"/>
      <c r="M96" s="40"/>
      <c r="N96" s="39"/>
      <c r="O96" s="39"/>
      <c r="P96" s="39"/>
      <c r="Q96" s="39"/>
      <c r="R96" s="39"/>
      <c r="S96" s="517"/>
      <c r="T96" s="517"/>
      <c r="U96" s="517"/>
      <c r="V96" s="518"/>
      <c r="W96" s="518"/>
      <c r="X96" s="518"/>
    </row>
    <row r="97" spans="2:24">
      <c r="B97" s="39"/>
      <c r="C97" s="40"/>
      <c r="D97" s="40"/>
      <c r="E97" s="40"/>
      <c r="F97" s="801"/>
      <c r="G97" s="208"/>
      <c r="H97" s="208"/>
      <c r="I97" s="208"/>
      <c r="J97" s="208"/>
      <c r="K97" s="208"/>
      <c r="L97" s="208"/>
      <c r="M97" s="208"/>
      <c r="N97" s="39"/>
      <c r="O97" s="39"/>
      <c r="P97" s="39"/>
      <c r="Q97" s="39"/>
      <c r="R97" s="39"/>
      <c r="S97" s="517"/>
      <c r="T97" s="517"/>
      <c r="U97" s="517"/>
      <c r="V97" s="518"/>
      <c r="W97" s="518"/>
      <c r="X97" s="518"/>
    </row>
    <row r="98" spans="2:24">
      <c r="B98" s="39"/>
      <c r="C98" s="40"/>
      <c r="D98" s="40"/>
      <c r="E98" s="40"/>
      <c r="F98" s="258"/>
      <c r="G98" s="40"/>
      <c r="H98" s="40"/>
      <c r="I98" s="40"/>
      <c r="J98" s="40"/>
      <c r="K98" s="40"/>
      <c r="L98" s="40"/>
      <c r="M98" s="40"/>
      <c r="N98" s="39"/>
      <c r="O98" s="39"/>
      <c r="P98" s="39"/>
      <c r="Q98" s="39"/>
      <c r="R98" s="39"/>
      <c r="S98" s="517"/>
      <c r="T98" s="517"/>
      <c r="U98" s="517"/>
      <c r="V98" s="518"/>
      <c r="W98" s="518"/>
      <c r="X98" s="518"/>
    </row>
    <row r="99" spans="2:24">
      <c r="B99" s="39"/>
      <c r="C99" s="209"/>
      <c r="D99" s="209"/>
      <c r="E99" s="40"/>
      <c r="F99" s="168"/>
      <c r="G99" s="40"/>
      <c r="H99" s="40"/>
      <c r="I99" s="40"/>
      <c r="J99" s="40"/>
      <c r="K99" s="40"/>
      <c r="L99" s="40"/>
      <c r="M99" s="40"/>
      <c r="N99" s="39"/>
      <c r="O99" s="39"/>
      <c r="P99" s="39"/>
      <c r="Q99" s="39"/>
      <c r="R99" s="39"/>
      <c r="S99" s="517"/>
      <c r="T99" s="517"/>
      <c r="U99" s="517"/>
      <c r="V99" s="518"/>
      <c r="W99" s="518"/>
      <c r="X99" s="518"/>
    </row>
    <row r="100" spans="2:24" ht="15">
      <c r="B100" s="39"/>
      <c r="C100" s="526"/>
      <c r="D100" s="526"/>
      <c r="E100" s="39"/>
      <c r="F100" s="40"/>
      <c r="G100" s="40"/>
      <c r="H100" s="40"/>
      <c r="I100" s="40"/>
      <c r="J100" s="40"/>
      <c r="K100" s="40"/>
      <c r="L100" s="40"/>
      <c r="M100" s="40"/>
      <c r="N100" s="39"/>
      <c r="O100" s="39"/>
      <c r="P100" s="39"/>
      <c r="Q100" s="39"/>
      <c r="R100" s="39"/>
      <c r="S100" s="517"/>
      <c r="T100" s="517"/>
      <c r="U100" s="517"/>
      <c r="V100" s="518"/>
      <c r="W100" s="518"/>
      <c r="X100" s="518"/>
    </row>
    <row r="101" spans="2:24" ht="15">
      <c r="B101" s="39"/>
      <c r="C101" s="526"/>
      <c r="D101" s="526"/>
      <c r="E101" s="526"/>
      <c r="F101" s="40"/>
      <c r="G101" s="40"/>
      <c r="H101" s="40"/>
      <c r="I101" s="40"/>
      <c r="J101" s="40"/>
      <c r="K101" s="40"/>
      <c r="L101" s="40"/>
      <c r="M101" s="40"/>
      <c r="N101" s="39"/>
      <c r="O101" s="39"/>
      <c r="P101" s="39"/>
      <c r="Q101" s="39"/>
      <c r="R101" s="39"/>
      <c r="S101" s="517"/>
      <c r="T101" s="517"/>
      <c r="U101" s="517"/>
      <c r="V101" s="518"/>
      <c r="W101" s="518"/>
      <c r="X101" s="518"/>
    </row>
    <row r="102" spans="2:24" ht="15">
      <c r="B102" s="39"/>
      <c r="C102" s="526"/>
      <c r="D102" s="526"/>
      <c r="E102" s="526"/>
      <c r="F102" s="40"/>
      <c r="G102" s="40"/>
      <c r="H102" s="40"/>
      <c r="I102" s="40"/>
      <c r="J102" s="40"/>
      <c r="K102" s="40"/>
      <c r="L102" s="40"/>
      <c r="M102" s="40"/>
      <c r="N102" s="39"/>
      <c r="O102" s="39"/>
      <c r="P102" s="39"/>
      <c r="Q102" s="39"/>
      <c r="R102" s="39"/>
      <c r="S102" s="517"/>
      <c r="T102" s="517"/>
      <c r="U102" s="517"/>
      <c r="V102" s="518"/>
      <c r="W102" s="518"/>
      <c r="X102" s="518"/>
    </row>
    <row r="103" spans="2:24">
      <c r="B103" s="39"/>
      <c r="C103" s="40"/>
      <c r="D103" s="40"/>
      <c r="E103" s="40"/>
      <c r="F103" s="208"/>
      <c r="G103" s="208"/>
      <c r="H103" s="208"/>
      <c r="I103" s="208"/>
      <c r="J103" s="208"/>
      <c r="K103" s="208"/>
      <c r="L103" s="208"/>
      <c r="M103" s="208"/>
      <c r="N103" s="39"/>
      <c r="O103" s="39"/>
      <c r="P103" s="39"/>
      <c r="Q103" s="39"/>
      <c r="R103" s="39"/>
      <c r="S103" s="517"/>
      <c r="T103" s="517"/>
      <c r="U103" s="517"/>
      <c r="V103" s="518"/>
      <c r="W103" s="518"/>
      <c r="X103" s="518"/>
    </row>
    <row r="104" spans="2:24">
      <c r="B104" s="39"/>
      <c r="C104" s="40"/>
      <c r="D104" s="40"/>
      <c r="E104" s="40"/>
      <c r="F104" s="40"/>
      <c r="G104" s="40"/>
      <c r="H104" s="40"/>
      <c r="I104" s="40"/>
      <c r="J104" s="40"/>
      <c r="K104" s="40"/>
      <c r="L104" s="40"/>
      <c r="M104" s="40"/>
      <c r="N104" s="39"/>
      <c r="O104" s="39"/>
      <c r="P104" s="39"/>
      <c r="Q104" s="39"/>
      <c r="R104" s="39"/>
      <c r="S104" s="517"/>
      <c r="T104" s="517"/>
      <c r="U104" s="517"/>
      <c r="V104" s="518"/>
      <c r="W104" s="518"/>
      <c r="X104" s="518"/>
    </row>
    <row r="105" spans="2:24">
      <c r="B105" s="39"/>
      <c r="C105" s="209"/>
      <c r="D105" s="209"/>
      <c r="E105" s="40"/>
      <c r="F105" s="73"/>
      <c r="G105" s="40"/>
      <c r="H105" s="40"/>
      <c r="I105" s="40"/>
      <c r="J105" s="40"/>
      <c r="K105" s="40"/>
      <c r="L105" s="40"/>
      <c r="M105" s="40"/>
      <c r="N105" s="39"/>
      <c r="O105" s="39"/>
      <c r="P105" s="39"/>
      <c r="Q105" s="39"/>
      <c r="R105" s="39"/>
      <c r="S105" s="517"/>
      <c r="T105" s="517"/>
      <c r="U105" s="517"/>
      <c r="V105" s="518"/>
      <c r="W105" s="518"/>
      <c r="X105" s="518"/>
    </row>
    <row r="106" spans="2:24">
      <c r="B106" s="39"/>
      <c r="C106" s="40"/>
      <c r="D106" s="40"/>
      <c r="E106" s="40"/>
      <c r="F106" s="40"/>
      <c r="G106" s="40"/>
      <c r="H106" s="40"/>
      <c r="I106" s="40"/>
      <c r="J106" s="40"/>
      <c r="K106" s="40"/>
      <c r="L106" s="40"/>
      <c r="M106" s="40"/>
      <c r="N106" s="39"/>
      <c r="O106" s="39"/>
      <c r="P106" s="39"/>
      <c r="Q106" s="39"/>
      <c r="R106" s="39"/>
      <c r="S106" s="517"/>
      <c r="T106" s="517"/>
      <c r="U106" s="517"/>
      <c r="V106" s="518"/>
      <c r="W106" s="518"/>
      <c r="X106" s="518"/>
    </row>
    <row r="107" spans="2:24">
      <c r="B107" s="39"/>
      <c r="C107" s="40"/>
      <c r="D107" s="40"/>
      <c r="E107" s="40"/>
      <c r="F107" s="210"/>
      <c r="G107" s="210"/>
      <c r="H107" s="210"/>
      <c r="I107" s="210"/>
      <c r="J107" s="210"/>
      <c r="K107" s="210"/>
      <c r="L107" s="210"/>
      <c r="M107" s="210"/>
      <c r="N107" s="39"/>
      <c r="O107" s="39"/>
      <c r="P107" s="39"/>
      <c r="Q107" s="39"/>
      <c r="R107" s="39"/>
      <c r="S107" s="517"/>
      <c r="T107" s="517"/>
      <c r="U107" s="517"/>
      <c r="V107" s="518"/>
      <c r="W107" s="518"/>
      <c r="X107" s="518"/>
    </row>
    <row r="108" spans="2:24">
      <c r="B108" s="39"/>
      <c r="C108" s="40"/>
      <c r="D108" s="40"/>
      <c r="E108" s="40"/>
      <c r="F108" s="40"/>
      <c r="G108" s="40"/>
      <c r="H108" s="40"/>
      <c r="I108" s="40"/>
      <c r="J108" s="40"/>
      <c r="K108" s="40"/>
      <c r="L108" s="40"/>
      <c r="M108" s="40"/>
      <c r="N108" s="39"/>
      <c r="O108" s="39"/>
      <c r="P108" s="39"/>
      <c r="Q108" s="39"/>
      <c r="R108" s="39"/>
      <c r="S108" s="517"/>
      <c r="T108" s="517"/>
      <c r="U108" s="517"/>
      <c r="V108" s="518"/>
      <c r="W108" s="518"/>
      <c r="X108" s="518"/>
    </row>
    <row r="109" spans="2:24">
      <c r="B109" s="39"/>
      <c r="C109" s="40"/>
      <c r="D109" s="40"/>
      <c r="E109" s="40"/>
      <c r="F109" s="40"/>
      <c r="G109" s="40"/>
      <c r="H109" s="40"/>
      <c r="I109" s="40"/>
      <c r="J109" s="40"/>
      <c r="K109" s="40"/>
      <c r="L109" s="40"/>
      <c r="M109" s="40"/>
      <c r="N109" s="39"/>
      <c r="O109" s="39"/>
      <c r="P109" s="39"/>
      <c r="Q109" s="39"/>
      <c r="R109" s="39"/>
      <c r="S109" s="517"/>
      <c r="T109" s="517"/>
      <c r="U109" s="517"/>
      <c r="V109" s="518"/>
      <c r="W109" s="518"/>
      <c r="X109" s="518"/>
    </row>
    <row r="110" spans="2:24" ht="15">
      <c r="B110" s="39"/>
      <c r="C110" s="526"/>
      <c r="D110" s="526"/>
      <c r="E110" s="40"/>
      <c r="F110" s="40"/>
      <c r="G110" s="40"/>
      <c r="H110" s="40"/>
      <c r="I110" s="40"/>
      <c r="J110" s="40"/>
      <c r="K110" s="40"/>
      <c r="L110" s="40"/>
      <c r="M110" s="40"/>
      <c r="N110" s="39"/>
      <c r="O110" s="39"/>
      <c r="P110" s="39"/>
      <c r="Q110" s="39"/>
      <c r="R110" s="39"/>
      <c r="S110" s="517"/>
      <c r="T110" s="517"/>
      <c r="U110" s="517"/>
      <c r="V110" s="518"/>
      <c r="W110" s="518"/>
      <c r="X110" s="518"/>
    </row>
    <row r="111" spans="2:24">
      <c r="B111" s="39"/>
      <c r="C111" s="40"/>
      <c r="D111" s="40"/>
      <c r="E111" s="40"/>
      <c r="F111" s="210"/>
      <c r="G111" s="210"/>
      <c r="H111" s="210"/>
      <c r="I111" s="210"/>
      <c r="J111" s="210"/>
      <c r="K111" s="210"/>
      <c r="L111" s="210"/>
      <c r="M111" s="210"/>
      <c r="N111" s="39"/>
      <c r="O111" s="39"/>
      <c r="P111" s="39"/>
      <c r="Q111" s="39"/>
      <c r="R111" s="39"/>
      <c r="S111" s="517"/>
      <c r="T111" s="517"/>
      <c r="U111" s="517"/>
      <c r="V111" s="518"/>
      <c r="W111" s="518"/>
      <c r="X111" s="518"/>
    </row>
    <row r="112" spans="2:24">
      <c r="B112" s="39"/>
      <c r="C112" s="40"/>
      <c r="D112" s="40"/>
      <c r="E112" s="40"/>
      <c r="F112" s="40"/>
      <c r="G112" s="40"/>
      <c r="H112" s="40"/>
      <c r="I112" s="40"/>
      <c r="J112" s="40"/>
      <c r="K112" s="40"/>
      <c r="L112" s="40"/>
      <c r="M112" s="40"/>
      <c r="N112" s="39"/>
      <c r="O112" s="39"/>
      <c r="P112" s="39"/>
      <c r="Q112" s="39"/>
      <c r="R112" s="39"/>
      <c r="S112" s="517"/>
      <c r="T112" s="517"/>
      <c r="U112" s="517"/>
      <c r="V112" s="518"/>
      <c r="W112" s="518"/>
      <c r="X112" s="518"/>
    </row>
    <row r="113" spans="2:24">
      <c r="B113" s="39"/>
      <c r="C113" s="40"/>
      <c r="D113" s="40"/>
      <c r="E113" s="40"/>
      <c r="F113" s="40"/>
      <c r="G113" s="40"/>
      <c r="H113" s="40"/>
      <c r="I113" s="40"/>
      <c r="J113" s="40"/>
      <c r="K113" s="40"/>
      <c r="L113" s="40"/>
      <c r="M113" s="40"/>
      <c r="N113" s="39"/>
      <c r="O113" s="39"/>
      <c r="P113" s="39"/>
      <c r="Q113" s="39"/>
      <c r="R113" s="39"/>
      <c r="S113" s="517"/>
      <c r="T113" s="517"/>
      <c r="U113" s="517"/>
      <c r="V113" s="518"/>
      <c r="W113" s="518"/>
      <c r="X113" s="518"/>
    </row>
    <row r="114" spans="2:24">
      <c r="B114" s="39"/>
      <c r="C114" s="40"/>
      <c r="D114" s="40"/>
      <c r="E114" s="40"/>
      <c r="F114" s="210"/>
      <c r="G114" s="210"/>
      <c r="H114" s="210"/>
      <c r="I114" s="210"/>
      <c r="J114" s="210"/>
      <c r="K114" s="210"/>
      <c r="L114" s="210"/>
      <c r="M114" s="210"/>
      <c r="N114" s="39"/>
      <c r="O114" s="39"/>
      <c r="P114" s="39"/>
      <c r="Q114" s="39"/>
      <c r="R114" s="39"/>
      <c r="S114" s="517"/>
      <c r="T114" s="517"/>
      <c r="U114" s="517"/>
      <c r="V114" s="518"/>
      <c r="W114" s="518"/>
      <c r="X114" s="518"/>
    </row>
    <row r="115" spans="2:24">
      <c r="B115" s="39"/>
      <c r="C115" s="40"/>
      <c r="D115" s="40"/>
      <c r="E115" s="40"/>
      <c r="F115" s="208"/>
      <c r="G115" s="208"/>
      <c r="H115" s="208"/>
      <c r="I115" s="208"/>
      <c r="J115" s="208"/>
      <c r="K115" s="208"/>
      <c r="L115" s="208"/>
      <c r="M115" s="208"/>
      <c r="N115" s="39"/>
      <c r="O115" s="39"/>
      <c r="P115" s="39"/>
      <c r="Q115" s="39"/>
      <c r="R115" s="39"/>
      <c r="S115" s="517"/>
      <c r="T115" s="517"/>
      <c r="U115" s="517"/>
      <c r="V115" s="518"/>
      <c r="W115" s="518"/>
      <c r="X115" s="518"/>
    </row>
    <row r="116" spans="2:24">
      <c r="B116" s="39"/>
      <c r="C116" s="40"/>
      <c r="D116" s="40"/>
      <c r="E116" s="40"/>
      <c r="F116" s="208"/>
      <c r="G116" s="208"/>
      <c r="H116" s="208"/>
      <c r="I116" s="208"/>
      <c r="J116" s="208"/>
      <c r="K116" s="208"/>
      <c r="L116" s="208"/>
      <c r="M116" s="208"/>
      <c r="N116" s="39"/>
      <c r="O116" s="39"/>
      <c r="P116" s="39"/>
      <c r="Q116" s="39"/>
      <c r="R116" s="39"/>
      <c r="S116" s="517"/>
      <c r="T116" s="517"/>
      <c r="U116" s="517"/>
      <c r="V116" s="518"/>
      <c r="W116" s="518"/>
      <c r="X116" s="518"/>
    </row>
    <row r="117" spans="2:24" ht="15">
      <c r="B117" s="39"/>
      <c r="C117" s="526"/>
      <c r="D117" s="526"/>
      <c r="E117" s="40"/>
      <c r="F117" s="682"/>
      <c r="G117" s="682"/>
      <c r="H117" s="682"/>
      <c r="I117" s="682"/>
      <c r="J117" s="682"/>
      <c r="K117" s="682"/>
      <c r="L117" s="682"/>
      <c r="M117" s="682"/>
      <c r="N117" s="39"/>
      <c r="O117" s="39"/>
      <c r="P117" s="39"/>
      <c r="Q117" s="39"/>
      <c r="R117" s="39"/>
      <c r="S117" s="517"/>
      <c r="T117" s="517"/>
      <c r="U117" s="517"/>
      <c r="V117" s="518"/>
      <c r="W117" s="518"/>
      <c r="X117" s="518"/>
    </row>
    <row r="118" spans="2:24">
      <c r="C118" s="39"/>
      <c r="D118" s="39"/>
      <c r="E118" s="39"/>
      <c r="F118" s="39"/>
      <c r="G118" s="39"/>
      <c r="H118" s="39"/>
      <c r="I118" s="39"/>
      <c r="J118" s="39"/>
      <c r="K118" s="39"/>
      <c r="L118" s="39"/>
      <c r="M118" s="39"/>
      <c r="N118" s="39"/>
      <c r="O118" s="39"/>
      <c r="P118" s="39"/>
      <c r="Q118" s="39"/>
      <c r="R118" s="39"/>
    </row>
  </sheetData>
  <mergeCells count="39">
    <mergeCell ref="C92:G92"/>
    <mergeCell ref="K2:M8"/>
    <mergeCell ref="K45:L45"/>
    <mergeCell ref="C41:E41"/>
    <mergeCell ref="C45:E45"/>
    <mergeCell ref="C42:D42"/>
    <mergeCell ref="C43:D43"/>
    <mergeCell ref="C26:D26"/>
    <mergeCell ref="C16:E16"/>
    <mergeCell ref="C17:E17"/>
    <mergeCell ref="C18:E18"/>
    <mergeCell ref="C19:E19"/>
    <mergeCell ref="C20:E20"/>
    <mergeCell ref="C76:E76"/>
    <mergeCell ref="C77:E77"/>
    <mergeCell ref="I65:J65"/>
    <mergeCell ref="E1:F1"/>
    <mergeCell ref="I1:J1"/>
    <mergeCell ref="C90:G90"/>
    <mergeCell ref="B22:M22"/>
    <mergeCell ref="B63:M63"/>
    <mergeCell ref="C4:D5"/>
    <mergeCell ref="C14:E14"/>
    <mergeCell ref="C15:E15"/>
    <mergeCell ref="B12:M12"/>
    <mergeCell ref="I67:J67"/>
    <mergeCell ref="I68:J68"/>
    <mergeCell ref="C47:D47"/>
    <mergeCell ref="C46:D46"/>
    <mergeCell ref="I69:J69"/>
    <mergeCell ref="C91:G91"/>
    <mergeCell ref="I70:K70"/>
    <mergeCell ref="C75:F75"/>
    <mergeCell ref="C88:G88"/>
    <mergeCell ref="C89:G89"/>
    <mergeCell ref="I79:J79"/>
    <mergeCell ref="D86:J86"/>
    <mergeCell ref="I72:J72"/>
    <mergeCell ref="I71:J71"/>
  </mergeCells>
  <conditionalFormatting sqref="L46 F19">
    <cfRule type="expression" dxfId="22" priority="1">
      <formula>$L$46&gt;$F$18</formula>
    </cfRule>
  </conditionalFormatting>
  <dataValidations count="3">
    <dataValidation type="list" allowBlank="1" showInputMessage="1" showErrorMessage="1" prompt="Please select Band from Drop down list" sqref="WVK983064:WVK983073 IY29:IY38 SU29:SU38 ACQ29:ACQ38 AMM29:AMM38 AWI29:AWI38 BGE29:BGE38 BQA29:BQA38 BZW29:BZW38 CJS29:CJS38 CTO29:CTO38 DDK29:DDK38 DNG29:DNG38 DXC29:DXC38 EGY29:EGY38 EQU29:EQU38 FAQ29:FAQ38 FKM29:FKM38 FUI29:FUI38 GEE29:GEE38 GOA29:GOA38 GXW29:GXW38 HHS29:HHS38 HRO29:HRO38 IBK29:IBK38 ILG29:ILG38 IVC29:IVC38 JEY29:JEY38 JOU29:JOU38 JYQ29:JYQ38 KIM29:KIM38 KSI29:KSI38 LCE29:LCE38 LMA29:LMA38 LVW29:LVW38 MFS29:MFS38 MPO29:MPO38 MZK29:MZK38 NJG29:NJG38 NTC29:NTC38 OCY29:OCY38 OMU29:OMU38 OWQ29:OWQ38 PGM29:PGM38 PQI29:PQI38 QAE29:QAE38 QKA29:QKA38 QTW29:QTW38 RDS29:RDS38 RNO29:RNO38 RXK29:RXK38 SHG29:SHG38 SRC29:SRC38 TAY29:TAY38 TKU29:TKU38 TUQ29:TUQ38 UEM29:UEM38 UOI29:UOI38 UYE29:UYE38 VIA29:VIA38 VRW29:VRW38 WBS29:WBS38 WLO29:WLO38 WVK29:WVK38 D65560:D65569 IY65560:IY65569 SU65560:SU65569 ACQ65560:ACQ65569 AMM65560:AMM65569 AWI65560:AWI65569 BGE65560:BGE65569 BQA65560:BQA65569 BZW65560:BZW65569 CJS65560:CJS65569 CTO65560:CTO65569 DDK65560:DDK65569 DNG65560:DNG65569 DXC65560:DXC65569 EGY65560:EGY65569 EQU65560:EQU65569 FAQ65560:FAQ65569 FKM65560:FKM65569 FUI65560:FUI65569 GEE65560:GEE65569 GOA65560:GOA65569 GXW65560:GXW65569 HHS65560:HHS65569 HRO65560:HRO65569 IBK65560:IBK65569 ILG65560:ILG65569 IVC65560:IVC65569 JEY65560:JEY65569 JOU65560:JOU65569 JYQ65560:JYQ65569 KIM65560:KIM65569 KSI65560:KSI65569 LCE65560:LCE65569 LMA65560:LMA65569 LVW65560:LVW65569 MFS65560:MFS65569 MPO65560:MPO65569 MZK65560:MZK65569 NJG65560:NJG65569 NTC65560:NTC65569 OCY65560:OCY65569 OMU65560:OMU65569 OWQ65560:OWQ65569 PGM65560:PGM65569 PQI65560:PQI65569 QAE65560:QAE65569 QKA65560:QKA65569 QTW65560:QTW65569 RDS65560:RDS65569 RNO65560:RNO65569 RXK65560:RXK65569 SHG65560:SHG65569 SRC65560:SRC65569 TAY65560:TAY65569 TKU65560:TKU65569 TUQ65560:TUQ65569 UEM65560:UEM65569 UOI65560:UOI65569 UYE65560:UYE65569 VIA65560:VIA65569 VRW65560:VRW65569 WBS65560:WBS65569 WLO65560:WLO65569 WVK65560:WVK65569 D131096:D131105 IY131096:IY131105 SU131096:SU131105 ACQ131096:ACQ131105 AMM131096:AMM131105 AWI131096:AWI131105 BGE131096:BGE131105 BQA131096:BQA131105 BZW131096:BZW131105 CJS131096:CJS131105 CTO131096:CTO131105 DDK131096:DDK131105 DNG131096:DNG131105 DXC131096:DXC131105 EGY131096:EGY131105 EQU131096:EQU131105 FAQ131096:FAQ131105 FKM131096:FKM131105 FUI131096:FUI131105 GEE131096:GEE131105 GOA131096:GOA131105 GXW131096:GXW131105 HHS131096:HHS131105 HRO131096:HRO131105 IBK131096:IBK131105 ILG131096:ILG131105 IVC131096:IVC131105 JEY131096:JEY131105 JOU131096:JOU131105 JYQ131096:JYQ131105 KIM131096:KIM131105 KSI131096:KSI131105 LCE131096:LCE131105 LMA131096:LMA131105 LVW131096:LVW131105 MFS131096:MFS131105 MPO131096:MPO131105 MZK131096:MZK131105 NJG131096:NJG131105 NTC131096:NTC131105 OCY131096:OCY131105 OMU131096:OMU131105 OWQ131096:OWQ131105 PGM131096:PGM131105 PQI131096:PQI131105 QAE131096:QAE131105 QKA131096:QKA131105 QTW131096:QTW131105 RDS131096:RDS131105 RNO131096:RNO131105 RXK131096:RXK131105 SHG131096:SHG131105 SRC131096:SRC131105 TAY131096:TAY131105 TKU131096:TKU131105 TUQ131096:TUQ131105 UEM131096:UEM131105 UOI131096:UOI131105 UYE131096:UYE131105 VIA131096:VIA131105 VRW131096:VRW131105 WBS131096:WBS131105 WLO131096:WLO131105 WVK131096:WVK131105 D196632:D196641 IY196632:IY196641 SU196632:SU196641 ACQ196632:ACQ196641 AMM196632:AMM196641 AWI196632:AWI196641 BGE196632:BGE196641 BQA196632:BQA196641 BZW196632:BZW196641 CJS196632:CJS196641 CTO196632:CTO196641 DDK196632:DDK196641 DNG196632:DNG196641 DXC196632:DXC196641 EGY196632:EGY196641 EQU196632:EQU196641 FAQ196632:FAQ196641 FKM196632:FKM196641 FUI196632:FUI196641 GEE196632:GEE196641 GOA196632:GOA196641 GXW196632:GXW196641 HHS196632:HHS196641 HRO196632:HRO196641 IBK196632:IBK196641 ILG196632:ILG196641 IVC196632:IVC196641 JEY196632:JEY196641 JOU196632:JOU196641 JYQ196632:JYQ196641 KIM196632:KIM196641 KSI196632:KSI196641 LCE196632:LCE196641 LMA196632:LMA196641 LVW196632:LVW196641 MFS196632:MFS196641 MPO196632:MPO196641 MZK196632:MZK196641 NJG196632:NJG196641 NTC196632:NTC196641 OCY196632:OCY196641 OMU196632:OMU196641 OWQ196632:OWQ196641 PGM196632:PGM196641 PQI196632:PQI196641 QAE196632:QAE196641 QKA196632:QKA196641 QTW196632:QTW196641 RDS196632:RDS196641 RNO196632:RNO196641 RXK196632:RXK196641 SHG196632:SHG196641 SRC196632:SRC196641 TAY196632:TAY196641 TKU196632:TKU196641 TUQ196632:TUQ196641 UEM196632:UEM196641 UOI196632:UOI196641 UYE196632:UYE196641 VIA196632:VIA196641 VRW196632:VRW196641 WBS196632:WBS196641 WLO196632:WLO196641 WVK196632:WVK196641 D262168:D262177 IY262168:IY262177 SU262168:SU262177 ACQ262168:ACQ262177 AMM262168:AMM262177 AWI262168:AWI262177 BGE262168:BGE262177 BQA262168:BQA262177 BZW262168:BZW262177 CJS262168:CJS262177 CTO262168:CTO262177 DDK262168:DDK262177 DNG262168:DNG262177 DXC262168:DXC262177 EGY262168:EGY262177 EQU262168:EQU262177 FAQ262168:FAQ262177 FKM262168:FKM262177 FUI262168:FUI262177 GEE262168:GEE262177 GOA262168:GOA262177 GXW262168:GXW262177 HHS262168:HHS262177 HRO262168:HRO262177 IBK262168:IBK262177 ILG262168:ILG262177 IVC262168:IVC262177 JEY262168:JEY262177 JOU262168:JOU262177 JYQ262168:JYQ262177 KIM262168:KIM262177 KSI262168:KSI262177 LCE262168:LCE262177 LMA262168:LMA262177 LVW262168:LVW262177 MFS262168:MFS262177 MPO262168:MPO262177 MZK262168:MZK262177 NJG262168:NJG262177 NTC262168:NTC262177 OCY262168:OCY262177 OMU262168:OMU262177 OWQ262168:OWQ262177 PGM262168:PGM262177 PQI262168:PQI262177 QAE262168:QAE262177 QKA262168:QKA262177 QTW262168:QTW262177 RDS262168:RDS262177 RNO262168:RNO262177 RXK262168:RXK262177 SHG262168:SHG262177 SRC262168:SRC262177 TAY262168:TAY262177 TKU262168:TKU262177 TUQ262168:TUQ262177 UEM262168:UEM262177 UOI262168:UOI262177 UYE262168:UYE262177 VIA262168:VIA262177 VRW262168:VRW262177 WBS262168:WBS262177 WLO262168:WLO262177 WVK262168:WVK262177 D327704:D327713 IY327704:IY327713 SU327704:SU327713 ACQ327704:ACQ327713 AMM327704:AMM327713 AWI327704:AWI327713 BGE327704:BGE327713 BQA327704:BQA327713 BZW327704:BZW327713 CJS327704:CJS327713 CTO327704:CTO327713 DDK327704:DDK327713 DNG327704:DNG327713 DXC327704:DXC327713 EGY327704:EGY327713 EQU327704:EQU327713 FAQ327704:FAQ327713 FKM327704:FKM327713 FUI327704:FUI327713 GEE327704:GEE327713 GOA327704:GOA327713 GXW327704:GXW327713 HHS327704:HHS327713 HRO327704:HRO327713 IBK327704:IBK327713 ILG327704:ILG327713 IVC327704:IVC327713 JEY327704:JEY327713 JOU327704:JOU327713 JYQ327704:JYQ327713 KIM327704:KIM327713 KSI327704:KSI327713 LCE327704:LCE327713 LMA327704:LMA327713 LVW327704:LVW327713 MFS327704:MFS327713 MPO327704:MPO327713 MZK327704:MZK327713 NJG327704:NJG327713 NTC327704:NTC327713 OCY327704:OCY327713 OMU327704:OMU327713 OWQ327704:OWQ327713 PGM327704:PGM327713 PQI327704:PQI327713 QAE327704:QAE327713 QKA327704:QKA327713 QTW327704:QTW327713 RDS327704:RDS327713 RNO327704:RNO327713 RXK327704:RXK327713 SHG327704:SHG327713 SRC327704:SRC327713 TAY327704:TAY327713 TKU327704:TKU327713 TUQ327704:TUQ327713 UEM327704:UEM327713 UOI327704:UOI327713 UYE327704:UYE327713 VIA327704:VIA327713 VRW327704:VRW327713 WBS327704:WBS327713 WLO327704:WLO327713 WVK327704:WVK327713 D393240:D393249 IY393240:IY393249 SU393240:SU393249 ACQ393240:ACQ393249 AMM393240:AMM393249 AWI393240:AWI393249 BGE393240:BGE393249 BQA393240:BQA393249 BZW393240:BZW393249 CJS393240:CJS393249 CTO393240:CTO393249 DDK393240:DDK393249 DNG393240:DNG393249 DXC393240:DXC393249 EGY393240:EGY393249 EQU393240:EQU393249 FAQ393240:FAQ393249 FKM393240:FKM393249 FUI393240:FUI393249 GEE393240:GEE393249 GOA393240:GOA393249 GXW393240:GXW393249 HHS393240:HHS393249 HRO393240:HRO393249 IBK393240:IBK393249 ILG393240:ILG393249 IVC393240:IVC393249 JEY393240:JEY393249 JOU393240:JOU393249 JYQ393240:JYQ393249 KIM393240:KIM393249 KSI393240:KSI393249 LCE393240:LCE393249 LMA393240:LMA393249 LVW393240:LVW393249 MFS393240:MFS393249 MPO393240:MPO393249 MZK393240:MZK393249 NJG393240:NJG393249 NTC393240:NTC393249 OCY393240:OCY393249 OMU393240:OMU393249 OWQ393240:OWQ393249 PGM393240:PGM393249 PQI393240:PQI393249 QAE393240:QAE393249 QKA393240:QKA393249 QTW393240:QTW393249 RDS393240:RDS393249 RNO393240:RNO393249 RXK393240:RXK393249 SHG393240:SHG393249 SRC393240:SRC393249 TAY393240:TAY393249 TKU393240:TKU393249 TUQ393240:TUQ393249 UEM393240:UEM393249 UOI393240:UOI393249 UYE393240:UYE393249 VIA393240:VIA393249 VRW393240:VRW393249 WBS393240:WBS393249 WLO393240:WLO393249 WVK393240:WVK393249 D458776:D458785 IY458776:IY458785 SU458776:SU458785 ACQ458776:ACQ458785 AMM458776:AMM458785 AWI458776:AWI458785 BGE458776:BGE458785 BQA458776:BQA458785 BZW458776:BZW458785 CJS458776:CJS458785 CTO458776:CTO458785 DDK458776:DDK458785 DNG458776:DNG458785 DXC458776:DXC458785 EGY458776:EGY458785 EQU458776:EQU458785 FAQ458776:FAQ458785 FKM458776:FKM458785 FUI458776:FUI458785 GEE458776:GEE458785 GOA458776:GOA458785 GXW458776:GXW458785 HHS458776:HHS458785 HRO458776:HRO458785 IBK458776:IBK458785 ILG458776:ILG458785 IVC458776:IVC458785 JEY458776:JEY458785 JOU458776:JOU458785 JYQ458776:JYQ458785 KIM458776:KIM458785 KSI458776:KSI458785 LCE458776:LCE458785 LMA458776:LMA458785 LVW458776:LVW458785 MFS458776:MFS458785 MPO458776:MPO458785 MZK458776:MZK458785 NJG458776:NJG458785 NTC458776:NTC458785 OCY458776:OCY458785 OMU458776:OMU458785 OWQ458776:OWQ458785 PGM458776:PGM458785 PQI458776:PQI458785 QAE458776:QAE458785 QKA458776:QKA458785 QTW458776:QTW458785 RDS458776:RDS458785 RNO458776:RNO458785 RXK458776:RXK458785 SHG458776:SHG458785 SRC458776:SRC458785 TAY458776:TAY458785 TKU458776:TKU458785 TUQ458776:TUQ458785 UEM458776:UEM458785 UOI458776:UOI458785 UYE458776:UYE458785 VIA458776:VIA458785 VRW458776:VRW458785 WBS458776:WBS458785 WLO458776:WLO458785 WVK458776:WVK458785 D524312:D524321 IY524312:IY524321 SU524312:SU524321 ACQ524312:ACQ524321 AMM524312:AMM524321 AWI524312:AWI524321 BGE524312:BGE524321 BQA524312:BQA524321 BZW524312:BZW524321 CJS524312:CJS524321 CTO524312:CTO524321 DDK524312:DDK524321 DNG524312:DNG524321 DXC524312:DXC524321 EGY524312:EGY524321 EQU524312:EQU524321 FAQ524312:FAQ524321 FKM524312:FKM524321 FUI524312:FUI524321 GEE524312:GEE524321 GOA524312:GOA524321 GXW524312:GXW524321 HHS524312:HHS524321 HRO524312:HRO524321 IBK524312:IBK524321 ILG524312:ILG524321 IVC524312:IVC524321 JEY524312:JEY524321 JOU524312:JOU524321 JYQ524312:JYQ524321 KIM524312:KIM524321 KSI524312:KSI524321 LCE524312:LCE524321 LMA524312:LMA524321 LVW524312:LVW524321 MFS524312:MFS524321 MPO524312:MPO524321 MZK524312:MZK524321 NJG524312:NJG524321 NTC524312:NTC524321 OCY524312:OCY524321 OMU524312:OMU524321 OWQ524312:OWQ524321 PGM524312:PGM524321 PQI524312:PQI524321 QAE524312:QAE524321 QKA524312:QKA524321 QTW524312:QTW524321 RDS524312:RDS524321 RNO524312:RNO524321 RXK524312:RXK524321 SHG524312:SHG524321 SRC524312:SRC524321 TAY524312:TAY524321 TKU524312:TKU524321 TUQ524312:TUQ524321 UEM524312:UEM524321 UOI524312:UOI524321 UYE524312:UYE524321 VIA524312:VIA524321 VRW524312:VRW524321 WBS524312:WBS524321 WLO524312:WLO524321 WVK524312:WVK524321 D589848:D589857 IY589848:IY589857 SU589848:SU589857 ACQ589848:ACQ589857 AMM589848:AMM589857 AWI589848:AWI589857 BGE589848:BGE589857 BQA589848:BQA589857 BZW589848:BZW589857 CJS589848:CJS589857 CTO589848:CTO589857 DDK589848:DDK589857 DNG589848:DNG589857 DXC589848:DXC589857 EGY589848:EGY589857 EQU589848:EQU589857 FAQ589848:FAQ589857 FKM589848:FKM589857 FUI589848:FUI589857 GEE589848:GEE589857 GOA589848:GOA589857 GXW589848:GXW589857 HHS589848:HHS589857 HRO589848:HRO589857 IBK589848:IBK589857 ILG589848:ILG589857 IVC589848:IVC589857 JEY589848:JEY589857 JOU589848:JOU589857 JYQ589848:JYQ589857 KIM589848:KIM589857 KSI589848:KSI589857 LCE589848:LCE589857 LMA589848:LMA589857 LVW589848:LVW589857 MFS589848:MFS589857 MPO589848:MPO589857 MZK589848:MZK589857 NJG589848:NJG589857 NTC589848:NTC589857 OCY589848:OCY589857 OMU589848:OMU589857 OWQ589848:OWQ589857 PGM589848:PGM589857 PQI589848:PQI589857 QAE589848:QAE589857 QKA589848:QKA589857 QTW589848:QTW589857 RDS589848:RDS589857 RNO589848:RNO589857 RXK589848:RXK589857 SHG589848:SHG589857 SRC589848:SRC589857 TAY589848:TAY589857 TKU589848:TKU589857 TUQ589848:TUQ589857 UEM589848:UEM589857 UOI589848:UOI589857 UYE589848:UYE589857 VIA589848:VIA589857 VRW589848:VRW589857 WBS589848:WBS589857 WLO589848:WLO589857 WVK589848:WVK589857 D655384:D655393 IY655384:IY655393 SU655384:SU655393 ACQ655384:ACQ655393 AMM655384:AMM655393 AWI655384:AWI655393 BGE655384:BGE655393 BQA655384:BQA655393 BZW655384:BZW655393 CJS655384:CJS655393 CTO655384:CTO655393 DDK655384:DDK655393 DNG655384:DNG655393 DXC655384:DXC655393 EGY655384:EGY655393 EQU655384:EQU655393 FAQ655384:FAQ655393 FKM655384:FKM655393 FUI655384:FUI655393 GEE655384:GEE655393 GOA655384:GOA655393 GXW655384:GXW655393 HHS655384:HHS655393 HRO655384:HRO655393 IBK655384:IBK655393 ILG655384:ILG655393 IVC655384:IVC655393 JEY655384:JEY655393 JOU655384:JOU655393 JYQ655384:JYQ655393 KIM655384:KIM655393 KSI655384:KSI655393 LCE655384:LCE655393 LMA655384:LMA655393 LVW655384:LVW655393 MFS655384:MFS655393 MPO655384:MPO655393 MZK655384:MZK655393 NJG655384:NJG655393 NTC655384:NTC655393 OCY655384:OCY655393 OMU655384:OMU655393 OWQ655384:OWQ655393 PGM655384:PGM655393 PQI655384:PQI655393 QAE655384:QAE655393 QKA655384:QKA655393 QTW655384:QTW655393 RDS655384:RDS655393 RNO655384:RNO655393 RXK655384:RXK655393 SHG655384:SHG655393 SRC655384:SRC655393 TAY655384:TAY655393 TKU655384:TKU655393 TUQ655384:TUQ655393 UEM655384:UEM655393 UOI655384:UOI655393 UYE655384:UYE655393 VIA655384:VIA655393 VRW655384:VRW655393 WBS655384:WBS655393 WLO655384:WLO655393 WVK655384:WVK655393 D720920:D720929 IY720920:IY720929 SU720920:SU720929 ACQ720920:ACQ720929 AMM720920:AMM720929 AWI720920:AWI720929 BGE720920:BGE720929 BQA720920:BQA720929 BZW720920:BZW720929 CJS720920:CJS720929 CTO720920:CTO720929 DDK720920:DDK720929 DNG720920:DNG720929 DXC720920:DXC720929 EGY720920:EGY720929 EQU720920:EQU720929 FAQ720920:FAQ720929 FKM720920:FKM720929 FUI720920:FUI720929 GEE720920:GEE720929 GOA720920:GOA720929 GXW720920:GXW720929 HHS720920:HHS720929 HRO720920:HRO720929 IBK720920:IBK720929 ILG720920:ILG720929 IVC720920:IVC720929 JEY720920:JEY720929 JOU720920:JOU720929 JYQ720920:JYQ720929 KIM720920:KIM720929 KSI720920:KSI720929 LCE720920:LCE720929 LMA720920:LMA720929 LVW720920:LVW720929 MFS720920:MFS720929 MPO720920:MPO720929 MZK720920:MZK720929 NJG720920:NJG720929 NTC720920:NTC720929 OCY720920:OCY720929 OMU720920:OMU720929 OWQ720920:OWQ720929 PGM720920:PGM720929 PQI720920:PQI720929 QAE720920:QAE720929 QKA720920:QKA720929 QTW720920:QTW720929 RDS720920:RDS720929 RNO720920:RNO720929 RXK720920:RXK720929 SHG720920:SHG720929 SRC720920:SRC720929 TAY720920:TAY720929 TKU720920:TKU720929 TUQ720920:TUQ720929 UEM720920:UEM720929 UOI720920:UOI720929 UYE720920:UYE720929 VIA720920:VIA720929 VRW720920:VRW720929 WBS720920:WBS720929 WLO720920:WLO720929 WVK720920:WVK720929 D786456:D786465 IY786456:IY786465 SU786456:SU786465 ACQ786456:ACQ786465 AMM786456:AMM786465 AWI786456:AWI786465 BGE786456:BGE786465 BQA786456:BQA786465 BZW786456:BZW786465 CJS786456:CJS786465 CTO786456:CTO786465 DDK786456:DDK786465 DNG786456:DNG786465 DXC786456:DXC786465 EGY786456:EGY786465 EQU786456:EQU786465 FAQ786456:FAQ786465 FKM786456:FKM786465 FUI786456:FUI786465 GEE786456:GEE786465 GOA786456:GOA786465 GXW786456:GXW786465 HHS786456:HHS786465 HRO786456:HRO786465 IBK786456:IBK786465 ILG786456:ILG786465 IVC786456:IVC786465 JEY786456:JEY786465 JOU786456:JOU786465 JYQ786456:JYQ786465 KIM786456:KIM786465 KSI786456:KSI786465 LCE786456:LCE786465 LMA786456:LMA786465 LVW786456:LVW786465 MFS786456:MFS786465 MPO786456:MPO786465 MZK786456:MZK786465 NJG786456:NJG786465 NTC786456:NTC786465 OCY786456:OCY786465 OMU786456:OMU786465 OWQ786456:OWQ786465 PGM786456:PGM786465 PQI786456:PQI786465 QAE786456:QAE786465 QKA786456:QKA786465 QTW786456:QTW786465 RDS786456:RDS786465 RNO786456:RNO786465 RXK786456:RXK786465 SHG786456:SHG786465 SRC786456:SRC786465 TAY786456:TAY786465 TKU786456:TKU786465 TUQ786456:TUQ786465 UEM786456:UEM786465 UOI786456:UOI786465 UYE786456:UYE786465 VIA786456:VIA786465 VRW786456:VRW786465 WBS786456:WBS786465 WLO786456:WLO786465 WVK786456:WVK786465 D851992:D852001 IY851992:IY852001 SU851992:SU852001 ACQ851992:ACQ852001 AMM851992:AMM852001 AWI851992:AWI852001 BGE851992:BGE852001 BQA851992:BQA852001 BZW851992:BZW852001 CJS851992:CJS852001 CTO851992:CTO852001 DDK851992:DDK852001 DNG851992:DNG852001 DXC851992:DXC852001 EGY851992:EGY852001 EQU851992:EQU852001 FAQ851992:FAQ852001 FKM851992:FKM852001 FUI851992:FUI852001 GEE851992:GEE852001 GOA851992:GOA852001 GXW851992:GXW852001 HHS851992:HHS852001 HRO851992:HRO852001 IBK851992:IBK852001 ILG851992:ILG852001 IVC851992:IVC852001 JEY851992:JEY852001 JOU851992:JOU852001 JYQ851992:JYQ852001 KIM851992:KIM852001 KSI851992:KSI852001 LCE851992:LCE852001 LMA851992:LMA852001 LVW851992:LVW852001 MFS851992:MFS852001 MPO851992:MPO852001 MZK851992:MZK852001 NJG851992:NJG852001 NTC851992:NTC852001 OCY851992:OCY852001 OMU851992:OMU852001 OWQ851992:OWQ852001 PGM851992:PGM852001 PQI851992:PQI852001 QAE851992:QAE852001 QKA851992:QKA852001 QTW851992:QTW852001 RDS851992:RDS852001 RNO851992:RNO852001 RXK851992:RXK852001 SHG851992:SHG852001 SRC851992:SRC852001 TAY851992:TAY852001 TKU851992:TKU852001 TUQ851992:TUQ852001 UEM851992:UEM852001 UOI851992:UOI852001 UYE851992:UYE852001 VIA851992:VIA852001 VRW851992:VRW852001 WBS851992:WBS852001 WLO851992:WLO852001 WVK851992:WVK852001 D917528:D917537 IY917528:IY917537 SU917528:SU917537 ACQ917528:ACQ917537 AMM917528:AMM917537 AWI917528:AWI917537 BGE917528:BGE917537 BQA917528:BQA917537 BZW917528:BZW917537 CJS917528:CJS917537 CTO917528:CTO917537 DDK917528:DDK917537 DNG917528:DNG917537 DXC917528:DXC917537 EGY917528:EGY917537 EQU917528:EQU917537 FAQ917528:FAQ917537 FKM917528:FKM917537 FUI917528:FUI917537 GEE917528:GEE917537 GOA917528:GOA917537 GXW917528:GXW917537 HHS917528:HHS917537 HRO917528:HRO917537 IBK917528:IBK917537 ILG917528:ILG917537 IVC917528:IVC917537 JEY917528:JEY917537 JOU917528:JOU917537 JYQ917528:JYQ917537 KIM917528:KIM917537 KSI917528:KSI917537 LCE917528:LCE917537 LMA917528:LMA917537 LVW917528:LVW917537 MFS917528:MFS917537 MPO917528:MPO917537 MZK917528:MZK917537 NJG917528:NJG917537 NTC917528:NTC917537 OCY917528:OCY917537 OMU917528:OMU917537 OWQ917528:OWQ917537 PGM917528:PGM917537 PQI917528:PQI917537 QAE917528:QAE917537 QKA917528:QKA917537 QTW917528:QTW917537 RDS917528:RDS917537 RNO917528:RNO917537 RXK917528:RXK917537 SHG917528:SHG917537 SRC917528:SRC917537 TAY917528:TAY917537 TKU917528:TKU917537 TUQ917528:TUQ917537 UEM917528:UEM917537 UOI917528:UOI917537 UYE917528:UYE917537 VIA917528:VIA917537 VRW917528:VRW917537 WBS917528:WBS917537 WLO917528:WLO917537 WVK917528:WVK917537 D983064:D983073 IY983064:IY983073 SU983064:SU983073 ACQ983064:ACQ983073 AMM983064:AMM983073 AWI983064:AWI983073 BGE983064:BGE983073 BQA983064:BQA983073 BZW983064:BZW983073 CJS983064:CJS983073 CTO983064:CTO983073 DDK983064:DDK983073 DNG983064:DNG983073 DXC983064:DXC983073 EGY983064:EGY983073 EQU983064:EQU983073 FAQ983064:FAQ983073 FKM983064:FKM983073 FUI983064:FUI983073 GEE983064:GEE983073 GOA983064:GOA983073 GXW983064:GXW983073 HHS983064:HHS983073 HRO983064:HRO983073 IBK983064:IBK983073 ILG983064:ILG983073 IVC983064:IVC983073 JEY983064:JEY983073 JOU983064:JOU983073 JYQ983064:JYQ983073 KIM983064:KIM983073 KSI983064:KSI983073 LCE983064:LCE983073 LMA983064:LMA983073 LVW983064:LVW983073 MFS983064:MFS983073 MPO983064:MPO983073 MZK983064:MZK983073 NJG983064:NJG983073 NTC983064:NTC983073 OCY983064:OCY983073 OMU983064:OMU983073 OWQ983064:OWQ983073 PGM983064:PGM983073 PQI983064:PQI983073 QAE983064:QAE983073 QKA983064:QKA983073 QTW983064:QTW983073 RDS983064:RDS983073 RNO983064:RNO983073 RXK983064:RXK983073 SHG983064:SHG983073 SRC983064:SRC983073 TAY983064:TAY983073 TKU983064:TKU983073 TUQ983064:TUQ983073 UEM983064:UEM983073 UOI983064:UOI983073 UYE983064:UYE983073 VIA983064:VIA983073 VRW983064:VRW983073 WBS983064:WBS983073 WLO983064:WLO983073">
      <formula1>AFC</formula1>
    </dataValidation>
    <dataValidation type="list" allowBlank="1" showInputMessage="1" showErrorMessage="1" errorTitle="list" error="Not Applicable" promptTitle="list" prompt="Please Select from drop down" sqref="IX29:IX38 ST29:ST38 ACP29:ACP38 AML29:AML38 AWH29:AWH38 BGD29:BGD38 BPZ29:BPZ38 BZV29:BZV38 CJR29:CJR38 CTN29:CTN38 DDJ29:DDJ38 DNF29:DNF38 DXB29:DXB38 EGX29:EGX38 EQT29:EQT38 FAP29:FAP38 FKL29:FKL38 FUH29:FUH38 GED29:GED38 GNZ29:GNZ38 GXV29:GXV38 HHR29:HHR38 HRN29:HRN38 IBJ29:IBJ38 ILF29:ILF38 IVB29:IVB38 JEX29:JEX38 JOT29:JOT38 JYP29:JYP38 KIL29:KIL38 KSH29:KSH38 LCD29:LCD38 LLZ29:LLZ38 LVV29:LVV38 MFR29:MFR38 MPN29:MPN38 MZJ29:MZJ38 NJF29:NJF38 NTB29:NTB38 OCX29:OCX38 OMT29:OMT38 OWP29:OWP38 PGL29:PGL38 PQH29:PQH38 QAD29:QAD38 QJZ29:QJZ38 QTV29:QTV38 RDR29:RDR38 RNN29:RNN38 RXJ29:RXJ38 SHF29:SHF38 SRB29:SRB38 TAX29:TAX38 TKT29:TKT38 TUP29:TUP38 UEL29:UEL38 UOH29:UOH38 UYD29:UYD38 VHZ29:VHZ38 VRV29:VRV38 WBR29:WBR38 WLN29:WLN38 WVJ29:WVJ38 C65560:C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C131096:C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C196632:C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C262168:C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C327704:C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C393240:C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C458776:C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C524312:C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C589848:C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C655384:C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C720920:C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C786456:C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C851992:C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C917528:C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C983064:C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formula1>$T$2:$T$19</formula1>
    </dataValidation>
    <dataValidation type="list" allowBlank="1" showInputMessage="1" prompt="Select from list or type in job title" sqref="C29:C38">
      <formula1>Staff_List</formula1>
    </dataValidation>
  </dataValidations>
  <pageMargins left="0.70866141732283472" right="0.70866141732283472" top="0.74803149606299213" bottom="0.74803149606299213" header="0.31496062992125984" footer="0.31496062992125984"/>
  <pageSetup paperSize="9" scale="33" orientation="portrait"/>
  <colBreaks count="1" manualBreakCount="1">
    <brk id="13" max="1048575" man="1"/>
  </colBreaks>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staff_costs!$A$4:$A$21</xm:f>
          </x14:formula1>
          <xm:sqref>D29:D38</xm:sqref>
        </x14:dataValidation>
      </x14:dataValidation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4" tint="-0.249977111117893"/>
    <pageSetUpPr fitToPage="1"/>
  </sheetPr>
  <dimension ref="A1:BW94"/>
  <sheetViews>
    <sheetView showGridLines="0" topLeftCell="B1" zoomScaleNormal="100" zoomScaleSheetLayoutView="70" zoomScalePageLayoutView="75" workbookViewId="0">
      <pane ySplit="1" topLeftCell="A2" activePane="bottomLeft" state="frozen"/>
      <selection activeCell="C3" sqref="C3"/>
      <selection pane="bottomLeft" activeCell="E47" sqref="E47"/>
    </sheetView>
  </sheetViews>
  <sheetFormatPr defaultColWidth="8.7109375" defaultRowHeight="14.25" outlineLevelCol="1"/>
  <cols>
    <col min="1" max="1" width="56.140625" style="38" hidden="1" customWidth="1" outlineLevel="1"/>
    <col min="2" max="2" width="15.7109375" style="38" customWidth="1" collapsed="1"/>
    <col min="3" max="3" width="45.7109375" style="38" customWidth="1"/>
    <col min="4" max="4" width="17.42578125" style="38" customWidth="1"/>
    <col min="5" max="5" width="15.7109375" style="38" customWidth="1"/>
    <col min="6" max="6" width="17" style="38" customWidth="1"/>
    <col min="7" max="7" width="18.42578125" style="38" customWidth="1"/>
    <col min="8" max="8" width="19.85546875" style="38" customWidth="1"/>
    <col min="9" max="9" width="19.42578125" style="38" customWidth="1"/>
    <col min="10" max="10" width="15.7109375" style="38" customWidth="1"/>
    <col min="11" max="11" width="45.7109375" style="38" customWidth="1"/>
    <col min="12" max="12" width="17.7109375" style="38" customWidth="1"/>
    <col min="13" max="14" width="15.7109375" style="38" customWidth="1"/>
    <col min="15" max="15" width="47.42578125" style="38" customWidth="1"/>
    <col min="16" max="16" width="3.42578125" style="38" customWidth="1"/>
    <col min="17" max="17" width="28" style="38" customWidth="1"/>
    <col min="18" max="18" width="3" style="38" customWidth="1"/>
    <col min="19" max="19" width="57" style="38" customWidth="1"/>
    <col min="20" max="21" width="34.7109375" style="38" customWidth="1"/>
    <col min="22" max="22" width="14.7109375" style="38" customWidth="1"/>
    <col min="23" max="23" width="17.7109375" style="38" customWidth="1"/>
    <col min="24" max="24" width="15.42578125" style="38" customWidth="1"/>
    <col min="25" max="16384" width="8.7109375" style="38"/>
  </cols>
  <sheetData>
    <row r="1" spans="1:75" s="1078"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2"/>
      <c r="H1" s="1763"/>
      <c r="I1" s="2311" t="str">
        <f>HYPERLINK("[.\]outputs_by_channel!A1", "To Intervention data outputs by channel")</f>
        <v>To Intervention data outputs by channel</v>
      </c>
      <c r="J1" s="2312"/>
      <c r="K1" s="1762"/>
      <c r="L1" s="1762"/>
      <c r="M1" s="1762"/>
      <c r="O1" s="532"/>
      <c r="Q1" s="532"/>
      <c r="R1" s="532"/>
      <c r="S1" s="532"/>
      <c r="T1" s="532"/>
      <c r="V1" s="532"/>
      <c r="W1" s="532"/>
      <c r="X1" s="532"/>
      <c r="Y1" s="532"/>
      <c r="AA1" s="532"/>
      <c r="AB1" s="532"/>
      <c r="AC1" s="532"/>
      <c r="AD1" s="532"/>
      <c r="AF1" s="532"/>
      <c r="AG1" s="532"/>
      <c r="AH1" s="532"/>
      <c r="AI1" s="532"/>
      <c r="AK1" s="532"/>
      <c r="AL1" s="532"/>
      <c r="AM1" s="532"/>
      <c r="AN1" s="532"/>
      <c r="AP1" s="532"/>
      <c r="AQ1" s="532"/>
      <c r="AR1" s="532"/>
      <c r="AS1" s="532"/>
      <c r="AU1" s="532"/>
      <c r="AV1" s="532"/>
      <c r="AW1" s="532"/>
      <c r="AX1" s="532"/>
      <c r="AZ1" s="532"/>
      <c r="BA1" s="532"/>
      <c r="BB1" s="532"/>
      <c r="BC1" s="532"/>
      <c r="BE1" s="532"/>
      <c r="BF1" s="532"/>
      <c r="BG1" s="532"/>
      <c r="BH1" s="532"/>
      <c r="BJ1" s="532"/>
      <c r="BK1" s="532"/>
      <c r="BL1" s="532"/>
      <c r="BM1" s="532"/>
      <c r="BO1" s="532"/>
      <c r="BP1" s="532"/>
      <c r="BQ1" s="532"/>
      <c r="BR1" s="532"/>
      <c r="BT1" s="532"/>
      <c r="BU1" s="532"/>
      <c r="BV1" s="532"/>
      <c r="BW1" s="532"/>
    </row>
    <row r="2" spans="1:75" s="42" customFormat="1" ht="15">
      <c r="B2" s="84"/>
      <c r="C2" s="580"/>
      <c r="D2" s="580"/>
      <c r="E2" s="580"/>
      <c r="F2" s="526"/>
      <c r="G2" s="580"/>
      <c r="H2" s="580"/>
      <c r="I2" s="580"/>
      <c r="J2" s="40"/>
      <c r="K2" s="2072"/>
      <c r="L2" s="2072"/>
      <c r="M2" s="2072"/>
      <c r="N2" s="84"/>
      <c r="O2" s="39"/>
      <c r="P2" s="39"/>
      <c r="Q2" s="39"/>
      <c r="R2" s="39"/>
      <c r="S2" s="39"/>
    </row>
    <row r="3" spans="1:75" s="42" customFormat="1" ht="15.75" thickBot="1">
      <c r="B3" s="84"/>
      <c r="C3" s="97"/>
      <c r="D3" s="97"/>
      <c r="E3" s="97"/>
      <c r="F3" s="44"/>
      <c r="G3" s="97"/>
      <c r="H3" s="97"/>
      <c r="I3" s="97"/>
      <c r="J3" s="40"/>
      <c r="K3" s="2070"/>
      <c r="L3" s="2074"/>
      <c r="M3" s="2074"/>
      <c r="N3" s="84"/>
      <c r="O3" s="39"/>
      <c r="P3" s="39"/>
      <c r="Q3" s="39"/>
      <c r="R3" s="39"/>
      <c r="S3" s="39"/>
    </row>
    <row r="4" spans="1:75" s="42" customFormat="1" ht="15" customHeight="1">
      <c r="B4" s="84"/>
      <c r="C4" s="2362" t="str">
        <f>Menu!B22</f>
        <v>Personalised care planning</v>
      </c>
      <c r="D4" s="2418"/>
      <c r="E4" s="97"/>
      <c r="F4"/>
      <c r="G4"/>
      <c r="H4" s="97"/>
      <c r="I4" s="97"/>
      <c r="J4" s="40"/>
      <c r="K4" s="2070"/>
      <c r="L4" s="2074"/>
      <c r="M4" s="2083"/>
      <c r="N4" s="39"/>
      <c r="O4" s="39"/>
      <c r="P4" s="39"/>
      <c r="Q4" s="39"/>
      <c r="R4" s="39"/>
      <c r="S4" s="39"/>
    </row>
    <row r="5" spans="1:75" s="42" customFormat="1" ht="15.75" thickBot="1">
      <c r="B5" s="84"/>
      <c r="C5" s="2364"/>
      <c r="D5" s="2419"/>
      <c r="E5" s="97"/>
      <c r="F5"/>
      <c r="G5"/>
      <c r="H5" s="44"/>
      <c r="I5" s="44"/>
      <c r="J5" s="526"/>
      <c r="K5" s="2070"/>
      <c r="L5" s="2075"/>
      <c r="M5" s="2084"/>
      <c r="N5" s="39"/>
      <c r="O5" s="39"/>
      <c r="P5" s="39"/>
      <c r="Q5" s="39"/>
      <c r="R5" s="39"/>
      <c r="S5" s="39"/>
    </row>
    <row r="6" spans="1:75" s="42" customFormat="1" ht="15.75" thickBot="1">
      <c r="B6" s="84"/>
      <c r="C6" s="44"/>
      <c r="D6" s="97"/>
      <c r="E6" s="97"/>
      <c r="F6"/>
      <c r="G6"/>
      <c r="H6" s="97"/>
      <c r="I6" s="97"/>
      <c r="J6" s="40"/>
      <c r="K6" s="2070"/>
      <c r="L6" s="2077"/>
      <c r="M6" s="2085"/>
      <c r="N6" s="39"/>
      <c r="O6" s="39"/>
      <c r="P6" s="39"/>
      <c r="Q6" s="39"/>
      <c r="R6" s="39"/>
      <c r="S6" s="39"/>
    </row>
    <row r="7" spans="1:75" s="42" customFormat="1" ht="15.75" thickBot="1">
      <c r="B7" s="84"/>
      <c r="C7" s="797" t="s">
        <v>582</v>
      </c>
      <c r="D7" s="806">
        <v>762764</v>
      </c>
      <c r="E7" s="97"/>
      <c r="F7" s="116"/>
      <c r="G7" s="97"/>
      <c r="H7" s="97"/>
      <c r="I7" s="97"/>
      <c r="J7" s="40"/>
      <c r="K7" s="2070"/>
      <c r="L7" s="2078"/>
      <c r="M7" s="2083"/>
      <c r="N7" s="39"/>
      <c r="O7" s="39"/>
      <c r="P7" s="39"/>
      <c r="Q7" s="39"/>
      <c r="R7" s="39"/>
      <c r="S7" s="39"/>
    </row>
    <row r="8" spans="1:75" s="42" customFormat="1" ht="15">
      <c r="B8" s="84"/>
      <c r="C8" s="683"/>
      <c r="D8" s="683"/>
      <c r="E8" s="683"/>
      <c r="F8" s="580"/>
      <c r="G8" s="580"/>
      <c r="H8" s="580"/>
      <c r="I8" s="580"/>
      <c r="J8" s="580"/>
      <c r="K8" s="2070"/>
      <c r="L8" s="2075"/>
      <c r="M8" s="2084"/>
      <c r="N8" s="39"/>
      <c r="O8" s="39"/>
      <c r="P8" s="39"/>
      <c r="Q8" s="39"/>
      <c r="R8" s="39"/>
      <c r="S8" s="39"/>
    </row>
    <row r="9" spans="1:75" s="42" customFormat="1" ht="15">
      <c r="B9" s="84"/>
      <c r="C9" s="1777" t="str">
        <f>HYPERLINK("[.\]E_care_plan!B2","To Evidence")</f>
        <v>To Evidence</v>
      </c>
      <c r="D9" s="40"/>
      <c r="E9" s="40"/>
      <c r="F9" s="40"/>
      <c r="G9" s="40"/>
      <c r="H9" s="40"/>
      <c r="I9" s="40"/>
      <c r="J9" s="40"/>
      <c r="K9" s="40"/>
      <c r="L9" s="40"/>
      <c r="M9" s="615"/>
      <c r="N9" s="39"/>
      <c r="O9" s="39"/>
      <c r="P9" s="39"/>
      <c r="Q9" s="39"/>
      <c r="R9" s="39"/>
      <c r="S9" s="39"/>
      <c r="T9" s="39"/>
    </row>
    <row r="10" spans="1:75" s="42" customFormat="1" ht="15">
      <c r="B10" s="130"/>
      <c r="C10" s="1203"/>
      <c r="D10" s="1203"/>
      <c r="E10" s="1203"/>
      <c r="F10" s="1203"/>
      <c r="G10" s="1203"/>
      <c r="H10" s="1203"/>
      <c r="I10" s="1203"/>
      <c r="J10" s="1203"/>
      <c r="K10" s="40"/>
      <c r="L10" s="40"/>
      <c r="M10" s="615"/>
      <c r="N10" s="39"/>
      <c r="O10" s="39"/>
      <c r="P10" s="39"/>
      <c r="Q10" s="39"/>
      <c r="R10" s="39"/>
      <c r="S10" s="39"/>
      <c r="T10" s="39"/>
    </row>
    <row r="11" spans="1:75" s="42" customFormat="1" ht="15">
      <c r="A11" s="2002" t="s">
        <v>103</v>
      </c>
      <c r="B11" s="2395" t="s">
        <v>119</v>
      </c>
      <c r="C11" s="2392"/>
      <c r="D11" s="2392"/>
      <c r="E11" s="2392"/>
      <c r="F11" s="2392"/>
      <c r="G11" s="2392"/>
      <c r="H11" s="2392"/>
      <c r="I11" s="2392"/>
      <c r="J11" s="2392"/>
      <c r="K11" s="2392"/>
      <c r="L11" s="2392"/>
      <c r="M11" s="2396"/>
      <c r="N11" s="39"/>
      <c r="O11" s="39"/>
      <c r="P11" s="39"/>
      <c r="Q11" s="39"/>
      <c r="R11" s="39"/>
      <c r="S11" s="39"/>
      <c r="T11" s="39"/>
    </row>
    <row r="12" spans="1:75" s="42" customFormat="1" ht="15">
      <c r="B12" s="602"/>
      <c r="C12" s="526"/>
      <c r="D12" s="526"/>
      <c r="E12" s="526"/>
      <c r="F12" s="526"/>
      <c r="G12" s="526"/>
      <c r="H12" s="526"/>
      <c r="I12" s="526"/>
      <c r="J12" s="526"/>
      <c r="K12" s="526"/>
      <c r="L12" s="526"/>
      <c r="M12" s="2086"/>
      <c r="N12" s="39"/>
      <c r="O12" s="39"/>
      <c r="P12" s="39"/>
      <c r="Q12" s="39"/>
      <c r="R12" s="39"/>
      <c r="S12" s="39"/>
      <c r="T12" s="39"/>
      <c r="U12" s="39"/>
    </row>
    <row r="13" spans="1:75" s="42" customFormat="1" ht="30">
      <c r="B13" s="84"/>
      <c r="C13" s="2354" t="s">
        <v>237</v>
      </c>
      <c r="D13" s="2358"/>
      <c r="E13" s="2359"/>
      <c r="F13" s="639" t="s">
        <v>541</v>
      </c>
      <c r="G13" s="526"/>
      <c r="H13" s="526"/>
      <c r="I13" s="526"/>
      <c r="J13" s="526"/>
      <c r="K13" s="526"/>
      <c r="L13" s="551"/>
      <c r="M13" s="552" t="s">
        <v>141</v>
      </c>
      <c r="N13" s="39"/>
      <c r="O13" s="39"/>
      <c r="P13" s="39"/>
      <c r="Q13" s="39"/>
      <c r="R13" s="39"/>
      <c r="S13" s="39"/>
      <c r="T13" s="39"/>
      <c r="U13" s="39"/>
    </row>
    <row r="14" spans="1:75" s="42" customFormat="1" ht="15">
      <c r="B14" s="84"/>
      <c r="C14" s="2354" t="s">
        <v>550</v>
      </c>
      <c r="D14" s="2355"/>
      <c r="E14" s="2356"/>
      <c r="F14" s="1696">
        <v>0</v>
      </c>
      <c r="G14" s="687"/>
      <c r="H14" s="526"/>
      <c r="I14" s="526"/>
      <c r="J14" s="526"/>
      <c r="K14" s="526"/>
      <c r="L14" s="63"/>
      <c r="M14" s="552" t="s">
        <v>143</v>
      </c>
      <c r="N14" s="39"/>
      <c r="O14" s="39"/>
      <c r="P14" s="39"/>
      <c r="Q14" s="39"/>
      <c r="R14" s="39"/>
      <c r="S14" s="39"/>
      <c r="T14" s="39"/>
      <c r="U14" s="39"/>
    </row>
    <row r="15" spans="1:75" s="42" customFormat="1" ht="15">
      <c r="B15" s="84"/>
      <c r="C15" s="2354" t="s">
        <v>551</v>
      </c>
      <c r="D15" s="2355"/>
      <c r="E15" s="2356"/>
      <c r="F15" s="1696">
        <v>0.01</v>
      </c>
      <c r="G15" s="2010"/>
      <c r="H15" s="618"/>
      <c r="I15" s="526"/>
      <c r="J15" s="526"/>
      <c r="K15" s="526"/>
      <c r="L15" s="554" t="s">
        <v>556</v>
      </c>
      <c r="M15" s="552" t="s">
        <v>143</v>
      </c>
      <c r="N15" s="39"/>
      <c r="O15" s="39"/>
      <c r="P15" s="39"/>
      <c r="Q15" s="39"/>
      <c r="R15" s="39"/>
      <c r="S15" s="39"/>
      <c r="T15" s="39"/>
      <c r="U15" s="39"/>
    </row>
    <row r="16" spans="1:75" s="42" customFormat="1" ht="42.75">
      <c r="B16" s="676"/>
      <c r="C16" s="2354" t="s">
        <v>544</v>
      </c>
      <c r="D16" s="2355"/>
      <c r="E16" s="2356"/>
      <c r="F16" s="640">
        <f>(F15-F14)*D7</f>
        <v>7627.64</v>
      </c>
      <c r="G16" s="687"/>
      <c r="H16" s="526"/>
      <c r="I16" s="526"/>
      <c r="J16" s="526"/>
      <c r="K16" s="526"/>
      <c r="L16" s="2193"/>
      <c r="M16" s="507" t="s">
        <v>1299</v>
      </c>
      <c r="N16" s="39"/>
      <c r="O16" s="39"/>
      <c r="P16" s="39"/>
      <c r="Q16" s="39"/>
      <c r="R16" s="39"/>
      <c r="S16" s="39"/>
      <c r="T16" s="39"/>
      <c r="U16" s="39"/>
    </row>
    <row r="17" spans="1:21" s="42" customFormat="1" ht="15">
      <c r="B17" s="676"/>
      <c r="C17" s="2354" t="s">
        <v>187</v>
      </c>
      <c r="D17" s="2355"/>
      <c r="E17" s="2356"/>
      <c r="F17" s="640">
        <f>L45</f>
        <v>1200</v>
      </c>
      <c r="G17" s="641">
        <f>F17/F16</f>
        <v>0.15732257946101283</v>
      </c>
      <c r="H17" s="526"/>
      <c r="I17" s="526"/>
      <c r="J17" s="526"/>
      <c r="K17" s="526"/>
      <c r="L17" s="526"/>
      <c r="M17" s="615"/>
      <c r="N17" s="39"/>
      <c r="O17" s="39"/>
      <c r="P17" s="39"/>
      <c r="Q17" s="39"/>
      <c r="R17" s="39"/>
      <c r="S17" s="39"/>
      <c r="T17" s="39"/>
      <c r="U17" s="39"/>
    </row>
    <row r="18" spans="1:21" s="42" customFormat="1" ht="15">
      <c r="B18" s="676"/>
      <c r="C18" s="2011"/>
      <c r="D18" s="526"/>
      <c r="E18" s="526"/>
      <c r="F18" s="2025"/>
      <c r="G18" s="526"/>
      <c r="H18" s="526"/>
      <c r="I18" s="526"/>
      <c r="J18" s="526"/>
      <c r="K18" s="526"/>
      <c r="L18" s="526"/>
      <c r="M18" s="2026"/>
      <c r="N18" s="39"/>
      <c r="O18" s="39"/>
      <c r="P18" s="39"/>
      <c r="Q18" s="39"/>
      <c r="R18" s="39"/>
      <c r="S18" s="39"/>
      <c r="T18" s="39"/>
      <c r="U18" s="39"/>
    </row>
    <row r="19" spans="1:21" s="42" customFormat="1" ht="15">
      <c r="A19" s="85"/>
      <c r="B19" s="2316" t="s">
        <v>236</v>
      </c>
      <c r="C19" s="2344"/>
      <c r="D19" s="2344"/>
      <c r="E19" s="2344"/>
      <c r="F19" s="2344"/>
      <c r="G19" s="2344"/>
      <c r="H19" s="2344"/>
      <c r="I19" s="2344"/>
      <c r="J19" s="2344"/>
      <c r="K19" s="2344"/>
      <c r="L19" s="2344"/>
      <c r="M19" s="2420"/>
      <c r="N19" s="39"/>
      <c r="O19" s="39"/>
      <c r="P19" s="39"/>
      <c r="Q19" s="39"/>
      <c r="R19" s="39"/>
      <c r="S19" s="39"/>
      <c r="T19" s="39"/>
    </row>
    <row r="20" spans="1:21" s="42" customFormat="1" ht="15">
      <c r="A20" s="85"/>
      <c r="B20" s="84"/>
      <c r="C20" s="528"/>
      <c r="D20" s="526"/>
      <c r="E20" s="526"/>
      <c r="F20" s="526"/>
      <c r="G20" s="40"/>
      <c r="H20" s="560"/>
      <c r="I20" s="40"/>
      <c r="J20" s="40"/>
      <c r="K20" s="40"/>
      <c r="L20" s="40"/>
      <c r="M20" s="2027"/>
      <c r="N20" s="39"/>
      <c r="O20" s="39"/>
      <c r="P20" s="39"/>
      <c r="Q20" s="39"/>
      <c r="R20" s="39"/>
      <c r="S20" s="39"/>
      <c r="T20" s="39"/>
      <c r="U20" s="39"/>
    </row>
    <row r="21" spans="1:21" s="42" customFormat="1" ht="15">
      <c r="A21" s="85"/>
      <c r="B21" s="84"/>
      <c r="C21" s="1774" t="str">
        <f>HYPERLINK("[.\]Set_up_PCP!A1","To Set up costs template")</f>
        <v>To Set up costs template</v>
      </c>
      <c r="D21" s="1714"/>
      <c r="E21" s="526"/>
      <c r="F21" s="526"/>
      <c r="G21" s="40"/>
      <c r="H21" s="560"/>
      <c r="I21" s="40"/>
      <c r="J21" s="40"/>
      <c r="K21" s="40"/>
      <c r="L21" s="40"/>
      <c r="M21" s="83"/>
      <c r="N21" s="39"/>
      <c r="O21" s="39"/>
      <c r="P21" s="39"/>
      <c r="Q21" s="39"/>
      <c r="R21" s="39"/>
      <c r="S21" s="39"/>
      <c r="T21" s="39"/>
      <c r="U21" s="39"/>
    </row>
    <row r="22" spans="1:21" s="42" customFormat="1" ht="15">
      <c r="B22" s="84"/>
      <c r="C22" s="528"/>
      <c r="D22" s="526"/>
      <c r="E22" s="526"/>
      <c r="F22" s="526"/>
      <c r="G22" s="40"/>
      <c r="H22" s="560"/>
      <c r="I22" s="40"/>
      <c r="J22" s="40"/>
      <c r="K22" s="40"/>
      <c r="L22" s="40"/>
      <c r="M22" s="83"/>
      <c r="N22" s="39"/>
      <c r="O22" s="39"/>
      <c r="P22" s="39"/>
      <c r="Q22" s="39"/>
      <c r="R22" s="39"/>
      <c r="S22" s="39"/>
      <c r="T22" s="39"/>
      <c r="U22" s="39"/>
    </row>
    <row r="23" spans="1:21" s="42" customFormat="1" ht="15">
      <c r="B23" s="84"/>
      <c r="C23" s="2357" t="s">
        <v>1070</v>
      </c>
      <c r="D23" s="2250"/>
      <c r="E23" s="1208">
        <f>SUM(Set_up_PCP!H19*1000)</f>
        <v>240399.99999999997</v>
      </c>
      <c r="F23" s="2003"/>
      <c r="G23" s="40"/>
      <c r="H23" s="2003"/>
      <c r="I23" s="40"/>
      <c r="J23" s="40"/>
      <c r="K23" s="180"/>
      <c r="L23" s="40"/>
      <c r="M23" s="83"/>
      <c r="N23" s="39"/>
      <c r="O23" s="39"/>
      <c r="P23" s="39"/>
      <c r="Q23" s="39"/>
      <c r="R23" s="39"/>
      <c r="S23" s="39"/>
      <c r="T23" s="39"/>
      <c r="U23" s="39"/>
    </row>
    <row r="24" spans="1:21" s="42" customFormat="1" ht="15">
      <c r="B24" s="84"/>
      <c r="C24" s="40"/>
      <c r="D24" s="40"/>
      <c r="E24" s="40"/>
      <c r="F24" s="559"/>
      <c r="G24" s="2001"/>
      <c r="H24" s="2001"/>
      <c r="I24" s="2001"/>
      <c r="J24" s="526"/>
      <c r="K24" s="2001"/>
      <c r="L24" s="2001"/>
      <c r="M24" s="83"/>
      <c r="N24" s="39"/>
      <c r="O24" s="39"/>
      <c r="P24" s="39"/>
      <c r="Q24" s="39"/>
      <c r="R24" s="39"/>
    </row>
    <row r="25" spans="1:21" s="42" customFormat="1" ht="45">
      <c r="B25" s="84"/>
      <c r="C25" s="2000" t="s">
        <v>133</v>
      </c>
      <c r="D25" s="684" t="s">
        <v>116</v>
      </c>
      <c r="E25" s="1144" t="s">
        <v>115</v>
      </c>
      <c r="F25" s="2009" t="s">
        <v>114</v>
      </c>
      <c r="G25" s="2009" t="s">
        <v>113</v>
      </c>
      <c r="H25" s="2009" t="s">
        <v>112</v>
      </c>
      <c r="I25" s="2003"/>
      <c r="J25" s="526"/>
      <c r="K25" s="564" t="s">
        <v>634</v>
      </c>
      <c r="L25" s="2009" t="s">
        <v>110</v>
      </c>
      <c r="M25" s="83"/>
      <c r="N25" s="39"/>
      <c r="O25" s="39"/>
      <c r="P25" s="39"/>
      <c r="Q25" s="39"/>
      <c r="R25" s="39"/>
    </row>
    <row r="26" spans="1:21" s="42" customFormat="1" ht="15">
      <c r="B26" s="84"/>
      <c r="C26" s="565" t="s">
        <v>538</v>
      </c>
      <c r="D26" s="566" t="s">
        <v>0</v>
      </c>
      <c r="E26" s="573">
        <v>5</v>
      </c>
      <c r="F26" s="774">
        <f>IF(D26&lt;&gt;"",VLOOKUP(D26,staff_costs!$A$3:$H$22,6,0),"")</f>
        <v>55431.72</v>
      </c>
      <c r="G26" s="568">
        <v>0</v>
      </c>
      <c r="H26" s="568">
        <v>0.35</v>
      </c>
      <c r="I26" s="2003"/>
      <c r="J26" s="526"/>
      <c r="K26" s="182" t="str">
        <f t="shared" ref="K26:K33" si="0">IF(C26&gt;"",C26,"")</f>
        <v>Clinical nurse specialist</v>
      </c>
      <c r="L26" s="1133">
        <f t="shared" ref="L26:L33" si="1">IF($D26="","",E26*F26+(E26*G26*(F26*H26)))</f>
        <v>277158.59999999998</v>
      </c>
      <c r="M26" s="83"/>
      <c r="N26" s="39"/>
      <c r="O26" s="39"/>
      <c r="P26" s="39"/>
      <c r="Q26" s="39"/>
      <c r="R26" s="39"/>
    </row>
    <row r="27" spans="1:21" s="42" customFormat="1" ht="15">
      <c r="B27" s="84"/>
      <c r="C27" s="565" t="s">
        <v>235</v>
      </c>
      <c r="D27" s="566">
        <v>7</v>
      </c>
      <c r="E27" s="573">
        <v>5</v>
      </c>
      <c r="F27" s="774">
        <f>IF(D27&lt;&gt;"",VLOOKUP(D27,staff_costs!$A$3:$H$22,6,0),"")</f>
        <v>44950</v>
      </c>
      <c r="G27" s="568">
        <v>0</v>
      </c>
      <c r="H27" s="568">
        <v>0.35</v>
      </c>
      <c r="I27" s="2003"/>
      <c r="J27" s="526"/>
      <c r="K27" s="182" t="str">
        <f t="shared" si="0"/>
        <v>Advanced nurse practitioner</v>
      </c>
      <c r="L27" s="1133">
        <f t="shared" si="1"/>
        <v>224750</v>
      </c>
      <c r="M27" s="83"/>
      <c r="N27" s="39"/>
      <c r="O27" s="39"/>
      <c r="P27" s="39"/>
      <c r="Q27" s="39"/>
      <c r="R27" s="39"/>
    </row>
    <row r="28" spans="1:21" s="42" customFormat="1" ht="15">
      <c r="B28" s="84"/>
      <c r="C28" s="565" t="s">
        <v>234</v>
      </c>
      <c r="D28" s="566">
        <v>6</v>
      </c>
      <c r="E28" s="573">
        <v>2</v>
      </c>
      <c r="F28" s="774">
        <f>IF(D28&lt;&gt;"",VLOOKUP(D28,staff_costs!$A$3:$H$22,6,0),"")</f>
        <v>37642.68</v>
      </c>
      <c r="G28" s="568">
        <v>0</v>
      </c>
      <c r="H28" s="568">
        <v>0.36</v>
      </c>
      <c r="I28" s="2003"/>
      <c r="J28" s="526"/>
      <c r="K28" s="182" t="str">
        <f t="shared" si="0"/>
        <v>Social services practitioner</v>
      </c>
      <c r="L28" s="1133">
        <f t="shared" si="1"/>
        <v>75285.36</v>
      </c>
      <c r="M28" s="83"/>
      <c r="N28" s="39"/>
      <c r="O28" s="39"/>
      <c r="P28" s="39"/>
      <c r="Q28" s="39"/>
      <c r="R28" s="39"/>
    </row>
    <row r="29" spans="1:21" s="42" customFormat="1" ht="15">
      <c r="B29" s="84"/>
      <c r="C29" s="565"/>
      <c r="D29" s="566"/>
      <c r="E29" s="573"/>
      <c r="F29" s="774" t="str">
        <f>IF(D29&lt;&gt;"",VLOOKUP(D29,staff_costs!$A$3:$H$22,6,0),"")</f>
        <v/>
      </c>
      <c r="G29" s="568"/>
      <c r="H29" s="568"/>
      <c r="I29" s="2003"/>
      <c r="J29" s="526"/>
      <c r="K29" s="182" t="str">
        <f t="shared" si="0"/>
        <v/>
      </c>
      <c r="L29" s="1133" t="str">
        <f t="shared" si="1"/>
        <v/>
      </c>
      <c r="M29" s="83"/>
      <c r="N29" s="39"/>
      <c r="O29" s="39"/>
      <c r="P29" s="39"/>
      <c r="Q29" s="39"/>
      <c r="R29" s="39"/>
    </row>
    <row r="30" spans="1:21" s="42" customFormat="1" ht="15">
      <c r="B30" s="84"/>
      <c r="C30" s="565"/>
      <c r="D30" s="566"/>
      <c r="E30" s="573"/>
      <c r="F30" s="774" t="str">
        <f>IF(D30&lt;&gt;"",VLOOKUP(D30,staff_costs!$A$3:$H$22,6,0),"")</f>
        <v/>
      </c>
      <c r="G30" s="568"/>
      <c r="H30" s="568"/>
      <c r="I30" s="2003"/>
      <c r="J30" s="526"/>
      <c r="K30" s="182" t="str">
        <f t="shared" si="0"/>
        <v/>
      </c>
      <c r="L30" s="1133" t="str">
        <f t="shared" si="1"/>
        <v/>
      </c>
      <c r="M30" s="83"/>
      <c r="N30" s="39"/>
      <c r="O30" s="39"/>
      <c r="P30" s="39"/>
      <c r="Q30" s="39"/>
      <c r="R30" s="39"/>
    </row>
    <row r="31" spans="1:21" s="42" customFormat="1" ht="15">
      <c r="B31" s="84"/>
      <c r="C31" s="565"/>
      <c r="D31" s="566"/>
      <c r="E31" s="573"/>
      <c r="F31" s="774" t="str">
        <f>IF(D31&lt;&gt;"",VLOOKUP(D31,staff_costs!$A$3:$H$22,6,0),"")</f>
        <v/>
      </c>
      <c r="G31" s="568"/>
      <c r="H31" s="568"/>
      <c r="I31" s="2003"/>
      <c r="J31" s="526"/>
      <c r="K31" s="182" t="str">
        <f t="shared" si="0"/>
        <v/>
      </c>
      <c r="L31" s="1133" t="str">
        <f t="shared" si="1"/>
        <v/>
      </c>
      <c r="M31" s="83"/>
      <c r="N31" s="39"/>
      <c r="O31" s="39"/>
      <c r="P31" s="39"/>
      <c r="Q31" s="39"/>
      <c r="R31" s="39"/>
    </row>
    <row r="32" spans="1:21" s="42" customFormat="1" ht="15">
      <c r="B32" s="84"/>
      <c r="C32" s="565"/>
      <c r="D32" s="566"/>
      <c r="E32" s="573"/>
      <c r="F32" s="774" t="str">
        <f>IF(D32&lt;&gt;"",VLOOKUP(D32,staff_costs!$A$3:$H$22,6,0),"")</f>
        <v/>
      </c>
      <c r="G32" s="568"/>
      <c r="H32" s="568"/>
      <c r="I32" s="2003"/>
      <c r="J32" s="526"/>
      <c r="K32" s="182" t="str">
        <f t="shared" si="0"/>
        <v/>
      </c>
      <c r="L32" s="1133" t="str">
        <f t="shared" si="1"/>
        <v/>
      </c>
      <c r="M32" s="83"/>
      <c r="N32" s="39"/>
      <c r="O32" s="39"/>
      <c r="P32" s="39"/>
      <c r="Q32" s="39"/>
      <c r="R32" s="39"/>
    </row>
    <row r="33" spans="1:24" s="42" customFormat="1" ht="15">
      <c r="B33" s="84"/>
      <c r="C33" s="565"/>
      <c r="D33" s="566"/>
      <c r="E33" s="573"/>
      <c r="F33" s="774" t="str">
        <f>IF(D33&lt;&gt;"",VLOOKUP(D33,staff_costs!$A$3:$H$22,6,0),"")</f>
        <v/>
      </c>
      <c r="G33" s="568"/>
      <c r="H33" s="568"/>
      <c r="I33" s="2003"/>
      <c r="J33" s="526"/>
      <c r="K33" s="182" t="str">
        <f t="shared" si="0"/>
        <v/>
      </c>
      <c r="L33" s="1133" t="str">
        <f t="shared" si="1"/>
        <v/>
      </c>
      <c r="M33" s="83"/>
      <c r="N33" s="39"/>
      <c r="O33" s="39"/>
      <c r="P33" s="39"/>
      <c r="Q33" s="39"/>
      <c r="R33" s="39"/>
    </row>
    <row r="34" spans="1:24" s="42" customFormat="1" ht="15">
      <c r="B34" s="84"/>
      <c r="C34" s="2000" t="s">
        <v>109</v>
      </c>
      <c r="D34" s="780"/>
      <c r="E34" s="595">
        <f>SUM(E26:E33)</f>
        <v>12</v>
      </c>
      <c r="F34" s="526"/>
      <c r="G34" s="40"/>
      <c r="H34" s="526"/>
      <c r="I34" s="2003"/>
      <c r="J34" s="526"/>
      <c r="K34" s="1680" t="s">
        <v>184</v>
      </c>
      <c r="L34" s="1133">
        <f>SUM(L26:L33)</f>
        <v>577193.96</v>
      </c>
      <c r="M34" s="83"/>
      <c r="N34" s="39"/>
      <c r="O34" s="39"/>
      <c r="P34" s="39"/>
      <c r="Q34" s="39"/>
      <c r="R34" s="39"/>
    </row>
    <row r="35" spans="1:24" s="42" customFormat="1">
      <c r="B35" s="84"/>
      <c r="C35" s="40"/>
      <c r="D35" s="40"/>
      <c r="E35" s="40"/>
      <c r="F35" s="40"/>
      <c r="G35" s="2008"/>
      <c r="H35" s="40"/>
      <c r="I35" s="40"/>
      <c r="J35" s="40"/>
      <c r="K35" s="575"/>
      <c r="L35" s="575"/>
      <c r="M35" s="83"/>
      <c r="N35" s="39"/>
      <c r="O35" s="39"/>
      <c r="P35" s="39"/>
      <c r="Q35" s="39"/>
      <c r="R35" s="39"/>
      <c r="S35" s="39"/>
      <c r="T35" s="39"/>
      <c r="U35" s="39"/>
    </row>
    <row r="36" spans="1:24" s="42" customFormat="1" ht="30">
      <c r="B36" s="84"/>
      <c r="C36" s="684" t="s">
        <v>233</v>
      </c>
      <c r="D36" s="684" t="s">
        <v>132</v>
      </c>
      <c r="E36" s="2009" t="s">
        <v>131</v>
      </c>
      <c r="F36" s="2003"/>
      <c r="G36" s="2003"/>
      <c r="H36" s="40"/>
      <c r="I36" s="40"/>
      <c r="J36" s="40"/>
      <c r="K36" s="981" t="s">
        <v>130</v>
      </c>
      <c r="L36" s="564" t="s">
        <v>110</v>
      </c>
      <c r="M36" s="83"/>
      <c r="N36" s="39"/>
      <c r="O36" s="39"/>
      <c r="P36" s="39"/>
      <c r="Q36" s="39"/>
      <c r="R36" s="39"/>
    </row>
    <row r="37" spans="1:24" s="42" customFormat="1" ht="15">
      <c r="B37" s="84"/>
      <c r="C37" s="565" t="s">
        <v>232</v>
      </c>
      <c r="D37" s="573">
        <v>6</v>
      </c>
      <c r="E37" s="1208">
        <v>1000</v>
      </c>
      <c r="F37" s="2003"/>
      <c r="G37" s="2003"/>
      <c r="H37" s="40"/>
      <c r="I37" s="40"/>
      <c r="J37" s="526"/>
      <c r="K37" s="1680" t="str">
        <f>IF(C37&gt;"",C37,"")</f>
        <v>Nurse training</v>
      </c>
      <c r="L37" s="1133">
        <f>E37*D37</f>
        <v>6000</v>
      </c>
      <c r="M37" s="83"/>
      <c r="N37" s="39"/>
      <c r="O37" s="39"/>
      <c r="P37" s="39"/>
      <c r="Q37" s="39"/>
      <c r="R37" s="39"/>
    </row>
    <row r="38" spans="1:24" s="42" customFormat="1" ht="15">
      <c r="B38" s="84"/>
      <c r="C38" s="565"/>
      <c r="D38" s="573"/>
      <c r="E38" s="571"/>
      <c r="F38" s="2003"/>
      <c r="G38" s="2003"/>
      <c r="H38" s="40"/>
      <c r="I38" s="40"/>
      <c r="J38" s="526"/>
      <c r="K38" s="1680" t="str">
        <f>IF(C38&gt;"",C38,"")</f>
        <v/>
      </c>
      <c r="L38" s="1133">
        <f>E38*D38</f>
        <v>0</v>
      </c>
      <c r="M38" s="83"/>
      <c r="N38" s="39"/>
      <c r="O38" s="39"/>
      <c r="P38" s="39"/>
      <c r="Q38" s="39"/>
      <c r="R38" s="39"/>
    </row>
    <row r="39" spans="1:24" s="42" customFormat="1" ht="15">
      <c r="B39" s="84"/>
      <c r="C39" s="565"/>
      <c r="D39" s="573"/>
      <c r="E39" s="571"/>
      <c r="F39" s="2003"/>
      <c r="G39" s="2003"/>
      <c r="H39" s="40"/>
      <c r="I39" s="40"/>
      <c r="J39" s="526"/>
      <c r="K39" s="1680" t="str">
        <f>IF(C39&gt;"",C39,"")</f>
        <v/>
      </c>
      <c r="L39" s="1133">
        <f>E39*D39</f>
        <v>0</v>
      </c>
      <c r="M39" s="83"/>
      <c r="N39" s="39"/>
      <c r="O39" s="39"/>
      <c r="P39" s="39"/>
      <c r="Q39" s="39"/>
      <c r="R39" s="39"/>
    </row>
    <row r="40" spans="1:24" s="42" customFormat="1" ht="15">
      <c r="B40" s="84"/>
      <c r="C40" s="40"/>
      <c r="D40" s="40"/>
      <c r="E40" s="40"/>
      <c r="F40" s="40"/>
      <c r="G40" s="40"/>
      <c r="H40" s="40"/>
      <c r="I40" s="40"/>
      <c r="J40" s="526"/>
      <c r="K40" s="1680" t="s">
        <v>127</v>
      </c>
      <c r="L40" s="1133">
        <f>SUM(L37:L39)</f>
        <v>6000</v>
      </c>
      <c r="M40" s="83"/>
      <c r="N40" s="39"/>
      <c r="O40" s="39"/>
      <c r="P40" s="39"/>
      <c r="Q40" s="39"/>
      <c r="R40" s="39"/>
    </row>
    <row r="41" spans="1:24" s="42" customFormat="1" ht="15">
      <c r="B41" s="84"/>
      <c r="C41" s="40"/>
      <c r="D41" s="40"/>
      <c r="E41" s="40"/>
      <c r="F41" s="2008"/>
      <c r="G41" s="40"/>
      <c r="H41" s="40"/>
      <c r="I41" s="40"/>
      <c r="J41" s="40"/>
      <c r="K41" s="625"/>
      <c r="L41" s="575"/>
      <c r="M41" s="83"/>
      <c r="N41" s="39"/>
      <c r="O41" s="39"/>
      <c r="P41" s="39"/>
      <c r="Q41" s="39"/>
      <c r="R41" s="39"/>
    </row>
    <row r="42" spans="1:24" s="42" customFormat="1" ht="15">
      <c r="B42" s="84"/>
      <c r="C42" s="2003"/>
      <c r="D42" s="2003"/>
      <c r="E42" s="2003"/>
      <c r="F42" s="2003"/>
      <c r="G42" s="2003"/>
      <c r="H42" s="40"/>
      <c r="I42" s="40"/>
      <c r="J42" s="40"/>
      <c r="K42" s="1680" t="s">
        <v>25</v>
      </c>
      <c r="L42" s="1133">
        <f>L40+L34</f>
        <v>583193.96</v>
      </c>
      <c r="M42" s="83"/>
      <c r="N42" s="39"/>
      <c r="O42" s="39"/>
      <c r="P42" s="74"/>
      <c r="Q42" s="39"/>
      <c r="R42" s="39"/>
    </row>
    <row r="43" spans="1:24" s="42" customFormat="1">
      <c r="B43" s="84"/>
      <c r="C43" s="2003"/>
      <c r="D43" s="2003"/>
      <c r="E43" s="2003"/>
      <c r="F43" s="2003"/>
      <c r="G43" s="2008"/>
      <c r="H43" s="40"/>
      <c r="I43" s="40"/>
      <c r="J43" s="40"/>
      <c r="K43" s="575"/>
      <c r="L43" s="575"/>
      <c r="M43" s="83"/>
      <c r="N43" s="39"/>
      <c r="O43" s="39"/>
      <c r="P43" s="39"/>
      <c r="Q43" s="39"/>
      <c r="R43" s="39"/>
      <c r="S43" s="39"/>
      <c r="T43" s="39"/>
      <c r="U43" s="39"/>
    </row>
    <row r="44" spans="1:24" s="42" customFormat="1">
      <c r="B44" s="84"/>
      <c r="C44" s="2003"/>
      <c r="D44" s="2003"/>
      <c r="E44" s="2003"/>
      <c r="F44" s="2003"/>
      <c r="G44" s="2008"/>
      <c r="H44" s="40"/>
      <c r="I44" s="40"/>
      <c r="J44" s="40"/>
      <c r="K44" s="609"/>
      <c r="L44" s="575"/>
      <c r="M44" s="83"/>
      <c r="N44" s="39"/>
      <c r="O44" s="39"/>
      <c r="P44" s="39"/>
      <c r="Q44" s="39"/>
      <c r="R44" s="39"/>
      <c r="S44" s="39"/>
      <c r="T44" s="39"/>
      <c r="U44" s="39"/>
    </row>
    <row r="45" spans="1:24" s="42" customFormat="1" ht="15">
      <c r="B45" s="84"/>
      <c r="C45" s="2421" t="s">
        <v>1310</v>
      </c>
      <c r="D45" s="2377"/>
      <c r="E45" s="570">
        <v>240</v>
      </c>
      <c r="F45" s="2003"/>
      <c r="G45" s="2008"/>
      <c r="H45" s="40"/>
      <c r="I45" s="2003"/>
      <c r="J45" s="2003"/>
      <c r="K45" s="2005" t="s">
        <v>231</v>
      </c>
      <c r="L45" s="1337">
        <f>E46*E45</f>
        <v>1200</v>
      </c>
      <c r="M45" s="83"/>
      <c r="N45" s="39"/>
      <c r="O45" s="39"/>
      <c r="P45" s="39"/>
      <c r="Q45" s="39"/>
      <c r="R45" s="39"/>
      <c r="S45" s="39"/>
      <c r="T45" s="39"/>
      <c r="U45" s="39"/>
    </row>
    <row r="46" spans="1:24" s="73" customFormat="1" ht="15">
      <c r="A46" s="42"/>
      <c r="B46" s="84"/>
      <c r="C46" s="2421" t="s">
        <v>1311</v>
      </c>
      <c r="D46" s="2377"/>
      <c r="E46" s="573">
        <v>5</v>
      </c>
      <c r="F46" s="2422" t="s">
        <v>1224</v>
      </c>
      <c r="G46" s="2423"/>
      <c r="H46" s="40"/>
      <c r="I46" s="2003"/>
      <c r="J46" s="2003"/>
      <c r="K46" s="2005" t="s">
        <v>1007</v>
      </c>
      <c r="L46" s="1152">
        <f>L42/L45</f>
        <v>485.99496666666664</v>
      </c>
      <c r="M46" s="83"/>
      <c r="N46" s="40"/>
      <c r="O46" s="40"/>
      <c r="P46" s="40"/>
      <c r="Q46" s="40"/>
      <c r="R46" s="40"/>
      <c r="S46" s="40"/>
      <c r="T46" s="40"/>
      <c r="U46" s="24"/>
      <c r="V46" s="19"/>
      <c r="W46" s="19"/>
      <c r="X46" s="19"/>
    </row>
    <row r="47" spans="1:24" s="42" customFormat="1" ht="15">
      <c r="B47" s="84"/>
      <c r="C47" s="40"/>
      <c r="D47" s="40"/>
      <c r="E47" s="40"/>
      <c r="F47" s="40"/>
      <c r="G47" s="40"/>
      <c r="H47" s="40"/>
      <c r="I47" s="40"/>
      <c r="J47" s="40"/>
      <c r="K47" s="40"/>
      <c r="L47" s="183"/>
      <c r="M47" s="1430"/>
      <c r="N47" s="39"/>
      <c r="O47" s="39"/>
      <c r="P47" s="39"/>
      <c r="Q47" s="39">
        <v>12</v>
      </c>
      <c r="R47" s="39"/>
      <c r="S47" s="39"/>
      <c r="T47" s="39"/>
      <c r="U47" s="2"/>
      <c r="V47" s="3"/>
      <c r="W47" s="3"/>
      <c r="X47" s="3"/>
    </row>
    <row r="48" spans="1:24" s="42" customFormat="1" ht="15">
      <c r="B48" s="2343" t="s">
        <v>102</v>
      </c>
      <c r="C48" s="2344"/>
      <c r="D48" s="2344"/>
      <c r="E48" s="2344"/>
      <c r="F48" s="2344"/>
      <c r="G48" s="2344"/>
      <c r="H48" s="2344"/>
      <c r="I48" s="2344"/>
      <c r="J48" s="2344"/>
      <c r="K48" s="2344"/>
      <c r="L48" s="2344"/>
      <c r="M48" s="2420"/>
      <c r="N48" s="39"/>
      <c r="O48" s="39"/>
      <c r="P48" s="39"/>
      <c r="Q48" s="39"/>
      <c r="R48" s="39"/>
      <c r="S48" s="39"/>
      <c r="T48" s="39"/>
    </row>
    <row r="49" spans="2:24" s="42" customFormat="1" ht="15">
      <c r="B49" s="482"/>
      <c r="C49" s="496"/>
      <c r="D49" s="496"/>
      <c r="E49" s="496"/>
      <c r="F49" s="496"/>
      <c r="G49" s="496"/>
      <c r="H49" s="496"/>
      <c r="I49" s="496"/>
      <c r="J49" s="496"/>
      <c r="K49" s="496"/>
      <c r="L49" s="496"/>
      <c r="M49" s="2028"/>
      <c r="N49" s="39"/>
      <c r="O49" s="39"/>
      <c r="P49" s="39"/>
      <c r="Q49" s="39"/>
      <c r="R49" s="39"/>
      <c r="S49" s="39"/>
      <c r="T49" s="39"/>
    </row>
    <row r="50" spans="2:24" s="42" customFormat="1" ht="15" customHeight="1">
      <c r="B50" s="84"/>
      <c r="C50" s="2386"/>
      <c r="D50" s="2386"/>
      <c r="E50" s="2386"/>
      <c r="F50" s="2386"/>
      <c r="G50" s="2386"/>
      <c r="H50" s="2008"/>
      <c r="I50" s="2003"/>
      <c r="J50" s="560"/>
      <c r="K50" s="2029"/>
      <c r="L50" s="2029"/>
      <c r="M50" s="1375"/>
      <c r="N50" s="39"/>
      <c r="O50" s="39"/>
      <c r="P50" s="39"/>
      <c r="Q50" s="39"/>
      <c r="R50" s="39"/>
      <c r="S50" s="2"/>
      <c r="T50" s="2"/>
      <c r="U50" s="2"/>
      <c r="V50" s="3"/>
      <c r="W50" s="3"/>
      <c r="X50" s="3"/>
    </row>
    <row r="51" spans="2:24" s="42" customFormat="1" ht="45">
      <c r="B51" s="84"/>
      <c r="C51" s="2000" t="s">
        <v>1008</v>
      </c>
      <c r="D51" s="2009" t="s">
        <v>101</v>
      </c>
      <c r="E51" s="2009" t="s">
        <v>100</v>
      </c>
      <c r="F51" s="2009" t="s">
        <v>199</v>
      </c>
      <c r="G51" s="2003"/>
      <c r="H51" s="2008"/>
      <c r="I51" s="2003"/>
      <c r="J51" s="2003"/>
      <c r="K51" s="2000" t="s">
        <v>1009</v>
      </c>
      <c r="L51" s="2009" t="s">
        <v>229</v>
      </c>
      <c r="M51" s="1134" t="s">
        <v>148</v>
      </c>
      <c r="N51" s="560"/>
      <c r="O51" s="40"/>
      <c r="P51" s="39"/>
      <c r="Q51" s="39"/>
      <c r="R51" s="2"/>
      <c r="S51" s="2"/>
      <c r="T51" s="2"/>
      <c r="U51" s="3"/>
      <c r="V51" s="3"/>
      <c r="W51" s="3"/>
    </row>
    <row r="52" spans="2:24" s="42" customFormat="1" ht="15">
      <c r="B52" s="84"/>
      <c r="C52" s="597" t="s">
        <v>69</v>
      </c>
      <c r="D52" s="642">
        <v>1.07</v>
      </c>
      <c r="E52" s="642">
        <v>7.7</v>
      </c>
      <c r="F52" s="566">
        <v>1.875</v>
      </c>
      <c r="G52" s="2003"/>
      <c r="H52" s="2008"/>
      <c r="I52" s="2003"/>
      <c r="J52" s="2003"/>
      <c r="K52" s="1680" t="str">
        <f>C52</f>
        <v>Emergency bed days</v>
      </c>
      <c r="L52" s="1337">
        <f>F52*L$45</f>
        <v>2250</v>
      </c>
      <c r="M52" s="1338">
        <f>INT(L52/E73)*E73</f>
        <v>2190</v>
      </c>
      <c r="N52" s="575"/>
      <c r="O52" s="40"/>
      <c r="P52" s="39"/>
      <c r="Q52" s="39"/>
      <c r="R52" s="2"/>
      <c r="S52" s="2"/>
      <c r="T52" s="2"/>
      <c r="U52" s="3"/>
      <c r="V52" s="3"/>
      <c r="W52" s="3"/>
    </row>
    <row r="53" spans="2:24" s="42" customFormat="1" ht="15">
      <c r="B53" s="84"/>
      <c r="C53" s="597" t="s">
        <v>43</v>
      </c>
      <c r="D53" s="642">
        <v>0.1</v>
      </c>
      <c r="E53" s="642">
        <v>0.3</v>
      </c>
      <c r="F53" s="1484">
        <f>F54</f>
        <v>0.125</v>
      </c>
      <c r="G53" s="2003"/>
      <c r="H53" s="2008"/>
      <c r="I53" s="2003"/>
      <c r="J53" s="2003"/>
      <c r="K53" s="1680" t="str">
        <f>C53</f>
        <v>ED attends</v>
      </c>
      <c r="L53" s="1337">
        <f>F53*L$45</f>
        <v>150</v>
      </c>
      <c r="M53" s="631">
        <f>INT(L53/E74)*E74</f>
        <v>0</v>
      </c>
      <c r="N53" s="575"/>
      <c r="O53" s="40"/>
      <c r="P53" s="39"/>
      <c r="Q53" s="39"/>
      <c r="R53" s="2"/>
      <c r="S53" s="2"/>
      <c r="T53" s="2"/>
      <c r="U53" s="3"/>
      <c r="V53" s="3"/>
      <c r="W53" s="3"/>
    </row>
    <row r="54" spans="2:24" s="42" customFormat="1" ht="15">
      <c r="B54" s="84"/>
      <c r="C54" s="597" t="s">
        <v>46</v>
      </c>
      <c r="D54" s="642">
        <v>0.1</v>
      </c>
      <c r="E54" s="642">
        <v>0.3</v>
      </c>
      <c r="F54" s="566">
        <v>0.125</v>
      </c>
      <c r="G54" s="2003"/>
      <c r="H54" s="2008"/>
      <c r="I54" s="2003"/>
      <c r="J54" s="2003"/>
      <c r="K54" s="1680" t="str">
        <f>C54</f>
        <v>Ambulance - see and convey to ED</v>
      </c>
      <c r="L54" s="1337">
        <f>F54*L$45</f>
        <v>150</v>
      </c>
      <c r="M54" s="631">
        <f>INT(L54/E75)*E75</f>
        <v>0</v>
      </c>
      <c r="N54" s="575"/>
      <c r="O54" s="40"/>
      <c r="P54" s="39"/>
      <c r="Q54" s="39"/>
      <c r="R54" s="2"/>
      <c r="S54" s="2"/>
      <c r="T54" s="2"/>
      <c r="U54" s="3"/>
      <c r="V54" s="3"/>
      <c r="W54" s="3"/>
    </row>
    <row r="55" spans="2:24" s="42" customFormat="1" ht="15">
      <c r="B55" s="84"/>
      <c r="C55" s="40"/>
      <c r="D55" s="40"/>
      <c r="E55" s="40"/>
      <c r="F55" s="40"/>
      <c r="G55" s="2008"/>
      <c r="H55" s="40"/>
      <c r="I55" s="2003"/>
      <c r="J55" s="2003"/>
      <c r="K55" s="609"/>
      <c r="L55" s="575"/>
      <c r="M55" s="1153"/>
      <c r="N55" s="575"/>
      <c r="O55" s="40"/>
      <c r="P55" s="39"/>
      <c r="Q55" s="39"/>
      <c r="R55" s="2"/>
      <c r="S55" s="2"/>
      <c r="T55" s="2"/>
      <c r="U55" s="3"/>
      <c r="V55" s="3"/>
      <c r="W55" s="3"/>
    </row>
    <row r="56" spans="2:24" s="42" customFormat="1" ht="15" customHeight="1">
      <c r="B56" s="84"/>
      <c r="C56" s="40"/>
      <c r="D56" s="40"/>
      <c r="E56" s="40"/>
      <c r="F56" s="40"/>
      <c r="G56" s="2008"/>
      <c r="H56" s="40"/>
      <c r="I56" s="2003"/>
      <c r="J56" s="2003"/>
      <c r="K56" s="2029"/>
      <c r="L56" s="2029"/>
      <c r="M56" s="1375"/>
      <c r="N56" s="575"/>
      <c r="O56" s="40"/>
      <c r="P56" s="39"/>
      <c r="Q56" s="39"/>
      <c r="R56" s="2"/>
      <c r="S56" s="2"/>
      <c r="T56" s="2"/>
      <c r="U56" s="3"/>
      <c r="V56" s="3"/>
      <c r="W56" s="3"/>
    </row>
    <row r="57" spans="2:24" s="42" customFormat="1" ht="45" customHeight="1">
      <c r="B57" s="84"/>
      <c r="C57" s="2000" t="s">
        <v>230</v>
      </c>
      <c r="D57" s="2009" t="s">
        <v>101</v>
      </c>
      <c r="E57" s="2009" t="s">
        <v>100</v>
      </c>
      <c r="F57" s="2009" t="s">
        <v>199</v>
      </c>
      <c r="G57" s="2003"/>
      <c r="H57" s="2008"/>
      <c r="I57" s="2003"/>
      <c r="J57" s="2003"/>
      <c r="K57" s="2000" t="s">
        <v>1015</v>
      </c>
      <c r="L57" s="2009" t="s">
        <v>229</v>
      </c>
      <c r="M57" s="1134" t="s">
        <v>148</v>
      </c>
      <c r="N57" s="1074"/>
      <c r="O57" s="40"/>
      <c r="P57" s="39"/>
      <c r="Q57" s="39"/>
      <c r="R57" s="2"/>
      <c r="S57" s="2"/>
      <c r="T57" s="2"/>
      <c r="U57" s="3"/>
      <c r="V57" s="3"/>
      <c r="W57" s="3"/>
    </row>
    <row r="58" spans="2:24" s="42" customFormat="1" ht="15">
      <c r="B58" s="84"/>
      <c r="C58" s="982" t="s">
        <v>228</v>
      </c>
      <c r="D58" s="980">
        <v>0</v>
      </c>
      <c r="E58" s="980">
        <v>5</v>
      </c>
      <c r="F58" s="939">
        <v>1</v>
      </c>
      <c r="G58" s="2003"/>
      <c r="H58" s="2008"/>
      <c r="I58" s="2003"/>
      <c r="J58" s="2003"/>
      <c r="K58" s="1680" t="str">
        <f>C58</f>
        <v>Additional GP attends</v>
      </c>
      <c r="L58" s="598">
        <f>F58*L$45</f>
        <v>1200</v>
      </c>
      <c r="M58" s="631">
        <f>INT(L58/E76)*E76</f>
        <v>1200</v>
      </c>
      <c r="N58" s="575"/>
      <c r="O58" s="40"/>
      <c r="P58" s="39"/>
      <c r="Q58" s="39"/>
      <c r="R58" s="2"/>
      <c r="S58" s="2"/>
      <c r="T58" s="2"/>
      <c r="U58" s="3"/>
      <c r="V58" s="3"/>
      <c r="W58" s="3"/>
    </row>
    <row r="59" spans="2:24" s="42" customFormat="1" ht="15">
      <c r="B59" s="84"/>
      <c r="C59" s="597" t="s">
        <v>222</v>
      </c>
      <c r="D59" s="642">
        <v>0</v>
      </c>
      <c r="E59" s="642">
        <v>5</v>
      </c>
      <c r="F59" s="587">
        <v>0.1</v>
      </c>
      <c r="G59" s="2003"/>
      <c r="H59" s="2008"/>
      <c r="I59" s="2003"/>
      <c r="J59" s="2003"/>
      <c r="K59" s="1680" t="str">
        <f>C59</f>
        <v>Additional community contacts</v>
      </c>
      <c r="L59" s="598">
        <f>F59*L$45</f>
        <v>120</v>
      </c>
      <c r="M59" s="631">
        <f>INT(L59/E77)*E77</f>
        <v>0</v>
      </c>
      <c r="N59" s="575"/>
      <c r="O59" s="40"/>
      <c r="P59" s="39"/>
      <c r="Q59" s="39"/>
      <c r="R59" s="2"/>
      <c r="S59" s="2"/>
      <c r="T59" s="2"/>
      <c r="U59" s="3"/>
      <c r="V59" s="3"/>
      <c r="W59" s="3"/>
    </row>
    <row r="60" spans="2:24" s="42" customFormat="1" ht="15">
      <c r="B60" s="84"/>
      <c r="C60" s="597" t="s">
        <v>221</v>
      </c>
      <c r="D60" s="642">
        <v>0</v>
      </c>
      <c r="E60" s="642">
        <v>5</v>
      </c>
      <c r="F60" s="587">
        <v>0.05</v>
      </c>
      <c r="G60" s="2003"/>
      <c r="H60" s="2008"/>
      <c r="I60" s="2003"/>
      <c r="J60" s="2003"/>
      <c r="K60" s="1680" t="str">
        <f>C60</f>
        <v>Additional social care contacts</v>
      </c>
      <c r="L60" s="598">
        <f>F60*L$45</f>
        <v>60</v>
      </c>
      <c r="M60" s="631">
        <f>INT(L60/E78)*E78</f>
        <v>0</v>
      </c>
      <c r="N60" s="575"/>
      <c r="O60" s="40"/>
      <c r="P60" s="39"/>
      <c r="Q60" s="39"/>
      <c r="R60" s="2"/>
      <c r="S60" s="2"/>
      <c r="T60" s="2"/>
      <c r="U60" s="3"/>
      <c r="V60" s="3"/>
      <c r="W60" s="3"/>
    </row>
    <row r="61" spans="2:24" s="42" customFormat="1" ht="15">
      <c r="B61" s="84"/>
      <c r="C61" s="2333"/>
      <c r="D61" s="2333"/>
      <c r="E61" s="2333"/>
      <c r="F61" s="2333"/>
      <c r="G61" s="2008"/>
      <c r="H61" s="40"/>
      <c r="I61" s="2003"/>
      <c r="J61" s="2003"/>
      <c r="K61" s="2006"/>
      <c r="L61" s="625"/>
      <c r="M61" s="1155"/>
      <c r="N61" s="596"/>
      <c r="O61" s="40"/>
      <c r="P61" s="39"/>
      <c r="Q61" s="39"/>
      <c r="R61" s="2"/>
      <c r="S61" s="2"/>
      <c r="T61" s="2"/>
      <c r="U61" s="3"/>
      <c r="V61" s="3"/>
      <c r="W61" s="3"/>
    </row>
    <row r="62" spans="2:24" s="42" customFormat="1" ht="30">
      <c r="B62" s="84"/>
      <c r="C62" s="2000" t="s">
        <v>227</v>
      </c>
      <c r="D62" s="2009" t="s">
        <v>101</v>
      </c>
      <c r="E62" s="2009" t="s">
        <v>100</v>
      </c>
      <c r="F62" s="2009" t="s">
        <v>199</v>
      </c>
      <c r="G62" s="2008"/>
      <c r="H62" s="40"/>
      <c r="I62" s="2003"/>
      <c r="J62" s="1695"/>
      <c r="K62" s="1681" t="s">
        <v>1010</v>
      </c>
      <c r="L62" s="691" t="s">
        <v>659</v>
      </c>
      <c r="M62" s="1173" t="s">
        <v>120</v>
      </c>
      <c r="N62" s="596"/>
      <c r="O62" s="40"/>
      <c r="P62" s="39"/>
      <c r="Q62" s="39"/>
      <c r="R62" s="2"/>
      <c r="S62" s="2"/>
      <c r="T62" s="2"/>
      <c r="U62" s="3"/>
      <c r="V62" s="3"/>
      <c r="W62" s="3"/>
    </row>
    <row r="63" spans="2:24" s="42" customFormat="1" ht="15">
      <c r="B63" s="84"/>
      <c r="C63" s="597" t="s">
        <v>69</v>
      </c>
      <c r="D63" s="642">
        <f t="shared" ref="D63:F65" si="2">1/D52</f>
        <v>0.93457943925233644</v>
      </c>
      <c r="E63" s="642">
        <f t="shared" si="2"/>
        <v>0.12987012987012986</v>
      </c>
      <c r="F63" s="642">
        <f t="shared" si="2"/>
        <v>0.53333333333333333</v>
      </c>
      <c r="G63" s="2003"/>
      <c r="H63" s="2003"/>
      <c r="I63" s="2003"/>
      <c r="J63" s="1694"/>
      <c r="K63" s="2005" t="str">
        <f>K52</f>
        <v>Emergency bed days</v>
      </c>
      <c r="L63" s="1133">
        <f>L52*D73</f>
        <v>1060998.3611364297</v>
      </c>
      <c r="M63" s="1135">
        <f>(L52-M52)*F73+(M52*G73)</f>
        <v>171872.56618671451</v>
      </c>
      <c r="N63" s="596"/>
      <c r="O63" s="40"/>
      <c r="P63" s="39"/>
      <c r="Q63" s="39"/>
      <c r="R63" s="2"/>
      <c r="S63" s="2"/>
      <c r="T63" s="2"/>
      <c r="U63" s="3"/>
      <c r="V63" s="3"/>
      <c r="W63" s="3"/>
    </row>
    <row r="64" spans="2:24" s="42" customFormat="1" ht="15">
      <c r="B64" s="84"/>
      <c r="C64" s="597" t="s">
        <v>43</v>
      </c>
      <c r="D64" s="642">
        <f t="shared" si="2"/>
        <v>10</v>
      </c>
      <c r="E64" s="642">
        <f t="shared" si="2"/>
        <v>3.3333333333333335</v>
      </c>
      <c r="F64" s="642">
        <f t="shared" si="2"/>
        <v>8</v>
      </c>
      <c r="G64" s="2003"/>
      <c r="H64" s="40"/>
      <c r="I64" s="2003"/>
      <c r="J64" s="1694"/>
      <c r="K64" s="2005" t="str">
        <f>K53</f>
        <v>ED attends</v>
      </c>
      <c r="L64" s="1133">
        <f>L53*D74</f>
        <v>23129.240086105499</v>
      </c>
      <c r="M64" s="1135">
        <f>(L53-M53)*F74+(M53*G74)</f>
        <v>1951.6876977557965</v>
      </c>
      <c r="N64" s="596"/>
      <c r="O64" s="40"/>
      <c r="P64" s="39"/>
      <c r="Q64" s="39"/>
      <c r="R64" s="2"/>
      <c r="S64" s="2"/>
      <c r="T64" s="2"/>
      <c r="U64" s="3"/>
      <c r="V64" s="3"/>
      <c r="W64" s="3"/>
    </row>
    <row r="65" spans="1:24" s="42" customFormat="1" ht="15">
      <c r="B65" s="84"/>
      <c r="C65" s="597" t="s">
        <v>46</v>
      </c>
      <c r="D65" s="642">
        <f t="shared" si="2"/>
        <v>10</v>
      </c>
      <c r="E65" s="642">
        <f t="shared" si="2"/>
        <v>3.3333333333333335</v>
      </c>
      <c r="F65" s="642">
        <f t="shared" si="2"/>
        <v>8</v>
      </c>
      <c r="G65" s="2003"/>
      <c r="H65" s="40"/>
      <c r="I65" s="2003"/>
      <c r="J65" s="1694"/>
      <c r="K65" s="2005" t="str">
        <f>K54</f>
        <v>Ambulance - see and convey to ED</v>
      </c>
      <c r="L65" s="1133">
        <f>L54*D75</f>
        <v>34953.000103075588</v>
      </c>
      <c r="M65" s="1135">
        <f>(L54-M54)*F75+(M54*G75)</f>
        <v>3862.1549999999997</v>
      </c>
      <c r="N65" s="596"/>
      <c r="O65" s="40"/>
      <c r="P65" s="39"/>
      <c r="Q65" s="39"/>
      <c r="R65" s="2"/>
      <c r="S65" s="2"/>
      <c r="T65" s="2"/>
      <c r="U65" s="3"/>
      <c r="V65" s="3"/>
      <c r="W65" s="3"/>
    </row>
    <row r="66" spans="1:24" s="42" customFormat="1" ht="15">
      <c r="B66" s="84"/>
      <c r="C66" s="2003"/>
      <c r="D66" s="2003"/>
      <c r="E66" s="2003"/>
      <c r="F66" s="2003"/>
      <c r="G66" s="2003"/>
      <c r="H66" s="40"/>
      <c r="I66" s="2003"/>
      <c r="J66" s="1694"/>
      <c r="K66" s="2005" t="s">
        <v>32</v>
      </c>
      <c r="L66" s="1133">
        <f>-L58*D76</f>
        <v>-44400</v>
      </c>
      <c r="M66" s="1135">
        <f>-((L58-M58)*F76+(M58*G76))</f>
        <v>-4988.5259999496939</v>
      </c>
      <c r="N66" s="1074"/>
      <c r="O66" s="40"/>
      <c r="P66" s="39"/>
      <c r="Q66" s="39"/>
      <c r="R66" s="2"/>
      <c r="S66" s="2"/>
      <c r="T66" s="2"/>
      <c r="U66" s="3"/>
      <c r="V66" s="3"/>
      <c r="W66" s="3"/>
    </row>
    <row r="67" spans="1:24" s="42" customFormat="1" ht="15">
      <c r="B67" s="84"/>
      <c r="C67" s="2003"/>
      <c r="D67" s="2003"/>
      <c r="E67" s="2003"/>
      <c r="F67" s="2003"/>
      <c r="G67" s="2003"/>
      <c r="H67" s="40"/>
      <c r="I67" s="2003"/>
      <c r="J67" s="1694"/>
      <c r="K67" s="2005" t="s">
        <v>30</v>
      </c>
      <c r="L67" s="1133">
        <f>-L59*D77</f>
        <v>-4471.7341388269997</v>
      </c>
      <c r="M67" s="1135">
        <f>-((L59-M59)*F77+(M59*G77))</f>
        <v>-459.46949999536656</v>
      </c>
      <c r="N67" s="1074"/>
      <c r="O67" s="40"/>
      <c r="P67" s="39"/>
      <c r="Q67" s="39"/>
      <c r="R67" s="2"/>
      <c r="S67" s="2"/>
      <c r="T67" s="2"/>
      <c r="U67" s="3"/>
      <c r="V67" s="3"/>
      <c r="W67" s="3"/>
    </row>
    <row r="68" spans="1:24" s="42" customFormat="1" ht="15">
      <c r="B68" s="84"/>
      <c r="C68" s="2003"/>
      <c r="D68" s="2003"/>
      <c r="E68" s="2003"/>
      <c r="F68" s="2003"/>
      <c r="G68" s="2003"/>
      <c r="H68" s="40"/>
      <c r="I68" s="2003"/>
      <c r="J68" s="1694"/>
      <c r="K68" s="2005" t="s">
        <v>220</v>
      </c>
      <c r="L68" s="1133">
        <f>-L60*D78</f>
        <v>-1440</v>
      </c>
      <c r="M68" s="1135">
        <f>-((L60-M60)*F78+(M60*G78))</f>
        <v>-164.09624999834523</v>
      </c>
      <c r="N68" s="1074"/>
      <c r="O68" s="40"/>
      <c r="P68" s="39"/>
      <c r="Q68" s="39"/>
      <c r="R68" s="2"/>
      <c r="S68" s="2"/>
      <c r="T68" s="2"/>
      <c r="U68" s="3"/>
      <c r="V68" s="3"/>
      <c r="W68" s="3"/>
    </row>
    <row r="69" spans="1:24" s="42" customFormat="1" ht="15">
      <c r="B69" s="84"/>
      <c r="C69" s="2003"/>
      <c r="D69" s="2003"/>
      <c r="E69" s="2003"/>
      <c r="F69" s="2003"/>
      <c r="G69" s="2003"/>
      <c r="H69" s="40"/>
      <c r="I69" s="2003"/>
      <c r="J69" s="1694"/>
      <c r="K69" s="2005" t="s">
        <v>226</v>
      </c>
      <c r="L69" s="1133">
        <f>SUM(L63:L68)</f>
        <v>1068768.8671867836</v>
      </c>
      <c r="M69" s="1135">
        <f>SUM(M63:M68)</f>
        <v>172074.31713452688</v>
      </c>
      <c r="N69" s="596"/>
      <c r="O69" s="40"/>
      <c r="P69" s="39"/>
      <c r="Q69" s="39"/>
      <c r="R69" s="2"/>
      <c r="S69" s="2"/>
      <c r="T69" s="2"/>
      <c r="U69" s="3"/>
      <c r="V69" s="3"/>
      <c r="W69" s="3"/>
    </row>
    <row r="70" spans="1:24" s="42" customFormat="1" ht="15">
      <c r="B70" s="84"/>
      <c r="C70" s="2003"/>
      <c r="D70" s="2003"/>
      <c r="E70" s="2003"/>
      <c r="F70" s="2003"/>
      <c r="G70" s="2003"/>
      <c r="H70" s="40"/>
      <c r="I70" s="2003"/>
      <c r="J70" s="1525"/>
      <c r="K70" s="1154"/>
      <c r="L70" s="609"/>
      <c r="M70" s="636"/>
      <c r="N70" s="596"/>
      <c r="O70" s="40"/>
      <c r="P70" s="39"/>
      <c r="Q70" s="39"/>
      <c r="R70" s="2"/>
      <c r="S70" s="2"/>
      <c r="T70" s="2"/>
      <c r="U70" s="3"/>
      <c r="V70" s="3"/>
      <c r="W70" s="3"/>
    </row>
    <row r="71" spans="1:24" s="73" customFormat="1">
      <c r="A71" s="42"/>
      <c r="B71" s="84"/>
      <c r="C71" s="2003"/>
      <c r="D71" s="2003"/>
      <c r="E71" s="2003"/>
      <c r="F71" s="2003"/>
      <c r="G71" s="2003"/>
      <c r="H71" s="40"/>
      <c r="I71" s="2008"/>
      <c r="J71" s="40"/>
      <c r="K71" s="40"/>
      <c r="L71" s="40"/>
      <c r="M71" s="83"/>
      <c r="N71" s="40"/>
      <c r="O71" s="40"/>
      <c r="P71" s="40"/>
      <c r="Q71" s="40"/>
      <c r="R71" s="40"/>
      <c r="S71" s="24"/>
      <c r="T71" s="24"/>
      <c r="U71" s="24"/>
      <c r="V71" s="19"/>
      <c r="W71" s="19"/>
      <c r="X71" s="19"/>
    </row>
    <row r="72" spans="1:24" s="42" customFormat="1" ht="64.5" customHeight="1">
      <c r="B72" s="194"/>
      <c r="C72" s="582" t="s">
        <v>1214</v>
      </c>
      <c r="D72" s="2009" t="s">
        <v>660</v>
      </c>
      <c r="E72" s="2009" t="s">
        <v>145</v>
      </c>
      <c r="F72" s="2009" t="s">
        <v>144</v>
      </c>
      <c r="G72" s="2009" t="s">
        <v>561</v>
      </c>
      <c r="H72" s="2003"/>
      <c r="I72" s="2003"/>
      <c r="J72" s="2011"/>
      <c r="K72" s="2011"/>
      <c r="L72" s="186"/>
      <c r="M72" s="591"/>
      <c r="N72" s="40"/>
      <c r="O72" s="40"/>
      <c r="P72" s="44"/>
      <c r="Q72" s="39"/>
      <c r="R72" s="39"/>
      <c r="S72" s="39"/>
      <c r="T72" s="39"/>
      <c r="U72" s="39"/>
      <c r="V72" s="39"/>
      <c r="W72" s="39"/>
    </row>
    <row r="73" spans="1:24" s="42" customFormat="1" ht="15">
      <c r="B73" s="194"/>
      <c r="C73" s="597" t="str">
        <f>K63</f>
        <v>Emergency bed days</v>
      </c>
      <c r="D73" s="1194">
        <f>VLOOKUP($C73,local_data_input!$B$4:$K$20,2,FALSE)</f>
        <v>471.55482717174652</v>
      </c>
      <c r="E73" s="771">
        <f>VLOOKUP($C73,local_data_input!$B$4:$K$20,7,FALSE)</f>
        <v>2190</v>
      </c>
      <c r="F73" s="1194">
        <f>VLOOKUP($C73,local_data_input!$B$4:$K$20,8,FALSE)</f>
        <v>76.38780719409533</v>
      </c>
      <c r="G73" s="1194">
        <f>VLOOKUP($C73,local_data_input!$B$4:$K$20,9,FALSE)</f>
        <v>76.38780719409533</v>
      </c>
      <c r="H73" s="2003"/>
      <c r="I73" s="2003"/>
      <c r="J73" s="2011"/>
      <c r="K73" s="2011"/>
      <c r="L73" s="2011"/>
      <c r="M73" s="591"/>
      <c r="N73" s="40"/>
      <c r="O73" s="40"/>
      <c r="P73" s="44"/>
      <c r="Q73" s="39"/>
      <c r="R73" s="39"/>
      <c r="S73" s="39"/>
      <c r="T73" s="39"/>
      <c r="U73" s="39"/>
      <c r="V73" s="39"/>
      <c r="W73" s="39"/>
    </row>
    <row r="74" spans="1:24" s="42" customFormat="1" ht="15">
      <c r="B74" s="194"/>
      <c r="C74" s="597" t="str">
        <f>K64</f>
        <v>ED attends</v>
      </c>
      <c r="D74" s="1194">
        <f>VLOOKUP($C74,local_data_input!$B$4:$K$20,2,FALSE)</f>
        <v>154.19493390737</v>
      </c>
      <c r="E74" s="771">
        <f>VLOOKUP($C74,local_data_input!$B$4:$K$20,7,FALSE)</f>
        <v>4725</v>
      </c>
      <c r="F74" s="1194">
        <f>VLOOKUP($C74,local_data_input!$B$4:$K$20,8,FALSE)</f>
        <v>13.011251318371977</v>
      </c>
      <c r="G74" s="1194">
        <f>VLOOKUP($C74,local_data_input!$B$4:$K$20,9,FALSE)</f>
        <v>13.011251318371977</v>
      </c>
      <c r="H74" s="2003"/>
      <c r="I74" s="2003"/>
      <c r="J74" s="2011"/>
      <c r="K74" s="2011"/>
      <c r="L74" s="2011"/>
      <c r="M74" s="591"/>
      <c r="N74" s="40"/>
      <c r="O74" s="40"/>
      <c r="P74" s="44"/>
      <c r="Q74" s="39"/>
      <c r="R74" s="39"/>
      <c r="S74" s="39"/>
      <c r="T74" s="39"/>
      <c r="U74" s="39"/>
      <c r="V74" s="39"/>
      <c r="W74" s="39"/>
    </row>
    <row r="75" spans="1:24" s="42" customFormat="1" ht="15">
      <c r="B75" s="194"/>
      <c r="C75" s="597" t="str">
        <f>K65</f>
        <v>Ambulance - see and convey to ED</v>
      </c>
      <c r="D75" s="1194">
        <f>VLOOKUP($C75,local_data_input!$B$4:$K$20,2,FALSE)</f>
        <v>233.02000068717058</v>
      </c>
      <c r="E75" s="771">
        <f>VLOOKUP($C75,local_data_input!$B$4:$K$20,7,FALSE)</f>
        <v>3150</v>
      </c>
      <c r="F75" s="1194">
        <f>VLOOKUP($C75,local_data_input!$B$4:$K$20,8,FALSE)</f>
        <v>25.747699999999998</v>
      </c>
      <c r="G75" s="1194">
        <f>VLOOKUP($C75,local_data_input!$B$4:$K$20,9,FALSE)</f>
        <v>25.747699999999998</v>
      </c>
      <c r="H75" s="2003"/>
      <c r="I75" s="2003"/>
      <c r="J75" s="2011"/>
      <c r="K75" s="2011"/>
      <c r="L75" s="2011"/>
      <c r="M75" s="591"/>
      <c r="N75" s="40"/>
      <c r="O75" s="40"/>
      <c r="P75" s="44"/>
      <c r="Q75" s="39"/>
      <c r="R75" s="39"/>
      <c r="S75" s="39"/>
      <c r="T75" s="39"/>
      <c r="U75" s="39"/>
      <c r="V75" s="39"/>
      <c r="W75" s="39"/>
    </row>
    <row r="76" spans="1:24" s="42" customFormat="1" ht="15">
      <c r="B76" s="194"/>
      <c r="C76" s="597" t="str">
        <f>K66</f>
        <v>GP attends</v>
      </c>
      <c r="D76" s="1194">
        <f>VLOOKUP($C76,local_data_input!$B$4:$K$20,2,FALSE)</f>
        <v>37</v>
      </c>
      <c r="E76" s="771">
        <f>VLOOKUP($C76,local_data_input!$B$4:$K$20,7,FALSE)</f>
        <v>1</v>
      </c>
      <c r="F76" s="1194">
        <f>VLOOKUP($C76,local_data_input!$B$4:$K$20,8,FALSE)</f>
        <v>4.1571049999580785</v>
      </c>
      <c r="G76" s="1194">
        <f>VLOOKUP($C76,local_data_input!$B$4:$K$20,9,FALSE)</f>
        <v>4.1571049999580785</v>
      </c>
      <c r="H76" s="2003"/>
      <c r="I76" s="2003"/>
      <c r="J76" s="2011"/>
      <c r="K76" s="186"/>
      <c r="L76" s="2011"/>
      <c r="M76" s="591"/>
      <c r="N76" s="40"/>
      <c r="O76" s="40"/>
      <c r="P76" s="44"/>
      <c r="Q76" s="39"/>
      <c r="R76" s="39"/>
      <c r="S76" s="39"/>
      <c r="T76" s="39"/>
      <c r="U76" s="39"/>
      <c r="V76" s="39"/>
      <c r="W76" s="39"/>
    </row>
    <row r="77" spans="1:24" s="42" customFormat="1" ht="15">
      <c r="B77" s="194"/>
      <c r="C77" s="597" t="str">
        <f>K67</f>
        <v>Community contacts</v>
      </c>
      <c r="D77" s="1194">
        <f>VLOOKUP($C77,local_data_input!$B$4:$K$20,2,FALSE)</f>
        <v>37.264451156891667</v>
      </c>
      <c r="E77" s="771">
        <f>VLOOKUP($C77,local_data_input!$B$4:$K$20,7,FALSE)</f>
        <v>3150</v>
      </c>
      <c r="F77" s="1194">
        <f>VLOOKUP($C77,local_data_input!$B$4:$K$20,8,FALSE)</f>
        <v>3.8289124999613882</v>
      </c>
      <c r="G77" s="1194">
        <f>VLOOKUP($C77,local_data_input!$B$4:$K$20,9,FALSE)</f>
        <v>3.8289124999613882</v>
      </c>
      <c r="H77" s="2003"/>
      <c r="I77" s="2003"/>
      <c r="J77" s="2011"/>
      <c r="K77" s="2011"/>
      <c r="L77" s="2011"/>
      <c r="M77" s="591"/>
      <c r="N77" s="40"/>
      <c r="O77" s="40"/>
      <c r="P77" s="44"/>
      <c r="Q77" s="39"/>
      <c r="R77" s="39"/>
      <c r="S77" s="39"/>
      <c r="T77" s="39"/>
      <c r="U77" s="39"/>
      <c r="V77" s="39"/>
      <c r="W77" s="39"/>
    </row>
    <row r="78" spans="1:24" s="42" customFormat="1" ht="15">
      <c r="B78" s="194"/>
      <c r="C78" s="597" t="s">
        <v>225</v>
      </c>
      <c r="D78" s="1194">
        <f>VLOOKUP($C78,local_data_input!$B$4:$K$20,2,FALSE)</f>
        <v>24</v>
      </c>
      <c r="E78" s="771">
        <f>VLOOKUP($C78,local_data_input!$B$4:$K$20,7,FALSE)</f>
        <v>3150</v>
      </c>
      <c r="F78" s="1194">
        <f>VLOOKUP($C78,local_data_input!$B$4:$K$20,8,FALSE)</f>
        <v>2.7349374999724203</v>
      </c>
      <c r="G78" s="1194">
        <f>VLOOKUP($C78,local_data_input!$B$4:$K$20,9,FALSE)</f>
        <v>2.7349374999724203</v>
      </c>
      <c r="H78" s="2003"/>
      <c r="I78" s="2003"/>
      <c r="J78" s="2011"/>
      <c r="K78" s="2011"/>
      <c r="L78" s="2011"/>
      <c r="M78" s="591"/>
      <c r="N78" s="40"/>
      <c r="O78" s="40"/>
      <c r="P78" s="44"/>
      <c r="Q78" s="39"/>
      <c r="R78" s="39"/>
      <c r="S78" s="39"/>
      <c r="T78" s="39"/>
      <c r="U78" s="39"/>
      <c r="V78" s="39"/>
      <c r="W78" s="39"/>
    </row>
    <row r="79" spans="1:24" s="73" customFormat="1">
      <c r="A79" s="42"/>
      <c r="B79" s="84"/>
      <c r="C79" s="2003"/>
      <c r="D79" s="2003"/>
      <c r="E79" s="2003"/>
      <c r="F79" s="2003"/>
      <c r="G79" s="2003"/>
      <c r="H79" s="40"/>
      <c r="I79" s="40"/>
      <c r="J79" s="40"/>
      <c r="K79" s="40"/>
      <c r="L79" s="40"/>
      <c r="M79" s="83"/>
      <c r="N79" s="40"/>
      <c r="O79" s="40"/>
      <c r="P79" s="40"/>
      <c r="Q79" s="40"/>
      <c r="R79" s="40"/>
      <c r="S79" s="24"/>
      <c r="T79" s="24"/>
      <c r="U79" s="24"/>
      <c r="V79" s="19"/>
      <c r="W79" s="19"/>
      <c r="X79" s="19"/>
    </row>
    <row r="80" spans="1:24" s="42" customFormat="1" ht="15">
      <c r="B80" s="130"/>
      <c r="C80" s="2003"/>
      <c r="D80" s="2003"/>
      <c r="E80" s="2003"/>
      <c r="F80" s="2003"/>
      <c r="G80" s="2003"/>
      <c r="H80" s="1203"/>
      <c r="I80" s="2030"/>
      <c r="J80" s="2030"/>
      <c r="K80" s="2030"/>
      <c r="L80" s="2031"/>
      <c r="M80" s="2032"/>
      <c r="N80" s="39"/>
      <c r="O80" s="39"/>
      <c r="P80" s="39"/>
      <c r="Q80" s="39"/>
      <c r="R80" s="39"/>
      <c r="S80" s="2"/>
      <c r="T80" s="2"/>
      <c r="U80" s="2"/>
      <c r="V80" s="3"/>
      <c r="W80" s="3"/>
      <c r="X80" s="3"/>
    </row>
    <row r="81" spans="1:24" s="42" customFormat="1" ht="15">
      <c r="B81" s="2316" t="s">
        <v>327</v>
      </c>
      <c r="C81" s="2344"/>
      <c r="D81" s="2344"/>
      <c r="E81" s="2344"/>
      <c r="F81" s="2344"/>
      <c r="G81" s="2344"/>
      <c r="H81" s="2344"/>
      <c r="I81" s="2344"/>
      <c r="J81" s="2344"/>
      <c r="K81" s="2344"/>
      <c r="L81" s="2344"/>
      <c r="M81" s="2420"/>
      <c r="N81" s="39"/>
      <c r="O81" s="39"/>
      <c r="P81" s="39"/>
      <c r="Q81" s="39"/>
      <c r="R81" s="39"/>
      <c r="S81" s="39"/>
      <c r="T81" s="39"/>
    </row>
    <row r="82" spans="1:24" s="42" customFormat="1" ht="15">
      <c r="B82" s="84"/>
      <c r="C82" s="188"/>
      <c r="D82" s="188"/>
      <c r="E82" s="188"/>
      <c r="F82" s="188"/>
      <c r="G82" s="188"/>
      <c r="H82" s="188"/>
      <c r="I82" s="188"/>
      <c r="J82" s="188"/>
      <c r="K82" s="188"/>
      <c r="L82" s="188"/>
      <c r="M82" s="2027"/>
      <c r="N82" s="39"/>
      <c r="O82" s="39"/>
      <c r="P82" s="39"/>
      <c r="Q82" s="39"/>
      <c r="R82" s="39"/>
      <c r="S82" s="2"/>
      <c r="T82" s="2"/>
      <c r="U82" s="2"/>
      <c r="V82" s="3"/>
      <c r="W82" s="3"/>
      <c r="X82" s="3"/>
    </row>
    <row r="83" spans="1:24" s="42" customFormat="1" ht="15">
      <c r="B83" s="84"/>
      <c r="C83" s="189"/>
      <c r="D83" s="188"/>
      <c r="E83" s="188"/>
      <c r="F83" s="188"/>
      <c r="G83" s="188"/>
      <c r="H83" s="188"/>
      <c r="I83" s="2386"/>
      <c r="J83" s="2386"/>
      <c r="K83" s="2386"/>
      <c r="L83" s="188"/>
      <c r="M83" s="83"/>
      <c r="N83" s="39"/>
      <c r="O83" s="39"/>
      <c r="P83" s="39"/>
      <c r="Q83" s="39"/>
      <c r="R83" s="39"/>
      <c r="S83" s="2"/>
      <c r="T83" s="2"/>
      <c r="U83" s="2"/>
      <c r="V83" s="3"/>
      <c r="W83" s="3"/>
      <c r="X83" s="3"/>
    </row>
    <row r="84" spans="1:24" s="42" customFormat="1" ht="30">
      <c r="B84" s="84"/>
      <c r="C84" s="2009" t="s">
        <v>539</v>
      </c>
      <c r="D84" s="2009" t="s">
        <v>101</v>
      </c>
      <c r="E84" s="2009" t="s">
        <v>100</v>
      </c>
      <c r="F84" s="2009" t="s">
        <v>199</v>
      </c>
      <c r="G84" s="188"/>
      <c r="H84" s="188"/>
      <c r="I84" s="2004"/>
      <c r="J84" s="2009" t="s">
        <v>224</v>
      </c>
      <c r="K84" s="2009" t="s">
        <v>661</v>
      </c>
      <c r="L84" s="2009" t="s">
        <v>223</v>
      </c>
      <c r="M84" s="106"/>
      <c r="N84" s="39"/>
      <c r="O84" s="39"/>
      <c r="P84" s="39"/>
      <c r="Q84" s="39"/>
      <c r="R84" s="39"/>
      <c r="S84" s="2"/>
      <c r="T84" s="2"/>
      <c r="U84" s="2"/>
      <c r="V84" s="3"/>
      <c r="W84" s="3"/>
      <c r="X84" s="3"/>
    </row>
    <row r="85" spans="1:24" s="42" customFormat="1" ht="15">
      <c r="B85" s="84"/>
      <c r="C85" s="597" t="s">
        <v>228</v>
      </c>
      <c r="D85" s="642">
        <v>0</v>
      </c>
      <c r="E85" s="642">
        <v>5</v>
      </c>
      <c r="F85" s="604">
        <f>F58</f>
        <v>1</v>
      </c>
      <c r="G85" s="188"/>
      <c r="H85" s="188"/>
      <c r="I85" s="1680" t="s">
        <v>32</v>
      </c>
      <c r="J85" s="810">
        <f>L58</f>
        <v>1200</v>
      </c>
      <c r="K85" s="1710">
        <f t="shared" ref="K85:L87" si="3">-L66</f>
        <v>44400</v>
      </c>
      <c r="L85" s="1710">
        <f t="shared" si="3"/>
        <v>4988.5259999496939</v>
      </c>
      <c r="M85" s="106"/>
      <c r="N85" s="39"/>
      <c r="O85" s="39"/>
      <c r="P85" s="39"/>
      <c r="Q85" s="39"/>
      <c r="R85" s="39"/>
      <c r="S85" s="2"/>
      <c r="T85" s="2"/>
      <c r="U85" s="2"/>
      <c r="V85" s="3"/>
      <c r="W85" s="3"/>
      <c r="X85" s="3"/>
    </row>
    <row r="86" spans="1:24" s="42" customFormat="1" ht="15">
      <c r="B86" s="84"/>
      <c r="C86" s="597" t="s">
        <v>222</v>
      </c>
      <c r="D86" s="642">
        <v>0</v>
      </c>
      <c r="E86" s="642">
        <v>5</v>
      </c>
      <c r="F86" s="604">
        <f>F59</f>
        <v>0.1</v>
      </c>
      <c r="G86" s="2008"/>
      <c r="H86" s="40"/>
      <c r="I86" s="1680" t="s">
        <v>1011</v>
      </c>
      <c r="J86" s="810">
        <f>L59</f>
        <v>120</v>
      </c>
      <c r="K86" s="1710">
        <f t="shared" si="3"/>
        <v>4471.7341388269997</v>
      </c>
      <c r="L86" s="1710">
        <f t="shared" si="3"/>
        <v>459.46949999536656</v>
      </c>
      <c r="M86" s="106"/>
      <c r="N86" s="39"/>
      <c r="O86" s="39"/>
      <c r="P86" s="39"/>
      <c r="Q86" s="39"/>
      <c r="R86" s="39"/>
      <c r="S86" s="2"/>
      <c r="T86" s="2"/>
      <c r="U86" s="2"/>
      <c r="V86" s="3"/>
      <c r="W86" s="3"/>
      <c r="X86" s="3"/>
    </row>
    <row r="87" spans="1:24" s="42" customFormat="1" ht="15">
      <c r="B87" s="84"/>
      <c r="C87" s="597" t="s">
        <v>221</v>
      </c>
      <c r="D87" s="642">
        <v>0</v>
      </c>
      <c r="E87" s="642">
        <v>5</v>
      </c>
      <c r="F87" s="604">
        <f>F60</f>
        <v>0.05</v>
      </c>
      <c r="G87" s="2008"/>
      <c r="H87" s="2003"/>
      <c r="I87" s="1680" t="s">
        <v>220</v>
      </c>
      <c r="J87" s="810">
        <f>L60</f>
        <v>60</v>
      </c>
      <c r="K87" s="1710">
        <f t="shared" si="3"/>
        <v>1440</v>
      </c>
      <c r="L87" s="1710">
        <f t="shared" si="3"/>
        <v>164.09624999834523</v>
      </c>
      <c r="M87" s="106"/>
      <c r="N87" s="39"/>
      <c r="O87" s="39"/>
      <c r="P87" s="39"/>
      <c r="Q87" s="39"/>
      <c r="R87" s="39"/>
      <c r="S87" s="2"/>
      <c r="T87" s="2"/>
      <c r="U87" s="2"/>
      <c r="V87" s="3"/>
      <c r="W87" s="3"/>
      <c r="X87" s="3"/>
    </row>
    <row r="88" spans="1:24" s="42" customFormat="1" ht="15">
      <c r="B88" s="84"/>
      <c r="C88" s="2008"/>
      <c r="D88" s="2008"/>
      <c r="E88" s="2008"/>
      <c r="F88" s="2008"/>
      <c r="G88" s="2008"/>
      <c r="H88" s="2003"/>
      <c r="I88" s="1680" t="s">
        <v>98</v>
      </c>
      <c r="J88" s="810">
        <f>SUM(J85:J87)</f>
        <v>1380</v>
      </c>
      <c r="K88" s="1710">
        <f>SUM(K85:K87)</f>
        <v>50311.734138827</v>
      </c>
      <c r="L88" s="1710">
        <f>SUM(L85:L87)</f>
        <v>5612.0917499434054</v>
      </c>
      <c r="M88" s="106"/>
      <c r="N88" s="39"/>
      <c r="O88" s="39"/>
      <c r="P88" s="39"/>
      <c r="Q88" s="39"/>
      <c r="R88" s="39"/>
      <c r="S88" s="2"/>
      <c r="T88" s="2"/>
      <c r="U88" s="2"/>
      <c r="V88" s="3"/>
      <c r="W88" s="3"/>
      <c r="X88" s="3"/>
    </row>
    <row r="89" spans="1:24" s="42" customFormat="1" ht="15">
      <c r="B89" s="84"/>
      <c r="C89" s="2386" t="s">
        <v>1312</v>
      </c>
      <c r="D89" s="2386"/>
      <c r="E89" s="2386"/>
      <c r="F89" s="2386"/>
      <c r="G89" s="2386"/>
      <c r="H89" s="2008"/>
      <c r="I89" s="2008"/>
      <c r="J89" s="2008"/>
      <c r="K89" s="2008"/>
      <c r="L89" s="2008"/>
      <c r="M89" s="777"/>
      <c r="N89" s="39"/>
      <c r="O89" s="39"/>
      <c r="P89" s="39"/>
      <c r="Q89" s="39"/>
      <c r="R89" s="39"/>
      <c r="S89" s="2"/>
      <c r="T89" s="2"/>
      <c r="U89" s="2"/>
      <c r="V89" s="3"/>
      <c r="W89" s="3"/>
      <c r="X89" s="3"/>
    </row>
    <row r="90" spans="1:24" s="42" customFormat="1">
      <c r="B90" s="130"/>
      <c r="C90" s="1203"/>
      <c r="D90" s="1203"/>
      <c r="E90" s="1203"/>
      <c r="F90" s="1203"/>
      <c r="G90" s="1203"/>
      <c r="H90" s="1203"/>
      <c r="I90" s="1203"/>
      <c r="J90" s="1203"/>
      <c r="K90" s="1203"/>
      <c r="L90" s="1203"/>
      <c r="M90" s="1430"/>
      <c r="N90" s="39"/>
      <c r="O90" s="39"/>
      <c r="P90" s="39"/>
      <c r="Q90" s="39"/>
      <c r="R90" s="39"/>
      <c r="S90" s="2"/>
      <c r="T90" s="2"/>
      <c r="U90" s="2"/>
      <c r="V90" s="3"/>
      <c r="W90" s="3"/>
      <c r="X90" s="3"/>
    </row>
    <row r="91" spans="1:24" s="42" customFormat="1">
      <c r="B91" s="2033"/>
      <c r="C91" s="39"/>
      <c r="D91" s="39"/>
      <c r="E91" s="39"/>
      <c r="F91" s="39"/>
      <c r="G91" s="39"/>
      <c r="H91" s="39"/>
      <c r="I91" s="39"/>
      <c r="J91" s="39"/>
      <c r="K91" s="39"/>
      <c r="L91" s="40"/>
      <c r="M91" s="39"/>
      <c r="N91" s="39"/>
      <c r="O91" s="39"/>
      <c r="P91" s="39"/>
      <c r="Q91" s="39"/>
      <c r="R91" s="39"/>
      <c r="S91" s="2"/>
      <c r="T91" s="2"/>
      <c r="U91" s="2"/>
      <c r="V91" s="3"/>
      <c r="W91" s="3"/>
      <c r="X91" s="3"/>
    </row>
    <row r="92" spans="1:24" ht="15">
      <c r="A92" s="42"/>
      <c r="B92" s="36"/>
      <c r="C92" s="164"/>
      <c r="D92" s="36"/>
      <c r="E92" s="36"/>
      <c r="F92" s="53"/>
      <c r="G92" s="62"/>
      <c r="H92" s="35"/>
      <c r="I92" s="35"/>
      <c r="J92" s="35"/>
      <c r="K92" s="35"/>
      <c r="L92" s="36"/>
      <c r="M92" s="35"/>
      <c r="N92" s="35"/>
      <c r="O92" s="35"/>
      <c r="P92" s="35"/>
      <c r="Q92" s="35"/>
      <c r="R92" s="35"/>
      <c r="S92" s="4"/>
      <c r="T92" s="4"/>
      <c r="U92" s="4"/>
      <c r="V92" s="5"/>
      <c r="W92" s="5"/>
      <c r="X92" s="5"/>
    </row>
    <row r="93" spans="1:24">
      <c r="A93" s="42"/>
    </row>
    <row r="94" spans="1:24">
      <c r="A94" s="42"/>
    </row>
  </sheetData>
  <mergeCells count="20">
    <mergeCell ref="C46:D46"/>
    <mergeCell ref="F46:G46"/>
    <mergeCell ref="C13:E13"/>
    <mergeCell ref="C14:E14"/>
    <mergeCell ref="C15:E15"/>
    <mergeCell ref="C16:E16"/>
    <mergeCell ref="C89:G89"/>
    <mergeCell ref="E1:F1"/>
    <mergeCell ref="I1:J1"/>
    <mergeCell ref="C4:D5"/>
    <mergeCell ref="I83:K83"/>
    <mergeCell ref="C61:F61"/>
    <mergeCell ref="B81:M81"/>
    <mergeCell ref="C50:G50"/>
    <mergeCell ref="B11:M11"/>
    <mergeCell ref="B48:M48"/>
    <mergeCell ref="B19:M19"/>
    <mergeCell ref="C17:E17"/>
    <mergeCell ref="C23:D23"/>
    <mergeCell ref="C45:D45"/>
  </mergeCells>
  <conditionalFormatting sqref="L45 F17">
    <cfRule type="expression" dxfId="21" priority="2" stopIfTrue="1">
      <formula>$L$45&gt;$F$16</formula>
    </cfRule>
  </conditionalFormatting>
  <conditionalFormatting sqref="F46">
    <cfRule type="expression" dxfId="20" priority="1">
      <formula>$E$46&gt;$E$34</formula>
    </cfRule>
  </conditionalFormatting>
  <dataValidations disablePrompts="1" count="2">
    <dataValidation type="list" allowBlank="1" showInputMessage="1" showErrorMessage="1" prompt="Please select Band from Drop down list" sqref="WVK983062:WVK983069 IY26:IY33 SU26:SU33 ACQ26:ACQ33 AMM26:AMM33 AWI26:AWI33 BGE26:BGE33 BQA26:BQA33 BZW26:BZW33 CJS26:CJS33 CTO26:CTO33 DDK26:DDK33 DNG26:DNG33 DXC26:DXC33 EGY26:EGY33 EQU26:EQU33 FAQ26:FAQ33 FKM26:FKM33 FUI26:FUI33 GEE26:GEE33 GOA26:GOA33 GXW26:GXW33 HHS26:HHS33 HRO26:HRO33 IBK26:IBK33 ILG26:ILG33 IVC26:IVC33 JEY26:JEY33 JOU26:JOU33 JYQ26:JYQ33 KIM26:KIM33 KSI26:KSI33 LCE26:LCE33 LMA26:LMA33 LVW26:LVW33 MFS26:MFS33 MPO26:MPO33 MZK26:MZK33 NJG26:NJG33 NTC26:NTC33 OCY26:OCY33 OMU26:OMU33 OWQ26:OWQ33 PGM26:PGM33 PQI26:PQI33 QAE26:QAE33 QKA26:QKA33 QTW26:QTW33 RDS26:RDS33 RNO26:RNO33 RXK26:RXK33 SHG26:SHG33 SRC26:SRC33 TAY26:TAY33 TKU26:TKU33 TUQ26:TUQ33 UEM26:UEM33 UOI26:UOI33 UYE26:UYE33 VIA26:VIA33 VRW26:VRW33 WBS26:WBS33 WLO26:WLO33 WVK26:WVK33 D65558:D65565 IY65558:IY65565 SU65558:SU65565 ACQ65558:ACQ65565 AMM65558:AMM65565 AWI65558:AWI65565 BGE65558:BGE65565 BQA65558:BQA65565 BZW65558:BZW65565 CJS65558:CJS65565 CTO65558:CTO65565 DDK65558:DDK65565 DNG65558:DNG65565 DXC65558:DXC65565 EGY65558:EGY65565 EQU65558:EQU65565 FAQ65558:FAQ65565 FKM65558:FKM65565 FUI65558:FUI65565 GEE65558:GEE65565 GOA65558:GOA65565 GXW65558:GXW65565 HHS65558:HHS65565 HRO65558:HRO65565 IBK65558:IBK65565 ILG65558:ILG65565 IVC65558:IVC65565 JEY65558:JEY65565 JOU65558:JOU65565 JYQ65558:JYQ65565 KIM65558:KIM65565 KSI65558:KSI65565 LCE65558:LCE65565 LMA65558:LMA65565 LVW65558:LVW65565 MFS65558:MFS65565 MPO65558:MPO65565 MZK65558:MZK65565 NJG65558:NJG65565 NTC65558:NTC65565 OCY65558:OCY65565 OMU65558:OMU65565 OWQ65558:OWQ65565 PGM65558:PGM65565 PQI65558:PQI65565 QAE65558:QAE65565 QKA65558:QKA65565 QTW65558:QTW65565 RDS65558:RDS65565 RNO65558:RNO65565 RXK65558:RXK65565 SHG65558:SHG65565 SRC65558:SRC65565 TAY65558:TAY65565 TKU65558:TKU65565 TUQ65558:TUQ65565 UEM65558:UEM65565 UOI65558:UOI65565 UYE65558:UYE65565 VIA65558:VIA65565 VRW65558:VRW65565 WBS65558:WBS65565 WLO65558:WLO65565 WVK65558:WVK65565 D131094:D131101 IY131094:IY131101 SU131094:SU131101 ACQ131094:ACQ131101 AMM131094:AMM131101 AWI131094:AWI131101 BGE131094:BGE131101 BQA131094:BQA131101 BZW131094:BZW131101 CJS131094:CJS131101 CTO131094:CTO131101 DDK131094:DDK131101 DNG131094:DNG131101 DXC131094:DXC131101 EGY131094:EGY131101 EQU131094:EQU131101 FAQ131094:FAQ131101 FKM131094:FKM131101 FUI131094:FUI131101 GEE131094:GEE131101 GOA131094:GOA131101 GXW131094:GXW131101 HHS131094:HHS131101 HRO131094:HRO131101 IBK131094:IBK131101 ILG131094:ILG131101 IVC131094:IVC131101 JEY131094:JEY131101 JOU131094:JOU131101 JYQ131094:JYQ131101 KIM131094:KIM131101 KSI131094:KSI131101 LCE131094:LCE131101 LMA131094:LMA131101 LVW131094:LVW131101 MFS131094:MFS131101 MPO131094:MPO131101 MZK131094:MZK131101 NJG131094:NJG131101 NTC131094:NTC131101 OCY131094:OCY131101 OMU131094:OMU131101 OWQ131094:OWQ131101 PGM131094:PGM131101 PQI131094:PQI131101 QAE131094:QAE131101 QKA131094:QKA131101 QTW131094:QTW131101 RDS131094:RDS131101 RNO131094:RNO131101 RXK131094:RXK131101 SHG131094:SHG131101 SRC131094:SRC131101 TAY131094:TAY131101 TKU131094:TKU131101 TUQ131094:TUQ131101 UEM131094:UEM131101 UOI131094:UOI131101 UYE131094:UYE131101 VIA131094:VIA131101 VRW131094:VRW131101 WBS131094:WBS131101 WLO131094:WLO131101 WVK131094:WVK131101 D196630:D196637 IY196630:IY196637 SU196630:SU196637 ACQ196630:ACQ196637 AMM196630:AMM196637 AWI196630:AWI196637 BGE196630:BGE196637 BQA196630:BQA196637 BZW196630:BZW196637 CJS196630:CJS196637 CTO196630:CTO196637 DDK196630:DDK196637 DNG196630:DNG196637 DXC196630:DXC196637 EGY196630:EGY196637 EQU196630:EQU196637 FAQ196630:FAQ196637 FKM196630:FKM196637 FUI196630:FUI196637 GEE196630:GEE196637 GOA196630:GOA196637 GXW196630:GXW196637 HHS196630:HHS196637 HRO196630:HRO196637 IBK196630:IBK196637 ILG196630:ILG196637 IVC196630:IVC196637 JEY196630:JEY196637 JOU196630:JOU196637 JYQ196630:JYQ196637 KIM196630:KIM196637 KSI196630:KSI196637 LCE196630:LCE196637 LMA196630:LMA196637 LVW196630:LVW196637 MFS196630:MFS196637 MPO196630:MPO196637 MZK196630:MZK196637 NJG196630:NJG196637 NTC196630:NTC196637 OCY196630:OCY196637 OMU196630:OMU196637 OWQ196630:OWQ196637 PGM196630:PGM196637 PQI196630:PQI196637 QAE196630:QAE196637 QKA196630:QKA196637 QTW196630:QTW196637 RDS196630:RDS196637 RNO196630:RNO196637 RXK196630:RXK196637 SHG196630:SHG196637 SRC196630:SRC196637 TAY196630:TAY196637 TKU196630:TKU196637 TUQ196630:TUQ196637 UEM196630:UEM196637 UOI196630:UOI196637 UYE196630:UYE196637 VIA196630:VIA196637 VRW196630:VRW196637 WBS196630:WBS196637 WLO196630:WLO196637 WVK196630:WVK196637 D262166:D262173 IY262166:IY262173 SU262166:SU262173 ACQ262166:ACQ262173 AMM262166:AMM262173 AWI262166:AWI262173 BGE262166:BGE262173 BQA262166:BQA262173 BZW262166:BZW262173 CJS262166:CJS262173 CTO262166:CTO262173 DDK262166:DDK262173 DNG262166:DNG262173 DXC262166:DXC262173 EGY262166:EGY262173 EQU262166:EQU262173 FAQ262166:FAQ262173 FKM262166:FKM262173 FUI262166:FUI262173 GEE262166:GEE262173 GOA262166:GOA262173 GXW262166:GXW262173 HHS262166:HHS262173 HRO262166:HRO262173 IBK262166:IBK262173 ILG262166:ILG262173 IVC262166:IVC262173 JEY262166:JEY262173 JOU262166:JOU262173 JYQ262166:JYQ262173 KIM262166:KIM262173 KSI262166:KSI262173 LCE262166:LCE262173 LMA262166:LMA262173 LVW262166:LVW262173 MFS262166:MFS262173 MPO262166:MPO262173 MZK262166:MZK262173 NJG262166:NJG262173 NTC262166:NTC262173 OCY262166:OCY262173 OMU262166:OMU262173 OWQ262166:OWQ262173 PGM262166:PGM262173 PQI262166:PQI262173 QAE262166:QAE262173 QKA262166:QKA262173 QTW262166:QTW262173 RDS262166:RDS262173 RNO262166:RNO262173 RXK262166:RXK262173 SHG262166:SHG262173 SRC262166:SRC262173 TAY262166:TAY262173 TKU262166:TKU262173 TUQ262166:TUQ262173 UEM262166:UEM262173 UOI262166:UOI262173 UYE262166:UYE262173 VIA262166:VIA262173 VRW262166:VRW262173 WBS262166:WBS262173 WLO262166:WLO262173 WVK262166:WVK262173 D327702:D327709 IY327702:IY327709 SU327702:SU327709 ACQ327702:ACQ327709 AMM327702:AMM327709 AWI327702:AWI327709 BGE327702:BGE327709 BQA327702:BQA327709 BZW327702:BZW327709 CJS327702:CJS327709 CTO327702:CTO327709 DDK327702:DDK327709 DNG327702:DNG327709 DXC327702:DXC327709 EGY327702:EGY327709 EQU327702:EQU327709 FAQ327702:FAQ327709 FKM327702:FKM327709 FUI327702:FUI327709 GEE327702:GEE327709 GOA327702:GOA327709 GXW327702:GXW327709 HHS327702:HHS327709 HRO327702:HRO327709 IBK327702:IBK327709 ILG327702:ILG327709 IVC327702:IVC327709 JEY327702:JEY327709 JOU327702:JOU327709 JYQ327702:JYQ327709 KIM327702:KIM327709 KSI327702:KSI327709 LCE327702:LCE327709 LMA327702:LMA327709 LVW327702:LVW327709 MFS327702:MFS327709 MPO327702:MPO327709 MZK327702:MZK327709 NJG327702:NJG327709 NTC327702:NTC327709 OCY327702:OCY327709 OMU327702:OMU327709 OWQ327702:OWQ327709 PGM327702:PGM327709 PQI327702:PQI327709 QAE327702:QAE327709 QKA327702:QKA327709 QTW327702:QTW327709 RDS327702:RDS327709 RNO327702:RNO327709 RXK327702:RXK327709 SHG327702:SHG327709 SRC327702:SRC327709 TAY327702:TAY327709 TKU327702:TKU327709 TUQ327702:TUQ327709 UEM327702:UEM327709 UOI327702:UOI327709 UYE327702:UYE327709 VIA327702:VIA327709 VRW327702:VRW327709 WBS327702:WBS327709 WLO327702:WLO327709 WVK327702:WVK327709 D393238:D393245 IY393238:IY393245 SU393238:SU393245 ACQ393238:ACQ393245 AMM393238:AMM393245 AWI393238:AWI393245 BGE393238:BGE393245 BQA393238:BQA393245 BZW393238:BZW393245 CJS393238:CJS393245 CTO393238:CTO393245 DDK393238:DDK393245 DNG393238:DNG393245 DXC393238:DXC393245 EGY393238:EGY393245 EQU393238:EQU393245 FAQ393238:FAQ393245 FKM393238:FKM393245 FUI393238:FUI393245 GEE393238:GEE393245 GOA393238:GOA393245 GXW393238:GXW393245 HHS393238:HHS393245 HRO393238:HRO393245 IBK393238:IBK393245 ILG393238:ILG393245 IVC393238:IVC393245 JEY393238:JEY393245 JOU393238:JOU393245 JYQ393238:JYQ393245 KIM393238:KIM393245 KSI393238:KSI393245 LCE393238:LCE393245 LMA393238:LMA393245 LVW393238:LVW393245 MFS393238:MFS393245 MPO393238:MPO393245 MZK393238:MZK393245 NJG393238:NJG393245 NTC393238:NTC393245 OCY393238:OCY393245 OMU393238:OMU393245 OWQ393238:OWQ393245 PGM393238:PGM393245 PQI393238:PQI393245 QAE393238:QAE393245 QKA393238:QKA393245 QTW393238:QTW393245 RDS393238:RDS393245 RNO393238:RNO393245 RXK393238:RXK393245 SHG393238:SHG393245 SRC393238:SRC393245 TAY393238:TAY393245 TKU393238:TKU393245 TUQ393238:TUQ393245 UEM393238:UEM393245 UOI393238:UOI393245 UYE393238:UYE393245 VIA393238:VIA393245 VRW393238:VRW393245 WBS393238:WBS393245 WLO393238:WLO393245 WVK393238:WVK393245 D458774:D458781 IY458774:IY458781 SU458774:SU458781 ACQ458774:ACQ458781 AMM458774:AMM458781 AWI458774:AWI458781 BGE458774:BGE458781 BQA458774:BQA458781 BZW458774:BZW458781 CJS458774:CJS458781 CTO458774:CTO458781 DDK458774:DDK458781 DNG458774:DNG458781 DXC458774:DXC458781 EGY458774:EGY458781 EQU458774:EQU458781 FAQ458774:FAQ458781 FKM458774:FKM458781 FUI458774:FUI458781 GEE458774:GEE458781 GOA458774:GOA458781 GXW458774:GXW458781 HHS458774:HHS458781 HRO458774:HRO458781 IBK458774:IBK458781 ILG458774:ILG458781 IVC458774:IVC458781 JEY458774:JEY458781 JOU458774:JOU458781 JYQ458774:JYQ458781 KIM458774:KIM458781 KSI458774:KSI458781 LCE458774:LCE458781 LMA458774:LMA458781 LVW458774:LVW458781 MFS458774:MFS458781 MPO458774:MPO458781 MZK458774:MZK458781 NJG458774:NJG458781 NTC458774:NTC458781 OCY458774:OCY458781 OMU458774:OMU458781 OWQ458774:OWQ458781 PGM458774:PGM458781 PQI458774:PQI458781 QAE458774:QAE458781 QKA458774:QKA458781 QTW458774:QTW458781 RDS458774:RDS458781 RNO458774:RNO458781 RXK458774:RXK458781 SHG458774:SHG458781 SRC458774:SRC458781 TAY458774:TAY458781 TKU458774:TKU458781 TUQ458774:TUQ458781 UEM458774:UEM458781 UOI458774:UOI458781 UYE458774:UYE458781 VIA458774:VIA458781 VRW458774:VRW458781 WBS458774:WBS458781 WLO458774:WLO458781 WVK458774:WVK458781 D524310:D524317 IY524310:IY524317 SU524310:SU524317 ACQ524310:ACQ524317 AMM524310:AMM524317 AWI524310:AWI524317 BGE524310:BGE524317 BQA524310:BQA524317 BZW524310:BZW524317 CJS524310:CJS524317 CTO524310:CTO524317 DDK524310:DDK524317 DNG524310:DNG524317 DXC524310:DXC524317 EGY524310:EGY524317 EQU524310:EQU524317 FAQ524310:FAQ524317 FKM524310:FKM524317 FUI524310:FUI524317 GEE524310:GEE524317 GOA524310:GOA524317 GXW524310:GXW524317 HHS524310:HHS524317 HRO524310:HRO524317 IBK524310:IBK524317 ILG524310:ILG524317 IVC524310:IVC524317 JEY524310:JEY524317 JOU524310:JOU524317 JYQ524310:JYQ524317 KIM524310:KIM524317 KSI524310:KSI524317 LCE524310:LCE524317 LMA524310:LMA524317 LVW524310:LVW524317 MFS524310:MFS524317 MPO524310:MPO524317 MZK524310:MZK524317 NJG524310:NJG524317 NTC524310:NTC524317 OCY524310:OCY524317 OMU524310:OMU524317 OWQ524310:OWQ524317 PGM524310:PGM524317 PQI524310:PQI524317 QAE524310:QAE524317 QKA524310:QKA524317 QTW524310:QTW524317 RDS524310:RDS524317 RNO524310:RNO524317 RXK524310:RXK524317 SHG524310:SHG524317 SRC524310:SRC524317 TAY524310:TAY524317 TKU524310:TKU524317 TUQ524310:TUQ524317 UEM524310:UEM524317 UOI524310:UOI524317 UYE524310:UYE524317 VIA524310:VIA524317 VRW524310:VRW524317 WBS524310:WBS524317 WLO524310:WLO524317 WVK524310:WVK524317 D589846:D589853 IY589846:IY589853 SU589846:SU589853 ACQ589846:ACQ589853 AMM589846:AMM589853 AWI589846:AWI589853 BGE589846:BGE589853 BQA589846:BQA589853 BZW589846:BZW589853 CJS589846:CJS589853 CTO589846:CTO589853 DDK589846:DDK589853 DNG589846:DNG589853 DXC589846:DXC589853 EGY589846:EGY589853 EQU589846:EQU589853 FAQ589846:FAQ589853 FKM589846:FKM589853 FUI589846:FUI589853 GEE589846:GEE589853 GOA589846:GOA589853 GXW589846:GXW589853 HHS589846:HHS589853 HRO589846:HRO589853 IBK589846:IBK589853 ILG589846:ILG589853 IVC589846:IVC589853 JEY589846:JEY589853 JOU589846:JOU589853 JYQ589846:JYQ589853 KIM589846:KIM589853 KSI589846:KSI589853 LCE589846:LCE589853 LMA589846:LMA589853 LVW589846:LVW589853 MFS589846:MFS589853 MPO589846:MPO589853 MZK589846:MZK589853 NJG589846:NJG589853 NTC589846:NTC589853 OCY589846:OCY589853 OMU589846:OMU589853 OWQ589846:OWQ589853 PGM589846:PGM589853 PQI589846:PQI589853 QAE589846:QAE589853 QKA589846:QKA589853 QTW589846:QTW589853 RDS589846:RDS589853 RNO589846:RNO589853 RXK589846:RXK589853 SHG589846:SHG589853 SRC589846:SRC589853 TAY589846:TAY589853 TKU589846:TKU589853 TUQ589846:TUQ589853 UEM589846:UEM589853 UOI589846:UOI589853 UYE589846:UYE589853 VIA589846:VIA589853 VRW589846:VRW589853 WBS589846:WBS589853 WLO589846:WLO589853 WVK589846:WVK589853 D655382:D655389 IY655382:IY655389 SU655382:SU655389 ACQ655382:ACQ655389 AMM655382:AMM655389 AWI655382:AWI655389 BGE655382:BGE655389 BQA655382:BQA655389 BZW655382:BZW655389 CJS655382:CJS655389 CTO655382:CTO655389 DDK655382:DDK655389 DNG655382:DNG655389 DXC655382:DXC655389 EGY655382:EGY655389 EQU655382:EQU655389 FAQ655382:FAQ655389 FKM655382:FKM655389 FUI655382:FUI655389 GEE655382:GEE655389 GOA655382:GOA655389 GXW655382:GXW655389 HHS655382:HHS655389 HRO655382:HRO655389 IBK655382:IBK655389 ILG655382:ILG655389 IVC655382:IVC655389 JEY655382:JEY655389 JOU655382:JOU655389 JYQ655382:JYQ655389 KIM655382:KIM655389 KSI655382:KSI655389 LCE655382:LCE655389 LMA655382:LMA655389 LVW655382:LVW655389 MFS655382:MFS655389 MPO655382:MPO655389 MZK655382:MZK655389 NJG655382:NJG655389 NTC655382:NTC655389 OCY655382:OCY655389 OMU655382:OMU655389 OWQ655382:OWQ655389 PGM655382:PGM655389 PQI655382:PQI655389 QAE655382:QAE655389 QKA655382:QKA655389 QTW655382:QTW655389 RDS655382:RDS655389 RNO655382:RNO655389 RXK655382:RXK655389 SHG655382:SHG655389 SRC655382:SRC655389 TAY655382:TAY655389 TKU655382:TKU655389 TUQ655382:TUQ655389 UEM655382:UEM655389 UOI655382:UOI655389 UYE655382:UYE655389 VIA655382:VIA655389 VRW655382:VRW655389 WBS655382:WBS655389 WLO655382:WLO655389 WVK655382:WVK655389 D720918:D720925 IY720918:IY720925 SU720918:SU720925 ACQ720918:ACQ720925 AMM720918:AMM720925 AWI720918:AWI720925 BGE720918:BGE720925 BQA720918:BQA720925 BZW720918:BZW720925 CJS720918:CJS720925 CTO720918:CTO720925 DDK720918:DDK720925 DNG720918:DNG720925 DXC720918:DXC720925 EGY720918:EGY720925 EQU720918:EQU720925 FAQ720918:FAQ720925 FKM720918:FKM720925 FUI720918:FUI720925 GEE720918:GEE720925 GOA720918:GOA720925 GXW720918:GXW720925 HHS720918:HHS720925 HRO720918:HRO720925 IBK720918:IBK720925 ILG720918:ILG720925 IVC720918:IVC720925 JEY720918:JEY720925 JOU720918:JOU720925 JYQ720918:JYQ720925 KIM720918:KIM720925 KSI720918:KSI720925 LCE720918:LCE720925 LMA720918:LMA720925 LVW720918:LVW720925 MFS720918:MFS720925 MPO720918:MPO720925 MZK720918:MZK720925 NJG720918:NJG720925 NTC720918:NTC720925 OCY720918:OCY720925 OMU720918:OMU720925 OWQ720918:OWQ720925 PGM720918:PGM720925 PQI720918:PQI720925 QAE720918:QAE720925 QKA720918:QKA720925 QTW720918:QTW720925 RDS720918:RDS720925 RNO720918:RNO720925 RXK720918:RXK720925 SHG720918:SHG720925 SRC720918:SRC720925 TAY720918:TAY720925 TKU720918:TKU720925 TUQ720918:TUQ720925 UEM720918:UEM720925 UOI720918:UOI720925 UYE720918:UYE720925 VIA720918:VIA720925 VRW720918:VRW720925 WBS720918:WBS720925 WLO720918:WLO720925 WVK720918:WVK720925 D786454:D786461 IY786454:IY786461 SU786454:SU786461 ACQ786454:ACQ786461 AMM786454:AMM786461 AWI786454:AWI786461 BGE786454:BGE786461 BQA786454:BQA786461 BZW786454:BZW786461 CJS786454:CJS786461 CTO786454:CTO786461 DDK786454:DDK786461 DNG786454:DNG786461 DXC786454:DXC786461 EGY786454:EGY786461 EQU786454:EQU786461 FAQ786454:FAQ786461 FKM786454:FKM786461 FUI786454:FUI786461 GEE786454:GEE786461 GOA786454:GOA786461 GXW786454:GXW786461 HHS786454:HHS786461 HRO786454:HRO786461 IBK786454:IBK786461 ILG786454:ILG786461 IVC786454:IVC786461 JEY786454:JEY786461 JOU786454:JOU786461 JYQ786454:JYQ786461 KIM786454:KIM786461 KSI786454:KSI786461 LCE786454:LCE786461 LMA786454:LMA786461 LVW786454:LVW786461 MFS786454:MFS786461 MPO786454:MPO786461 MZK786454:MZK786461 NJG786454:NJG786461 NTC786454:NTC786461 OCY786454:OCY786461 OMU786454:OMU786461 OWQ786454:OWQ786461 PGM786454:PGM786461 PQI786454:PQI786461 QAE786454:QAE786461 QKA786454:QKA786461 QTW786454:QTW786461 RDS786454:RDS786461 RNO786454:RNO786461 RXK786454:RXK786461 SHG786454:SHG786461 SRC786454:SRC786461 TAY786454:TAY786461 TKU786454:TKU786461 TUQ786454:TUQ786461 UEM786454:UEM786461 UOI786454:UOI786461 UYE786454:UYE786461 VIA786454:VIA786461 VRW786454:VRW786461 WBS786454:WBS786461 WLO786454:WLO786461 WVK786454:WVK786461 D851990:D851997 IY851990:IY851997 SU851990:SU851997 ACQ851990:ACQ851997 AMM851990:AMM851997 AWI851990:AWI851997 BGE851990:BGE851997 BQA851990:BQA851997 BZW851990:BZW851997 CJS851990:CJS851997 CTO851990:CTO851997 DDK851990:DDK851997 DNG851990:DNG851997 DXC851990:DXC851997 EGY851990:EGY851997 EQU851990:EQU851997 FAQ851990:FAQ851997 FKM851990:FKM851997 FUI851990:FUI851997 GEE851990:GEE851997 GOA851990:GOA851997 GXW851990:GXW851997 HHS851990:HHS851997 HRO851990:HRO851997 IBK851990:IBK851997 ILG851990:ILG851997 IVC851990:IVC851997 JEY851990:JEY851997 JOU851990:JOU851997 JYQ851990:JYQ851997 KIM851990:KIM851997 KSI851990:KSI851997 LCE851990:LCE851997 LMA851990:LMA851997 LVW851990:LVW851997 MFS851990:MFS851997 MPO851990:MPO851997 MZK851990:MZK851997 NJG851990:NJG851997 NTC851990:NTC851997 OCY851990:OCY851997 OMU851990:OMU851997 OWQ851990:OWQ851997 PGM851990:PGM851997 PQI851990:PQI851997 QAE851990:QAE851997 QKA851990:QKA851997 QTW851990:QTW851997 RDS851990:RDS851997 RNO851990:RNO851997 RXK851990:RXK851997 SHG851990:SHG851997 SRC851990:SRC851997 TAY851990:TAY851997 TKU851990:TKU851997 TUQ851990:TUQ851997 UEM851990:UEM851997 UOI851990:UOI851997 UYE851990:UYE851997 VIA851990:VIA851997 VRW851990:VRW851997 WBS851990:WBS851997 WLO851990:WLO851997 WVK851990:WVK851997 D917526:D917533 IY917526:IY917533 SU917526:SU917533 ACQ917526:ACQ917533 AMM917526:AMM917533 AWI917526:AWI917533 BGE917526:BGE917533 BQA917526:BQA917533 BZW917526:BZW917533 CJS917526:CJS917533 CTO917526:CTO917533 DDK917526:DDK917533 DNG917526:DNG917533 DXC917526:DXC917533 EGY917526:EGY917533 EQU917526:EQU917533 FAQ917526:FAQ917533 FKM917526:FKM917533 FUI917526:FUI917533 GEE917526:GEE917533 GOA917526:GOA917533 GXW917526:GXW917533 HHS917526:HHS917533 HRO917526:HRO917533 IBK917526:IBK917533 ILG917526:ILG917533 IVC917526:IVC917533 JEY917526:JEY917533 JOU917526:JOU917533 JYQ917526:JYQ917533 KIM917526:KIM917533 KSI917526:KSI917533 LCE917526:LCE917533 LMA917526:LMA917533 LVW917526:LVW917533 MFS917526:MFS917533 MPO917526:MPO917533 MZK917526:MZK917533 NJG917526:NJG917533 NTC917526:NTC917533 OCY917526:OCY917533 OMU917526:OMU917533 OWQ917526:OWQ917533 PGM917526:PGM917533 PQI917526:PQI917533 QAE917526:QAE917533 QKA917526:QKA917533 QTW917526:QTW917533 RDS917526:RDS917533 RNO917526:RNO917533 RXK917526:RXK917533 SHG917526:SHG917533 SRC917526:SRC917533 TAY917526:TAY917533 TKU917526:TKU917533 TUQ917526:TUQ917533 UEM917526:UEM917533 UOI917526:UOI917533 UYE917526:UYE917533 VIA917526:VIA917533 VRW917526:VRW917533 WBS917526:WBS917533 WLO917526:WLO917533 WVK917526:WVK917533 D983062:D983069 IY983062:IY983069 SU983062:SU983069 ACQ983062:ACQ983069 AMM983062:AMM983069 AWI983062:AWI983069 BGE983062:BGE983069 BQA983062:BQA983069 BZW983062:BZW983069 CJS983062:CJS983069 CTO983062:CTO983069 DDK983062:DDK983069 DNG983062:DNG983069 DXC983062:DXC983069 EGY983062:EGY983069 EQU983062:EQU983069 FAQ983062:FAQ983069 FKM983062:FKM983069 FUI983062:FUI983069 GEE983062:GEE983069 GOA983062:GOA983069 GXW983062:GXW983069 HHS983062:HHS983069 HRO983062:HRO983069 IBK983062:IBK983069 ILG983062:ILG983069 IVC983062:IVC983069 JEY983062:JEY983069 JOU983062:JOU983069 JYQ983062:JYQ983069 KIM983062:KIM983069 KSI983062:KSI983069 LCE983062:LCE983069 LMA983062:LMA983069 LVW983062:LVW983069 MFS983062:MFS983069 MPO983062:MPO983069 MZK983062:MZK983069 NJG983062:NJG983069 NTC983062:NTC983069 OCY983062:OCY983069 OMU983062:OMU983069 OWQ983062:OWQ983069 PGM983062:PGM983069 PQI983062:PQI983069 QAE983062:QAE983069 QKA983062:QKA983069 QTW983062:QTW983069 RDS983062:RDS983069 RNO983062:RNO983069 RXK983062:RXK983069 SHG983062:SHG983069 SRC983062:SRC983069 TAY983062:TAY983069 TKU983062:TKU983069 TUQ983062:TUQ983069 UEM983062:UEM983069 UOI983062:UOI983069 UYE983062:UYE983069 VIA983062:VIA983069 VRW983062:VRW983069 WBS983062:WBS983069 WLO983062:WLO983069">
      <formula1>AFC</formula1>
    </dataValidation>
    <dataValidation type="list" allowBlank="1" showInputMessage="1" prompt="Select from list or type in job title" sqref="C26:C33">
      <formula1>Staff_List</formula1>
    </dataValidation>
  </dataValidations>
  <pageMargins left="0.70866141732283472" right="0.70866141732283472" top="0.74803149606299213" bottom="0.74803149606299213" header="0.31496062992125984" footer="0.31496062992125984"/>
  <pageSetup paperSize="9" scale="31" orientation="portrait"/>
  <drawing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staff_costs!$A$4:$A$21</xm:f>
          </x14:formula1>
          <xm:sqref>D26:D33</xm:sqref>
        </x14:dataValidation>
      </x14:dataValidations>
    </ex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4" tint="-0.249977111117893"/>
    <pageSetUpPr fitToPage="1"/>
  </sheetPr>
  <dimension ref="A1:BW134"/>
  <sheetViews>
    <sheetView showGridLines="0" topLeftCell="B1" zoomScale="75" zoomScaleNormal="75" zoomScalePageLayoutView="75" workbookViewId="0">
      <pane ySplit="1" topLeftCell="A2" activePane="bottomLeft" state="frozen"/>
      <selection activeCell="C3" sqref="C3"/>
      <selection pane="bottomLeft" activeCell="B2" sqref="B2"/>
    </sheetView>
  </sheetViews>
  <sheetFormatPr defaultColWidth="8.7109375" defaultRowHeight="14.25" outlineLevelCol="1"/>
  <cols>
    <col min="1" max="1" width="61.85546875" style="42" hidden="1" customWidth="1" outlineLevel="1"/>
    <col min="2" max="2" width="15.7109375" style="42" customWidth="1" collapsed="1"/>
    <col min="3" max="3" width="45.7109375" style="42" customWidth="1"/>
    <col min="4" max="4" width="19.140625" style="42" customWidth="1"/>
    <col min="5" max="7" width="15.7109375" style="42" customWidth="1"/>
    <col min="8" max="8" width="20.42578125" style="42" customWidth="1"/>
    <col min="9" max="10" width="15.7109375" style="42" customWidth="1"/>
    <col min="11" max="11" width="45.7109375" style="42" customWidth="1"/>
    <col min="12" max="12" width="18" style="42" customWidth="1"/>
    <col min="13" max="13" width="15.7109375" style="42" customWidth="1"/>
    <col min="14" max="14" width="8.42578125" style="42" customWidth="1"/>
    <col min="15" max="17" width="8.7109375" style="42"/>
    <col min="18" max="18" width="3" style="42" customWidth="1"/>
    <col min="19" max="19" width="9.42578125" style="42" customWidth="1"/>
    <col min="20" max="21" width="34.7109375" style="42" customWidth="1"/>
    <col min="22" max="22" width="14.7109375" style="42" customWidth="1"/>
    <col min="23" max="23" width="17.7109375" style="42" customWidth="1"/>
    <col min="24" max="24" width="15.42578125" style="42" customWidth="1"/>
    <col min="25" max="16384" width="8.7109375" style="42"/>
  </cols>
  <sheetData>
    <row r="1" spans="1:75" s="1078"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2"/>
      <c r="H1" s="1763"/>
      <c r="I1" s="2311" t="str">
        <f>HYPERLINK("[.\]outputs_by_channel!A1", "To Intervention data outputs by channel")</f>
        <v>To Intervention data outputs by channel</v>
      </c>
      <c r="J1" s="2312"/>
      <c r="K1" s="1762"/>
      <c r="L1" s="1762"/>
      <c r="M1" s="1762"/>
      <c r="O1" s="532"/>
      <c r="Q1" s="532"/>
      <c r="R1" s="532"/>
      <c r="S1" s="532"/>
      <c r="T1" s="532"/>
      <c r="V1" s="532"/>
      <c r="W1" s="532"/>
      <c r="X1" s="532"/>
      <c r="Y1" s="532"/>
      <c r="AA1" s="532"/>
      <c r="AB1" s="532"/>
      <c r="AC1" s="532"/>
      <c r="AD1" s="532"/>
      <c r="AF1" s="532"/>
      <c r="AG1" s="532"/>
      <c r="AH1" s="532"/>
      <c r="AI1" s="532"/>
      <c r="AK1" s="532"/>
      <c r="AL1" s="532"/>
      <c r="AM1" s="532"/>
      <c r="AN1" s="532"/>
      <c r="AP1" s="532"/>
      <c r="AQ1" s="532"/>
      <c r="AR1" s="532"/>
      <c r="AS1" s="532"/>
      <c r="AU1" s="532"/>
      <c r="AV1" s="532"/>
      <c r="AW1" s="532"/>
      <c r="AX1" s="532"/>
      <c r="AZ1" s="532"/>
      <c r="BA1" s="532"/>
      <c r="BB1" s="532"/>
      <c r="BC1" s="532"/>
      <c r="BE1" s="532"/>
      <c r="BF1" s="532"/>
      <c r="BG1" s="532"/>
      <c r="BH1" s="532"/>
      <c r="BJ1" s="532"/>
      <c r="BK1" s="532"/>
      <c r="BL1" s="532"/>
      <c r="BM1" s="532"/>
      <c r="BO1" s="532"/>
      <c r="BP1" s="532"/>
      <c r="BQ1" s="532"/>
      <c r="BR1" s="532"/>
      <c r="BT1" s="532"/>
      <c r="BU1" s="532"/>
      <c r="BV1" s="532"/>
      <c r="BW1" s="532"/>
    </row>
    <row r="2" spans="1:75" ht="15">
      <c r="A2" s="39"/>
      <c r="B2" s="646"/>
      <c r="C2" s="593"/>
      <c r="D2" s="593"/>
      <c r="E2" s="593"/>
      <c r="F2" s="593"/>
      <c r="G2" s="593"/>
      <c r="H2" s="593"/>
      <c r="I2" s="1189"/>
      <c r="J2" s="1505"/>
      <c r="K2" s="2072"/>
      <c r="L2" s="2087"/>
      <c r="M2" s="2088"/>
      <c r="N2" s="580"/>
      <c r="O2" s="39"/>
      <c r="P2" s="39"/>
      <c r="Q2" s="39"/>
      <c r="R2" s="39"/>
      <c r="S2" s="39"/>
      <c r="T2" s="39"/>
    </row>
    <row r="3" spans="1:75" ht="15.75" thickBot="1">
      <c r="A3" s="39"/>
      <c r="B3" s="646"/>
      <c r="C3" s="647"/>
      <c r="D3" s="648"/>
      <c r="E3" s="647"/>
      <c r="F3" s="647"/>
      <c r="G3" s="51"/>
      <c r="H3" s="647"/>
      <c r="I3" s="647"/>
      <c r="J3" s="40"/>
      <c r="K3" s="2070"/>
      <c r="L3" s="2074"/>
      <c r="M3" s="2083"/>
      <c r="N3" s="580"/>
      <c r="O3" s="39"/>
      <c r="P3" s="39"/>
      <c r="Q3" s="39"/>
      <c r="R3" s="39"/>
      <c r="S3" s="39"/>
      <c r="T3" s="39"/>
    </row>
    <row r="4" spans="1:75" ht="15" customHeight="1">
      <c r="A4" s="39"/>
      <c r="B4" s="646"/>
      <c r="C4" s="2319" t="s">
        <v>1326</v>
      </c>
      <c r="D4" s="2418"/>
      <c r="F4" s="6"/>
      <c r="G4" s="6"/>
      <c r="H4" s="6"/>
      <c r="I4" s="593"/>
      <c r="J4" s="40"/>
      <c r="K4" s="2070"/>
      <c r="L4" s="2074"/>
      <c r="M4" s="2083"/>
      <c r="N4" s="580"/>
      <c r="O4" s="39"/>
      <c r="P4" s="39"/>
      <c r="Q4" s="39"/>
      <c r="R4" s="39"/>
      <c r="S4" s="39"/>
      <c r="T4" s="39"/>
    </row>
    <row r="5" spans="1:75" ht="15.75" thickBot="1">
      <c r="A5" s="39"/>
      <c r="B5" s="649"/>
      <c r="C5" s="2321"/>
      <c r="D5" s="2419"/>
      <c r="F5" s="6"/>
      <c r="G5" s="6"/>
      <c r="H5" s="6"/>
      <c r="I5" s="593"/>
      <c r="J5" s="40"/>
      <c r="K5" s="2070"/>
      <c r="L5" s="2075"/>
      <c r="M5" s="2084"/>
      <c r="N5" s="580"/>
      <c r="O5" s="39"/>
      <c r="P5" s="39"/>
      <c r="Q5" s="39"/>
      <c r="R5" s="39"/>
      <c r="S5" s="39"/>
      <c r="T5" s="39"/>
    </row>
    <row r="6" spans="1:75" ht="15.75" thickBot="1">
      <c r="A6" s="39"/>
      <c r="B6" s="649"/>
      <c r="C6" s="49"/>
      <c r="E6" s="648"/>
      <c r="F6" s="647"/>
      <c r="G6" s="647"/>
      <c r="H6" s="647"/>
      <c r="I6" s="647"/>
      <c r="J6" s="40"/>
      <c r="K6" s="2070"/>
      <c r="L6" s="2077"/>
      <c r="M6" s="2085"/>
      <c r="N6" s="580"/>
      <c r="O6" s="39"/>
      <c r="P6" s="39"/>
      <c r="Q6" s="39"/>
      <c r="R6" s="39"/>
      <c r="S6" s="39"/>
      <c r="T6" s="39"/>
    </row>
    <row r="7" spans="1:75" ht="15.75" thickBot="1">
      <c r="A7" s="39"/>
      <c r="B7" s="649"/>
      <c r="C7" s="474" t="s">
        <v>582</v>
      </c>
      <c r="D7" s="806">
        <v>813405</v>
      </c>
      <c r="E7" s="51"/>
      <c r="F7" s="647"/>
      <c r="G7" s="647"/>
      <c r="H7" s="647"/>
      <c r="I7" s="647"/>
      <c r="J7" s="40"/>
      <c r="K7" s="2070"/>
      <c r="L7" s="2078"/>
      <c r="M7" s="2083"/>
      <c r="N7" s="580"/>
      <c r="O7" s="39"/>
      <c r="P7" s="39"/>
      <c r="Q7" s="39"/>
      <c r="R7" s="39"/>
      <c r="S7" s="39"/>
      <c r="T7" s="39"/>
    </row>
    <row r="8" spans="1:75" ht="15">
      <c r="A8" s="39"/>
      <c r="B8" s="1156"/>
      <c r="C8" s="1157"/>
      <c r="D8" s="1157"/>
      <c r="E8" s="647"/>
      <c r="F8" s="647"/>
      <c r="G8" s="647"/>
      <c r="H8" s="647"/>
      <c r="I8" s="647"/>
      <c r="J8" s="580"/>
      <c r="K8" s="2070"/>
      <c r="L8" s="2075"/>
      <c r="M8" s="2084"/>
      <c r="N8" s="580"/>
      <c r="O8" s="39"/>
      <c r="P8" s="39"/>
      <c r="Q8" s="39"/>
      <c r="R8" s="39"/>
      <c r="S8" s="39"/>
      <c r="T8" s="39"/>
    </row>
    <row r="9" spans="1:75" ht="15">
      <c r="A9" s="39"/>
      <c r="B9" s="602"/>
      <c r="C9" s="1777" t="str">
        <f>HYPERLINK("[.\]E_colocation_UTC_ED!B2","To Evidence")</f>
        <v>To Evidence</v>
      </c>
      <c r="D9" s="526"/>
      <c r="E9" s="526"/>
      <c r="F9" s="526"/>
      <c r="G9" s="526"/>
      <c r="H9" s="526"/>
      <c r="I9" s="526"/>
      <c r="J9" s="526"/>
      <c r="K9" s="526"/>
      <c r="L9" s="526"/>
      <c r="M9" s="615"/>
      <c r="N9" s="526"/>
      <c r="O9" s="39"/>
      <c r="P9" s="39"/>
    </row>
    <row r="10" spans="1:75" ht="15">
      <c r="A10" s="39"/>
      <c r="B10" s="1158"/>
      <c r="C10" s="1778"/>
      <c r="D10" s="1778"/>
      <c r="E10" s="1778"/>
      <c r="F10" s="1778"/>
      <c r="G10" s="1778"/>
      <c r="H10" s="1778"/>
      <c r="I10" s="1778"/>
      <c r="J10" s="1778"/>
      <c r="K10" s="526"/>
      <c r="L10" s="526"/>
      <c r="M10" s="615"/>
      <c r="N10" s="526"/>
      <c r="O10" s="39"/>
      <c r="P10" s="39"/>
    </row>
    <row r="11" spans="1:75" ht="15">
      <c r="A11" s="2007" t="s">
        <v>103</v>
      </c>
      <c r="B11" s="2343" t="s">
        <v>119</v>
      </c>
      <c r="C11" s="2360"/>
      <c r="D11" s="2360"/>
      <c r="E11" s="2360"/>
      <c r="F11" s="2360"/>
      <c r="G11" s="2360"/>
      <c r="H11" s="2360"/>
      <c r="I11" s="2360"/>
      <c r="J11" s="2360"/>
      <c r="K11" s="2360"/>
      <c r="L11" s="2360"/>
      <c r="M11" s="2361"/>
      <c r="N11" s="39"/>
      <c r="O11" s="39"/>
      <c r="P11" s="39"/>
    </row>
    <row r="12" spans="1:75" s="223" customFormat="1" ht="15">
      <c r="A12" s="39"/>
      <c r="B12" s="813"/>
      <c r="C12" s="685"/>
      <c r="D12" s="685"/>
      <c r="E12" s="685"/>
      <c r="F12" s="685"/>
      <c r="G12" s="685"/>
      <c r="H12" s="814"/>
      <c r="I12" s="685"/>
      <c r="J12" s="685"/>
      <c r="K12" s="685"/>
      <c r="L12" s="685"/>
      <c r="M12" s="686"/>
    </row>
    <row r="13" spans="1:75" s="39" customFormat="1" ht="15">
      <c r="B13" s="84"/>
      <c r="C13" s="2323" t="s">
        <v>1254</v>
      </c>
      <c r="D13" s="2377"/>
      <c r="E13" s="573">
        <v>31630</v>
      </c>
      <c r="F13" s="525" t="s">
        <v>1327</v>
      </c>
      <c r="G13" s="40"/>
      <c r="H13" s="40"/>
      <c r="I13" s="40"/>
      <c r="J13" s="40"/>
      <c r="K13" s="651"/>
      <c r="L13" s="551"/>
      <c r="M13" s="693" t="s">
        <v>141</v>
      </c>
      <c r="N13" s="40"/>
    </row>
    <row r="14" spans="1:75" s="39" customFormat="1" ht="15">
      <c r="B14" s="548"/>
      <c r="C14" s="2323" t="s">
        <v>552</v>
      </c>
      <c r="D14" s="2377"/>
      <c r="E14" s="652">
        <v>0.9</v>
      </c>
      <c r="F14" s="618"/>
      <c r="G14" s="40"/>
      <c r="H14" s="40"/>
      <c r="I14" s="40"/>
      <c r="J14" s="40"/>
      <c r="K14" s="651"/>
      <c r="L14" s="418"/>
      <c r="M14" s="693" t="s">
        <v>143</v>
      </c>
      <c r="N14" s="40"/>
    </row>
    <row r="15" spans="1:75" s="39" customFormat="1" ht="15">
      <c r="A15" s="223"/>
      <c r="B15" s="548"/>
      <c r="C15" s="2323" t="s">
        <v>544</v>
      </c>
      <c r="D15" s="2377"/>
      <c r="E15" s="1485">
        <f>E14*E13</f>
        <v>28467</v>
      </c>
      <c r="F15" s="527"/>
      <c r="G15" s="40"/>
      <c r="H15" s="40"/>
      <c r="I15" s="40"/>
      <c r="J15" s="40"/>
      <c r="K15" s="651"/>
      <c r="L15" s="554" t="s">
        <v>556</v>
      </c>
      <c r="M15" s="693" t="s">
        <v>143</v>
      </c>
      <c r="N15" s="40"/>
    </row>
    <row r="16" spans="1:75" s="39" customFormat="1" ht="42.75">
      <c r="B16" s="548"/>
      <c r="C16" s="2323" t="s">
        <v>187</v>
      </c>
      <c r="D16" s="2377"/>
      <c r="E16" s="1485">
        <f>L47</f>
        <v>28350</v>
      </c>
      <c r="G16" s="40"/>
      <c r="H16" s="40"/>
      <c r="I16" s="40"/>
      <c r="J16" s="40"/>
      <c r="K16" s="527"/>
      <c r="L16" s="2193"/>
      <c r="M16" s="507" t="s">
        <v>1299</v>
      </c>
      <c r="N16" s="40"/>
    </row>
    <row r="17" spans="1:19" s="39" customFormat="1" ht="15">
      <c r="B17" s="548"/>
      <c r="C17" s="2323" t="s">
        <v>589</v>
      </c>
      <c r="D17" s="2377"/>
      <c r="E17" s="1096">
        <f>E16/E15</f>
        <v>0.9958899778691116</v>
      </c>
      <c r="G17" s="40"/>
      <c r="H17" s="40"/>
      <c r="I17" s="40"/>
      <c r="J17" s="40"/>
      <c r="K17" s="527"/>
      <c r="L17" s="527"/>
      <c r="M17" s="555"/>
      <c r="N17" s="40"/>
    </row>
    <row r="18" spans="1:19" s="39" customFormat="1" ht="15">
      <c r="B18" s="653"/>
      <c r="C18" s="557"/>
      <c r="D18" s="558"/>
      <c r="E18" s="558"/>
      <c r="F18" s="558"/>
      <c r="G18" s="558"/>
      <c r="H18" s="558"/>
      <c r="I18" s="558"/>
      <c r="J18" s="558"/>
      <c r="K18" s="558"/>
      <c r="L18" s="527"/>
      <c r="M18" s="654"/>
      <c r="N18" s="40"/>
    </row>
    <row r="19" spans="1:19" ht="15">
      <c r="A19" s="39"/>
      <c r="B19" s="2343" t="s">
        <v>236</v>
      </c>
      <c r="C19" s="2360"/>
      <c r="D19" s="2360"/>
      <c r="E19" s="2360"/>
      <c r="F19" s="2360"/>
      <c r="G19" s="2360"/>
      <c r="H19" s="2360"/>
      <c r="I19" s="2360"/>
      <c r="J19" s="2360"/>
      <c r="K19" s="2360"/>
      <c r="L19" s="2360"/>
      <c r="M19" s="2361"/>
      <c r="N19" s="73"/>
      <c r="O19" s="39"/>
      <c r="P19" s="39"/>
    </row>
    <row r="20" spans="1:19" ht="15">
      <c r="A20" s="39"/>
      <c r="B20" s="602"/>
      <c r="C20" s="526"/>
      <c r="D20" s="40"/>
      <c r="E20" s="560"/>
      <c r="F20" s="526"/>
      <c r="G20" s="526"/>
      <c r="H20" s="526"/>
      <c r="I20" s="526"/>
      <c r="J20" s="526"/>
      <c r="K20" s="529"/>
      <c r="L20" s="529"/>
      <c r="M20" s="615"/>
      <c r="N20" s="73"/>
      <c r="O20" s="39"/>
      <c r="P20" s="39"/>
    </row>
    <row r="21" spans="1:19" ht="15">
      <c r="A21" s="39"/>
      <c r="B21" s="194"/>
      <c r="C21" s="1774" t="str">
        <f>HYPERLINK("[.\]Set_up_Co_UTC!A1","To Set up costs template")</f>
        <v>To Set up costs template</v>
      </c>
      <c r="D21" s="1714"/>
      <c r="E21" s="560"/>
      <c r="F21" s="526"/>
      <c r="G21" s="526"/>
      <c r="H21" s="526"/>
      <c r="I21" s="526"/>
      <c r="J21" s="526"/>
      <c r="K21" s="526"/>
      <c r="L21" s="529"/>
      <c r="M21" s="615"/>
      <c r="N21" s="73"/>
      <c r="O21" s="39"/>
      <c r="P21" s="39"/>
    </row>
    <row r="22" spans="1:19" ht="15">
      <c r="A22" s="39"/>
      <c r="B22" s="194"/>
      <c r="C22" s="528"/>
      <c r="D22" s="40"/>
      <c r="E22" s="560"/>
      <c r="F22" s="526"/>
      <c r="G22" s="526"/>
      <c r="H22" s="526"/>
      <c r="I22" s="526"/>
      <c r="J22" s="526"/>
      <c r="K22" s="526"/>
      <c r="L22" s="1711"/>
      <c r="M22" s="615"/>
      <c r="N22" s="1715"/>
      <c r="O22" s="39"/>
      <c r="P22" s="39"/>
    </row>
    <row r="23" spans="1:19" ht="15">
      <c r="A23" s="39"/>
      <c r="B23" s="194"/>
      <c r="C23" s="2357" t="s">
        <v>1070</v>
      </c>
      <c r="D23" s="2250"/>
      <c r="E23" s="1208">
        <f>Set_up_Co_UTC!B7</f>
        <v>525997</v>
      </c>
      <c r="G23" s="526"/>
      <c r="H23" s="526"/>
      <c r="I23" s="526"/>
      <c r="J23" s="526"/>
      <c r="K23" s="529"/>
      <c r="L23" s="529"/>
      <c r="M23" s="615"/>
      <c r="N23" s="73"/>
      <c r="O23" s="39"/>
      <c r="P23" s="39"/>
    </row>
    <row r="24" spans="1:19" ht="15">
      <c r="A24" s="39"/>
      <c r="B24" s="194"/>
      <c r="C24" s="1159"/>
      <c r="D24" s="1067"/>
      <c r="G24" s="526"/>
      <c r="H24" s="526"/>
      <c r="I24" s="526"/>
      <c r="J24" s="526"/>
      <c r="K24" s="1073"/>
      <c r="L24" s="1073"/>
      <c r="M24" s="615"/>
      <c r="N24" s="73"/>
      <c r="O24" s="39"/>
      <c r="P24" s="39"/>
    </row>
    <row r="25" spans="1:19" ht="45">
      <c r="A25" s="39"/>
      <c r="B25" s="194"/>
      <c r="C25" s="684" t="s">
        <v>133</v>
      </c>
      <c r="D25" s="684" t="s">
        <v>116</v>
      </c>
      <c r="E25" s="1160" t="s">
        <v>115</v>
      </c>
      <c r="F25" s="563" t="s">
        <v>114</v>
      </c>
      <c r="G25" s="563" t="s">
        <v>113</v>
      </c>
      <c r="H25" s="563" t="s">
        <v>112</v>
      </c>
      <c r="I25" s="73"/>
      <c r="J25" s="73"/>
      <c r="K25" s="564" t="s">
        <v>634</v>
      </c>
      <c r="L25" s="564" t="s">
        <v>110</v>
      </c>
      <c r="M25" s="615"/>
      <c r="N25" s="40"/>
      <c r="O25" s="39"/>
      <c r="P25" s="39"/>
      <c r="Q25" s="39"/>
      <c r="R25" s="39"/>
      <c r="S25" s="39"/>
    </row>
    <row r="26" spans="1:19" ht="15">
      <c r="A26" s="39"/>
      <c r="B26" s="194"/>
      <c r="C26" s="565" t="s">
        <v>8</v>
      </c>
      <c r="D26" s="566" t="s">
        <v>8</v>
      </c>
      <c r="E26" s="579">
        <v>1</v>
      </c>
      <c r="F26" s="774">
        <f>IF(D26&lt;&gt;"",VLOOKUP(D26,staff_costs!$A$3:$H$22,6,0),"")</f>
        <v>111848</v>
      </c>
      <c r="G26" s="568">
        <v>0.3</v>
      </c>
      <c r="H26" s="568">
        <v>0.35</v>
      </c>
      <c r="I26" s="73"/>
      <c r="J26" s="73"/>
      <c r="K26" s="588" t="str">
        <f t="shared" ref="K26:K31" si="0">IF(C26&gt;"",C26,"")</f>
        <v>GP</v>
      </c>
      <c r="L26" s="774">
        <f t="shared" ref="L26:L31" si="1">IF(ISERROR(E26*F26+(E26*G26*(F26*H26))),"",(E26*F26+(E26*G26*(F26*H26))))</f>
        <v>123592.04</v>
      </c>
      <c r="M26" s="106"/>
      <c r="N26" s="40"/>
      <c r="O26" s="39"/>
      <c r="P26" s="39"/>
      <c r="Q26" s="39"/>
      <c r="R26" s="39"/>
      <c r="S26" s="39"/>
    </row>
    <row r="27" spans="1:19" ht="15">
      <c r="A27" s="39"/>
      <c r="B27" s="194"/>
      <c r="C27" s="800" t="s">
        <v>235</v>
      </c>
      <c r="D27" s="566" t="s">
        <v>0</v>
      </c>
      <c r="E27" s="579">
        <v>2.5</v>
      </c>
      <c r="F27" s="774">
        <f>IF(D27&lt;&gt;"",VLOOKUP(D27,staff_costs!$A$3:$H$22,6,0),"")</f>
        <v>55431.72</v>
      </c>
      <c r="G27" s="568">
        <v>0.3</v>
      </c>
      <c r="H27" s="568">
        <v>0.35</v>
      </c>
      <c r="I27" s="73"/>
      <c r="J27" s="73"/>
      <c r="K27" s="588" t="str">
        <f t="shared" si="0"/>
        <v>Advanced nurse practitioner</v>
      </c>
      <c r="L27" s="774">
        <f t="shared" si="1"/>
        <v>153130.12649999998</v>
      </c>
      <c r="M27" s="106"/>
      <c r="N27" s="40"/>
      <c r="O27" s="39"/>
      <c r="P27" s="39"/>
      <c r="Q27" s="39"/>
      <c r="R27" s="39"/>
      <c r="S27" s="39"/>
    </row>
    <row r="28" spans="1:19" ht="15">
      <c r="A28" s="39"/>
      <c r="B28" s="194"/>
      <c r="C28" s="800" t="s">
        <v>1230</v>
      </c>
      <c r="D28" s="566">
        <v>6</v>
      </c>
      <c r="E28" s="579">
        <v>4</v>
      </c>
      <c r="F28" s="774">
        <f>IF(D28&lt;&gt;"",VLOOKUP(D28,staff_costs!$A$3:$H$22,6,0),"")</f>
        <v>37642.68</v>
      </c>
      <c r="G28" s="568">
        <v>0.3</v>
      </c>
      <c r="H28" s="568">
        <v>0.35</v>
      </c>
      <c r="I28" s="73"/>
      <c r="J28" s="73"/>
      <c r="K28" s="588" t="str">
        <f t="shared" si="0"/>
        <v>Nurse</v>
      </c>
      <c r="L28" s="774">
        <f t="shared" si="1"/>
        <v>166380.64559999999</v>
      </c>
      <c r="M28" s="106"/>
      <c r="N28" s="40"/>
      <c r="O28" s="39"/>
      <c r="P28" s="39"/>
      <c r="Q28" s="39"/>
      <c r="R28" s="39"/>
      <c r="S28" s="39"/>
    </row>
    <row r="29" spans="1:19" ht="15">
      <c r="A29" s="39"/>
      <c r="B29" s="194"/>
      <c r="C29" s="565" t="s">
        <v>313</v>
      </c>
      <c r="D29" s="566">
        <v>3</v>
      </c>
      <c r="E29" s="579">
        <v>1.5</v>
      </c>
      <c r="F29" s="774">
        <f>IF(D29&lt;&gt;"",VLOOKUP(D29,staff_costs!$A$3:$H$22,6,0),"")</f>
        <v>22508.48</v>
      </c>
      <c r="G29" s="568">
        <v>0.3</v>
      </c>
      <c r="H29" s="568">
        <v>0.35</v>
      </c>
      <c r="I29" s="73"/>
      <c r="J29" s="73"/>
      <c r="K29" s="588" t="str">
        <f t="shared" si="0"/>
        <v>Receptionist</v>
      </c>
      <c r="L29" s="774">
        <f t="shared" si="1"/>
        <v>37307.8056</v>
      </c>
      <c r="M29" s="106"/>
      <c r="N29" s="40"/>
      <c r="O29" s="39"/>
      <c r="P29" s="39"/>
      <c r="Q29" s="39"/>
      <c r="R29" s="39"/>
      <c r="S29" s="39"/>
    </row>
    <row r="30" spans="1:19" ht="15">
      <c r="A30" s="39"/>
      <c r="B30" s="194"/>
      <c r="C30" s="565"/>
      <c r="D30" s="566"/>
      <c r="E30" s="579"/>
      <c r="F30" s="774" t="str">
        <f>IF(D30&lt;&gt;"",VLOOKUP(D30,staff_costs!$A$3:$H$22,6,0),"")</f>
        <v/>
      </c>
      <c r="G30" s="568"/>
      <c r="H30" s="568"/>
      <c r="I30" s="73"/>
      <c r="J30" s="73"/>
      <c r="K30" s="588" t="str">
        <f t="shared" si="0"/>
        <v/>
      </c>
      <c r="L30" s="774" t="str">
        <f t="shared" si="1"/>
        <v/>
      </c>
      <c r="M30" s="106"/>
      <c r="N30" s="40"/>
      <c r="O30" s="39"/>
      <c r="P30" s="39"/>
      <c r="Q30" s="39"/>
      <c r="R30" s="39"/>
      <c r="S30" s="39"/>
    </row>
    <row r="31" spans="1:19" ht="15">
      <c r="A31" s="39"/>
      <c r="B31" s="194"/>
      <c r="C31" s="565"/>
      <c r="D31" s="566"/>
      <c r="E31" s="579"/>
      <c r="F31" s="774" t="str">
        <f>IF(D31&lt;&gt;"",VLOOKUP(D31,staff_costs!$A$3:$H$22,6,0),"")</f>
        <v/>
      </c>
      <c r="G31" s="568"/>
      <c r="H31" s="568"/>
      <c r="I31" s="73"/>
      <c r="J31" s="73"/>
      <c r="K31" s="588" t="str">
        <f t="shared" si="0"/>
        <v/>
      </c>
      <c r="L31" s="774" t="str">
        <f t="shared" si="1"/>
        <v/>
      </c>
      <c r="M31" s="106"/>
      <c r="N31" s="40"/>
      <c r="O31" s="39"/>
      <c r="P31" s="39"/>
      <c r="Q31" s="39"/>
      <c r="R31" s="39"/>
      <c r="S31" s="39"/>
    </row>
    <row r="32" spans="1:19" ht="15">
      <c r="A32" s="39"/>
      <c r="B32" s="194"/>
      <c r="C32" s="1070" t="s">
        <v>109</v>
      </c>
      <c r="D32" s="780"/>
      <c r="E32" s="667">
        <f>SUM(E26:E31)</f>
        <v>9</v>
      </c>
      <c r="F32" s="40"/>
      <c r="G32" s="73"/>
      <c r="H32" s="526"/>
      <c r="I32" s="40"/>
      <c r="J32" s="526"/>
      <c r="K32" s="588" t="s">
        <v>184</v>
      </c>
      <c r="L32" s="774">
        <f>SUM(L26:L31)</f>
        <v>480410.6177</v>
      </c>
      <c r="M32" s="106"/>
      <c r="N32" s="40"/>
      <c r="O32" s="39"/>
      <c r="P32" s="39"/>
      <c r="Q32" s="39"/>
      <c r="R32" s="39"/>
      <c r="S32" s="39"/>
    </row>
    <row r="33" spans="1:21" ht="15">
      <c r="A33" s="39"/>
      <c r="B33" s="668"/>
      <c r="C33" s="526"/>
      <c r="D33" s="204"/>
      <c r="E33" s="40"/>
      <c r="F33" s="559"/>
      <c r="G33" s="526"/>
      <c r="H33" s="40"/>
      <c r="I33" s="40"/>
      <c r="J33" s="526"/>
      <c r="K33" s="526"/>
      <c r="L33" s="527"/>
      <c r="M33" s="620"/>
      <c r="N33" s="40"/>
      <c r="O33" s="39"/>
      <c r="P33" s="39"/>
      <c r="Q33" s="39"/>
      <c r="R33" s="39"/>
      <c r="S33" s="39"/>
    </row>
    <row r="34" spans="1:21" ht="45">
      <c r="A34" s="39"/>
      <c r="B34" s="194"/>
      <c r="C34" s="684" t="s">
        <v>285</v>
      </c>
      <c r="D34" s="669" t="s">
        <v>115</v>
      </c>
      <c r="E34" s="563" t="s">
        <v>1012</v>
      </c>
      <c r="F34" s="529"/>
      <c r="G34" s="529"/>
      <c r="H34" s="529"/>
      <c r="I34" s="529"/>
      <c r="J34" s="529"/>
      <c r="K34" s="563" t="s">
        <v>285</v>
      </c>
      <c r="L34" s="563" t="s">
        <v>1013</v>
      </c>
      <c r="M34" s="1134" t="s">
        <v>284</v>
      </c>
      <c r="N34" s="40"/>
      <c r="O34" s="39"/>
      <c r="P34" s="39"/>
      <c r="Q34" s="39"/>
      <c r="R34" s="39"/>
      <c r="S34" s="39"/>
      <c r="T34" s="39"/>
      <c r="U34" s="39"/>
    </row>
    <row r="35" spans="1:21" ht="15">
      <c r="A35" s="39"/>
      <c r="B35" s="194"/>
      <c r="C35" s="572" t="str">
        <f t="shared" ref="C35:C38" si="2">IF(C26&gt;"",C26,"")</f>
        <v>GP</v>
      </c>
      <c r="D35" s="1486">
        <f t="shared" ref="D35:D38" si="3">IF(E26&gt;0,E26,"")</f>
        <v>1</v>
      </c>
      <c r="E35" s="570">
        <v>3</v>
      </c>
      <c r="F35" s="529"/>
      <c r="G35" s="40"/>
      <c r="K35" s="1167" t="str">
        <f>IF(D35=0," ",C35)</f>
        <v>GP</v>
      </c>
      <c r="L35" s="1337">
        <f>IF(ISERROR(D35*E$44*E$45),"",(D35*E$44*E$45))</f>
        <v>1575</v>
      </c>
      <c r="M35" s="1338">
        <f>IF(ISERROR(L35*E35),"",(L35*E35))</f>
        <v>4725</v>
      </c>
      <c r="N35" s="40"/>
      <c r="O35" s="39"/>
      <c r="P35" s="39"/>
      <c r="Q35" s="39"/>
      <c r="R35" s="39"/>
      <c r="S35" s="39"/>
      <c r="T35" s="39"/>
      <c r="U35" s="39"/>
    </row>
    <row r="36" spans="1:21" ht="15" customHeight="1">
      <c r="A36" s="39"/>
      <c r="B36" s="194"/>
      <c r="C36" s="572" t="str">
        <f t="shared" si="2"/>
        <v>Advanced nurse practitioner</v>
      </c>
      <c r="D36" s="1486">
        <f t="shared" si="3"/>
        <v>2.5</v>
      </c>
      <c r="E36" s="570">
        <v>3</v>
      </c>
      <c r="F36" s="529"/>
      <c r="G36" s="40"/>
      <c r="K36" s="1167" t="str">
        <f>IF(D36=0," ",C36)</f>
        <v>Advanced nurse practitioner</v>
      </c>
      <c r="L36" s="1337">
        <f>IF(ISERROR(D36*E$44*E$45),"",(D36*E$44*E$45))</f>
        <v>3937.5</v>
      </c>
      <c r="M36" s="1338">
        <f>IF(ISERROR(L36*E36),"",(L36*E36))</f>
        <v>11812.5</v>
      </c>
      <c r="N36" s="40"/>
      <c r="O36" s="39"/>
      <c r="P36" s="39"/>
      <c r="Q36" s="39"/>
      <c r="R36" s="39"/>
      <c r="S36" s="39"/>
      <c r="T36" s="39"/>
      <c r="U36" s="39"/>
    </row>
    <row r="37" spans="1:21" ht="15">
      <c r="A37" s="39"/>
      <c r="B37" s="194"/>
      <c r="C37" s="572" t="str">
        <f t="shared" si="2"/>
        <v>Nurse</v>
      </c>
      <c r="D37" s="1486">
        <f t="shared" si="3"/>
        <v>4</v>
      </c>
      <c r="E37" s="570">
        <v>3</v>
      </c>
      <c r="F37" s="529"/>
      <c r="G37" s="40"/>
      <c r="K37" s="1167" t="str">
        <f>IF(D37=0," ",C37)</f>
        <v>Nurse</v>
      </c>
      <c r="L37" s="1337">
        <f>IF(ISERROR(D37*E$44*E$45),"",(D37*E$44*E$45))</f>
        <v>6300</v>
      </c>
      <c r="M37" s="1338">
        <f>IF(ISERROR(L37*E37),"",(L37*E37))</f>
        <v>18900</v>
      </c>
      <c r="N37" s="40"/>
      <c r="O37" s="39"/>
      <c r="P37" s="39"/>
      <c r="Q37" s="39"/>
      <c r="R37" s="39"/>
      <c r="S37" s="39"/>
      <c r="T37" s="39"/>
      <c r="U37" s="39"/>
    </row>
    <row r="38" spans="1:21" ht="15" customHeight="1">
      <c r="A38" s="39"/>
      <c r="B38" s="194"/>
      <c r="C38" s="572" t="str">
        <f t="shared" si="2"/>
        <v>Receptionist</v>
      </c>
      <c r="D38" s="1486">
        <f t="shared" si="3"/>
        <v>1.5</v>
      </c>
      <c r="E38" s="570">
        <v>0</v>
      </c>
      <c r="F38" s="529"/>
      <c r="G38" s="40"/>
      <c r="K38" s="1167" t="str">
        <f>IF(D38=0," ",C38)</f>
        <v>Receptionist</v>
      </c>
      <c r="L38" s="1337">
        <f>IF(ISERROR(D38*E$44*E$45),"",(D38*E$44*E$45))</f>
        <v>2362.5</v>
      </c>
      <c r="M38" s="631">
        <f>IF(ISERROR(L38*E38),"",(L38*E38))</f>
        <v>0</v>
      </c>
      <c r="N38" s="40"/>
      <c r="O38" s="39"/>
      <c r="P38" s="39"/>
      <c r="Q38" s="39"/>
      <c r="R38" s="39"/>
      <c r="S38" s="39"/>
      <c r="T38" s="39"/>
      <c r="U38" s="39"/>
    </row>
    <row r="39" spans="1:21" ht="15">
      <c r="A39" s="39"/>
      <c r="B39" s="194"/>
      <c r="C39" s="1069" t="s">
        <v>1017</v>
      </c>
      <c r="D39" s="445"/>
      <c r="E39" s="595">
        <f>SUM(E35:E38)</f>
        <v>9</v>
      </c>
      <c r="F39" s="6"/>
      <c r="G39" s="6"/>
      <c r="H39" s="6"/>
      <c r="I39" s="6"/>
      <c r="J39" s="6"/>
      <c r="K39" s="1168" t="s">
        <v>98</v>
      </c>
      <c r="L39" s="1337">
        <f>SUM(L33:L38)</f>
        <v>14175</v>
      </c>
      <c r="M39" s="1338">
        <f>SUM(M33:M38)</f>
        <v>35437.5</v>
      </c>
      <c r="N39" s="40"/>
      <c r="O39" s="39"/>
      <c r="P39" s="39"/>
      <c r="Q39" s="39"/>
      <c r="R39" s="39"/>
      <c r="S39" s="39"/>
      <c r="T39" s="39"/>
      <c r="U39" s="39"/>
    </row>
    <row r="40" spans="1:21" ht="15">
      <c r="A40" s="39"/>
      <c r="B40" s="194"/>
      <c r="C40" s="6"/>
      <c r="D40" s="6"/>
      <c r="E40" s="6"/>
      <c r="F40" s="6"/>
      <c r="G40" s="6"/>
      <c r="H40" s="6"/>
      <c r="I40" s="6"/>
      <c r="J40" s="6"/>
      <c r="K40" s="6"/>
      <c r="L40" s="6"/>
      <c r="M40" s="615"/>
      <c r="N40" s="40"/>
      <c r="O40" s="39"/>
      <c r="P40" s="39"/>
      <c r="Q40" s="39"/>
      <c r="R40" s="39"/>
      <c r="S40" s="39"/>
      <c r="T40" s="39"/>
      <c r="U40" s="39"/>
    </row>
    <row r="41" spans="1:21" ht="15">
      <c r="A41" s="39"/>
      <c r="B41" s="194"/>
      <c r="C41" s="40"/>
      <c r="D41" s="204"/>
      <c r="E41" s="40"/>
      <c r="F41" s="40"/>
      <c r="G41" s="40"/>
      <c r="H41" s="575"/>
      <c r="I41" s="575"/>
      <c r="J41" s="600"/>
      <c r="K41" s="40"/>
      <c r="L41" s="1073"/>
      <c r="M41" s="83"/>
      <c r="N41" s="40"/>
      <c r="O41" s="39"/>
      <c r="P41" s="39"/>
      <c r="Q41" s="39"/>
      <c r="R41" s="39"/>
      <c r="S41" s="39"/>
      <c r="T41" s="39"/>
      <c r="U41" s="39"/>
    </row>
    <row r="42" spans="1:21" ht="15">
      <c r="A42" s="39"/>
      <c r="B42" s="194"/>
      <c r="C42" s="40"/>
      <c r="D42" s="204"/>
      <c r="E42" s="687"/>
      <c r="F42" s="40"/>
      <c r="G42" s="40"/>
      <c r="H42" s="40"/>
      <c r="I42" s="40"/>
      <c r="J42" s="526"/>
      <c r="K42" s="40"/>
      <c r="L42" s="1073"/>
      <c r="M42" s="83"/>
      <c r="N42" s="40"/>
      <c r="O42" s="39"/>
      <c r="P42" s="39"/>
      <c r="Q42" s="39"/>
      <c r="R42" s="39"/>
      <c r="S42" s="39"/>
      <c r="T42" s="39"/>
      <c r="U42" s="39"/>
    </row>
    <row r="43" spans="1:21" ht="15">
      <c r="A43" s="39"/>
      <c r="B43" s="194"/>
      <c r="C43" s="2330" t="s">
        <v>108</v>
      </c>
      <c r="D43" s="2331"/>
      <c r="E43" s="2250"/>
      <c r="F43" s="40"/>
      <c r="G43" s="40"/>
      <c r="H43" s="40"/>
      <c r="I43" s="40"/>
      <c r="J43" s="526"/>
      <c r="K43" s="40"/>
      <c r="L43" s="529"/>
      <c r="M43" s="83"/>
      <c r="N43" s="40"/>
      <c r="O43" s="39"/>
      <c r="P43" s="39"/>
      <c r="Q43" s="39"/>
      <c r="R43" s="39"/>
      <c r="S43" s="39"/>
      <c r="T43" s="39"/>
      <c r="U43" s="39"/>
    </row>
    <row r="44" spans="1:21" ht="15">
      <c r="A44" s="39"/>
      <c r="B44" s="194"/>
      <c r="C44" s="2342" t="s">
        <v>106</v>
      </c>
      <c r="D44" s="2341"/>
      <c r="E44" s="576">
        <v>42</v>
      </c>
      <c r="F44" s="40"/>
      <c r="G44" s="40"/>
      <c r="H44" s="40"/>
      <c r="I44" s="40"/>
      <c r="J44" s="526"/>
      <c r="K44" s="40"/>
      <c r="L44" s="529"/>
      <c r="M44" s="83"/>
      <c r="N44" s="40"/>
      <c r="O44" s="39"/>
      <c r="P44" s="39"/>
      <c r="Q44" s="39"/>
      <c r="R44" s="39"/>
      <c r="S44" s="39"/>
      <c r="T44" s="39"/>
      <c r="U44" s="39"/>
    </row>
    <row r="45" spans="1:21" ht="15">
      <c r="A45" s="39"/>
      <c r="B45" s="194"/>
      <c r="C45" s="2342" t="s">
        <v>250</v>
      </c>
      <c r="D45" s="2341"/>
      <c r="E45" s="579">
        <v>37.5</v>
      </c>
      <c r="F45" s="40"/>
      <c r="G45" s="40"/>
      <c r="H45" s="40"/>
      <c r="I45" s="40"/>
      <c r="J45" s="526"/>
      <c r="K45" s="40"/>
      <c r="L45" s="529"/>
      <c r="M45" s="83"/>
      <c r="N45" s="40"/>
      <c r="O45" s="39"/>
      <c r="P45" s="39"/>
      <c r="Q45" s="39"/>
      <c r="R45" s="39"/>
      <c r="S45" s="39"/>
      <c r="T45" s="39"/>
      <c r="U45" s="39"/>
    </row>
    <row r="46" spans="1:21" ht="15">
      <c r="A46" s="39"/>
      <c r="B46" s="194"/>
      <c r="C46" s="126"/>
      <c r="D46" s="40"/>
      <c r="E46" s="687"/>
      <c r="F46" s="40"/>
      <c r="G46" s="40"/>
      <c r="H46" s="40"/>
      <c r="I46" s="40"/>
      <c r="J46" s="526"/>
      <c r="K46" s="40"/>
      <c r="L46" s="529"/>
      <c r="M46" s="83"/>
      <c r="N46" s="40"/>
      <c r="O46" s="39"/>
      <c r="P46" s="39"/>
      <c r="Q46" s="39"/>
      <c r="R46" s="39"/>
      <c r="S46" s="39"/>
      <c r="T46" s="39"/>
      <c r="U46" s="39"/>
    </row>
    <row r="47" spans="1:21" ht="15">
      <c r="A47" s="39"/>
      <c r="B47" s="194"/>
      <c r="C47" s="2430" t="s">
        <v>206</v>
      </c>
      <c r="D47" s="2359"/>
      <c r="E47" s="568">
        <v>0.8</v>
      </c>
      <c r="F47" s="40"/>
      <c r="G47" s="40"/>
      <c r="J47" s="1169"/>
      <c r="K47" s="1075" t="s">
        <v>283</v>
      </c>
      <c r="L47" s="670">
        <f>M39*E47</f>
        <v>28350</v>
      </c>
      <c r="M47" s="83"/>
      <c r="N47" s="40"/>
      <c r="O47" s="39"/>
      <c r="P47" s="39"/>
      <c r="Q47" s="39"/>
      <c r="R47" s="39"/>
      <c r="S47" s="39"/>
      <c r="T47" s="39"/>
      <c r="U47" s="39"/>
    </row>
    <row r="48" spans="1:21" ht="30">
      <c r="A48" s="39"/>
      <c r="B48" s="194"/>
      <c r="C48" s="40"/>
      <c r="D48" s="40"/>
      <c r="E48" s="526"/>
      <c r="F48" s="40"/>
      <c r="G48" s="40"/>
      <c r="I48" s="40"/>
      <c r="J48" s="258"/>
      <c r="K48" s="1339"/>
      <c r="L48" s="1339" t="s">
        <v>282</v>
      </c>
      <c r="M48" s="83"/>
      <c r="N48" s="40"/>
      <c r="O48" s="39"/>
      <c r="P48" s="39"/>
      <c r="Q48" s="39"/>
      <c r="R48" s="39"/>
      <c r="S48" s="39"/>
      <c r="T48" s="39"/>
      <c r="U48" s="39"/>
    </row>
    <row r="49" spans="1:21" ht="30">
      <c r="A49" s="39"/>
      <c r="B49" s="194"/>
      <c r="C49" s="684" t="s">
        <v>233</v>
      </c>
      <c r="D49" s="684" t="s">
        <v>132</v>
      </c>
      <c r="E49" s="563" t="s">
        <v>131</v>
      </c>
      <c r="G49" s="40"/>
      <c r="I49" s="526"/>
      <c r="K49" s="1076" t="s">
        <v>233</v>
      </c>
      <c r="L49" s="564" t="s">
        <v>110</v>
      </c>
      <c r="M49" s="83"/>
      <c r="N49" s="39"/>
      <c r="O49" s="39"/>
      <c r="P49" s="39"/>
      <c r="Q49" s="39"/>
      <c r="R49" s="39"/>
      <c r="S49" s="39"/>
    </row>
    <row r="50" spans="1:21" ht="15">
      <c r="A50" s="39"/>
      <c r="B50" s="194"/>
      <c r="C50" s="565" t="s">
        <v>204</v>
      </c>
      <c r="D50" s="971">
        <f>L47</f>
        <v>28350</v>
      </c>
      <c r="E50" s="1208">
        <v>20</v>
      </c>
      <c r="G50" s="40"/>
      <c r="I50" s="635"/>
      <c r="K50" s="1113" t="str">
        <f>IF(C50&gt;"",C50,"")</f>
        <v>Diagnostics</v>
      </c>
      <c r="L50" s="774">
        <f>E50*D50</f>
        <v>567000</v>
      </c>
      <c r="M50" s="83"/>
      <c r="N50" s="39"/>
      <c r="O50" s="39"/>
      <c r="P50" s="39"/>
      <c r="Q50" s="39"/>
      <c r="R50" s="39"/>
      <c r="S50" s="39"/>
    </row>
    <row r="51" spans="1:21" ht="15">
      <c r="A51" s="39"/>
      <c r="B51" s="194"/>
      <c r="C51" s="565" t="s">
        <v>652</v>
      </c>
      <c r="D51" s="971">
        <f>L47</f>
        <v>28350</v>
      </c>
      <c r="E51" s="1208">
        <v>5</v>
      </c>
      <c r="G51" s="40"/>
      <c r="I51" s="635"/>
      <c r="K51" s="1113" t="str">
        <f>IF(C51&gt;"",C51,"")</f>
        <v xml:space="preserve">Other Variable Cost </v>
      </c>
      <c r="L51" s="774">
        <f>E51*D51</f>
        <v>141750</v>
      </c>
      <c r="M51" s="83"/>
      <c r="N51" s="39"/>
      <c r="O51" s="39"/>
      <c r="P51" s="39"/>
      <c r="Q51" s="39"/>
      <c r="R51" s="39"/>
      <c r="S51" s="39"/>
    </row>
    <row r="52" spans="1:21" ht="15">
      <c r="A52" s="39"/>
      <c r="B52" s="194"/>
      <c r="C52" s="565" t="s">
        <v>1014</v>
      </c>
      <c r="D52" s="971">
        <f>E39</f>
        <v>9</v>
      </c>
      <c r="E52" s="1208">
        <v>4000</v>
      </c>
      <c r="G52" s="40"/>
      <c r="I52" s="635"/>
      <c r="K52" s="1113" t="str">
        <f>IF(C52&gt;"",C52,"")</f>
        <v>Staff related overheads (IT, HR etc)</v>
      </c>
      <c r="L52" s="774">
        <f>E52*D52</f>
        <v>36000</v>
      </c>
      <c r="M52" s="83"/>
      <c r="N52" s="39"/>
      <c r="O52" s="39"/>
      <c r="P52" s="39"/>
      <c r="Q52" s="39"/>
      <c r="R52" s="39"/>
      <c r="S52" s="39"/>
    </row>
    <row r="53" spans="1:21" ht="15">
      <c r="A53" s="39"/>
      <c r="B53" s="194"/>
      <c r="C53" s="565" t="s">
        <v>651</v>
      </c>
      <c r="D53" s="971">
        <v>1</v>
      </c>
      <c r="E53" s="1539">
        <f>L32*0.3</f>
        <v>144123.18531</v>
      </c>
      <c r="G53" s="40"/>
      <c r="I53" s="635"/>
      <c r="K53" s="1113" t="str">
        <f>IF(C53&gt;"",C53,"")</f>
        <v>Other costs</v>
      </c>
      <c r="L53" s="774">
        <f>E53*D53</f>
        <v>144123.18531</v>
      </c>
      <c r="M53" s="83"/>
      <c r="N53" s="39"/>
      <c r="O53" s="39"/>
      <c r="P53" s="39"/>
      <c r="Q53" s="39"/>
      <c r="R53" s="39"/>
      <c r="S53" s="39"/>
    </row>
    <row r="54" spans="1:21" ht="15">
      <c r="A54" s="39"/>
      <c r="B54" s="84"/>
      <c r="C54" s="40"/>
      <c r="D54" s="40"/>
      <c r="E54" s="40"/>
      <c r="F54" s="40"/>
      <c r="G54" s="40"/>
      <c r="I54" s="635"/>
      <c r="K54" s="1113" t="s">
        <v>1116</v>
      </c>
      <c r="L54" s="774">
        <f>SUM(L50:L53)</f>
        <v>888873.18530999997</v>
      </c>
      <c r="M54" s="83"/>
      <c r="N54" s="39"/>
      <c r="O54" s="39"/>
      <c r="P54" s="39"/>
      <c r="Q54" s="39"/>
      <c r="R54" s="39"/>
      <c r="S54" s="39"/>
    </row>
    <row r="55" spans="1:21" ht="15">
      <c r="A55" s="39"/>
      <c r="B55" s="84"/>
      <c r="C55" s="40"/>
      <c r="D55" s="40"/>
      <c r="E55" s="40"/>
      <c r="F55" s="40"/>
      <c r="G55" s="40"/>
      <c r="I55" s="575"/>
      <c r="K55" s="609"/>
      <c r="L55" s="600"/>
      <c r="M55" s="83"/>
      <c r="N55" s="40"/>
      <c r="O55" s="39"/>
      <c r="P55" s="39"/>
      <c r="Q55" s="39"/>
      <c r="R55" s="39"/>
      <c r="S55" s="39"/>
      <c r="T55" s="619"/>
      <c r="U55" s="39"/>
    </row>
    <row r="56" spans="1:21" ht="15">
      <c r="A56" s="39"/>
      <c r="B56" s="84"/>
      <c r="C56" s="40"/>
      <c r="D56" s="40"/>
      <c r="E56" s="40"/>
      <c r="F56" s="40"/>
      <c r="G56" s="40"/>
      <c r="I56" s="635"/>
      <c r="K56" s="1113" t="s">
        <v>25</v>
      </c>
      <c r="L56" s="774">
        <f>L54+L32</f>
        <v>1369283.8030099999</v>
      </c>
      <c r="M56" s="83"/>
      <c r="N56" s="40"/>
      <c r="O56" s="39"/>
      <c r="P56" s="39"/>
      <c r="Q56" s="39"/>
      <c r="R56" s="39"/>
      <c r="S56" s="39"/>
      <c r="T56" s="39"/>
      <c r="U56" s="39"/>
    </row>
    <row r="57" spans="1:21" ht="15">
      <c r="A57" s="39"/>
      <c r="B57" s="84"/>
      <c r="C57" s="40"/>
      <c r="D57" s="40"/>
      <c r="E57" s="40"/>
      <c r="F57" s="40"/>
      <c r="G57" s="40"/>
      <c r="I57" s="635"/>
      <c r="K57" s="1113" t="s">
        <v>280</v>
      </c>
      <c r="L57" s="815">
        <f>L56/L47</f>
        <v>48.299252310758376</v>
      </c>
      <c r="M57" s="83"/>
      <c r="N57" s="40"/>
      <c r="O57" s="39"/>
      <c r="P57" s="39"/>
      <c r="Q57" s="39"/>
      <c r="R57" s="39"/>
      <c r="S57" s="39"/>
      <c r="T57" s="39"/>
      <c r="U57" s="39"/>
    </row>
    <row r="58" spans="1:21" s="39" customFormat="1" ht="15">
      <c r="B58" s="84"/>
      <c r="C58" s="40"/>
      <c r="D58" s="40"/>
      <c r="E58" s="40"/>
      <c r="F58" s="40"/>
      <c r="G58" s="40"/>
      <c r="H58" s="617"/>
      <c r="I58" s="617"/>
      <c r="J58" s="40"/>
      <c r="K58" s="816"/>
      <c r="L58" s="40"/>
      <c r="M58" s="83"/>
      <c r="N58" s="40"/>
    </row>
    <row r="59" spans="1:21" ht="15">
      <c r="A59" s="39"/>
      <c r="B59" s="2427" t="s">
        <v>102</v>
      </c>
      <c r="C59" s="2428"/>
      <c r="D59" s="2428"/>
      <c r="E59" s="2428"/>
      <c r="F59" s="2428"/>
      <c r="G59" s="2428"/>
      <c r="H59" s="2428"/>
      <c r="I59" s="2428"/>
      <c r="J59" s="2428"/>
      <c r="K59" s="2428"/>
      <c r="L59" s="2428"/>
      <c r="M59" s="2429"/>
      <c r="N59" s="73"/>
      <c r="O59" s="39"/>
      <c r="P59" s="39"/>
    </row>
    <row r="60" spans="1:21" ht="15">
      <c r="A60" s="39"/>
      <c r="B60" s="194"/>
      <c r="C60" s="581"/>
      <c r="D60" s="581"/>
      <c r="E60" s="581"/>
      <c r="F60" s="581"/>
      <c r="G60" s="581"/>
      <c r="H60" s="581"/>
      <c r="I60" s="581"/>
      <c r="J60" s="581"/>
      <c r="K60" s="581"/>
      <c r="L60" s="529"/>
      <c r="M60" s="83"/>
      <c r="N60" s="73"/>
      <c r="O60" s="517"/>
      <c r="P60" s="517"/>
      <c r="Q60" s="518"/>
      <c r="R60" s="518"/>
      <c r="S60" s="518"/>
    </row>
    <row r="61" spans="1:21" ht="15">
      <c r="A61" s="39"/>
      <c r="B61" s="194"/>
      <c r="C61" s="581"/>
      <c r="D61" s="581"/>
      <c r="E61" s="581"/>
      <c r="F61" s="581"/>
      <c r="G61" s="581"/>
      <c r="I61" s="581"/>
      <c r="J61" s="581"/>
      <c r="K61" s="691" t="s">
        <v>591</v>
      </c>
      <c r="L61" s="1337">
        <f>L47</f>
        <v>28350</v>
      </c>
      <c r="M61" s="83"/>
      <c r="N61" s="73"/>
      <c r="O61" s="517"/>
      <c r="P61" s="517"/>
      <c r="Q61" s="518"/>
      <c r="R61" s="518"/>
      <c r="S61" s="518"/>
    </row>
    <row r="62" spans="1:21" ht="15">
      <c r="A62" s="39"/>
      <c r="B62" s="194"/>
      <c r="C62" s="644"/>
      <c r="D62" s="644"/>
      <c r="E62" s="644"/>
      <c r="F62" s="644"/>
      <c r="G62" s="40"/>
      <c r="H62" s="581"/>
      <c r="I62" s="581"/>
      <c r="J62" s="581"/>
      <c r="K62" s="581"/>
      <c r="L62" s="529"/>
      <c r="M62" s="83"/>
      <c r="N62" s="73"/>
      <c r="O62" s="517"/>
      <c r="P62" s="517"/>
      <c r="Q62" s="518"/>
      <c r="R62" s="518"/>
      <c r="S62" s="518"/>
    </row>
    <row r="63" spans="1:21" ht="45">
      <c r="A63" s="39"/>
      <c r="B63" s="194"/>
      <c r="C63" s="1170" t="s">
        <v>1016</v>
      </c>
      <c r="D63" s="983" t="s">
        <v>100</v>
      </c>
      <c r="E63" s="983" t="s">
        <v>122</v>
      </c>
      <c r="F63" s="684" t="s">
        <v>199</v>
      </c>
      <c r="G63" s="40"/>
      <c r="I63" s="617"/>
      <c r="J63" s="529"/>
      <c r="K63" s="563" t="s">
        <v>1117</v>
      </c>
      <c r="L63" s="563" t="s">
        <v>121</v>
      </c>
      <c r="M63" s="1134" t="s">
        <v>148</v>
      </c>
      <c r="N63" s="73"/>
      <c r="O63" s="517"/>
      <c r="P63" s="517"/>
      <c r="Q63" s="518"/>
      <c r="R63" s="518"/>
      <c r="S63" s="518"/>
    </row>
    <row r="64" spans="1:21" ht="15">
      <c r="A64" s="39"/>
      <c r="B64" s="194"/>
      <c r="C64" s="572" t="s">
        <v>49</v>
      </c>
      <c r="D64" s="604">
        <v>0.8</v>
      </c>
      <c r="E64" s="604">
        <v>1</v>
      </c>
      <c r="F64" s="587">
        <v>0.9</v>
      </c>
      <c r="G64" s="40"/>
      <c r="I64" s="635"/>
      <c r="J64" s="575"/>
      <c r="K64" s="1113" t="str">
        <f>C64</f>
        <v>ED Minor attends</v>
      </c>
      <c r="L64" s="1337">
        <f>F64*L47</f>
        <v>25515</v>
      </c>
      <c r="M64" s="1338">
        <f>INT(L64/E80)*E80</f>
        <v>25200</v>
      </c>
      <c r="N64" s="73"/>
      <c r="O64" s="517"/>
      <c r="P64" s="517"/>
      <c r="Q64" s="518"/>
      <c r="R64" s="518"/>
      <c r="S64" s="518"/>
    </row>
    <row r="65" spans="1:19" ht="15">
      <c r="A65" s="39"/>
      <c r="B65" s="194"/>
      <c r="C65" s="597" t="s">
        <v>44</v>
      </c>
      <c r="D65" s="604">
        <v>0</v>
      </c>
      <c r="E65" s="604">
        <v>0.1</v>
      </c>
      <c r="F65" s="587">
        <v>0</v>
      </c>
      <c r="G65" s="40"/>
      <c r="I65" s="635"/>
      <c r="J65" s="575"/>
      <c r="K65" s="1113" t="str">
        <f>C65</f>
        <v>OOH clinic visits</v>
      </c>
      <c r="L65" s="598">
        <f>F65*L$47</f>
        <v>0</v>
      </c>
      <c r="M65" s="631">
        <f>INT(L65/E81)*E81</f>
        <v>0</v>
      </c>
      <c r="N65" s="73"/>
      <c r="O65" s="517"/>
      <c r="P65" s="517"/>
      <c r="Q65" s="518"/>
      <c r="R65" s="518"/>
      <c r="S65" s="518"/>
    </row>
    <row r="66" spans="1:19" ht="15">
      <c r="A66" s="39"/>
      <c r="B66" s="194"/>
      <c r="C66" s="572" t="s">
        <v>32</v>
      </c>
      <c r="D66" s="604">
        <v>0</v>
      </c>
      <c r="E66" s="604">
        <v>0.1</v>
      </c>
      <c r="F66" s="587">
        <v>0</v>
      </c>
      <c r="G66" s="40"/>
      <c r="I66" s="635"/>
      <c r="J66" s="575"/>
      <c r="K66" s="1113" t="str">
        <f>C66</f>
        <v>GP attends</v>
      </c>
      <c r="L66" s="598">
        <f>F66*L$47</f>
        <v>0</v>
      </c>
      <c r="M66" s="631">
        <f>INT(L66/E82)*E82</f>
        <v>0</v>
      </c>
      <c r="N66" s="73"/>
      <c r="O66" s="517"/>
      <c r="P66" s="517"/>
      <c r="Q66" s="518"/>
      <c r="R66" s="518"/>
      <c r="S66" s="518"/>
    </row>
    <row r="67" spans="1:19" ht="15">
      <c r="A67" s="39"/>
      <c r="B67" s="194"/>
      <c r="C67" s="572" t="s">
        <v>67</v>
      </c>
      <c r="D67" s="604">
        <v>0</v>
      </c>
      <c r="E67" s="604">
        <v>0.1</v>
      </c>
      <c r="F67" s="587">
        <v>0</v>
      </c>
      <c r="G67" s="40"/>
      <c r="I67" s="635"/>
      <c r="J67" s="575"/>
      <c r="K67" s="1113" t="str">
        <f>C67</f>
        <v>UCC attends</v>
      </c>
      <c r="L67" s="598">
        <f>F67*L$47</f>
        <v>0</v>
      </c>
      <c r="M67" s="631">
        <f>INT(L67/E83)*E83</f>
        <v>0</v>
      </c>
      <c r="N67" s="73"/>
      <c r="O67" s="517"/>
      <c r="P67" s="517"/>
      <c r="Q67" s="518"/>
      <c r="R67" s="518"/>
      <c r="S67" s="518"/>
    </row>
    <row r="68" spans="1:19" ht="15">
      <c r="A68" s="39"/>
      <c r="B68" s="84"/>
      <c r="C68" s="40"/>
      <c r="D68" s="40"/>
      <c r="E68" s="40"/>
      <c r="F68" s="258"/>
      <c r="G68" s="40"/>
      <c r="I68" s="635"/>
      <c r="J68" s="575"/>
      <c r="K68" s="1113" t="s">
        <v>98</v>
      </c>
      <c r="L68" s="1337">
        <f>SUM(L64:L67)</f>
        <v>25515</v>
      </c>
      <c r="M68" s="1338">
        <f>SUM(M64:M67)</f>
        <v>25200</v>
      </c>
      <c r="N68" s="73"/>
      <c r="O68" s="517"/>
      <c r="P68" s="517"/>
      <c r="Q68" s="518"/>
      <c r="R68" s="518"/>
      <c r="S68" s="518"/>
    </row>
    <row r="69" spans="1:19" ht="15">
      <c r="A69" s="39"/>
      <c r="B69" s="84"/>
      <c r="C69" s="40"/>
      <c r="D69" s="40"/>
      <c r="E69" s="40"/>
      <c r="F69" s="258"/>
      <c r="G69" s="40"/>
      <c r="H69"/>
      <c r="I69"/>
      <c r="J69"/>
      <c r="K69"/>
      <c r="L69" s="1171"/>
      <c r="M69" s="83"/>
      <c r="N69" s="73"/>
      <c r="O69" s="517"/>
      <c r="P69" s="517"/>
      <c r="Q69" s="518"/>
      <c r="R69" s="518"/>
      <c r="S69" s="518"/>
    </row>
    <row r="70" spans="1:19" ht="30">
      <c r="A70" s="39"/>
      <c r="B70" s="84"/>
      <c r="C70" s="40"/>
      <c r="D70" s="40"/>
      <c r="E70" s="40"/>
      <c r="F70" s="258"/>
      <c r="G70" s="40"/>
      <c r="H70" s="2425"/>
      <c r="I70" s="2425"/>
      <c r="J70" s="2426"/>
      <c r="K70" s="1071" t="s">
        <v>279</v>
      </c>
      <c r="L70" s="691" t="s">
        <v>661</v>
      </c>
      <c r="M70" s="1173" t="s">
        <v>120</v>
      </c>
      <c r="N70" s="73"/>
      <c r="O70" s="517"/>
      <c r="P70" s="517"/>
      <c r="Q70" s="518"/>
      <c r="R70" s="518"/>
      <c r="S70" s="518"/>
    </row>
    <row r="71" spans="1:19" ht="15">
      <c r="A71" s="39"/>
      <c r="B71" s="84"/>
      <c r="C71" s="40"/>
      <c r="D71" s="40"/>
      <c r="E71" s="40"/>
      <c r="F71" s="40"/>
      <c r="G71" s="40"/>
      <c r="H71" s="596"/>
      <c r="I71" s="1074"/>
      <c r="J71" s="643"/>
      <c r="K71" s="1172" t="str">
        <f>K64</f>
        <v>ED Minor attends</v>
      </c>
      <c r="L71" s="774">
        <f>L64*D80</f>
        <v>2284437.0680870079</v>
      </c>
      <c r="M71" s="786">
        <f>(L64-M64)*F80+(M64*G80)</f>
        <v>278354.20334861887</v>
      </c>
      <c r="N71" s="617"/>
      <c r="O71" s="517"/>
      <c r="P71" s="517"/>
      <c r="Q71" s="518"/>
      <c r="R71" s="518"/>
      <c r="S71" s="518"/>
    </row>
    <row r="72" spans="1:19" ht="15">
      <c r="A72" s="39"/>
      <c r="B72" s="84"/>
      <c r="C72" s="40"/>
      <c r="D72" s="40"/>
      <c r="E72" s="40"/>
      <c r="F72" s="40"/>
      <c r="G72" s="40"/>
      <c r="H72" s="596"/>
      <c r="I72" s="1074"/>
      <c r="J72" s="643"/>
      <c r="K72" s="1172" t="str">
        <f>K65</f>
        <v>OOH clinic visits</v>
      </c>
      <c r="L72" s="774">
        <f>L65*D81</f>
        <v>0</v>
      </c>
      <c r="M72" s="786">
        <f>(L65-M65)*F81+(M65*G81)</f>
        <v>0</v>
      </c>
      <c r="N72" s="2424"/>
      <c r="O72" s="517"/>
      <c r="P72" s="517"/>
      <c r="Q72" s="518"/>
      <c r="R72" s="518"/>
      <c r="S72" s="518"/>
    </row>
    <row r="73" spans="1:19" ht="15">
      <c r="A73" s="39"/>
      <c r="B73" s="84"/>
      <c r="C73" s="40"/>
      <c r="D73" s="40"/>
      <c r="E73" s="40"/>
      <c r="F73" s="40"/>
      <c r="G73" s="40"/>
      <c r="H73" s="596"/>
      <c r="I73" s="1074"/>
      <c r="J73" s="643"/>
      <c r="K73" s="1172" t="str">
        <f>K66</f>
        <v>GP attends</v>
      </c>
      <c r="L73" s="774">
        <f>L66*D82</f>
        <v>0</v>
      </c>
      <c r="M73" s="786">
        <f>(L66-M66)*F82+(M66*G82)</f>
        <v>0</v>
      </c>
      <c r="N73" s="2424"/>
      <c r="O73" s="517"/>
      <c r="P73" s="517"/>
      <c r="Q73" s="518"/>
      <c r="R73" s="518"/>
      <c r="S73" s="518"/>
    </row>
    <row r="74" spans="1:19" ht="15">
      <c r="A74" s="39"/>
      <c r="B74" s="84"/>
      <c r="C74" s="40"/>
      <c r="D74" s="40"/>
      <c r="E74" s="40"/>
      <c r="F74" s="40"/>
      <c r="G74" s="40"/>
      <c r="H74" s="596"/>
      <c r="I74" s="1074"/>
      <c r="J74" s="643"/>
      <c r="K74" s="1172" t="str">
        <f>K67</f>
        <v>UCC attends</v>
      </c>
      <c r="L74" s="774">
        <f>L67*D83</f>
        <v>0</v>
      </c>
      <c r="M74" s="786">
        <f>(L67-M67)*F83+(M67*G83)</f>
        <v>0</v>
      </c>
      <c r="N74" s="2424"/>
      <c r="O74" s="517"/>
      <c r="P74" s="517"/>
      <c r="Q74" s="518"/>
      <c r="R74" s="518"/>
      <c r="S74" s="518"/>
    </row>
    <row r="75" spans="1:19" ht="15">
      <c r="A75" s="39"/>
      <c r="B75" s="84"/>
      <c r="C75" s="40"/>
      <c r="D75" s="40"/>
      <c r="E75" s="40"/>
      <c r="F75" s="40"/>
      <c r="G75" s="40"/>
      <c r="H75" s="596"/>
      <c r="I75" s="1074"/>
      <c r="J75" s="643"/>
      <c r="K75" s="1166" t="s">
        <v>98</v>
      </c>
      <c r="L75" s="774">
        <f>SUM(L71:L74)</f>
        <v>2284437.0680870079</v>
      </c>
      <c r="M75" s="786">
        <f>SUM(M71:M74)</f>
        <v>278354.20334861887</v>
      </c>
      <c r="N75" s="672"/>
      <c r="O75" s="517"/>
      <c r="P75" s="517"/>
      <c r="Q75" s="518"/>
      <c r="R75" s="518"/>
      <c r="S75" s="518"/>
    </row>
    <row r="76" spans="1:19">
      <c r="A76" s="39"/>
      <c r="B76" s="84"/>
      <c r="C76" s="40"/>
      <c r="D76" s="40"/>
      <c r="E76" s="40"/>
      <c r="F76" s="40"/>
      <c r="G76" s="40"/>
      <c r="H76" s="73"/>
      <c r="I76" s="73"/>
      <c r="J76" s="73"/>
      <c r="L76" s="73"/>
      <c r="M76" s="106"/>
      <c r="N76" s="73"/>
      <c r="O76" s="517"/>
      <c r="P76" s="517"/>
      <c r="Q76" s="518"/>
      <c r="R76" s="518"/>
      <c r="S76" s="518"/>
    </row>
    <row r="77" spans="1:19">
      <c r="A77" s="39"/>
      <c r="B77" s="194"/>
      <c r="C77" s="73"/>
      <c r="D77" s="73"/>
      <c r="E77" s="73"/>
      <c r="F77" s="40"/>
      <c r="G77" s="40"/>
      <c r="H77" s="40"/>
      <c r="I77" s="40"/>
      <c r="J77" s="40"/>
      <c r="L77" s="40"/>
      <c r="M77" s="83"/>
      <c r="N77" s="73"/>
      <c r="O77" s="517"/>
      <c r="P77" s="517"/>
      <c r="Q77" s="518"/>
      <c r="R77" s="518"/>
      <c r="S77" s="518"/>
    </row>
    <row r="78" spans="1:19" ht="15">
      <c r="A78" s="39"/>
      <c r="B78" s="194"/>
      <c r="C78" s="73"/>
      <c r="D78" s="73"/>
      <c r="E78" s="73"/>
      <c r="F78" s="40"/>
      <c r="G78" s="40"/>
      <c r="H78" s="635"/>
      <c r="I78" s="635"/>
      <c r="J78" s="575"/>
      <c r="K78" s="817"/>
      <c r="L78" s="817"/>
      <c r="M78" s="83"/>
      <c r="N78" s="73"/>
      <c r="O78" s="517"/>
      <c r="P78" s="517"/>
      <c r="Q78" s="518"/>
      <c r="R78" s="518"/>
      <c r="S78" s="518"/>
    </row>
    <row r="79" spans="1:19" ht="75">
      <c r="A79" s="39"/>
      <c r="B79" s="194"/>
      <c r="C79" s="582" t="s">
        <v>1214</v>
      </c>
      <c r="D79" s="563" t="s">
        <v>660</v>
      </c>
      <c r="E79" s="563" t="s">
        <v>145</v>
      </c>
      <c r="F79" s="563" t="s">
        <v>144</v>
      </c>
      <c r="G79" s="563" t="s">
        <v>561</v>
      </c>
      <c r="I79" s="529"/>
      <c r="J79" s="40"/>
      <c r="K79" s="40"/>
      <c r="L79" s="40"/>
      <c r="M79" s="83"/>
      <c r="N79" s="73"/>
      <c r="O79" s="517"/>
      <c r="P79" s="517"/>
      <c r="Q79" s="518"/>
      <c r="R79" s="518"/>
      <c r="S79" s="518"/>
    </row>
    <row r="80" spans="1:19" ht="15">
      <c r="A80" s="39"/>
      <c r="B80" s="194"/>
      <c r="C80" s="597" t="str">
        <f>C64</f>
        <v>ED Minor attends</v>
      </c>
      <c r="D80" s="2109">
        <f>VLOOKUP($C80,local_data_input!$B$4:$K$20,2,FALSE)</f>
        <v>89.533100846051653</v>
      </c>
      <c r="E80" s="771">
        <f>VLOOKUP($C80,local_data_input!$B$4:$K$20,7,FALSE)</f>
        <v>6300</v>
      </c>
      <c r="F80" s="2109">
        <f>VLOOKUP($C80,local_data_input!$B$4:$K$20,8,FALSE)</f>
        <v>10.909433797711889</v>
      </c>
      <c r="G80" s="2109">
        <f>VLOOKUP($C80,local_data_input!$B$4:$K$20,9,FALSE)</f>
        <v>10.909433797711889</v>
      </c>
      <c r="I80" s="660"/>
      <c r="J80" s="40"/>
      <c r="K80" s="40"/>
      <c r="L80" s="40"/>
      <c r="M80" s="83"/>
      <c r="N80" s="73"/>
      <c r="O80" s="517"/>
      <c r="P80" s="517"/>
      <c r="Q80" s="518"/>
      <c r="R80" s="518"/>
      <c r="S80" s="518"/>
    </row>
    <row r="81" spans="1:19" ht="15">
      <c r="A81" s="39"/>
      <c r="B81" s="194"/>
      <c r="C81" s="597" t="str">
        <f>C65</f>
        <v>OOH clinic visits</v>
      </c>
      <c r="D81" s="2109">
        <f>VLOOKUP($C81,local_data_input!$B$4:$K$20,2,FALSE)</f>
        <v>68.3</v>
      </c>
      <c r="E81" s="771">
        <f>VLOOKUP($C81,local_data_input!$B$4:$K$20,7,FALSE)</f>
        <v>6300</v>
      </c>
      <c r="F81" s="2109">
        <f>VLOOKUP($C81,local_data_input!$B$4:$K$20,8,FALSE)</f>
        <v>7.6578249999227763</v>
      </c>
      <c r="G81" s="2109">
        <f>VLOOKUP($C81,local_data_input!$B$4:$K$20,9,FALSE)</f>
        <v>7.6578249999227763</v>
      </c>
      <c r="I81" s="660"/>
      <c r="J81" s="40"/>
      <c r="K81" s="40"/>
      <c r="L81" s="40"/>
      <c r="M81" s="83"/>
      <c r="N81" s="73"/>
      <c r="O81" s="517"/>
      <c r="P81" s="517"/>
      <c r="Q81" s="518"/>
      <c r="R81" s="518"/>
      <c r="S81" s="518"/>
    </row>
    <row r="82" spans="1:19" ht="15">
      <c r="A82" s="39"/>
      <c r="B82" s="194"/>
      <c r="C82" s="597" t="str">
        <f>C66</f>
        <v>GP attends</v>
      </c>
      <c r="D82" s="2109">
        <f>VLOOKUP($C82,local_data_input!$B$4:$K$20,2,FALSE)</f>
        <v>37</v>
      </c>
      <c r="E82" s="771">
        <f>VLOOKUP($C82,local_data_input!$B$4:$K$20,7,FALSE)</f>
        <v>1</v>
      </c>
      <c r="F82" s="2109">
        <f>VLOOKUP($C82,local_data_input!$B$4:$K$20,8,FALSE)</f>
        <v>4.1571049999580785</v>
      </c>
      <c r="G82" s="2109">
        <f>VLOOKUP($C82,local_data_input!$B$4:$K$20,9,FALSE)</f>
        <v>4.1571049999580785</v>
      </c>
      <c r="I82" s="660"/>
      <c r="J82" s="40"/>
      <c r="K82" s="40"/>
      <c r="L82" s="40"/>
      <c r="M82" s="83"/>
      <c r="N82" s="73"/>
      <c r="O82" s="517"/>
      <c r="P82" s="517"/>
      <c r="Q82" s="518"/>
      <c r="R82" s="518"/>
      <c r="S82" s="518"/>
    </row>
    <row r="83" spans="1:19" ht="15">
      <c r="A83" s="39"/>
      <c r="B83" s="194"/>
      <c r="C83" s="597" t="str">
        <f>C67</f>
        <v>UCC attends</v>
      </c>
      <c r="D83" s="2109">
        <f>VLOOKUP($C83,local_data_input!$B$4:$K$20,2,FALSE)</f>
        <v>57</v>
      </c>
      <c r="E83" s="771">
        <f>VLOOKUP($C83,local_data_input!$B$4:$K$20,7,FALSE)</f>
        <v>4725</v>
      </c>
      <c r="F83" s="2109">
        <f>VLOOKUP($C83,local_data_input!$B$4:$K$20,8,FALSE)</f>
        <v>4.3599999999999994</v>
      </c>
      <c r="G83" s="2109">
        <f>VLOOKUP($C83,local_data_input!$B$4:$K$20,9,FALSE)</f>
        <v>4.3599999999999994</v>
      </c>
      <c r="I83" s="660"/>
      <c r="J83" s="40"/>
      <c r="K83" s="40"/>
      <c r="L83" s="40"/>
      <c r="M83" s="83"/>
      <c r="N83" s="73"/>
      <c r="O83" s="517"/>
      <c r="P83" s="517"/>
      <c r="Q83" s="518"/>
      <c r="R83" s="518"/>
      <c r="S83" s="518"/>
    </row>
    <row r="84" spans="1:19" ht="15">
      <c r="A84" s="39"/>
      <c r="B84" s="84"/>
      <c r="C84" s="40"/>
      <c r="D84" s="40"/>
      <c r="E84" s="581"/>
      <c r="F84" s="40"/>
      <c r="G84" s="40"/>
      <c r="H84" s="40"/>
      <c r="I84" s="40"/>
      <c r="J84" s="40"/>
      <c r="K84" s="40"/>
      <c r="L84" s="40"/>
      <c r="M84" s="83"/>
      <c r="N84" s="73"/>
      <c r="O84" s="39"/>
      <c r="P84" s="39"/>
    </row>
    <row r="85" spans="1:19" ht="15">
      <c r="A85" s="39"/>
      <c r="B85" s="2343" t="s">
        <v>327</v>
      </c>
      <c r="C85" s="2360"/>
      <c r="D85" s="2360"/>
      <c r="E85" s="2360"/>
      <c r="F85" s="2360"/>
      <c r="G85" s="2360"/>
      <c r="H85" s="2360"/>
      <c r="I85" s="2360"/>
      <c r="J85" s="2360"/>
      <c r="K85" s="2360"/>
      <c r="L85" s="2360"/>
      <c r="M85" s="2361"/>
      <c r="N85" s="526"/>
      <c r="O85" s="39"/>
      <c r="P85" s="39"/>
    </row>
    <row r="86" spans="1:19">
      <c r="A86" s="39"/>
      <c r="B86" s="194"/>
      <c r="C86" s="73"/>
      <c r="D86" s="40"/>
      <c r="E86" s="40"/>
      <c r="F86" s="40"/>
      <c r="G86" s="40"/>
      <c r="H86" s="40"/>
      <c r="I86" s="40"/>
      <c r="J86" s="40"/>
      <c r="K86" s="40"/>
      <c r="L86" s="40"/>
      <c r="M86" s="83"/>
      <c r="N86" s="40"/>
      <c r="O86" s="517"/>
      <c r="P86" s="517"/>
      <c r="Q86" s="518"/>
      <c r="R86" s="518"/>
      <c r="S86" s="518"/>
    </row>
    <row r="87" spans="1:19" ht="15">
      <c r="A87" s="39"/>
      <c r="B87" s="84"/>
      <c r="C87" s="2333" t="s">
        <v>278</v>
      </c>
      <c r="D87" s="2333"/>
      <c r="E87" s="2333"/>
      <c r="F87" s="2333"/>
      <c r="G87" s="2333"/>
      <c r="H87" s="2333"/>
      <c r="I87" s="529"/>
      <c r="J87" s="529"/>
      <c r="K87" s="73"/>
      <c r="L87" s="73"/>
      <c r="M87" s="83"/>
      <c r="N87" s="40"/>
      <c r="O87" s="517"/>
      <c r="P87" s="517"/>
      <c r="Q87" s="518"/>
      <c r="R87" s="518"/>
      <c r="S87" s="518"/>
    </row>
    <row r="88" spans="1:19" ht="15.75" thickBot="1">
      <c r="A88" s="39"/>
      <c r="B88" s="108"/>
      <c r="C88" s="2431"/>
      <c r="D88" s="2431"/>
      <c r="E88" s="2431"/>
      <c r="F88" s="2431"/>
      <c r="G88" s="2431"/>
      <c r="H88" s="2431"/>
      <c r="I88" s="775"/>
      <c r="J88" s="109"/>
      <c r="K88" s="109"/>
      <c r="L88" s="109"/>
      <c r="M88" s="110"/>
      <c r="N88" s="40"/>
      <c r="O88" s="517"/>
      <c r="P88" s="517"/>
      <c r="Q88" s="518"/>
      <c r="R88" s="518"/>
      <c r="S88" s="518"/>
    </row>
    <row r="89" spans="1:19" ht="15">
      <c r="A89" s="39"/>
      <c r="B89" s="526"/>
      <c r="C89" s="526"/>
      <c r="D89" s="40"/>
      <c r="E89" s="40"/>
      <c r="F89" s="40"/>
      <c r="G89" s="40"/>
      <c r="H89" s="40"/>
      <c r="I89" s="40"/>
      <c r="J89" s="40"/>
      <c r="K89" s="40"/>
      <c r="L89" s="40"/>
      <c r="M89" s="40"/>
      <c r="N89" s="40"/>
      <c r="O89" s="517"/>
      <c r="P89" s="517"/>
      <c r="Q89" s="518"/>
      <c r="R89" s="518"/>
      <c r="S89" s="518"/>
    </row>
    <row r="90" spans="1:19" ht="15">
      <c r="A90" s="39"/>
      <c r="B90" s="526"/>
      <c r="C90" s="526"/>
      <c r="D90" s="39"/>
      <c r="E90" s="40"/>
      <c r="F90" s="40"/>
      <c r="G90" s="40"/>
      <c r="H90" s="40"/>
      <c r="I90" s="40"/>
      <c r="J90" s="40"/>
      <c r="K90" s="40"/>
      <c r="L90" s="40"/>
      <c r="M90" s="40"/>
      <c r="N90" s="40"/>
      <c r="O90" s="517"/>
      <c r="P90" s="517"/>
      <c r="Q90" s="518"/>
      <c r="R90" s="518"/>
      <c r="S90" s="518"/>
    </row>
    <row r="91" spans="1:19" ht="15">
      <c r="A91" s="39"/>
      <c r="B91" s="526"/>
      <c r="C91" s="526"/>
      <c r="D91" s="526"/>
      <c r="E91" s="40"/>
      <c r="F91" s="40"/>
      <c r="G91" s="40"/>
      <c r="H91" s="40"/>
      <c r="I91" s="40"/>
      <c r="J91" s="40"/>
      <c r="K91" s="40"/>
      <c r="L91" s="40"/>
      <c r="M91" s="40"/>
      <c r="N91" s="40"/>
      <c r="O91" s="517"/>
      <c r="P91" s="517"/>
      <c r="Q91" s="518"/>
      <c r="R91" s="518"/>
      <c r="S91" s="518"/>
    </row>
    <row r="92" spans="1:19" ht="15">
      <c r="A92" s="39"/>
      <c r="B92" s="526"/>
      <c r="C92" s="526"/>
      <c r="D92" s="526"/>
      <c r="E92" s="40"/>
      <c r="F92" s="40"/>
      <c r="G92" s="40"/>
      <c r="H92" s="40"/>
      <c r="I92" s="40"/>
      <c r="J92" s="40"/>
      <c r="K92" s="40"/>
      <c r="L92" s="40"/>
      <c r="M92" s="40"/>
      <c r="N92" s="40"/>
      <c r="O92" s="517"/>
      <c r="P92" s="517"/>
      <c r="Q92" s="518"/>
      <c r="R92" s="518"/>
      <c r="S92" s="518"/>
    </row>
    <row r="93" spans="1:19">
      <c r="A93" s="39"/>
      <c r="B93" s="40"/>
      <c r="C93" s="40"/>
      <c r="D93" s="40"/>
      <c r="E93" s="208"/>
      <c r="F93" s="208"/>
      <c r="G93" s="208"/>
      <c r="H93" s="208"/>
      <c r="I93" s="208"/>
      <c r="J93" s="208"/>
      <c r="K93" s="208"/>
      <c r="L93" s="208"/>
      <c r="M93" s="208"/>
      <c r="N93" s="208"/>
      <c r="O93" s="517"/>
      <c r="P93" s="517"/>
      <c r="Q93" s="518"/>
      <c r="R93" s="518"/>
      <c r="S93" s="518"/>
    </row>
    <row r="94" spans="1:19">
      <c r="A94" s="39"/>
      <c r="B94" s="40"/>
      <c r="C94" s="40"/>
      <c r="D94" s="40"/>
      <c r="E94" s="40"/>
      <c r="F94" s="40"/>
      <c r="G94" s="40"/>
      <c r="H94" s="40"/>
      <c r="I94" s="40"/>
      <c r="J94" s="40"/>
      <c r="K94" s="40"/>
      <c r="L94" s="40"/>
      <c r="M94" s="40"/>
      <c r="N94" s="40"/>
      <c r="O94" s="517"/>
      <c r="P94" s="517"/>
      <c r="Q94" s="518"/>
      <c r="R94" s="518"/>
      <c r="S94" s="518"/>
    </row>
    <row r="95" spans="1:19">
      <c r="A95" s="39"/>
      <c r="B95" s="209"/>
      <c r="C95" s="209"/>
      <c r="D95" s="40"/>
      <c r="E95" s="73"/>
      <c r="F95" s="40"/>
      <c r="G95" s="40"/>
      <c r="H95" s="40"/>
      <c r="I95" s="40"/>
      <c r="J95" s="40"/>
      <c r="K95" s="40"/>
      <c r="L95" s="40"/>
      <c r="M95" s="40"/>
      <c r="N95" s="40"/>
      <c r="O95" s="517"/>
      <c r="P95" s="517"/>
      <c r="Q95" s="518"/>
      <c r="R95" s="518"/>
      <c r="S95" s="518"/>
    </row>
    <row r="96" spans="1:19">
      <c r="A96" s="39"/>
      <c r="B96" s="40"/>
      <c r="C96" s="40"/>
      <c r="D96" s="40"/>
      <c r="E96" s="40"/>
      <c r="F96" s="40"/>
      <c r="G96" s="40"/>
      <c r="H96" s="40"/>
      <c r="I96" s="40"/>
      <c r="J96" s="40"/>
      <c r="K96" s="40"/>
      <c r="L96" s="40"/>
      <c r="M96" s="40"/>
      <c r="N96" s="40"/>
      <c r="O96" s="517"/>
      <c r="P96" s="517"/>
      <c r="Q96" s="518"/>
      <c r="R96" s="518"/>
      <c r="S96" s="518"/>
    </row>
    <row r="97" spans="1:20">
      <c r="A97" s="39"/>
      <c r="B97" s="40"/>
      <c r="C97" s="40"/>
      <c r="D97" s="40"/>
      <c r="E97" s="210"/>
      <c r="F97" s="210"/>
      <c r="G97" s="210"/>
      <c r="H97" s="210"/>
      <c r="I97" s="210"/>
      <c r="J97" s="210"/>
      <c r="K97" s="210"/>
      <c r="L97" s="210"/>
      <c r="M97" s="210"/>
      <c r="N97" s="210"/>
      <c r="O97" s="517"/>
      <c r="P97" s="517"/>
      <c r="Q97" s="518"/>
      <c r="R97" s="518"/>
      <c r="S97" s="518"/>
    </row>
    <row r="98" spans="1:20">
      <c r="A98" s="39"/>
      <c r="B98" s="40"/>
      <c r="C98" s="40"/>
      <c r="D98" s="40"/>
      <c r="E98" s="40"/>
      <c r="F98" s="40"/>
      <c r="G98" s="40"/>
      <c r="H98" s="40"/>
      <c r="I98" s="40"/>
      <c r="J98" s="40"/>
      <c r="K98" s="40"/>
      <c r="L98" s="40"/>
      <c r="M98" s="40"/>
      <c r="N98" s="40"/>
      <c r="O98" s="517"/>
      <c r="P98" s="517"/>
      <c r="Q98" s="518"/>
      <c r="R98" s="518"/>
      <c r="S98" s="518"/>
    </row>
    <row r="99" spans="1:20">
      <c r="A99" s="39"/>
      <c r="B99" s="40"/>
      <c r="C99" s="40"/>
      <c r="D99" s="40"/>
      <c r="E99" s="40"/>
      <c r="F99" s="40"/>
      <c r="G99" s="40"/>
      <c r="H99" s="40"/>
      <c r="I99" s="40"/>
      <c r="J99" s="40"/>
      <c r="K99" s="40"/>
      <c r="L99" s="40"/>
      <c r="M99" s="40"/>
      <c r="N99" s="40"/>
      <c r="O99" s="517"/>
      <c r="P99" s="517"/>
      <c r="Q99" s="518"/>
      <c r="R99" s="518"/>
      <c r="S99" s="518"/>
    </row>
    <row r="100" spans="1:20" ht="15">
      <c r="A100" s="39"/>
      <c r="B100" s="526"/>
      <c r="C100" s="526"/>
      <c r="D100" s="40"/>
      <c r="E100" s="40"/>
      <c r="F100" s="40"/>
      <c r="G100" s="40"/>
      <c r="H100" s="40"/>
      <c r="I100" s="40"/>
      <c r="J100" s="40"/>
      <c r="K100" s="40"/>
      <c r="L100" s="40"/>
      <c r="M100" s="40"/>
      <c r="N100" s="40"/>
      <c r="O100" s="517"/>
      <c r="P100" s="517"/>
      <c r="Q100" s="518"/>
      <c r="R100" s="518"/>
      <c r="S100" s="518"/>
    </row>
    <row r="101" spans="1:20">
      <c r="A101" s="39"/>
      <c r="B101" s="40"/>
      <c r="C101" s="40"/>
      <c r="D101" s="40"/>
      <c r="E101" s="210"/>
      <c r="F101" s="210"/>
      <c r="G101" s="210"/>
      <c r="H101" s="210"/>
      <c r="I101" s="210"/>
      <c r="J101" s="210"/>
      <c r="K101" s="210"/>
      <c r="L101" s="210"/>
      <c r="M101" s="210"/>
      <c r="N101" s="210"/>
      <c r="O101" s="517"/>
      <c r="P101" s="517"/>
      <c r="Q101" s="518"/>
      <c r="R101" s="518"/>
      <c r="S101" s="518"/>
    </row>
    <row r="102" spans="1:20">
      <c r="A102" s="39"/>
      <c r="B102" s="40"/>
      <c r="C102" s="40"/>
      <c r="D102" s="40"/>
      <c r="E102" s="40"/>
      <c r="F102" s="40"/>
      <c r="G102" s="40"/>
      <c r="H102" s="40"/>
      <c r="I102" s="40"/>
      <c r="J102" s="40"/>
      <c r="K102" s="40"/>
      <c r="L102" s="40"/>
      <c r="M102" s="40"/>
      <c r="N102" s="40"/>
      <c r="O102" s="517"/>
      <c r="P102" s="517"/>
      <c r="Q102" s="518"/>
      <c r="R102" s="518"/>
      <c r="S102" s="518"/>
    </row>
    <row r="103" spans="1:20">
      <c r="A103" s="39"/>
      <c r="B103" s="40"/>
      <c r="C103" s="40"/>
      <c r="D103" s="40"/>
      <c r="E103" s="40"/>
      <c r="F103" s="40"/>
      <c r="G103" s="40"/>
      <c r="H103" s="40"/>
      <c r="I103" s="40"/>
      <c r="J103" s="40"/>
      <c r="K103" s="40"/>
      <c r="L103" s="40"/>
      <c r="M103" s="40"/>
      <c r="N103" s="40"/>
      <c r="O103" s="517"/>
      <c r="P103" s="517"/>
      <c r="Q103" s="518"/>
      <c r="R103" s="518"/>
      <c r="S103" s="518"/>
    </row>
    <row r="104" spans="1:20">
      <c r="A104" s="39"/>
      <c r="B104" s="40"/>
      <c r="C104" s="40"/>
      <c r="D104" s="40"/>
      <c r="E104" s="210"/>
      <c r="F104" s="210"/>
      <c r="G104" s="210"/>
      <c r="H104" s="210"/>
      <c r="I104" s="210"/>
      <c r="J104" s="210"/>
      <c r="K104" s="210"/>
      <c r="L104" s="210"/>
      <c r="M104" s="210"/>
      <c r="N104" s="210"/>
      <c r="O104" s="517"/>
      <c r="P104" s="517"/>
      <c r="Q104" s="518"/>
      <c r="R104" s="518"/>
      <c r="S104" s="518"/>
    </row>
    <row r="105" spans="1:20">
      <c r="A105" s="39"/>
      <c r="B105" s="40"/>
      <c r="C105" s="40"/>
      <c r="D105" s="40"/>
      <c r="E105" s="208"/>
      <c r="F105" s="208"/>
      <c r="G105" s="208"/>
      <c r="H105" s="208"/>
      <c r="I105" s="208"/>
      <c r="J105" s="208"/>
      <c r="K105" s="208"/>
      <c r="L105" s="208"/>
      <c r="M105" s="208"/>
      <c r="N105" s="208"/>
      <c r="O105" s="517"/>
      <c r="P105" s="517"/>
      <c r="Q105" s="518"/>
      <c r="R105" s="518"/>
      <c r="S105" s="518"/>
    </row>
    <row r="106" spans="1:20">
      <c r="A106" s="39"/>
      <c r="B106" s="40"/>
      <c r="C106" s="40"/>
      <c r="D106" s="40"/>
      <c r="E106" s="208"/>
      <c r="F106" s="208"/>
      <c r="G106" s="208"/>
      <c r="H106" s="208"/>
      <c r="I106" s="208"/>
      <c r="J106" s="208"/>
      <c r="K106" s="208"/>
      <c r="L106" s="208"/>
      <c r="M106" s="208"/>
      <c r="N106" s="208"/>
      <c r="O106" s="517"/>
      <c r="P106" s="517"/>
      <c r="Q106" s="518"/>
      <c r="R106" s="518"/>
      <c r="S106" s="518"/>
    </row>
    <row r="107" spans="1:20" ht="15">
      <c r="A107" s="39"/>
      <c r="B107" s="526"/>
      <c r="C107" s="526"/>
      <c r="D107" s="40"/>
      <c r="E107" s="682"/>
      <c r="F107" s="682"/>
      <c r="G107" s="682"/>
      <c r="H107" s="682"/>
      <c r="I107" s="682"/>
      <c r="J107" s="682"/>
      <c r="K107" s="682"/>
      <c r="L107" s="682"/>
      <c r="M107" s="682"/>
      <c r="N107" s="682"/>
      <c r="O107" s="517"/>
      <c r="P107" s="517"/>
      <c r="Q107" s="518"/>
      <c r="R107" s="518"/>
      <c r="S107" s="518"/>
    </row>
    <row r="108" spans="1:20" ht="15">
      <c r="A108" s="39"/>
      <c r="B108" s="526"/>
      <c r="C108" s="526"/>
      <c r="D108" s="40"/>
      <c r="E108" s="682"/>
      <c r="F108" s="682"/>
      <c r="G108" s="682"/>
      <c r="H108" s="682"/>
      <c r="I108" s="682"/>
      <c r="J108" s="682"/>
      <c r="K108" s="682"/>
      <c r="L108" s="682"/>
      <c r="M108" s="682"/>
      <c r="N108" s="682"/>
      <c r="O108" s="517"/>
      <c r="P108" s="517"/>
      <c r="Q108" s="518"/>
      <c r="R108" s="518"/>
      <c r="S108" s="518"/>
    </row>
    <row r="109" spans="1:20" ht="15">
      <c r="A109" s="39"/>
      <c r="B109" s="526"/>
      <c r="C109" s="526"/>
      <c r="D109" s="40"/>
      <c r="E109" s="682"/>
      <c r="F109" s="682"/>
      <c r="G109" s="682"/>
      <c r="H109" s="682"/>
      <c r="I109" s="682"/>
      <c r="J109" s="682"/>
      <c r="K109" s="682"/>
      <c r="L109" s="682"/>
      <c r="M109" s="682"/>
      <c r="N109" s="682"/>
      <c r="O109" s="517"/>
      <c r="P109" s="517"/>
      <c r="Q109" s="518"/>
      <c r="R109" s="518"/>
      <c r="S109" s="518"/>
    </row>
    <row r="110" spans="1:20">
      <c r="A110" s="39"/>
      <c r="B110" s="40"/>
      <c r="C110" s="40"/>
      <c r="D110" s="40"/>
      <c r="E110" s="208"/>
      <c r="F110" s="208"/>
      <c r="G110" s="208"/>
      <c r="H110" s="208"/>
      <c r="I110" s="208"/>
      <c r="J110" s="208"/>
      <c r="K110" s="208"/>
      <c r="L110" s="208"/>
      <c r="M110" s="208"/>
      <c r="N110" s="208"/>
      <c r="O110" s="517"/>
      <c r="P110" s="517"/>
      <c r="Q110" s="518"/>
      <c r="R110" s="518"/>
      <c r="S110" s="518"/>
    </row>
    <row r="111" spans="1:20">
      <c r="A111" s="39"/>
      <c r="B111" s="40"/>
      <c r="C111" s="40"/>
      <c r="D111" s="40"/>
      <c r="E111" s="40"/>
      <c r="F111" s="40"/>
      <c r="G111" s="40"/>
      <c r="H111" s="40"/>
      <c r="I111" s="40"/>
      <c r="J111" s="40"/>
      <c r="K111" s="40"/>
      <c r="L111" s="39"/>
      <c r="M111" s="39"/>
      <c r="N111" s="39"/>
      <c r="O111" s="39"/>
      <c r="P111" s="39"/>
      <c r="Q111" s="39"/>
      <c r="R111" s="39"/>
      <c r="S111" s="39"/>
      <c r="T111" s="39"/>
    </row>
    <row r="112" spans="1:20">
      <c r="A112" s="39"/>
      <c r="B112" s="40"/>
      <c r="C112" s="40"/>
      <c r="D112" s="40" t="s">
        <v>42</v>
      </c>
      <c r="E112" s="40"/>
      <c r="F112" s="40"/>
      <c r="G112" s="40"/>
      <c r="H112" s="40"/>
      <c r="I112" s="40"/>
      <c r="J112" s="40"/>
      <c r="K112" s="40"/>
      <c r="L112" s="39"/>
      <c r="M112" s="39"/>
      <c r="N112" s="39"/>
      <c r="O112" s="39"/>
      <c r="P112" s="39"/>
      <c r="Q112" s="39"/>
      <c r="R112" s="39"/>
      <c r="S112" s="39"/>
      <c r="T112" s="39"/>
    </row>
    <row r="113" spans="1:24">
      <c r="A113" s="39"/>
      <c r="B113" s="39"/>
      <c r="C113" s="39"/>
      <c r="D113" s="39"/>
      <c r="E113" s="39"/>
      <c r="F113" s="39"/>
      <c r="G113" s="39"/>
      <c r="H113" s="39"/>
      <c r="I113" s="39"/>
      <c r="J113" s="39"/>
      <c r="K113" s="39"/>
      <c r="L113" s="39"/>
      <c r="M113" s="39"/>
      <c r="N113" s="39"/>
      <c r="O113" s="39"/>
      <c r="P113" s="39"/>
      <c r="Q113" s="39"/>
      <c r="R113" s="39"/>
      <c r="S113" s="39"/>
      <c r="T113" s="39"/>
    </row>
    <row r="114" spans="1:24">
      <c r="A114" s="39"/>
      <c r="B114" s="39"/>
      <c r="C114" s="39"/>
      <c r="D114" s="39"/>
      <c r="E114" s="39"/>
      <c r="F114" s="39"/>
      <c r="G114" s="39"/>
      <c r="H114" s="39"/>
      <c r="I114" s="39"/>
      <c r="J114" s="39"/>
      <c r="K114" s="39"/>
      <c r="L114" s="39"/>
      <c r="M114" s="39"/>
      <c r="N114" s="39"/>
      <c r="O114" s="39"/>
      <c r="P114" s="39"/>
      <c r="Q114" s="39"/>
      <c r="R114" s="39"/>
      <c r="S114" s="39"/>
      <c r="T114" s="39"/>
    </row>
    <row r="115" spans="1:24">
      <c r="A115" s="39"/>
      <c r="B115" s="39"/>
      <c r="C115" s="39"/>
      <c r="D115" s="39"/>
      <c r="E115" s="39"/>
      <c r="F115" s="39"/>
      <c r="G115" s="39"/>
      <c r="H115" s="39"/>
      <c r="I115" s="39"/>
      <c r="J115" s="39"/>
      <c r="K115" s="39"/>
      <c r="L115" s="39"/>
      <c r="M115" s="39"/>
      <c r="N115" s="39"/>
      <c r="O115" s="39"/>
      <c r="P115" s="39"/>
      <c r="Q115" s="39"/>
      <c r="R115" s="39"/>
      <c r="S115" s="39"/>
      <c r="T115" s="39"/>
    </row>
    <row r="116" spans="1:24">
      <c r="A116" s="39"/>
      <c r="B116" s="39"/>
      <c r="C116" s="39"/>
      <c r="D116" s="39"/>
      <c r="E116" s="39"/>
      <c r="F116" s="39"/>
      <c r="G116" s="39"/>
      <c r="H116" s="39"/>
      <c r="I116" s="39"/>
      <c r="J116" s="39"/>
      <c r="K116" s="39"/>
      <c r="L116" s="39"/>
      <c r="M116" s="39"/>
      <c r="N116" s="39"/>
      <c r="O116" s="39"/>
      <c r="P116" s="39"/>
      <c r="Q116" s="39"/>
      <c r="R116" s="39"/>
      <c r="S116" s="39"/>
      <c r="T116" s="39"/>
    </row>
    <row r="117" spans="1:24">
      <c r="A117" s="39"/>
      <c r="B117" s="39"/>
      <c r="C117" s="39"/>
      <c r="D117" s="39"/>
      <c r="E117" s="39"/>
      <c r="F117" s="39"/>
      <c r="G117" s="39"/>
      <c r="H117" s="39"/>
      <c r="I117" s="39"/>
      <c r="J117" s="39"/>
      <c r="K117" s="39"/>
      <c r="L117" s="39"/>
      <c r="M117" s="39"/>
      <c r="N117" s="39"/>
      <c r="O117" s="39"/>
      <c r="P117" s="39"/>
      <c r="Q117" s="39"/>
      <c r="R117" s="39"/>
      <c r="S117" s="39"/>
      <c r="T117" s="39"/>
    </row>
    <row r="118" spans="1:24">
      <c r="A118" s="39"/>
      <c r="B118" s="39"/>
      <c r="C118" s="39"/>
      <c r="D118" s="39"/>
      <c r="E118" s="39"/>
      <c r="F118" s="39"/>
      <c r="G118" s="39"/>
      <c r="H118" s="39"/>
      <c r="I118" s="39"/>
      <c r="J118" s="39"/>
      <c r="K118" s="39"/>
      <c r="L118" s="39"/>
      <c r="M118" s="39"/>
      <c r="N118" s="39"/>
      <c r="O118" s="39"/>
      <c r="P118" s="39"/>
      <c r="Q118" s="39"/>
      <c r="R118" s="39"/>
      <c r="S118" s="39"/>
      <c r="T118" s="39"/>
    </row>
    <row r="119" spans="1:24">
      <c r="A119" s="39"/>
      <c r="B119" s="39"/>
      <c r="C119" s="39"/>
      <c r="D119" s="39"/>
      <c r="E119" s="39"/>
      <c r="F119" s="39"/>
      <c r="G119" s="39"/>
      <c r="H119" s="39"/>
      <c r="I119" s="39"/>
      <c r="J119" s="39"/>
      <c r="K119" s="39"/>
      <c r="L119" s="39"/>
      <c r="M119" s="39"/>
      <c r="N119" s="39"/>
      <c r="O119" s="39"/>
      <c r="P119" s="39"/>
      <c r="Q119" s="39"/>
      <c r="R119" s="39"/>
      <c r="S119" s="39"/>
      <c r="T119" s="39"/>
    </row>
    <row r="120" spans="1:24">
      <c r="A120" s="39"/>
      <c r="B120" s="39"/>
      <c r="C120" s="39"/>
      <c r="D120" s="39"/>
      <c r="E120" s="39"/>
      <c r="F120" s="39"/>
      <c r="G120" s="39"/>
      <c r="H120" s="39"/>
      <c r="I120" s="39"/>
      <c r="J120" s="39"/>
      <c r="K120" s="39"/>
      <c r="L120" s="39"/>
      <c r="M120" s="39"/>
      <c r="N120" s="39"/>
      <c r="O120" s="39"/>
      <c r="P120" s="39"/>
      <c r="Q120" s="39"/>
      <c r="R120" s="39"/>
      <c r="S120" s="39"/>
      <c r="T120" s="39"/>
    </row>
    <row r="121" spans="1:24">
      <c r="A121" s="39"/>
      <c r="B121" s="39"/>
      <c r="C121" s="39"/>
      <c r="D121" s="39"/>
      <c r="E121" s="39"/>
      <c r="F121" s="39"/>
      <c r="G121" s="39"/>
      <c r="H121" s="39"/>
      <c r="I121" s="39"/>
      <c r="J121" s="39"/>
      <c r="K121" s="39"/>
      <c r="L121" s="39"/>
      <c r="M121" s="39"/>
      <c r="N121" s="39"/>
      <c r="O121" s="39"/>
      <c r="P121" s="39"/>
      <c r="Q121" s="39"/>
      <c r="R121" s="39"/>
      <c r="S121" s="39"/>
      <c r="T121" s="39"/>
    </row>
    <row r="122" spans="1:24">
      <c r="A122" s="39"/>
      <c r="B122" s="39"/>
      <c r="C122" s="39"/>
      <c r="D122" s="39"/>
      <c r="E122" s="39"/>
      <c r="F122" s="39"/>
      <c r="G122" s="39"/>
      <c r="H122" s="39"/>
      <c r="I122" s="39"/>
      <c r="J122" s="39"/>
      <c r="K122" s="39"/>
      <c r="L122" s="39"/>
      <c r="M122" s="39"/>
      <c r="N122" s="39"/>
      <c r="O122" s="39"/>
      <c r="P122" s="39"/>
      <c r="Q122" s="39"/>
      <c r="R122" s="39"/>
      <c r="S122" s="39"/>
      <c r="T122" s="39"/>
    </row>
    <row r="123" spans="1:24">
      <c r="A123" s="39"/>
      <c r="B123" s="39"/>
      <c r="C123" s="39"/>
      <c r="D123" s="39"/>
      <c r="E123" s="39"/>
      <c r="F123" s="39"/>
      <c r="G123" s="39"/>
      <c r="H123" s="39"/>
      <c r="I123" s="39"/>
      <c r="J123" s="39"/>
      <c r="K123" s="39"/>
      <c r="L123" s="39"/>
      <c r="M123" s="39"/>
      <c r="N123" s="39"/>
      <c r="O123" s="39"/>
      <c r="P123" s="39"/>
      <c r="Q123" s="39"/>
      <c r="R123" s="39"/>
      <c r="S123" s="39"/>
      <c r="T123" s="39"/>
    </row>
    <row r="124" spans="1:24">
      <c r="A124" s="39"/>
      <c r="B124" s="39"/>
      <c r="C124" s="39"/>
      <c r="D124" s="39"/>
      <c r="E124" s="39"/>
      <c r="F124" s="39"/>
      <c r="G124" s="39"/>
      <c r="H124" s="39"/>
      <c r="I124" s="39"/>
      <c r="J124" s="39"/>
      <c r="K124" s="39"/>
      <c r="L124" s="39"/>
      <c r="M124" s="39"/>
      <c r="N124" s="39"/>
      <c r="O124" s="39"/>
      <c r="P124" s="39"/>
      <c r="Q124" s="39"/>
      <c r="R124" s="39"/>
      <c r="S124" s="39"/>
      <c r="T124" s="39"/>
    </row>
    <row r="125" spans="1:24">
      <c r="A125" s="39"/>
      <c r="B125" s="39"/>
      <c r="C125" s="39"/>
      <c r="D125" s="39"/>
      <c r="E125" s="39"/>
      <c r="F125" s="39"/>
      <c r="G125" s="39"/>
      <c r="H125" s="39"/>
      <c r="I125" s="39"/>
      <c r="J125" s="39"/>
      <c r="K125" s="39"/>
      <c r="L125" s="39"/>
      <c r="M125" s="39"/>
      <c r="N125" s="39"/>
      <c r="O125" s="39"/>
      <c r="P125" s="39"/>
      <c r="Q125" s="39"/>
      <c r="R125" s="39"/>
      <c r="S125" s="39"/>
      <c r="T125" s="39"/>
    </row>
    <row r="126" spans="1:24">
      <c r="A126" s="39"/>
      <c r="B126" s="39"/>
      <c r="C126" s="39"/>
      <c r="D126" s="39"/>
      <c r="E126" s="39"/>
      <c r="F126" s="39"/>
      <c r="G126" s="39"/>
      <c r="H126" s="39"/>
      <c r="I126" s="39"/>
      <c r="J126" s="39"/>
      <c r="K126" s="39"/>
      <c r="L126" s="39"/>
      <c r="M126" s="39"/>
      <c r="N126" s="39"/>
      <c r="O126" s="39"/>
      <c r="P126" s="39"/>
      <c r="Q126" s="39"/>
      <c r="R126" s="39"/>
      <c r="S126" s="39"/>
      <c r="T126" s="39"/>
    </row>
    <row r="127" spans="1:24">
      <c r="A127" s="39"/>
      <c r="B127" s="39"/>
      <c r="C127" s="39"/>
      <c r="D127" s="39"/>
      <c r="E127" s="39"/>
      <c r="F127" s="39"/>
      <c r="G127" s="39"/>
      <c r="H127" s="39"/>
      <c r="I127" s="39"/>
      <c r="J127" s="39"/>
      <c r="K127" s="39"/>
      <c r="L127" s="39"/>
      <c r="M127" s="39"/>
      <c r="N127" s="39"/>
      <c r="O127" s="39"/>
      <c r="P127" s="39"/>
      <c r="Q127" s="39"/>
      <c r="R127" s="39"/>
      <c r="S127" s="39"/>
      <c r="T127" s="39"/>
      <c r="U127" s="818"/>
      <c r="V127" s="818"/>
      <c r="W127" s="818"/>
      <c r="X127" s="818"/>
    </row>
    <row r="128" spans="1:24">
      <c r="A128" s="39"/>
      <c r="B128" s="39"/>
      <c r="C128" s="39"/>
      <c r="D128" s="39"/>
      <c r="E128" s="39"/>
      <c r="F128" s="39"/>
      <c r="G128" s="39"/>
      <c r="H128" s="39"/>
      <c r="I128" s="39"/>
      <c r="J128" s="39"/>
      <c r="K128" s="39"/>
      <c r="L128" s="39"/>
      <c r="M128" s="39"/>
      <c r="N128" s="39"/>
      <c r="O128" s="39"/>
      <c r="P128" s="39"/>
      <c r="Q128" s="39"/>
      <c r="R128" s="39"/>
      <c r="S128" s="39"/>
      <c r="T128" s="39"/>
    </row>
    <row r="129" spans="1:20">
      <c r="A129" s="39"/>
      <c r="B129" s="39"/>
      <c r="C129" s="39"/>
      <c r="D129" s="39"/>
      <c r="E129" s="39"/>
      <c r="F129" s="39"/>
      <c r="G129" s="39"/>
      <c r="H129" s="39"/>
      <c r="I129" s="39"/>
      <c r="J129" s="39"/>
      <c r="K129" s="39"/>
      <c r="L129" s="39"/>
      <c r="M129" s="39"/>
      <c r="N129" s="39"/>
      <c r="O129" s="39"/>
      <c r="P129" s="39"/>
      <c r="Q129" s="39"/>
      <c r="R129" s="39"/>
      <c r="S129" s="39"/>
      <c r="T129" s="39"/>
    </row>
    <row r="130" spans="1:20">
      <c r="A130" s="39"/>
      <c r="B130" s="39"/>
      <c r="C130" s="39"/>
      <c r="D130" s="39"/>
      <c r="E130" s="39"/>
      <c r="F130" s="39"/>
      <c r="G130" s="39"/>
      <c r="H130" s="39"/>
      <c r="I130" s="39"/>
      <c r="J130" s="39"/>
      <c r="K130" s="39"/>
      <c r="L130" s="39"/>
      <c r="M130" s="39"/>
      <c r="N130" s="39"/>
      <c r="O130" s="39"/>
      <c r="P130" s="39"/>
      <c r="Q130" s="39"/>
      <c r="R130" s="39"/>
      <c r="S130" s="39"/>
      <c r="T130" s="39"/>
    </row>
    <row r="131" spans="1:20">
      <c r="A131" s="39"/>
      <c r="B131" s="39"/>
      <c r="C131" s="39"/>
      <c r="D131" s="39"/>
      <c r="E131" s="39"/>
      <c r="F131" s="39"/>
      <c r="G131" s="39"/>
      <c r="H131" s="39"/>
      <c r="I131" s="39"/>
      <c r="J131" s="39"/>
      <c r="K131" s="39"/>
      <c r="L131" s="39"/>
      <c r="M131" s="39"/>
      <c r="N131" s="39"/>
      <c r="O131" s="39"/>
      <c r="P131" s="39"/>
      <c r="Q131" s="39"/>
      <c r="R131" s="39"/>
      <c r="S131" s="39"/>
      <c r="T131" s="39"/>
    </row>
    <row r="132" spans="1:20">
      <c r="A132" s="39"/>
      <c r="B132" s="39"/>
      <c r="C132" s="39"/>
      <c r="D132" s="39"/>
      <c r="E132" s="39"/>
      <c r="F132" s="39"/>
      <c r="G132" s="39"/>
      <c r="H132" s="39"/>
      <c r="I132" s="39"/>
      <c r="J132" s="39"/>
      <c r="K132" s="39"/>
      <c r="L132" s="39"/>
      <c r="M132" s="39"/>
      <c r="N132" s="39"/>
      <c r="O132" s="39"/>
      <c r="P132" s="39"/>
      <c r="Q132" s="39"/>
      <c r="R132" s="39"/>
      <c r="S132" s="39"/>
      <c r="T132" s="39"/>
    </row>
    <row r="133" spans="1:20">
      <c r="A133" s="39"/>
    </row>
    <row r="134" spans="1:20">
      <c r="A134" s="39"/>
    </row>
  </sheetData>
  <mergeCells count="20">
    <mergeCell ref="C87:H88"/>
    <mergeCell ref="B85:M85"/>
    <mergeCell ref="C4:D5"/>
    <mergeCell ref="E1:F1"/>
    <mergeCell ref="I1:J1"/>
    <mergeCell ref="N72:N74"/>
    <mergeCell ref="H70:J70"/>
    <mergeCell ref="B59:M59"/>
    <mergeCell ref="B11:M11"/>
    <mergeCell ref="B19:M19"/>
    <mergeCell ref="C13:D13"/>
    <mergeCell ref="C14:D14"/>
    <mergeCell ref="C15:D15"/>
    <mergeCell ref="C16:D16"/>
    <mergeCell ref="C17:D17"/>
    <mergeCell ref="C47:D47"/>
    <mergeCell ref="C23:D23"/>
    <mergeCell ref="C43:E43"/>
    <mergeCell ref="C44:D44"/>
    <mergeCell ref="C45:D45"/>
  </mergeCells>
  <conditionalFormatting sqref="L47:L48 E16">
    <cfRule type="expression" dxfId="19" priority="1">
      <formula>$L$47&gt;$E$15</formula>
    </cfRule>
  </conditionalFormatting>
  <dataValidations count="6">
    <dataValidation type="list" allowBlank="1" showInputMessage="1" showErrorMessage="1" prompt="Please select Band from Drop down list" sqref="WVK983055:WVK983060 IY26:IY31 SU26:SU31 ACQ26:ACQ31 AMM26:AMM31 AWI26:AWI31 BGE26:BGE31 BQA26:BQA31 BZW26:BZW31 CJS26:CJS31 CTO26:CTO31 DDK26:DDK31 DNG26:DNG31 DXC26:DXC31 EGY26:EGY31 EQU26:EQU31 FAQ26:FAQ31 FKM26:FKM31 FUI26:FUI31 GEE26:GEE31 GOA26:GOA31 GXW26:GXW31 HHS26:HHS31 HRO26:HRO31 IBK26:IBK31 ILG26:ILG31 IVC26:IVC31 JEY26:JEY31 JOU26:JOU31 JYQ26:JYQ31 KIM26:KIM31 KSI26:KSI31 LCE26:LCE31 LMA26:LMA31 LVW26:LVW31 MFS26:MFS31 MPO26:MPO31 MZK26:MZK31 NJG26:NJG31 NTC26:NTC31 OCY26:OCY31 OMU26:OMU31 OWQ26:OWQ31 PGM26:PGM31 PQI26:PQI31 QAE26:QAE31 QKA26:QKA31 QTW26:QTW31 RDS26:RDS31 RNO26:RNO31 RXK26:RXK31 SHG26:SHG31 SRC26:SRC31 TAY26:TAY31 TKU26:TKU31 TUQ26:TUQ31 UEM26:UEM31 UOI26:UOI31 UYE26:UYE31 VIA26:VIA31 VRW26:VRW31 WBS26:WBS31 WLO26:WLO31 WVK26:WVK31 C65551:C65556 IY65551:IY65556 SU65551:SU65556 ACQ65551:ACQ65556 AMM65551:AMM65556 AWI65551:AWI65556 BGE65551:BGE65556 BQA65551:BQA65556 BZW65551:BZW65556 CJS65551:CJS65556 CTO65551:CTO65556 DDK65551:DDK65556 DNG65551:DNG65556 DXC65551:DXC65556 EGY65551:EGY65556 EQU65551:EQU65556 FAQ65551:FAQ65556 FKM65551:FKM65556 FUI65551:FUI65556 GEE65551:GEE65556 GOA65551:GOA65556 GXW65551:GXW65556 HHS65551:HHS65556 HRO65551:HRO65556 IBK65551:IBK65556 ILG65551:ILG65556 IVC65551:IVC65556 JEY65551:JEY65556 JOU65551:JOU65556 JYQ65551:JYQ65556 KIM65551:KIM65556 KSI65551:KSI65556 LCE65551:LCE65556 LMA65551:LMA65556 LVW65551:LVW65556 MFS65551:MFS65556 MPO65551:MPO65556 MZK65551:MZK65556 NJG65551:NJG65556 NTC65551:NTC65556 OCY65551:OCY65556 OMU65551:OMU65556 OWQ65551:OWQ65556 PGM65551:PGM65556 PQI65551:PQI65556 QAE65551:QAE65556 QKA65551:QKA65556 QTW65551:QTW65556 RDS65551:RDS65556 RNO65551:RNO65556 RXK65551:RXK65556 SHG65551:SHG65556 SRC65551:SRC65556 TAY65551:TAY65556 TKU65551:TKU65556 TUQ65551:TUQ65556 UEM65551:UEM65556 UOI65551:UOI65556 UYE65551:UYE65556 VIA65551:VIA65556 VRW65551:VRW65556 WBS65551:WBS65556 WLO65551:WLO65556 WVK65551:WVK65556 C131087:C131092 IY131087:IY131092 SU131087:SU131092 ACQ131087:ACQ131092 AMM131087:AMM131092 AWI131087:AWI131092 BGE131087:BGE131092 BQA131087:BQA131092 BZW131087:BZW131092 CJS131087:CJS131092 CTO131087:CTO131092 DDK131087:DDK131092 DNG131087:DNG131092 DXC131087:DXC131092 EGY131087:EGY131092 EQU131087:EQU131092 FAQ131087:FAQ131092 FKM131087:FKM131092 FUI131087:FUI131092 GEE131087:GEE131092 GOA131087:GOA131092 GXW131087:GXW131092 HHS131087:HHS131092 HRO131087:HRO131092 IBK131087:IBK131092 ILG131087:ILG131092 IVC131087:IVC131092 JEY131087:JEY131092 JOU131087:JOU131092 JYQ131087:JYQ131092 KIM131087:KIM131092 KSI131087:KSI131092 LCE131087:LCE131092 LMA131087:LMA131092 LVW131087:LVW131092 MFS131087:MFS131092 MPO131087:MPO131092 MZK131087:MZK131092 NJG131087:NJG131092 NTC131087:NTC131092 OCY131087:OCY131092 OMU131087:OMU131092 OWQ131087:OWQ131092 PGM131087:PGM131092 PQI131087:PQI131092 QAE131087:QAE131092 QKA131087:QKA131092 QTW131087:QTW131092 RDS131087:RDS131092 RNO131087:RNO131092 RXK131087:RXK131092 SHG131087:SHG131092 SRC131087:SRC131092 TAY131087:TAY131092 TKU131087:TKU131092 TUQ131087:TUQ131092 UEM131087:UEM131092 UOI131087:UOI131092 UYE131087:UYE131092 VIA131087:VIA131092 VRW131087:VRW131092 WBS131087:WBS131092 WLO131087:WLO131092 WVK131087:WVK131092 C196623:C196628 IY196623:IY196628 SU196623:SU196628 ACQ196623:ACQ196628 AMM196623:AMM196628 AWI196623:AWI196628 BGE196623:BGE196628 BQA196623:BQA196628 BZW196623:BZW196628 CJS196623:CJS196628 CTO196623:CTO196628 DDK196623:DDK196628 DNG196623:DNG196628 DXC196623:DXC196628 EGY196623:EGY196628 EQU196623:EQU196628 FAQ196623:FAQ196628 FKM196623:FKM196628 FUI196623:FUI196628 GEE196623:GEE196628 GOA196623:GOA196628 GXW196623:GXW196628 HHS196623:HHS196628 HRO196623:HRO196628 IBK196623:IBK196628 ILG196623:ILG196628 IVC196623:IVC196628 JEY196623:JEY196628 JOU196623:JOU196628 JYQ196623:JYQ196628 KIM196623:KIM196628 KSI196623:KSI196628 LCE196623:LCE196628 LMA196623:LMA196628 LVW196623:LVW196628 MFS196623:MFS196628 MPO196623:MPO196628 MZK196623:MZK196628 NJG196623:NJG196628 NTC196623:NTC196628 OCY196623:OCY196628 OMU196623:OMU196628 OWQ196623:OWQ196628 PGM196623:PGM196628 PQI196623:PQI196628 QAE196623:QAE196628 QKA196623:QKA196628 QTW196623:QTW196628 RDS196623:RDS196628 RNO196623:RNO196628 RXK196623:RXK196628 SHG196623:SHG196628 SRC196623:SRC196628 TAY196623:TAY196628 TKU196623:TKU196628 TUQ196623:TUQ196628 UEM196623:UEM196628 UOI196623:UOI196628 UYE196623:UYE196628 VIA196623:VIA196628 VRW196623:VRW196628 WBS196623:WBS196628 WLO196623:WLO196628 WVK196623:WVK196628 C262159:C262164 IY262159:IY262164 SU262159:SU262164 ACQ262159:ACQ262164 AMM262159:AMM262164 AWI262159:AWI262164 BGE262159:BGE262164 BQA262159:BQA262164 BZW262159:BZW262164 CJS262159:CJS262164 CTO262159:CTO262164 DDK262159:DDK262164 DNG262159:DNG262164 DXC262159:DXC262164 EGY262159:EGY262164 EQU262159:EQU262164 FAQ262159:FAQ262164 FKM262159:FKM262164 FUI262159:FUI262164 GEE262159:GEE262164 GOA262159:GOA262164 GXW262159:GXW262164 HHS262159:HHS262164 HRO262159:HRO262164 IBK262159:IBK262164 ILG262159:ILG262164 IVC262159:IVC262164 JEY262159:JEY262164 JOU262159:JOU262164 JYQ262159:JYQ262164 KIM262159:KIM262164 KSI262159:KSI262164 LCE262159:LCE262164 LMA262159:LMA262164 LVW262159:LVW262164 MFS262159:MFS262164 MPO262159:MPO262164 MZK262159:MZK262164 NJG262159:NJG262164 NTC262159:NTC262164 OCY262159:OCY262164 OMU262159:OMU262164 OWQ262159:OWQ262164 PGM262159:PGM262164 PQI262159:PQI262164 QAE262159:QAE262164 QKA262159:QKA262164 QTW262159:QTW262164 RDS262159:RDS262164 RNO262159:RNO262164 RXK262159:RXK262164 SHG262159:SHG262164 SRC262159:SRC262164 TAY262159:TAY262164 TKU262159:TKU262164 TUQ262159:TUQ262164 UEM262159:UEM262164 UOI262159:UOI262164 UYE262159:UYE262164 VIA262159:VIA262164 VRW262159:VRW262164 WBS262159:WBS262164 WLO262159:WLO262164 WVK262159:WVK262164 C327695:C327700 IY327695:IY327700 SU327695:SU327700 ACQ327695:ACQ327700 AMM327695:AMM327700 AWI327695:AWI327700 BGE327695:BGE327700 BQA327695:BQA327700 BZW327695:BZW327700 CJS327695:CJS327700 CTO327695:CTO327700 DDK327695:DDK327700 DNG327695:DNG327700 DXC327695:DXC327700 EGY327695:EGY327700 EQU327695:EQU327700 FAQ327695:FAQ327700 FKM327695:FKM327700 FUI327695:FUI327700 GEE327695:GEE327700 GOA327695:GOA327700 GXW327695:GXW327700 HHS327695:HHS327700 HRO327695:HRO327700 IBK327695:IBK327700 ILG327695:ILG327700 IVC327695:IVC327700 JEY327695:JEY327700 JOU327695:JOU327700 JYQ327695:JYQ327700 KIM327695:KIM327700 KSI327695:KSI327700 LCE327695:LCE327700 LMA327695:LMA327700 LVW327695:LVW327700 MFS327695:MFS327700 MPO327695:MPO327700 MZK327695:MZK327700 NJG327695:NJG327700 NTC327695:NTC327700 OCY327695:OCY327700 OMU327695:OMU327700 OWQ327695:OWQ327700 PGM327695:PGM327700 PQI327695:PQI327700 QAE327695:QAE327700 QKA327695:QKA327700 QTW327695:QTW327700 RDS327695:RDS327700 RNO327695:RNO327700 RXK327695:RXK327700 SHG327695:SHG327700 SRC327695:SRC327700 TAY327695:TAY327700 TKU327695:TKU327700 TUQ327695:TUQ327700 UEM327695:UEM327700 UOI327695:UOI327700 UYE327695:UYE327700 VIA327695:VIA327700 VRW327695:VRW327700 WBS327695:WBS327700 WLO327695:WLO327700 WVK327695:WVK327700 C393231:C393236 IY393231:IY393236 SU393231:SU393236 ACQ393231:ACQ393236 AMM393231:AMM393236 AWI393231:AWI393236 BGE393231:BGE393236 BQA393231:BQA393236 BZW393231:BZW393236 CJS393231:CJS393236 CTO393231:CTO393236 DDK393231:DDK393236 DNG393231:DNG393236 DXC393231:DXC393236 EGY393231:EGY393236 EQU393231:EQU393236 FAQ393231:FAQ393236 FKM393231:FKM393236 FUI393231:FUI393236 GEE393231:GEE393236 GOA393231:GOA393236 GXW393231:GXW393236 HHS393231:HHS393236 HRO393231:HRO393236 IBK393231:IBK393236 ILG393231:ILG393236 IVC393231:IVC393236 JEY393231:JEY393236 JOU393231:JOU393236 JYQ393231:JYQ393236 KIM393231:KIM393236 KSI393231:KSI393236 LCE393231:LCE393236 LMA393231:LMA393236 LVW393231:LVW393236 MFS393231:MFS393236 MPO393231:MPO393236 MZK393231:MZK393236 NJG393231:NJG393236 NTC393231:NTC393236 OCY393231:OCY393236 OMU393231:OMU393236 OWQ393231:OWQ393236 PGM393231:PGM393236 PQI393231:PQI393236 QAE393231:QAE393236 QKA393231:QKA393236 QTW393231:QTW393236 RDS393231:RDS393236 RNO393231:RNO393236 RXK393231:RXK393236 SHG393231:SHG393236 SRC393231:SRC393236 TAY393231:TAY393236 TKU393231:TKU393236 TUQ393231:TUQ393236 UEM393231:UEM393236 UOI393231:UOI393236 UYE393231:UYE393236 VIA393231:VIA393236 VRW393231:VRW393236 WBS393231:WBS393236 WLO393231:WLO393236 WVK393231:WVK393236 C458767:C458772 IY458767:IY458772 SU458767:SU458772 ACQ458767:ACQ458772 AMM458767:AMM458772 AWI458767:AWI458772 BGE458767:BGE458772 BQA458767:BQA458772 BZW458767:BZW458772 CJS458767:CJS458772 CTO458767:CTO458772 DDK458767:DDK458772 DNG458767:DNG458772 DXC458767:DXC458772 EGY458767:EGY458772 EQU458767:EQU458772 FAQ458767:FAQ458772 FKM458767:FKM458772 FUI458767:FUI458772 GEE458767:GEE458772 GOA458767:GOA458772 GXW458767:GXW458772 HHS458767:HHS458772 HRO458767:HRO458772 IBK458767:IBK458772 ILG458767:ILG458772 IVC458767:IVC458772 JEY458767:JEY458772 JOU458767:JOU458772 JYQ458767:JYQ458772 KIM458767:KIM458772 KSI458767:KSI458772 LCE458767:LCE458772 LMA458767:LMA458772 LVW458767:LVW458772 MFS458767:MFS458772 MPO458767:MPO458772 MZK458767:MZK458772 NJG458767:NJG458772 NTC458767:NTC458772 OCY458767:OCY458772 OMU458767:OMU458772 OWQ458767:OWQ458772 PGM458767:PGM458772 PQI458767:PQI458772 QAE458767:QAE458772 QKA458767:QKA458772 QTW458767:QTW458772 RDS458767:RDS458772 RNO458767:RNO458772 RXK458767:RXK458772 SHG458767:SHG458772 SRC458767:SRC458772 TAY458767:TAY458772 TKU458767:TKU458772 TUQ458767:TUQ458772 UEM458767:UEM458772 UOI458767:UOI458772 UYE458767:UYE458772 VIA458767:VIA458772 VRW458767:VRW458772 WBS458767:WBS458772 WLO458767:WLO458772 WVK458767:WVK458772 C524303:C524308 IY524303:IY524308 SU524303:SU524308 ACQ524303:ACQ524308 AMM524303:AMM524308 AWI524303:AWI524308 BGE524303:BGE524308 BQA524303:BQA524308 BZW524303:BZW524308 CJS524303:CJS524308 CTO524303:CTO524308 DDK524303:DDK524308 DNG524303:DNG524308 DXC524303:DXC524308 EGY524303:EGY524308 EQU524303:EQU524308 FAQ524303:FAQ524308 FKM524303:FKM524308 FUI524303:FUI524308 GEE524303:GEE524308 GOA524303:GOA524308 GXW524303:GXW524308 HHS524303:HHS524308 HRO524303:HRO524308 IBK524303:IBK524308 ILG524303:ILG524308 IVC524303:IVC524308 JEY524303:JEY524308 JOU524303:JOU524308 JYQ524303:JYQ524308 KIM524303:KIM524308 KSI524303:KSI524308 LCE524303:LCE524308 LMA524303:LMA524308 LVW524303:LVW524308 MFS524303:MFS524308 MPO524303:MPO524308 MZK524303:MZK524308 NJG524303:NJG524308 NTC524303:NTC524308 OCY524303:OCY524308 OMU524303:OMU524308 OWQ524303:OWQ524308 PGM524303:PGM524308 PQI524303:PQI524308 QAE524303:QAE524308 QKA524303:QKA524308 QTW524303:QTW524308 RDS524303:RDS524308 RNO524303:RNO524308 RXK524303:RXK524308 SHG524303:SHG524308 SRC524303:SRC524308 TAY524303:TAY524308 TKU524303:TKU524308 TUQ524303:TUQ524308 UEM524303:UEM524308 UOI524303:UOI524308 UYE524303:UYE524308 VIA524303:VIA524308 VRW524303:VRW524308 WBS524303:WBS524308 WLO524303:WLO524308 WVK524303:WVK524308 C589839:C589844 IY589839:IY589844 SU589839:SU589844 ACQ589839:ACQ589844 AMM589839:AMM589844 AWI589839:AWI589844 BGE589839:BGE589844 BQA589839:BQA589844 BZW589839:BZW589844 CJS589839:CJS589844 CTO589839:CTO589844 DDK589839:DDK589844 DNG589839:DNG589844 DXC589839:DXC589844 EGY589839:EGY589844 EQU589839:EQU589844 FAQ589839:FAQ589844 FKM589839:FKM589844 FUI589839:FUI589844 GEE589839:GEE589844 GOA589839:GOA589844 GXW589839:GXW589844 HHS589839:HHS589844 HRO589839:HRO589844 IBK589839:IBK589844 ILG589839:ILG589844 IVC589839:IVC589844 JEY589839:JEY589844 JOU589839:JOU589844 JYQ589839:JYQ589844 KIM589839:KIM589844 KSI589839:KSI589844 LCE589839:LCE589844 LMA589839:LMA589844 LVW589839:LVW589844 MFS589839:MFS589844 MPO589839:MPO589844 MZK589839:MZK589844 NJG589839:NJG589844 NTC589839:NTC589844 OCY589839:OCY589844 OMU589839:OMU589844 OWQ589839:OWQ589844 PGM589839:PGM589844 PQI589839:PQI589844 QAE589839:QAE589844 QKA589839:QKA589844 QTW589839:QTW589844 RDS589839:RDS589844 RNO589839:RNO589844 RXK589839:RXK589844 SHG589839:SHG589844 SRC589839:SRC589844 TAY589839:TAY589844 TKU589839:TKU589844 TUQ589839:TUQ589844 UEM589839:UEM589844 UOI589839:UOI589844 UYE589839:UYE589844 VIA589839:VIA589844 VRW589839:VRW589844 WBS589839:WBS589844 WLO589839:WLO589844 WVK589839:WVK589844 C655375:C655380 IY655375:IY655380 SU655375:SU655380 ACQ655375:ACQ655380 AMM655375:AMM655380 AWI655375:AWI655380 BGE655375:BGE655380 BQA655375:BQA655380 BZW655375:BZW655380 CJS655375:CJS655380 CTO655375:CTO655380 DDK655375:DDK655380 DNG655375:DNG655380 DXC655375:DXC655380 EGY655375:EGY655380 EQU655375:EQU655380 FAQ655375:FAQ655380 FKM655375:FKM655380 FUI655375:FUI655380 GEE655375:GEE655380 GOA655375:GOA655380 GXW655375:GXW655380 HHS655375:HHS655380 HRO655375:HRO655380 IBK655375:IBK655380 ILG655375:ILG655380 IVC655375:IVC655380 JEY655375:JEY655380 JOU655375:JOU655380 JYQ655375:JYQ655380 KIM655375:KIM655380 KSI655375:KSI655380 LCE655375:LCE655380 LMA655375:LMA655380 LVW655375:LVW655380 MFS655375:MFS655380 MPO655375:MPO655380 MZK655375:MZK655380 NJG655375:NJG655380 NTC655375:NTC655380 OCY655375:OCY655380 OMU655375:OMU655380 OWQ655375:OWQ655380 PGM655375:PGM655380 PQI655375:PQI655380 QAE655375:QAE655380 QKA655375:QKA655380 QTW655375:QTW655380 RDS655375:RDS655380 RNO655375:RNO655380 RXK655375:RXK655380 SHG655375:SHG655380 SRC655375:SRC655380 TAY655375:TAY655380 TKU655375:TKU655380 TUQ655375:TUQ655380 UEM655375:UEM655380 UOI655375:UOI655380 UYE655375:UYE655380 VIA655375:VIA655380 VRW655375:VRW655380 WBS655375:WBS655380 WLO655375:WLO655380 WVK655375:WVK655380 C720911:C720916 IY720911:IY720916 SU720911:SU720916 ACQ720911:ACQ720916 AMM720911:AMM720916 AWI720911:AWI720916 BGE720911:BGE720916 BQA720911:BQA720916 BZW720911:BZW720916 CJS720911:CJS720916 CTO720911:CTO720916 DDK720911:DDK720916 DNG720911:DNG720916 DXC720911:DXC720916 EGY720911:EGY720916 EQU720911:EQU720916 FAQ720911:FAQ720916 FKM720911:FKM720916 FUI720911:FUI720916 GEE720911:GEE720916 GOA720911:GOA720916 GXW720911:GXW720916 HHS720911:HHS720916 HRO720911:HRO720916 IBK720911:IBK720916 ILG720911:ILG720916 IVC720911:IVC720916 JEY720911:JEY720916 JOU720911:JOU720916 JYQ720911:JYQ720916 KIM720911:KIM720916 KSI720911:KSI720916 LCE720911:LCE720916 LMA720911:LMA720916 LVW720911:LVW720916 MFS720911:MFS720916 MPO720911:MPO720916 MZK720911:MZK720916 NJG720911:NJG720916 NTC720911:NTC720916 OCY720911:OCY720916 OMU720911:OMU720916 OWQ720911:OWQ720916 PGM720911:PGM720916 PQI720911:PQI720916 QAE720911:QAE720916 QKA720911:QKA720916 QTW720911:QTW720916 RDS720911:RDS720916 RNO720911:RNO720916 RXK720911:RXK720916 SHG720911:SHG720916 SRC720911:SRC720916 TAY720911:TAY720916 TKU720911:TKU720916 TUQ720911:TUQ720916 UEM720911:UEM720916 UOI720911:UOI720916 UYE720911:UYE720916 VIA720911:VIA720916 VRW720911:VRW720916 WBS720911:WBS720916 WLO720911:WLO720916 WVK720911:WVK720916 C786447:C786452 IY786447:IY786452 SU786447:SU786452 ACQ786447:ACQ786452 AMM786447:AMM786452 AWI786447:AWI786452 BGE786447:BGE786452 BQA786447:BQA786452 BZW786447:BZW786452 CJS786447:CJS786452 CTO786447:CTO786452 DDK786447:DDK786452 DNG786447:DNG786452 DXC786447:DXC786452 EGY786447:EGY786452 EQU786447:EQU786452 FAQ786447:FAQ786452 FKM786447:FKM786452 FUI786447:FUI786452 GEE786447:GEE786452 GOA786447:GOA786452 GXW786447:GXW786452 HHS786447:HHS786452 HRO786447:HRO786452 IBK786447:IBK786452 ILG786447:ILG786452 IVC786447:IVC786452 JEY786447:JEY786452 JOU786447:JOU786452 JYQ786447:JYQ786452 KIM786447:KIM786452 KSI786447:KSI786452 LCE786447:LCE786452 LMA786447:LMA786452 LVW786447:LVW786452 MFS786447:MFS786452 MPO786447:MPO786452 MZK786447:MZK786452 NJG786447:NJG786452 NTC786447:NTC786452 OCY786447:OCY786452 OMU786447:OMU786452 OWQ786447:OWQ786452 PGM786447:PGM786452 PQI786447:PQI786452 QAE786447:QAE786452 QKA786447:QKA786452 QTW786447:QTW786452 RDS786447:RDS786452 RNO786447:RNO786452 RXK786447:RXK786452 SHG786447:SHG786452 SRC786447:SRC786452 TAY786447:TAY786452 TKU786447:TKU786452 TUQ786447:TUQ786452 UEM786447:UEM786452 UOI786447:UOI786452 UYE786447:UYE786452 VIA786447:VIA786452 VRW786447:VRW786452 WBS786447:WBS786452 WLO786447:WLO786452 WVK786447:WVK786452 C851983:C851988 IY851983:IY851988 SU851983:SU851988 ACQ851983:ACQ851988 AMM851983:AMM851988 AWI851983:AWI851988 BGE851983:BGE851988 BQA851983:BQA851988 BZW851983:BZW851988 CJS851983:CJS851988 CTO851983:CTO851988 DDK851983:DDK851988 DNG851983:DNG851988 DXC851983:DXC851988 EGY851983:EGY851988 EQU851983:EQU851988 FAQ851983:FAQ851988 FKM851983:FKM851988 FUI851983:FUI851988 GEE851983:GEE851988 GOA851983:GOA851988 GXW851983:GXW851988 HHS851983:HHS851988 HRO851983:HRO851988 IBK851983:IBK851988 ILG851983:ILG851988 IVC851983:IVC851988 JEY851983:JEY851988 JOU851983:JOU851988 JYQ851983:JYQ851988 KIM851983:KIM851988 KSI851983:KSI851988 LCE851983:LCE851988 LMA851983:LMA851988 LVW851983:LVW851988 MFS851983:MFS851988 MPO851983:MPO851988 MZK851983:MZK851988 NJG851983:NJG851988 NTC851983:NTC851988 OCY851983:OCY851988 OMU851983:OMU851988 OWQ851983:OWQ851988 PGM851983:PGM851988 PQI851983:PQI851988 QAE851983:QAE851988 QKA851983:QKA851988 QTW851983:QTW851988 RDS851983:RDS851988 RNO851983:RNO851988 RXK851983:RXK851988 SHG851983:SHG851988 SRC851983:SRC851988 TAY851983:TAY851988 TKU851983:TKU851988 TUQ851983:TUQ851988 UEM851983:UEM851988 UOI851983:UOI851988 UYE851983:UYE851988 VIA851983:VIA851988 VRW851983:VRW851988 WBS851983:WBS851988 WLO851983:WLO851988 WVK851983:WVK851988 C917519:C917524 IY917519:IY917524 SU917519:SU917524 ACQ917519:ACQ917524 AMM917519:AMM917524 AWI917519:AWI917524 BGE917519:BGE917524 BQA917519:BQA917524 BZW917519:BZW917524 CJS917519:CJS917524 CTO917519:CTO917524 DDK917519:DDK917524 DNG917519:DNG917524 DXC917519:DXC917524 EGY917519:EGY917524 EQU917519:EQU917524 FAQ917519:FAQ917524 FKM917519:FKM917524 FUI917519:FUI917524 GEE917519:GEE917524 GOA917519:GOA917524 GXW917519:GXW917524 HHS917519:HHS917524 HRO917519:HRO917524 IBK917519:IBK917524 ILG917519:ILG917524 IVC917519:IVC917524 JEY917519:JEY917524 JOU917519:JOU917524 JYQ917519:JYQ917524 KIM917519:KIM917524 KSI917519:KSI917524 LCE917519:LCE917524 LMA917519:LMA917524 LVW917519:LVW917524 MFS917519:MFS917524 MPO917519:MPO917524 MZK917519:MZK917524 NJG917519:NJG917524 NTC917519:NTC917524 OCY917519:OCY917524 OMU917519:OMU917524 OWQ917519:OWQ917524 PGM917519:PGM917524 PQI917519:PQI917524 QAE917519:QAE917524 QKA917519:QKA917524 QTW917519:QTW917524 RDS917519:RDS917524 RNO917519:RNO917524 RXK917519:RXK917524 SHG917519:SHG917524 SRC917519:SRC917524 TAY917519:TAY917524 TKU917519:TKU917524 TUQ917519:TUQ917524 UEM917519:UEM917524 UOI917519:UOI917524 UYE917519:UYE917524 VIA917519:VIA917524 VRW917519:VRW917524 WBS917519:WBS917524 WLO917519:WLO917524 WVK917519:WVK917524 C983055:C983060 IY983055:IY983060 SU983055:SU983060 ACQ983055:ACQ983060 AMM983055:AMM983060 AWI983055:AWI983060 BGE983055:BGE983060 BQA983055:BQA983060 BZW983055:BZW983060 CJS983055:CJS983060 CTO983055:CTO983060 DDK983055:DDK983060 DNG983055:DNG983060 DXC983055:DXC983060 EGY983055:EGY983060 EQU983055:EQU983060 FAQ983055:FAQ983060 FKM983055:FKM983060 FUI983055:FUI983060 GEE983055:GEE983060 GOA983055:GOA983060 GXW983055:GXW983060 HHS983055:HHS983060 HRO983055:HRO983060 IBK983055:IBK983060 ILG983055:ILG983060 IVC983055:IVC983060 JEY983055:JEY983060 JOU983055:JOU983060 JYQ983055:JYQ983060 KIM983055:KIM983060 KSI983055:KSI983060 LCE983055:LCE983060 LMA983055:LMA983060 LVW983055:LVW983060 MFS983055:MFS983060 MPO983055:MPO983060 MZK983055:MZK983060 NJG983055:NJG983060 NTC983055:NTC983060 OCY983055:OCY983060 OMU983055:OMU983060 OWQ983055:OWQ983060 PGM983055:PGM983060 PQI983055:PQI983060 QAE983055:QAE983060 QKA983055:QKA983060 QTW983055:QTW983060 RDS983055:RDS983060 RNO983055:RNO983060 RXK983055:RXK983060 SHG983055:SHG983060 SRC983055:SRC983060 TAY983055:TAY983060 TKU983055:TKU983060 TUQ983055:TUQ983060 UEM983055:UEM983060 UOI983055:UOI983060 UYE983055:UYE983060 VIA983055:VIA983060 VRW983055:VRW983060 WBS983055:WBS983060 WLO983055:WLO983060">
      <formula1>AFC</formula1>
    </dataValidation>
    <dataValidation type="custom" errorStyle="warning" allowBlank="1" showInputMessage="1" showErrorMessage="1" error="Capacity above target!" sqref="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formula1>JF65572&gt;JD65541</formula1>
    </dataValidation>
    <dataValidation type="custom" errorStyle="warning" allowBlank="1" showInputMessage="1" showErrorMessage="1" error="Capacity above target!" sqref="L47">
      <formula1>L47&gt;E13</formula1>
    </dataValidation>
    <dataValidation type="custom" errorStyle="warning" allowBlank="1" showInputMessage="1" showErrorMessage="1" error="Capacity above target!" sqref="K131108 K65572 K983076 K917540 K852004 K786468 K720932 K655396 K589860 K524324 K458788 K393252 K327716 K262180 K196644">
      <formula1>K65572&gt;H65541</formula1>
    </dataValidation>
    <dataValidation type="custom" errorStyle="warning" allowBlank="1" showInputMessage="1" showErrorMessage="1" error="Capacity above target!" sqref="AWP47 AMT47 ACX47 TB47 JF47 WVR47 WLV47 WBZ47 VSD47 VIH47 UYL47 UOP47 UET47 TUX47 TLB47 TBF47 SRJ47 SHN47 RXR47 RNV47 RDZ47 QUD47 QKH47 QAL47 PQP47 PGT47 OWX47 ONB47 ODF47 NTJ47 NJN47 MZR47 MPV47 MFZ47 LWD47 LMH47 LCL47 KSP47 KIT47 JYX47 JPB47 JFF47 IVJ47 ILN47 IBR47 HRV47 HHZ47 GYD47 GOH47 GEL47 FUP47 FKT47 FAX47 ERB47 EHF47 DXJ47 DNN47 DDR47 CTV47 CJZ47 CAD47 BQH47 BGL47">
      <formula1>JF47&gt;JD13</formula1>
    </dataValidation>
    <dataValidation type="list" allowBlank="1" showInputMessage="1" prompt="Select from list or type in job title" sqref="C26:C31">
      <formula1>Staff_List</formula1>
    </dataValidation>
  </dataValidations>
  <pageMargins left="0.70866141732283472" right="0.70866141732283472" top="0.74803149606299213" bottom="0.74803149606299213" header="0.31496062992125984" footer="0.31496062992125984"/>
  <pageSetup paperSize="9" scale="33"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staff_costs!$A$4:$A$21</xm:f>
          </x14:formula1>
          <xm:sqref>D26:D31</xm:sqref>
        </x14:dataValidation>
      </x14:dataValidations>
    </ex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4" tint="-0.249977111117893"/>
  </sheetPr>
  <dimension ref="A1:BW141"/>
  <sheetViews>
    <sheetView showGridLines="0" topLeftCell="B1" zoomScale="75" zoomScaleNormal="75" zoomScaleSheetLayoutView="85" zoomScalePageLayoutView="75" workbookViewId="0">
      <pane ySplit="1" topLeftCell="A2" activePane="bottomLeft" state="frozen"/>
      <selection activeCell="C3" sqref="C3"/>
      <selection pane="bottomLeft" activeCell="H80" sqref="H80"/>
    </sheetView>
  </sheetViews>
  <sheetFormatPr defaultColWidth="8.85546875" defaultRowHeight="14.25" outlineLevelCol="1"/>
  <cols>
    <col min="1" max="1" width="61.85546875" style="38" hidden="1" customWidth="1" outlineLevel="1"/>
    <col min="2" max="2" width="15.7109375" style="38" customWidth="1" collapsed="1"/>
    <col min="3" max="3" width="45.7109375" style="38" customWidth="1"/>
    <col min="4" max="4" width="17.28515625" style="38" customWidth="1"/>
    <col min="5" max="6" width="15.7109375" style="38" customWidth="1"/>
    <col min="7" max="7" width="19.85546875" style="38" customWidth="1"/>
    <col min="8" max="10" width="15.7109375" style="38" customWidth="1"/>
    <col min="11" max="11" width="45.7109375" style="38" customWidth="1"/>
    <col min="12" max="12" width="17" style="38" customWidth="1"/>
    <col min="13" max="13" width="15.7109375" style="38" customWidth="1"/>
    <col min="14" max="14" width="8.42578125" style="38" customWidth="1"/>
    <col min="15" max="17" width="8.85546875" style="38"/>
    <col min="18" max="18" width="3" style="38" customWidth="1"/>
    <col min="19" max="19" width="9.42578125" style="38" customWidth="1"/>
    <col min="20" max="21" width="34.7109375" style="38" customWidth="1"/>
    <col min="22" max="22" width="14.7109375" style="38" customWidth="1"/>
    <col min="23" max="23" width="17.7109375" style="38" customWidth="1"/>
    <col min="24" max="24" width="15.42578125" style="38" customWidth="1"/>
    <col min="25" max="16384" width="8.85546875" style="38"/>
  </cols>
  <sheetData>
    <row r="1" spans="1:75" s="51"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2"/>
      <c r="H1" s="1763"/>
      <c r="I1" s="2311" t="str">
        <f>HYPERLINK("[.\]outputs_by_channel!A1", "To Intervention data outputs by channel")</f>
        <v>To Intervention data outputs by channel</v>
      </c>
      <c r="J1" s="2312"/>
      <c r="K1" s="1762"/>
      <c r="L1" s="1762"/>
      <c r="M1" s="1762"/>
      <c r="O1" s="52"/>
      <c r="Q1" s="52"/>
      <c r="R1" s="52"/>
      <c r="S1" s="52"/>
      <c r="T1" s="52"/>
      <c r="V1" s="52"/>
      <c r="W1" s="52"/>
      <c r="X1" s="52"/>
      <c r="Y1" s="52"/>
      <c r="AA1" s="52"/>
      <c r="AB1" s="52"/>
      <c r="AC1" s="52"/>
      <c r="AD1" s="52"/>
      <c r="AF1" s="52"/>
      <c r="AG1" s="52"/>
      <c r="AH1" s="52"/>
      <c r="AI1" s="52"/>
      <c r="AK1" s="52"/>
      <c r="AL1" s="52"/>
      <c r="AM1" s="52"/>
      <c r="AN1" s="52"/>
      <c r="AP1" s="52"/>
      <c r="AQ1" s="52"/>
      <c r="AR1" s="52"/>
      <c r="AS1" s="52"/>
      <c r="AU1" s="52"/>
      <c r="AV1" s="52"/>
      <c r="AW1" s="52"/>
      <c r="AX1" s="52"/>
      <c r="AZ1" s="52"/>
      <c r="BA1" s="52"/>
      <c r="BB1" s="52"/>
      <c r="BC1" s="52"/>
      <c r="BE1" s="52"/>
      <c r="BF1" s="52"/>
      <c r="BG1" s="52"/>
      <c r="BH1" s="52"/>
      <c r="BJ1" s="52"/>
      <c r="BK1" s="52"/>
      <c r="BL1" s="52"/>
      <c r="BM1" s="52"/>
      <c r="BO1" s="52"/>
      <c r="BP1" s="52"/>
      <c r="BQ1" s="52"/>
      <c r="BR1" s="52"/>
      <c r="BT1" s="52"/>
      <c r="BU1" s="52"/>
      <c r="BV1" s="52"/>
      <c r="BW1" s="52"/>
    </row>
    <row r="2" spans="1:75" ht="15">
      <c r="A2" s="35"/>
      <c r="B2" s="941"/>
      <c r="C2" s="613"/>
      <c r="D2" s="614"/>
      <c r="E2" s="613"/>
      <c r="F2" s="613"/>
      <c r="G2" s="36"/>
      <c r="H2" s="613"/>
      <c r="I2" s="613"/>
      <c r="J2" s="2054"/>
      <c r="K2" s="2072"/>
      <c r="L2" s="2072"/>
      <c r="M2" s="2088"/>
      <c r="N2" s="139"/>
      <c r="O2" s="35"/>
      <c r="P2" s="35"/>
      <c r="Q2" s="35"/>
      <c r="R2" s="35"/>
      <c r="S2" s="35"/>
      <c r="T2" s="35"/>
    </row>
    <row r="3" spans="1:75" ht="15.75" thickBot="1">
      <c r="A3" s="35"/>
      <c r="B3" s="941"/>
      <c r="C3" s="613"/>
      <c r="D3" s="614"/>
      <c r="E3" s="613"/>
      <c r="F3" s="496"/>
      <c r="G3" s="496"/>
      <c r="H3" s="613"/>
      <c r="I3" s="613"/>
      <c r="J3" s="36"/>
      <c r="K3" s="2070"/>
      <c r="L3" s="2074"/>
      <c r="M3" s="2083"/>
      <c r="N3" s="139"/>
      <c r="O3" s="35"/>
      <c r="P3" s="35"/>
      <c r="Q3" s="35"/>
      <c r="R3" s="35"/>
      <c r="S3" s="35"/>
      <c r="T3" s="35"/>
    </row>
    <row r="4" spans="1:75" ht="14.45" customHeight="1">
      <c r="A4" s="35"/>
      <c r="B4" s="602"/>
      <c r="C4" s="2362" t="str">
        <f>Menu!$B24</f>
        <v>Enhanced urgent care standards</v>
      </c>
      <c r="D4" s="2418"/>
      <c r="E4" s="593"/>
      <c r="F4" s="496"/>
      <c r="G4" s="496"/>
      <c r="H4" s="593"/>
      <c r="I4" s="593"/>
      <c r="J4" s="36"/>
      <c r="K4" s="2070"/>
      <c r="L4" s="2074"/>
      <c r="M4" s="2083"/>
      <c r="N4" s="139"/>
      <c r="O4" s="35"/>
      <c r="P4" s="35"/>
      <c r="Q4" s="35"/>
      <c r="R4" s="35"/>
      <c r="S4" s="35"/>
      <c r="T4" s="35"/>
    </row>
    <row r="5" spans="1:75" ht="15" customHeight="1" thickBot="1">
      <c r="A5" s="35"/>
      <c r="B5" s="602"/>
      <c r="C5" s="2364"/>
      <c r="D5" s="2419"/>
      <c r="E5" s="593"/>
      <c r="F5" s="496"/>
      <c r="G5" s="496"/>
      <c r="H5" s="593"/>
      <c r="I5" s="593"/>
      <c r="J5" s="36"/>
      <c r="K5" s="2070"/>
      <c r="L5" s="2075"/>
      <c r="M5" s="2084"/>
      <c r="N5" s="139"/>
      <c r="O5" s="35"/>
      <c r="P5" s="35"/>
      <c r="Q5" s="35"/>
      <c r="R5" s="35"/>
      <c r="S5" s="35"/>
      <c r="T5" s="35"/>
    </row>
    <row r="6" spans="1:75" ht="15.75" thickBot="1">
      <c r="A6" s="35"/>
      <c r="B6" s="602"/>
      <c r="C6" s="526"/>
      <c r="D6" s="580"/>
      <c r="E6" s="594"/>
      <c r="F6" s="496"/>
      <c r="G6" s="496"/>
      <c r="H6" s="580"/>
      <c r="I6" s="580"/>
      <c r="J6" s="36"/>
      <c r="K6" s="2070"/>
      <c r="L6" s="2077"/>
      <c r="M6" s="2085"/>
      <c r="N6" s="139"/>
      <c r="O6" s="35"/>
      <c r="P6" s="35"/>
      <c r="Q6" s="35"/>
      <c r="R6" s="35"/>
      <c r="S6" s="35"/>
      <c r="T6" s="35"/>
    </row>
    <row r="7" spans="1:75" ht="15.75" thickBot="1">
      <c r="A7" s="35"/>
      <c r="B7" s="602"/>
      <c r="C7" s="797" t="s">
        <v>582</v>
      </c>
      <c r="D7" s="806">
        <v>762764</v>
      </c>
      <c r="E7" s="40"/>
      <c r="F7" s="580"/>
      <c r="G7" s="580"/>
      <c r="H7" s="580"/>
      <c r="I7" s="580"/>
      <c r="J7" s="36"/>
      <c r="K7" s="2070"/>
      <c r="L7" s="2078"/>
      <c r="M7" s="2083"/>
      <c r="N7" s="139"/>
      <c r="O7" s="35"/>
      <c r="P7" s="35"/>
      <c r="Q7" s="35"/>
      <c r="R7" s="35"/>
      <c r="S7" s="35"/>
      <c r="T7" s="35"/>
    </row>
    <row r="8" spans="1:75" ht="15">
      <c r="A8" s="35"/>
      <c r="B8" s="1779"/>
      <c r="C8" s="535"/>
      <c r="D8" s="535"/>
      <c r="E8" s="613"/>
      <c r="F8" s="613"/>
      <c r="G8" s="613"/>
      <c r="H8" s="613"/>
      <c r="I8" s="613"/>
      <c r="J8" s="613"/>
      <c r="K8" s="2070"/>
      <c r="L8" s="2075"/>
      <c r="M8" s="2084"/>
      <c r="N8" s="139"/>
      <c r="O8" s="35"/>
      <c r="P8" s="35"/>
      <c r="Q8" s="35"/>
      <c r="R8" s="35"/>
      <c r="S8" s="35"/>
      <c r="T8" s="35"/>
    </row>
    <row r="9" spans="1:75" ht="15">
      <c r="A9" s="35"/>
      <c r="B9" s="1779"/>
      <c r="C9" s="1777" t="str">
        <f>HYPERLINK("[.\]E_UCC_standards!A2","To Evidence")</f>
        <v>To Evidence</v>
      </c>
      <c r="D9" s="535"/>
      <c r="E9" s="613"/>
      <c r="F9" s="613"/>
      <c r="G9" s="613"/>
      <c r="H9" s="613"/>
      <c r="I9" s="613"/>
      <c r="J9" s="613"/>
      <c r="K9" s="2066"/>
      <c r="L9" s="1790"/>
      <c r="M9" s="1791"/>
      <c r="N9" s="613"/>
      <c r="O9" s="35"/>
      <c r="P9" s="35"/>
      <c r="Q9" s="35"/>
      <c r="R9" s="35"/>
      <c r="S9" s="35"/>
      <c r="T9" s="35"/>
    </row>
    <row r="10" spans="1:75" ht="15">
      <c r="A10" s="35"/>
      <c r="B10" s="138"/>
      <c r="C10" s="36"/>
      <c r="D10" s="36"/>
      <c r="E10" s="36"/>
      <c r="F10" s="36"/>
      <c r="G10" s="36"/>
      <c r="H10" s="36"/>
      <c r="I10" s="36"/>
      <c r="J10" s="36"/>
      <c r="K10" s="36"/>
      <c r="L10" s="36"/>
      <c r="M10" s="1305"/>
      <c r="N10" s="67"/>
      <c r="O10" s="35"/>
      <c r="P10" s="35"/>
      <c r="Q10" s="35"/>
      <c r="R10" s="35"/>
      <c r="S10" s="35"/>
      <c r="T10" s="35"/>
      <c r="U10" s="35"/>
    </row>
    <row r="11" spans="1:75" s="42" customFormat="1" ht="15">
      <c r="A11" s="2036" t="s">
        <v>103</v>
      </c>
      <c r="B11" s="2343" t="s">
        <v>119</v>
      </c>
      <c r="C11" s="2344"/>
      <c r="D11" s="2344"/>
      <c r="E11" s="2344"/>
      <c r="F11" s="2344"/>
      <c r="G11" s="2344"/>
      <c r="H11" s="2344"/>
      <c r="I11" s="2344"/>
      <c r="J11" s="2344"/>
      <c r="K11" s="2344"/>
      <c r="L11" s="2344"/>
      <c r="M11" s="2345"/>
      <c r="N11" s="39"/>
      <c r="O11" s="39"/>
      <c r="P11" s="39"/>
    </row>
    <row r="12" spans="1:75" s="65" customFormat="1" ht="15">
      <c r="A12" s="2035"/>
      <c r="B12" s="661"/>
      <c r="C12" s="650"/>
      <c r="D12" s="650"/>
      <c r="E12" s="650"/>
      <c r="F12" s="650"/>
      <c r="G12" s="650"/>
      <c r="H12" s="650"/>
      <c r="I12" s="650"/>
      <c r="J12" s="650"/>
      <c r="K12" s="650"/>
      <c r="L12" s="650"/>
      <c r="M12" s="662"/>
    </row>
    <row r="13" spans="1:75" s="39" customFormat="1" ht="15">
      <c r="A13" s="35"/>
      <c r="B13" s="548"/>
      <c r="C13" s="2323" t="s">
        <v>1254</v>
      </c>
      <c r="D13" s="2377"/>
      <c r="E13" s="573">
        <v>120000</v>
      </c>
      <c r="G13" s="40"/>
      <c r="H13" s="40"/>
      <c r="I13" s="40"/>
      <c r="J13" s="527"/>
      <c r="K13" s="40"/>
      <c r="L13" s="551"/>
      <c r="M13" s="552" t="s">
        <v>141</v>
      </c>
      <c r="N13" s="40"/>
    </row>
    <row r="14" spans="1:75" s="39" customFormat="1" ht="15">
      <c r="B14" s="548"/>
      <c r="C14" s="2323" t="s">
        <v>552</v>
      </c>
      <c r="D14" s="2377"/>
      <c r="E14" s="652">
        <v>0.1</v>
      </c>
      <c r="G14" s="618"/>
      <c r="H14" s="40"/>
      <c r="I14" s="40"/>
      <c r="J14" s="40"/>
      <c r="K14" s="40"/>
      <c r="L14" s="63"/>
      <c r="M14" s="552" t="s">
        <v>143</v>
      </c>
      <c r="N14" s="40"/>
    </row>
    <row r="15" spans="1:75" s="39" customFormat="1" ht="15">
      <c r="A15" s="65"/>
      <c r="B15" s="548"/>
      <c r="C15" s="2323" t="s">
        <v>1288</v>
      </c>
      <c r="D15" s="2377"/>
      <c r="E15" s="640">
        <f>E14*E13</f>
        <v>12000</v>
      </c>
      <c r="G15" s="527"/>
      <c r="H15" s="40"/>
      <c r="I15" s="40"/>
      <c r="J15" s="527"/>
      <c r="K15" s="40"/>
      <c r="L15" s="554" t="s">
        <v>556</v>
      </c>
      <c r="M15" s="552" t="s">
        <v>143</v>
      </c>
      <c r="N15" s="40"/>
    </row>
    <row r="16" spans="1:75" s="39" customFormat="1" ht="42.75">
      <c r="B16" s="548"/>
      <c r="C16" s="2323" t="s">
        <v>1289</v>
      </c>
      <c r="D16" s="2377"/>
      <c r="E16" s="640">
        <f>L68</f>
        <v>2520</v>
      </c>
      <c r="G16" s="40"/>
      <c r="H16" s="40"/>
      <c r="I16" s="40"/>
      <c r="J16" s="527"/>
      <c r="K16" s="40"/>
      <c r="L16" s="2193"/>
      <c r="M16" s="507" t="s">
        <v>1299</v>
      </c>
      <c r="N16" s="40"/>
    </row>
    <row r="17" spans="1:21" s="39" customFormat="1" ht="15">
      <c r="B17" s="548"/>
      <c r="C17" s="2323" t="s">
        <v>590</v>
      </c>
      <c r="D17" s="2377"/>
      <c r="E17" s="641">
        <f>E16/E15</f>
        <v>0.21</v>
      </c>
      <c r="G17" s="40"/>
      <c r="H17" s="40"/>
      <c r="I17" s="40"/>
      <c r="J17" s="527"/>
      <c r="K17" s="40"/>
      <c r="L17" s="584"/>
      <c r="M17" s="555"/>
      <c r="N17" s="40"/>
    </row>
    <row r="18" spans="1:21" s="39" customFormat="1" ht="15">
      <c r="B18" s="548"/>
      <c r="C18" s="527"/>
      <c r="D18" s="527"/>
      <c r="E18" s="525"/>
      <c r="F18" s="527"/>
      <c r="G18" s="40"/>
      <c r="H18" s="663"/>
      <c r="I18" s="663"/>
      <c r="J18" s="664"/>
      <c r="K18" s="527"/>
      <c r="L18" s="527"/>
      <c r="M18" s="591"/>
      <c r="N18" s="40"/>
    </row>
    <row r="19" spans="1:21" ht="15">
      <c r="A19" s="39"/>
      <c r="B19" s="2343" t="s">
        <v>236</v>
      </c>
      <c r="C19" s="2344"/>
      <c r="D19" s="2344"/>
      <c r="E19" s="2344"/>
      <c r="F19" s="2344"/>
      <c r="G19" s="2344"/>
      <c r="H19" s="2344"/>
      <c r="I19" s="2344"/>
      <c r="J19" s="2344"/>
      <c r="K19" s="2344"/>
      <c r="L19" s="2344"/>
      <c r="M19" s="2345"/>
      <c r="N19" s="67"/>
      <c r="O19" s="35"/>
      <c r="P19" s="35"/>
    </row>
    <row r="20" spans="1:21" s="42" customFormat="1" ht="15">
      <c r="A20" s="39"/>
      <c r="B20" s="1196"/>
      <c r="C20" s="526"/>
      <c r="D20" s="40"/>
      <c r="E20" s="560"/>
      <c r="F20" s="526"/>
      <c r="G20" s="526"/>
      <c r="H20" s="526"/>
      <c r="I20" s="526"/>
      <c r="J20" s="526"/>
      <c r="K20" s="526"/>
      <c r="L20" s="529"/>
      <c r="M20" s="615"/>
      <c r="N20" s="73"/>
      <c r="O20" s="39"/>
      <c r="P20" s="39"/>
    </row>
    <row r="21" spans="1:21" s="42" customFormat="1" ht="15">
      <c r="A21" s="39"/>
      <c r="B21" s="1773"/>
      <c r="C21" s="1714" t="str">
        <f>HYPERLINK("[.\]Set_up_Ad_UCS!A3","To Set up costs template")</f>
        <v>To Set up costs template</v>
      </c>
      <c r="D21" s="1714"/>
      <c r="E21" s="560"/>
      <c r="F21" s="526"/>
      <c r="G21" s="526"/>
      <c r="H21" s="526"/>
      <c r="I21" s="526"/>
      <c r="J21" s="526"/>
      <c r="K21" s="526"/>
      <c r="L21" s="1711"/>
      <c r="M21" s="615"/>
      <c r="N21" s="1715"/>
      <c r="O21" s="39"/>
      <c r="P21" s="39"/>
    </row>
    <row r="22" spans="1:21" s="42" customFormat="1" ht="15">
      <c r="A22" s="35"/>
      <c r="B22" s="1773"/>
      <c r="C22" s="526"/>
      <c r="D22" s="40"/>
      <c r="E22" s="560"/>
      <c r="F22" s="526"/>
      <c r="G22" s="526"/>
      <c r="H22" s="526"/>
      <c r="I22" s="526"/>
      <c r="J22" s="526"/>
      <c r="K22" s="526"/>
      <c r="L22" s="1711"/>
      <c r="M22" s="615"/>
      <c r="N22" s="1715"/>
      <c r="O22" s="39"/>
      <c r="P22" s="39"/>
    </row>
    <row r="23" spans="1:21" s="42" customFormat="1" ht="15">
      <c r="A23" s="39"/>
      <c r="B23" s="194"/>
      <c r="C23" s="2357" t="s">
        <v>1070</v>
      </c>
      <c r="D23" s="2250"/>
      <c r="E23" s="1208">
        <f>Set_up_Ad_UCS!C4</f>
        <v>10000</v>
      </c>
      <c r="G23" s="526"/>
      <c r="H23" s="526"/>
      <c r="I23" s="526"/>
      <c r="J23" s="526"/>
      <c r="K23" s="529"/>
      <c r="L23" s="529"/>
      <c r="M23" s="615"/>
      <c r="N23" s="73"/>
      <c r="O23" s="39"/>
      <c r="P23" s="39"/>
    </row>
    <row r="24" spans="1:21" s="42" customFormat="1" ht="15">
      <c r="A24" s="39"/>
      <c r="B24" s="482"/>
      <c r="C24"/>
      <c r="D24" s="526"/>
      <c r="E24" s="526"/>
      <c r="F24" s="526"/>
      <c r="G24" s="526"/>
      <c r="H24" s="526"/>
      <c r="I24" s="526"/>
      <c r="J24" s="526"/>
      <c r="K24" s="529"/>
      <c r="L24" s="529"/>
      <c r="M24" s="615"/>
      <c r="N24" s="40"/>
      <c r="O24" s="39"/>
      <c r="P24" s="39"/>
      <c r="Q24" s="39"/>
      <c r="R24" s="39"/>
      <c r="S24" s="39"/>
      <c r="T24" s="39"/>
      <c r="U24" s="39"/>
    </row>
    <row r="25" spans="1:21" s="42" customFormat="1" ht="60">
      <c r="A25" s="39"/>
      <c r="B25" s="482"/>
      <c r="C25" s="1070" t="s">
        <v>133</v>
      </c>
      <c r="D25" s="684" t="s">
        <v>116</v>
      </c>
      <c r="E25" s="444" t="s">
        <v>115</v>
      </c>
      <c r="F25" s="563" t="s">
        <v>114</v>
      </c>
      <c r="G25" s="563" t="s">
        <v>113</v>
      </c>
      <c r="H25" s="563" t="s">
        <v>112</v>
      </c>
      <c r="I25" s="73"/>
      <c r="J25" s="73"/>
      <c r="K25" s="564" t="s">
        <v>634</v>
      </c>
      <c r="L25" s="563" t="s">
        <v>110</v>
      </c>
      <c r="M25" s="615"/>
      <c r="N25" s="40"/>
      <c r="O25" s="39"/>
      <c r="P25" s="39"/>
      <c r="Q25" s="39"/>
      <c r="R25" s="39"/>
      <c r="S25" s="39"/>
    </row>
    <row r="26" spans="1:21" s="42" customFormat="1" ht="15">
      <c r="A26" s="39"/>
      <c r="B26" s="194"/>
      <c r="C26" s="1098" t="s">
        <v>8</v>
      </c>
      <c r="D26" s="665" t="s">
        <v>8</v>
      </c>
      <c r="E26" s="666">
        <v>0.5</v>
      </c>
      <c r="F26" s="1133">
        <f>IF(D26&lt;&gt;"",VLOOKUP(D26,staff_costs!$A$3:$H$22,6,0),"")</f>
        <v>111848</v>
      </c>
      <c r="G26" s="568">
        <v>0.2</v>
      </c>
      <c r="H26" s="568">
        <v>0.35</v>
      </c>
      <c r="I26" s="73"/>
      <c r="J26" s="73"/>
      <c r="K26" s="588" t="str">
        <f t="shared" ref="K26:K31" si="0">IF(C26&gt;"",C26,"")</f>
        <v>GP</v>
      </c>
      <c r="L26" s="1133">
        <f t="shared" ref="L26:L31" si="1">IF($E26="","",E26*F26+(E26*G26*(F26*H26)))</f>
        <v>59838.68</v>
      </c>
      <c r="M26" s="106"/>
      <c r="N26" s="40"/>
      <c r="O26" s="39"/>
      <c r="P26" s="39"/>
      <c r="Q26" s="39"/>
      <c r="R26" s="39"/>
      <c r="S26" s="39"/>
    </row>
    <row r="27" spans="1:21" s="42" customFormat="1" ht="15">
      <c r="A27" s="39"/>
      <c r="B27" s="194"/>
      <c r="C27" s="1174" t="s">
        <v>235</v>
      </c>
      <c r="D27" s="665">
        <v>7</v>
      </c>
      <c r="E27" s="666">
        <v>1</v>
      </c>
      <c r="F27" s="1133">
        <f>IF(D27&lt;&gt;"",VLOOKUP(D27,staff_costs!$A$3:$H$22,6,0),"")</f>
        <v>44950</v>
      </c>
      <c r="G27" s="568">
        <v>0.2</v>
      </c>
      <c r="H27" s="568">
        <v>0.35</v>
      </c>
      <c r="I27" s="73"/>
      <c r="J27" s="73"/>
      <c r="K27" s="588" t="str">
        <f t="shared" si="0"/>
        <v>Advanced nurse practitioner</v>
      </c>
      <c r="L27" s="1133">
        <f t="shared" si="1"/>
        <v>48096.5</v>
      </c>
      <c r="M27" s="106"/>
      <c r="N27" s="40"/>
      <c r="O27" s="39"/>
      <c r="P27" s="39"/>
      <c r="Q27" s="39"/>
      <c r="R27" s="39"/>
      <c r="S27" s="39"/>
    </row>
    <row r="28" spans="1:21" s="42" customFormat="1" ht="15">
      <c r="A28" s="39"/>
      <c r="B28" s="194"/>
      <c r="C28" s="1174" t="s">
        <v>1230</v>
      </c>
      <c r="D28" s="665">
        <v>5</v>
      </c>
      <c r="E28" s="666">
        <v>1</v>
      </c>
      <c r="F28" s="1133">
        <f>IF(D28&lt;&gt;"",VLOOKUP(D28,staff_costs!$A$3:$H$22,6,0),"")</f>
        <v>31369.52</v>
      </c>
      <c r="G28" s="568">
        <v>0.2</v>
      </c>
      <c r="H28" s="568">
        <v>0.35</v>
      </c>
      <c r="I28" s="73"/>
      <c r="J28" s="73"/>
      <c r="K28" s="588" t="str">
        <f t="shared" si="0"/>
        <v>Nurse</v>
      </c>
      <c r="L28" s="1133">
        <f t="shared" si="1"/>
        <v>33565.386400000003</v>
      </c>
      <c r="M28" s="106"/>
      <c r="N28" s="40"/>
      <c r="O28" s="39"/>
      <c r="P28" s="39"/>
      <c r="Q28" s="39"/>
      <c r="R28" s="39"/>
      <c r="S28" s="39"/>
    </row>
    <row r="29" spans="1:21" s="42" customFormat="1" ht="15">
      <c r="A29" s="39"/>
      <c r="B29" s="194"/>
      <c r="C29" s="1098" t="s">
        <v>313</v>
      </c>
      <c r="D29" s="665">
        <v>3</v>
      </c>
      <c r="E29" s="666">
        <v>1</v>
      </c>
      <c r="F29" s="1133">
        <f>IF(D29&lt;&gt;"",VLOOKUP(D29,staff_costs!$A$3:$H$22,6,0),"")</f>
        <v>22508.48</v>
      </c>
      <c r="G29" s="568">
        <v>0.2</v>
      </c>
      <c r="H29" s="568">
        <v>0.35</v>
      </c>
      <c r="I29" s="73"/>
      <c r="J29" s="73"/>
      <c r="K29" s="588" t="str">
        <f t="shared" si="0"/>
        <v>Receptionist</v>
      </c>
      <c r="L29" s="1133">
        <f t="shared" si="1"/>
        <v>24084.0736</v>
      </c>
      <c r="M29" s="106"/>
      <c r="N29" s="40"/>
      <c r="O29" s="39"/>
      <c r="P29" s="39"/>
      <c r="Q29" s="39"/>
      <c r="R29" s="39"/>
      <c r="S29" s="39"/>
    </row>
    <row r="30" spans="1:21" s="42" customFormat="1" ht="15">
      <c r="A30" s="39"/>
      <c r="B30" s="194"/>
      <c r="C30" s="1098"/>
      <c r="D30" s="665"/>
      <c r="E30" s="666"/>
      <c r="F30" s="1133" t="str">
        <f>IF(D30&lt;&gt;"",VLOOKUP(D30,staff_costs!$A$3:$H$22,6,0),"")</f>
        <v/>
      </c>
      <c r="G30" s="568"/>
      <c r="H30" s="568"/>
      <c r="I30" s="73"/>
      <c r="J30" s="73"/>
      <c r="K30" s="588" t="str">
        <f t="shared" si="0"/>
        <v/>
      </c>
      <c r="L30" s="1133" t="str">
        <f t="shared" si="1"/>
        <v/>
      </c>
      <c r="M30" s="106"/>
      <c r="N30" s="40"/>
      <c r="O30" s="39"/>
      <c r="P30" s="39"/>
      <c r="Q30" s="39"/>
      <c r="R30" s="39"/>
      <c r="S30" s="39"/>
    </row>
    <row r="31" spans="1:21" s="42" customFormat="1" ht="15">
      <c r="A31" s="39"/>
      <c r="B31" s="194"/>
      <c r="C31" s="1175"/>
      <c r="D31" s="936"/>
      <c r="E31" s="937"/>
      <c r="F31" s="1133" t="str">
        <f>IF(D31&lt;&gt;"",VLOOKUP(D31,staff_costs!$A$3:$H$22,6,0),"")</f>
        <v/>
      </c>
      <c r="G31" s="568"/>
      <c r="H31" s="568"/>
      <c r="I31" s="73"/>
      <c r="J31" s="73"/>
      <c r="K31" s="588" t="str">
        <f t="shared" si="0"/>
        <v/>
      </c>
      <c r="L31" s="1133" t="str">
        <f t="shared" si="1"/>
        <v/>
      </c>
      <c r="M31" s="106"/>
      <c r="N31" s="40"/>
      <c r="O31" s="39"/>
      <c r="P31" s="39"/>
      <c r="Q31" s="39"/>
      <c r="R31" s="39"/>
      <c r="S31" s="39"/>
    </row>
    <row r="32" spans="1:21" s="42" customFormat="1" ht="15">
      <c r="A32" s="39"/>
      <c r="B32" s="194"/>
      <c r="C32" s="1070" t="s">
        <v>109</v>
      </c>
      <c r="D32" s="780"/>
      <c r="E32" s="667">
        <f>SUM(E26:E29)</f>
        <v>3.5</v>
      </c>
      <c r="F32" s="40"/>
      <c r="G32" s="73"/>
      <c r="H32" s="526"/>
      <c r="I32" s="40"/>
      <c r="J32" s="526"/>
      <c r="K32" s="588" t="s">
        <v>184</v>
      </c>
      <c r="L32" s="1133">
        <f>SUM(L26:L31)</f>
        <v>165584.64000000001</v>
      </c>
      <c r="M32" s="106"/>
      <c r="N32" s="40"/>
      <c r="O32" s="39"/>
      <c r="P32" s="39"/>
      <c r="Q32" s="39"/>
      <c r="R32" s="39"/>
      <c r="S32" s="39"/>
    </row>
    <row r="33" spans="1:21" s="42" customFormat="1" ht="15">
      <c r="A33" s="39"/>
      <c r="B33" s="668"/>
      <c r="C33" s="526"/>
      <c r="D33" s="204"/>
      <c r="E33" s="40"/>
      <c r="F33" s="559"/>
      <c r="G33" s="526"/>
      <c r="H33" s="40"/>
      <c r="I33" s="40"/>
      <c r="J33" s="526"/>
      <c r="K33" s="526"/>
      <c r="L33" s="527"/>
      <c r="M33" s="620"/>
      <c r="N33" s="40"/>
      <c r="O33" s="39"/>
      <c r="P33" s="39"/>
      <c r="Q33" s="39"/>
      <c r="R33" s="39"/>
      <c r="S33" s="39"/>
    </row>
    <row r="34" spans="1:21" s="42" customFormat="1" ht="45">
      <c r="A34" s="39"/>
      <c r="B34" s="194"/>
      <c r="C34" s="684" t="s">
        <v>285</v>
      </c>
      <c r="D34" s="669" t="s">
        <v>115</v>
      </c>
      <c r="E34" s="563" t="s">
        <v>1012</v>
      </c>
      <c r="G34" s="529"/>
      <c r="H34" s="529"/>
      <c r="I34" s="529"/>
      <c r="J34" s="529"/>
      <c r="K34" s="684" t="s">
        <v>285</v>
      </c>
      <c r="L34" s="563" t="s">
        <v>1013</v>
      </c>
      <c r="M34" s="1134" t="s">
        <v>284</v>
      </c>
      <c r="N34" s="40"/>
      <c r="O34" s="39"/>
      <c r="P34" s="39"/>
      <c r="Q34" s="39"/>
      <c r="R34" s="39"/>
      <c r="S34" s="39"/>
      <c r="T34" s="39"/>
      <c r="U34" s="39"/>
    </row>
    <row r="35" spans="1:21" s="42" customFormat="1" ht="15">
      <c r="A35" s="39"/>
      <c r="B35" s="194"/>
      <c r="C35" s="572" t="str">
        <f t="shared" ref="C35:C38" si="2">IF(C26&gt;"",C26,"")</f>
        <v>GP</v>
      </c>
      <c r="D35" s="669">
        <f>IF(E26&gt;0,E26,"")</f>
        <v>0.5</v>
      </c>
      <c r="E35" s="570">
        <v>4</v>
      </c>
      <c r="G35" s="529"/>
      <c r="H35" s="40"/>
      <c r="K35" s="1113" t="str">
        <f>IF(D35=0," ",C35)</f>
        <v>GP</v>
      </c>
      <c r="L35" s="1337">
        <f>IF(ISERROR(D35*E$44*E$43),"",(D35*E$44*E$43))</f>
        <v>787.5</v>
      </c>
      <c r="M35" s="1338">
        <f>IF(ISERROR(L35*E35),"",(L35*E35))</f>
        <v>3150</v>
      </c>
      <c r="N35" s="40"/>
      <c r="O35" s="39"/>
      <c r="P35" s="39"/>
      <c r="Q35" s="39"/>
      <c r="R35" s="39"/>
      <c r="S35" s="39"/>
      <c r="T35" s="39"/>
      <c r="U35" s="39"/>
    </row>
    <row r="36" spans="1:21" s="42" customFormat="1" ht="15">
      <c r="A36" s="39"/>
      <c r="B36" s="194"/>
      <c r="C36" s="572" t="str">
        <f t="shared" si="2"/>
        <v>Advanced nurse practitioner</v>
      </c>
      <c r="D36" s="669">
        <f>IF(E27&gt;0,E27,"")</f>
        <v>1</v>
      </c>
      <c r="E36" s="570">
        <v>3</v>
      </c>
      <c r="G36" s="529"/>
      <c r="H36" s="40"/>
      <c r="K36" s="1113" t="str">
        <f>IF(D36=0," ",C36)</f>
        <v>Advanced nurse practitioner</v>
      </c>
      <c r="L36" s="1337">
        <f t="shared" ref="L36:L38" si="3">IF(ISERROR(D36*E$44*E$43),"",(D36*E$44*E$43))</f>
        <v>1575</v>
      </c>
      <c r="M36" s="1338">
        <f t="shared" ref="M36:M38" si="4">IF(ISERROR(L36*E36),"",(L36*E36))</f>
        <v>4725</v>
      </c>
      <c r="N36" s="40"/>
      <c r="O36" s="39"/>
      <c r="P36" s="39"/>
      <c r="Q36" s="39"/>
      <c r="R36" s="39"/>
      <c r="S36" s="39"/>
      <c r="T36" s="39"/>
      <c r="U36" s="39"/>
    </row>
    <row r="37" spans="1:21" s="42" customFormat="1" ht="15">
      <c r="A37" s="39"/>
      <c r="B37" s="194"/>
      <c r="C37" s="572" t="str">
        <f t="shared" si="2"/>
        <v>Nurse</v>
      </c>
      <c r="D37" s="669">
        <f>IF(E28&gt;0,E28,"")</f>
        <v>1</v>
      </c>
      <c r="E37" s="570">
        <v>3</v>
      </c>
      <c r="G37" s="529"/>
      <c r="H37" s="40"/>
      <c r="K37" s="1113" t="str">
        <f>IF(D37=0," ",C37)</f>
        <v>Nurse</v>
      </c>
      <c r="L37" s="1337">
        <f t="shared" si="3"/>
        <v>1575</v>
      </c>
      <c r="M37" s="1338">
        <f t="shared" si="4"/>
        <v>4725</v>
      </c>
      <c r="N37" s="40"/>
      <c r="O37" s="39"/>
      <c r="P37" s="39"/>
      <c r="Q37" s="39"/>
      <c r="R37" s="39"/>
      <c r="S37" s="39"/>
      <c r="T37" s="39"/>
      <c r="U37" s="39"/>
    </row>
    <row r="38" spans="1:21" s="42" customFormat="1" ht="15">
      <c r="A38" s="39"/>
      <c r="B38" s="194"/>
      <c r="C38" s="572" t="str">
        <f t="shared" si="2"/>
        <v>Receptionist</v>
      </c>
      <c r="D38" s="669">
        <f>IF(E29&gt;0,E29,"")</f>
        <v>1</v>
      </c>
      <c r="E38" s="570">
        <v>0</v>
      </c>
      <c r="G38" s="529"/>
      <c r="H38" s="40"/>
      <c r="K38" s="1113" t="str">
        <f>IF(D38=0," ",C38)</f>
        <v>Receptionist</v>
      </c>
      <c r="L38" s="1337">
        <f t="shared" si="3"/>
        <v>1575</v>
      </c>
      <c r="M38" s="1338">
        <f t="shared" si="4"/>
        <v>0</v>
      </c>
      <c r="N38" s="40"/>
      <c r="O38" s="39"/>
      <c r="P38" s="39"/>
      <c r="Q38" s="39"/>
      <c r="R38" s="39"/>
      <c r="S38" s="39"/>
      <c r="T38" s="39"/>
      <c r="U38" s="39"/>
    </row>
    <row r="39" spans="1:21" s="42" customFormat="1" ht="15">
      <c r="A39" s="39"/>
      <c r="B39" s="194"/>
      <c r="C39" s="799" t="s">
        <v>1017</v>
      </c>
      <c r="D39" s="799"/>
      <c r="E39" s="595">
        <f>SUM(E35:E38)</f>
        <v>10</v>
      </c>
      <c r="F39"/>
      <c r="G39"/>
      <c r="H39"/>
      <c r="I39"/>
      <c r="J39"/>
      <c r="K39" s="1168" t="s">
        <v>98</v>
      </c>
      <c r="L39" s="771">
        <f>SUM(L35:L38)</f>
        <v>5512.5</v>
      </c>
      <c r="M39" s="1341">
        <f>SUM(M35:M38)</f>
        <v>12600</v>
      </c>
      <c r="N39" s="40"/>
      <c r="O39" s="39"/>
      <c r="P39" s="39"/>
      <c r="Q39" s="39"/>
      <c r="R39" s="39"/>
      <c r="S39" s="39"/>
      <c r="T39" s="39"/>
      <c r="U39" s="39"/>
    </row>
    <row r="40" spans="1:21" s="42" customFormat="1" ht="15">
      <c r="A40" s="39"/>
      <c r="B40" s="194"/>
      <c r="C40" s="1177"/>
      <c r="G40" s="40"/>
      <c r="H40" s="40"/>
      <c r="I40" s="575"/>
      <c r="J40" s="600"/>
      <c r="M40" s="83"/>
      <c r="N40" s="40"/>
      <c r="O40" s="39"/>
      <c r="P40" s="39"/>
      <c r="Q40" s="39"/>
      <c r="R40" s="39"/>
      <c r="S40" s="39"/>
      <c r="T40" s="39"/>
      <c r="U40" s="39"/>
    </row>
    <row r="41" spans="1:21" s="42" customFormat="1" ht="15">
      <c r="A41" s="39"/>
      <c r="B41" s="194"/>
      <c r="C41" s="40"/>
      <c r="D41" s="526"/>
      <c r="E41" s="204"/>
      <c r="F41" s="526"/>
      <c r="G41" s="40"/>
      <c r="H41" s="40"/>
      <c r="I41" s="40"/>
      <c r="J41" s="526"/>
      <c r="K41" s="40"/>
      <c r="L41" s="529"/>
      <c r="M41" s="83"/>
      <c r="N41" s="40"/>
      <c r="O41" s="39"/>
      <c r="P41" s="39"/>
      <c r="Q41" s="39"/>
      <c r="R41" s="39"/>
      <c r="S41" s="39"/>
      <c r="T41" s="39"/>
      <c r="U41" s="39"/>
    </row>
    <row r="42" spans="1:21" s="42" customFormat="1" ht="15">
      <c r="A42" s="39"/>
      <c r="B42" s="194"/>
      <c r="C42" s="2330" t="s">
        <v>108</v>
      </c>
      <c r="D42" s="2331"/>
      <c r="E42" s="2250"/>
      <c r="F42" s="40"/>
      <c r="G42" s="40"/>
      <c r="H42" s="40"/>
      <c r="I42" s="40"/>
      <c r="J42" s="526"/>
      <c r="K42" s="40"/>
      <c r="L42" s="529"/>
      <c r="M42" s="83"/>
      <c r="N42" s="40"/>
      <c r="O42" s="39"/>
      <c r="P42" s="39"/>
      <c r="Q42" s="39"/>
      <c r="R42" s="39"/>
      <c r="S42" s="39"/>
      <c r="T42" s="39"/>
      <c r="U42" s="39"/>
    </row>
    <row r="43" spans="1:21" s="42" customFormat="1" ht="15">
      <c r="A43" s="39"/>
      <c r="B43" s="194"/>
      <c r="C43" s="2342" t="s">
        <v>106</v>
      </c>
      <c r="D43" s="2341"/>
      <c r="E43" s="576">
        <v>42</v>
      </c>
      <c r="G43" s="40"/>
      <c r="H43" s="40"/>
      <c r="I43" s="40"/>
      <c r="J43" s="526"/>
      <c r="K43" s="40"/>
      <c r="L43" s="529"/>
      <c r="M43" s="83"/>
      <c r="N43" s="40"/>
      <c r="O43" s="39"/>
      <c r="P43" s="39"/>
      <c r="Q43" s="39"/>
      <c r="R43" s="39"/>
      <c r="S43" s="39"/>
      <c r="T43" s="39"/>
      <c r="U43" s="39"/>
    </row>
    <row r="44" spans="1:21" s="42" customFormat="1" ht="15">
      <c r="A44" s="39"/>
      <c r="B44" s="194"/>
      <c r="C44" s="2342" t="s">
        <v>250</v>
      </c>
      <c r="D44" s="2341"/>
      <c r="E44" s="579">
        <v>37.5</v>
      </c>
      <c r="G44" s="40"/>
      <c r="H44" s="40"/>
      <c r="I44" s="40"/>
      <c r="J44" s="526"/>
      <c r="K44" s="40"/>
      <c r="L44" s="529"/>
      <c r="M44" s="83"/>
      <c r="N44" s="40"/>
      <c r="O44" s="39"/>
      <c r="P44" s="39"/>
      <c r="Q44" s="39"/>
      <c r="R44" s="39"/>
      <c r="S44" s="39"/>
      <c r="T44" s="39"/>
      <c r="U44" s="39"/>
    </row>
    <row r="45" spans="1:21" s="42" customFormat="1" ht="15">
      <c r="A45" s="39"/>
      <c r="B45" s="194"/>
      <c r="C45" s="1176"/>
      <c r="D45" s="526"/>
      <c r="E45" s="40"/>
      <c r="F45" s="526"/>
      <c r="G45" s="40"/>
      <c r="H45" s="40"/>
      <c r="I45" s="40"/>
      <c r="J45" s="526"/>
      <c r="K45" s="40"/>
      <c r="L45" s="529"/>
      <c r="M45" s="83"/>
      <c r="N45" s="40"/>
      <c r="O45" s="39"/>
      <c r="P45" s="39"/>
      <c r="Q45" s="39"/>
      <c r="R45" s="39"/>
      <c r="S45" s="39"/>
      <c r="T45" s="39"/>
      <c r="U45" s="39"/>
    </row>
    <row r="46" spans="1:21" s="42" customFormat="1" ht="15">
      <c r="A46" s="39"/>
      <c r="B46" s="194"/>
      <c r="C46" s="2430" t="s">
        <v>206</v>
      </c>
      <c r="D46" s="2359"/>
      <c r="E46" s="568">
        <v>0.7</v>
      </c>
      <c r="G46" s="40"/>
      <c r="H46" s="73"/>
      <c r="I46" s="496"/>
      <c r="K46" s="582" t="s">
        <v>283</v>
      </c>
      <c r="L46" s="671">
        <f>M39*E46</f>
        <v>8820</v>
      </c>
      <c r="M46" s="83"/>
      <c r="N46" s="40"/>
      <c r="O46" s="39"/>
      <c r="P46" s="39"/>
      <c r="Q46" s="39"/>
      <c r="R46" s="39"/>
      <c r="S46" s="39"/>
      <c r="T46" s="39"/>
      <c r="U46" s="39"/>
    </row>
    <row r="47" spans="1:21" s="42" customFormat="1" ht="15">
      <c r="A47" s="39"/>
      <c r="B47" s="194"/>
      <c r="C47" s="1176"/>
      <c r="D47" s="526"/>
      <c r="E47" s="40"/>
      <c r="F47" s="526"/>
      <c r="G47" s="40"/>
      <c r="H47" s="40"/>
      <c r="I47" s="496"/>
      <c r="J47" s="526"/>
      <c r="K47" s="40"/>
      <c r="L47" s="529"/>
      <c r="M47" s="83"/>
      <c r="N47" s="40"/>
      <c r="O47" s="39"/>
      <c r="P47" s="39"/>
      <c r="Q47" s="39"/>
      <c r="R47" s="39"/>
      <c r="S47" s="39"/>
      <c r="T47" s="39"/>
      <c r="U47" s="39"/>
    </row>
    <row r="48" spans="1:21" s="42" customFormat="1" ht="30" customHeight="1">
      <c r="A48" s="39"/>
      <c r="B48" s="194"/>
      <c r="C48" s="684" t="s">
        <v>233</v>
      </c>
      <c r="D48" s="684" t="s">
        <v>132</v>
      </c>
      <c r="E48" s="563" t="s">
        <v>131</v>
      </c>
      <c r="H48" s="73"/>
      <c r="I48" s="496"/>
      <c r="J48" s="1145"/>
      <c r="K48" s="1257" t="s">
        <v>233</v>
      </c>
      <c r="L48" s="564" t="s">
        <v>110</v>
      </c>
      <c r="M48" s="83"/>
      <c r="N48" s="40"/>
      <c r="O48" s="39"/>
      <c r="P48" s="39"/>
      <c r="Q48" s="39"/>
      <c r="R48" s="39"/>
      <c r="S48" s="39"/>
      <c r="T48" s="39"/>
      <c r="U48" s="39"/>
    </row>
    <row r="49" spans="1:21" s="42" customFormat="1" ht="15">
      <c r="A49" s="39"/>
      <c r="B49" s="194"/>
      <c r="C49" s="1193" t="s">
        <v>204</v>
      </c>
      <c r="D49" s="2034">
        <f>L46</f>
        <v>8820</v>
      </c>
      <c r="E49" s="1208">
        <v>5</v>
      </c>
      <c r="H49" s="73"/>
      <c r="I49" s="672"/>
      <c r="K49" s="569" t="str">
        <f>IF(C49&gt;"",C49,"")</f>
        <v>Diagnostics</v>
      </c>
      <c r="L49" s="1133">
        <f>E49*D49</f>
        <v>44100</v>
      </c>
      <c r="M49" s="83"/>
      <c r="N49" s="39"/>
      <c r="O49" s="39"/>
      <c r="P49" s="39"/>
      <c r="Q49" s="39"/>
      <c r="R49" s="39"/>
      <c r="S49" s="39"/>
    </row>
    <row r="50" spans="1:21" s="42" customFormat="1" ht="15">
      <c r="A50" s="39"/>
      <c r="B50" s="194"/>
      <c r="C50" s="565" t="s">
        <v>292</v>
      </c>
      <c r="D50" s="2034">
        <f>L46</f>
        <v>8820</v>
      </c>
      <c r="E50" s="1208">
        <v>3</v>
      </c>
      <c r="H50" s="73"/>
      <c r="I50" s="672"/>
      <c r="K50" s="1040" t="str">
        <f>IF(C50&gt;"",C50,"")</f>
        <v>Other Variable Cost (treatment etc)</v>
      </c>
      <c r="L50" s="1133">
        <f>E50*D50</f>
        <v>26460</v>
      </c>
      <c r="M50" s="83"/>
      <c r="N50" s="39"/>
      <c r="O50" s="39"/>
      <c r="P50" s="39"/>
      <c r="Q50" s="39"/>
      <c r="R50" s="39"/>
      <c r="S50" s="39"/>
    </row>
    <row r="51" spans="1:21" s="42" customFormat="1" ht="15">
      <c r="A51" s="39"/>
      <c r="B51" s="194"/>
      <c r="C51" s="565"/>
      <c r="D51" s="573"/>
      <c r="E51" s="571"/>
      <c r="H51" s="73"/>
      <c r="I51" s="672"/>
      <c r="K51" s="1040" t="str">
        <f>IF(C51&gt;"",C51,"")</f>
        <v/>
      </c>
      <c r="L51" s="1133">
        <f>E51*D51</f>
        <v>0</v>
      </c>
      <c r="M51" s="83"/>
      <c r="N51" s="39"/>
      <c r="O51" s="39"/>
      <c r="P51" s="39"/>
      <c r="Q51" s="39"/>
      <c r="R51" s="39"/>
      <c r="S51" s="39"/>
    </row>
    <row r="52" spans="1:21" s="42" customFormat="1" ht="15">
      <c r="A52" s="39"/>
      <c r="B52" s="194"/>
      <c r="C52" s="565"/>
      <c r="D52" s="573"/>
      <c r="E52" s="571"/>
      <c r="H52" s="73"/>
      <c r="I52" s="672"/>
      <c r="K52" s="1040" t="str">
        <f>IF(C52&gt;"",C52,"")</f>
        <v/>
      </c>
      <c r="L52" s="1133">
        <f>E52*D52</f>
        <v>0</v>
      </c>
      <c r="M52" s="83"/>
      <c r="N52" s="39"/>
      <c r="O52" s="39"/>
      <c r="P52" s="39"/>
      <c r="Q52" s="39"/>
      <c r="R52" s="39"/>
      <c r="S52" s="39"/>
    </row>
    <row r="53" spans="1:21" s="42" customFormat="1" ht="15">
      <c r="A53" s="39"/>
      <c r="B53" s="194"/>
      <c r="C53" s="40"/>
      <c r="D53" s="40"/>
      <c r="E53" s="40"/>
      <c r="F53" s="40"/>
      <c r="G53" s="40"/>
      <c r="H53" s="73"/>
      <c r="I53" s="672"/>
      <c r="K53" s="569" t="s">
        <v>281</v>
      </c>
      <c r="L53" s="1133">
        <f>SUM(L49:L52)</f>
        <v>70560</v>
      </c>
      <c r="M53" s="83"/>
      <c r="N53" s="39"/>
      <c r="O53" s="39"/>
      <c r="P53" s="39"/>
      <c r="Q53" s="39"/>
      <c r="R53" s="39"/>
      <c r="S53" s="39"/>
    </row>
    <row r="54" spans="1:21" s="42" customFormat="1" ht="15">
      <c r="A54" s="39"/>
      <c r="B54" s="84"/>
      <c r="C54" s="40"/>
      <c r="D54" s="40"/>
      <c r="E54" s="40"/>
      <c r="F54" s="40"/>
      <c r="G54" s="40"/>
      <c r="H54" s="73"/>
      <c r="I54" s="584"/>
      <c r="K54" s="584"/>
      <c r="L54" s="580"/>
      <c r="M54" s="83"/>
      <c r="N54" s="39"/>
      <c r="O54" s="39"/>
      <c r="P54" s="39"/>
      <c r="Q54" s="39"/>
      <c r="R54" s="39"/>
      <c r="S54" s="39"/>
    </row>
    <row r="55" spans="1:21" s="42" customFormat="1" ht="15">
      <c r="A55" s="39"/>
      <c r="B55" s="84"/>
      <c r="C55" s="40"/>
      <c r="D55" s="40"/>
      <c r="E55" s="40"/>
      <c r="F55" s="40"/>
      <c r="G55" s="40"/>
      <c r="H55" s="73"/>
      <c r="I55" s="672"/>
      <c r="K55" s="569" t="s">
        <v>25</v>
      </c>
      <c r="L55" s="1133">
        <f>L53+L32</f>
        <v>236144.64000000001</v>
      </c>
      <c r="M55" s="83"/>
      <c r="N55" s="40"/>
      <c r="O55" s="39"/>
      <c r="P55" s="39"/>
      <c r="Q55" s="39"/>
      <c r="R55" s="39"/>
      <c r="S55" s="39"/>
      <c r="T55" s="156"/>
      <c r="U55" s="39"/>
    </row>
    <row r="56" spans="1:21" s="42" customFormat="1" ht="15">
      <c r="A56" s="39"/>
      <c r="B56" s="84"/>
      <c r="C56" s="40"/>
      <c r="D56" s="40"/>
      <c r="E56" s="40"/>
      <c r="F56" s="40"/>
      <c r="G56" s="40"/>
      <c r="H56" s="73"/>
      <c r="I56" s="672"/>
      <c r="K56" s="569" t="s">
        <v>280</v>
      </c>
      <c r="L56" s="1194">
        <f>L55/L46</f>
        <v>26.773768707482994</v>
      </c>
      <c r="M56" s="83"/>
      <c r="N56" s="40"/>
      <c r="O56" s="39"/>
      <c r="P56" s="39"/>
      <c r="Q56" s="39"/>
      <c r="R56" s="39"/>
      <c r="S56" s="39"/>
      <c r="T56" s="39"/>
      <c r="U56" s="39"/>
    </row>
    <row r="57" spans="1:21" s="42" customFormat="1" ht="15">
      <c r="A57" s="39"/>
      <c r="B57" s="84"/>
      <c r="C57" s="40"/>
      <c r="D57" s="40"/>
      <c r="E57" s="40"/>
      <c r="F57" s="40"/>
      <c r="G57" s="40"/>
      <c r="H57" s="617"/>
      <c r="I57" s="617"/>
      <c r="J57" s="40"/>
      <c r="K57" s="673"/>
      <c r="L57" s="40"/>
      <c r="M57" s="83"/>
      <c r="N57" s="40"/>
      <c r="O57" s="39"/>
      <c r="P57" s="39"/>
      <c r="Q57" s="39"/>
      <c r="R57" s="39"/>
      <c r="S57" s="39"/>
      <c r="T57" s="39"/>
      <c r="U57" s="39"/>
    </row>
    <row r="58" spans="1:21" s="39" customFormat="1">
      <c r="B58" s="84"/>
      <c r="C58" s="73"/>
      <c r="D58" s="73"/>
      <c r="E58" s="73"/>
      <c r="F58" s="40"/>
      <c r="G58" s="40"/>
      <c r="H58" s="40"/>
      <c r="I58" s="40"/>
      <c r="J58" s="40"/>
      <c r="K58" s="40"/>
      <c r="L58" s="40"/>
      <c r="M58" s="83"/>
      <c r="N58" s="40"/>
    </row>
    <row r="59" spans="1:21" s="42" customFormat="1" ht="15">
      <c r="A59" s="39"/>
      <c r="B59" s="1197"/>
      <c r="C59" s="526"/>
      <c r="D59" s="526"/>
      <c r="E59" s="526"/>
      <c r="F59" s="40"/>
      <c r="G59" s="40"/>
      <c r="H59" s="40"/>
      <c r="I59" s="40"/>
      <c r="J59" s="40"/>
      <c r="K59" s="40"/>
      <c r="L59" s="40"/>
      <c r="M59" s="83"/>
      <c r="N59" s="73"/>
      <c r="O59" s="39"/>
      <c r="P59" s="39"/>
    </row>
    <row r="60" spans="1:21" s="42" customFormat="1" ht="15">
      <c r="A60" s="39"/>
      <c r="B60" s="2343" t="s">
        <v>102</v>
      </c>
      <c r="C60" s="2344"/>
      <c r="D60" s="2344"/>
      <c r="E60" s="2344"/>
      <c r="F60" s="2344"/>
      <c r="G60" s="2344"/>
      <c r="H60" s="2344"/>
      <c r="I60" s="2344"/>
      <c r="J60" s="2344"/>
      <c r="K60" s="2344"/>
      <c r="L60" s="2344"/>
      <c r="M60" s="2345"/>
      <c r="N60" s="73"/>
      <c r="O60" s="39"/>
      <c r="P60" s="39"/>
    </row>
    <row r="61" spans="1:21" s="42" customFormat="1" ht="15">
      <c r="A61" s="39"/>
      <c r="B61" s="1195"/>
      <c r="C61" s="480"/>
      <c r="D61" s="480"/>
      <c r="E61" s="480"/>
      <c r="F61" s="783"/>
      <c r="G61" s="779"/>
      <c r="H61" s="601"/>
      <c r="I61" s="601"/>
      <c r="J61" s="601"/>
      <c r="K61" s="601"/>
      <c r="L61" s="674"/>
      <c r="M61" s="784"/>
      <c r="N61" s="73"/>
      <c r="O61" s="39"/>
      <c r="P61" s="39"/>
    </row>
    <row r="62" spans="1:21" s="42" customFormat="1" ht="15">
      <c r="A62" s="39"/>
      <c r="B62" s="1149"/>
      <c r="C62" s="2333"/>
      <c r="D62" s="2333"/>
      <c r="E62" s="617"/>
      <c r="F62" s="258"/>
      <c r="G62" s="40"/>
      <c r="H62" s="496"/>
      <c r="I62" s="496"/>
      <c r="J62" s="73"/>
      <c r="K62" s="588" t="s">
        <v>591</v>
      </c>
      <c r="L62" s="598">
        <f>L46</f>
        <v>8820</v>
      </c>
      <c r="M62" s="942"/>
      <c r="N62" s="73"/>
      <c r="O62" s="2"/>
      <c r="P62" s="2"/>
      <c r="Q62" s="3"/>
      <c r="R62" s="3"/>
      <c r="S62" s="3"/>
    </row>
    <row r="63" spans="1:21" s="42" customFormat="1" ht="15">
      <c r="A63" s="39"/>
      <c r="B63" s="1149"/>
      <c r="E63" s="617"/>
      <c r="F63" s="258"/>
      <c r="G63" s="40"/>
      <c r="H63" s="496"/>
      <c r="I63" s="496"/>
      <c r="J63" s="73"/>
      <c r="K63" s="601"/>
      <c r="L63" s="601"/>
      <c r="M63" s="942"/>
      <c r="N63" s="73"/>
      <c r="O63" s="2"/>
      <c r="P63" s="2"/>
      <c r="Q63" s="3"/>
      <c r="R63" s="3"/>
      <c r="S63" s="3"/>
    </row>
    <row r="64" spans="1:21" s="42" customFormat="1" ht="45">
      <c r="A64" s="39"/>
      <c r="B64" s="194"/>
      <c r="C64" s="563" t="s">
        <v>1016</v>
      </c>
      <c r="D64" s="983" t="s">
        <v>100</v>
      </c>
      <c r="E64" s="983" t="s">
        <v>122</v>
      </c>
      <c r="F64" s="684" t="s">
        <v>199</v>
      </c>
      <c r="G64" s="40"/>
      <c r="H64" s="73"/>
      <c r="I64" s="625"/>
      <c r="J64" s="73"/>
      <c r="K64" s="691" t="s">
        <v>1001</v>
      </c>
      <c r="L64" s="563" t="s">
        <v>121</v>
      </c>
      <c r="M64" s="1134" t="s">
        <v>148</v>
      </c>
      <c r="N64" s="73"/>
      <c r="O64" s="2"/>
      <c r="P64" s="2"/>
      <c r="Q64" s="3"/>
      <c r="R64" s="3"/>
      <c r="S64" s="3"/>
    </row>
    <row r="65" spans="1:19" s="42" customFormat="1" ht="15">
      <c r="A65" s="39"/>
      <c r="B65" s="482"/>
      <c r="C65" s="578" t="s">
        <v>44</v>
      </c>
      <c r="D65" s="938">
        <v>0.1</v>
      </c>
      <c r="E65" s="938">
        <v>0.05</v>
      </c>
      <c r="F65" s="939">
        <v>6.6666666666666666E-2</v>
      </c>
      <c r="G65" s="40"/>
      <c r="H65" s="73"/>
      <c r="I65" s="635"/>
      <c r="J65" s="73"/>
      <c r="K65" s="940" t="str">
        <f>C65</f>
        <v>OOH clinic visits</v>
      </c>
      <c r="L65" s="771">
        <f>F65*L$46</f>
        <v>588</v>
      </c>
      <c r="M65" s="943">
        <f>INT(L65/E81)*E81</f>
        <v>0</v>
      </c>
      <c r="N65" s="73"/>
      <c r="O65" s="2"/>
      <c r="P65" s="2"/>
      <c r="Q65" s="3"/>
      <c r="R65" s="3"/>
      <c r="S65" s="3"/>
    </row>
    <row r="66" spans="1:19" s="42" customFormat="1" ht="15">
      <c r="A66" s="39"/>
      <c r="B66" s="194"/>
      <c r="C66" s="578" t="s">
        <v>50</v>
      </c>
      <c r="D66" s="604">
        <v>0.16666666666666666</v>
      </c>
      <c r="E66" s="604">
        <v>0.1111111111111111</v>
      </c>
      <c r="F66" s="587">
        <v>0.13333333333333333</v>
      </c>
      <c r="G66" s="40"/>
      <c r="H66" s="73"/>
      <c r="I66" s="635"/>
      <c r="J66" s="73"/>
      <c r="K66" s="940" t="str">
        <f>C66</f>
        <v>111 calls (call handler)</v>
      </c>
      <c r="L66" s="771">
        <f>F66*L$46</f>
        <v>1176</v>
      </c>
      <c r="M66" s="631">
        <f>INT(L66/E82)*E82</f>
        <v>0</v>
      </c>
      <c r="N66" s="73"/>
      <c r="O66" s="2"/>
      <c r="P66" s="2"/>
      <c r="Q66" s="3"/>
      <c r="R66" s="3"/>
      <c r="S66" s="3"/>
    </row>
    <row r="67" spans="1:19" s="42" customFormat="1" ht="15">
      <c r="A67" s="39"/>
      <c r="B67" s="194"/>
      <c r="C67" s="578" t="s">
        <v>41</v>
      </c>
      <c r="D67" s="604">
        <v>0.14285714285714285</v>
      </c>
      <c r="E67" s="604">
        <v>0.1</v>
      </c>
      <c r="F67" s="587">
        <v>0.11764705882352941</v>
      </c>
      <c r="G67" s="40"/>
      <c r="H67" s="73"/>
      <c r="I67" s="635"/>
      <c r="J67" s="73"/>
      <c r="K67" s="940" t="str">
        <f>C67</f>
        <v>Community pharmacy attends</v>
      </c>
      <c r="L67" s="771">
        <f>F67*L$46</f>
        <v>1037.6470588235295</v>
      </c>
      <c r="M67" s="1338">
        <f>INT(L67/E83)*E83</f>
        <v>1037</v>
      </c>
      <c r="N67" s="73"/>
      <c r="O67" s="2"/>
      <c r="P67" s="2"/>
      <c r="Q67" s="3"/>
      <c r="R67" s="3"/>
      <c r="S67" s="3"/>
    </row>
    <row r="68" spans="1:19" s="42" customFormat="1" ht="15">
      <c r="A68" s="39"/>
      <c r="B68" s="194"/>
      <c r="C68" s="572" t="s">
        <v>1290</v>
      </c>
      <c r="D68" s="604">
        <v>0.5</v>
      </c>
      <c r="E68" s="604">
        <v>0.2</v>
      </c>
      <c r="F68" s="587">
        <v>0.2857142857142857</v>
      </c>
      <c r="G68" s="40"/>
      <c r="H68" s="73"/>
      <c r="I68" s="635"/>
      <c r="J68" s="73"/>
      <c r="K68" s="940" t="str">
        <f>C68</f>
        <v>ED Minor Attends</v>
      </c>
      <c r="L68" s="771">
        <f>F68*L$46</f>
        <v>2520</v>
      </c>
      <c r="M68" s="631">
        <f>INT(L68/E84)*E84</f>
        <v>0</v>
      </c>
      <c r="N68" s="73"/>
      <c r="O68" s="2"/>
      <c r="P68" s="2"/>
      <c r="Q68" s="3"/>
      <c r="R68" s="3"/>
      <c r="S68" s="3"/>
    </row>
    <row r="69" spans="1:19" s="42" customFormat="1" ht="15">
      <c r="A69" s="39"/>
      <c r="B69" s="194"/>
      <c r="C69" s="572" t="s">
        <v>290</v>
      </c>
      <c r="D69" s="604">
        <v>1E-3</v>
      </c>
      <c r="E69" s="604">
        <v>0.1</v>
      </c>
      <c r="F69" s="587">
        <v>0.01</v>
      </c>
      <c r="G69" s="40"/>
      <c r="H69" s="73"/>
      <c r="I69" s="635"/>
      <c r="J69" s="73"/>
      <c r="K69" s="940" t="str">
        <f>C69</f>
        <v>Attendance at own GP practice in hours</v>
      </c>
      <c r="L69" s="771">
        <f>F69*L$46</f>
        <v>88.2</v>
      </c>
      <c r="M69" s="1341">
        <f>INT(L69/E85)*E85</f>
        <v>88</v>
      </c>
      <c r="N69" s="73"/>
      <c r="O69" s="2"/>
      <c r="P69" s="2"/>
      <c r="Q69" s="3"/>
      <c r="R69" s="3"/>
      <c r="S69" s="3"/>
    </row>
    <row r="70" spans="1:19" s="42" customFormat="1" ht="45">
      <c r="A70" s="39"/>
      <c r="B70" s="194"/>
      <c r="C70" s="572" t="s">
        <v>1252</v>
      </c>
      <c r="D70" s="604">
        <f>1-D68-D67-D66-D65</f>
        <v>9.0476190476190488E-2</v>
      </c>
      <c r="E70" s="604">
        <f>1-E68-E67-E66-E65</f>
        <v>0.53888888888888897</v>
      </c>
      <c r="F70" s="604">
        <f>1-F68-F67-F66-F65-F69</f>
        <v>0.3866386554621849</v>
      </c>
      <c r="G70" s="40"/>
      <c r="H70" s="575"/>
      <c r="I70" s="575"/>
      <c r="J70" s="575"/>
      <c r="K70" s="575"/>
      <c r="L70" s="575"/>
      <c r="M70" s="83"/>
      <c r="N70" s="73"/>
      <c r="O70" s="2"/>
      <c r="P70" s="2"/>
      <c r="Q70" s="3"/>
      <c r="R70" s="3"/>
      <c r="S70" s="3"/>
    </row>
    <row r="71" spans="1:19" s="42" customFormat="1" ht="15">
      <c r="A71" s="39"/>
      <c r="B71" s="194"/>
      <c r="C71" s="73"/>
      <c r="D71" s="73"/>
      <c r="E71" s="73"/>
      <c r="F71" s="258"/>
      <c r="G71" s="40"/>
      <c r="H71" s="73"/>
      <c r="I71" s="625"/>
      <c r="J71" s="625"/>
      <c r="M71" s="1340"/>
      <c r="N71" s="73"/>
      <c r="O71" s="2"/>
      <c r="P71" s="2"/>
      <c r="Q71" s="3"/>
      <c r="R71" s="3"/>
      <c r="S71" s="3"/>
    </row>
    <row r="72" spans="1:19" s="42" customFormat="1" ht="30" customHeight="1">
      <c r="A72" s="39"/>
      <c r="B72" s="194"/>
      <c r="C72" s="1148" t="s">
        <v>291</v>
      </c>
      <c r="D72" s="983" t="s">
        <v>100</v>
      </c>
      <c r="E72" s="983" t="s">
        <v>122</v>
      </c>
      <c r="F72" s="684" t="s">
        <v>199</v>
      </c>
      <c r="G72" s="40"/>
      <c r="H72" s="73"/>
      <c r="I72" s="635"/>
      <c r="J72" s="73"/>
      <c r="K72" s="808" t="s">
        <v>553</v>
      </c>
      <c r="L72" s="691" t="s">
        <v>661</v>
      </c>
      <c r="M72" s="1173" t="s">
        <v>120</v>
      </c>
      <c r="N72" s="73"/>
      <c r="O72" s="2"/>
      <c r="P72" s="2"/>
      <c r="Q72" s="3"/>
      <c r="R72" s="3"/>
      <c r="S72" s="3"/>
    </row>
    <row r="73" spans="1:19" s="42" customFormat="1" ht="15">
      <c r="A73" s="39"/>
      <c r="B73" s="194"/>
      <c r="C73" s="597" t="str">
        <f>C65</f>
        <v>OOH clinic visits</v>
      </c>
      <c r="D73" s="675">
        <f t="shared" ref="D73:F77" si="5">1/D65</f>
        <v>10</v>
      </c>
      <c r="E73" s="675">
        <f t="shared" si="5"/>
        <v>20</v>
      </c>
      <c r="F73" s="642">
        <f t="shared" si="5"/>
        <v>15</v>
      </c>
      <c r="G73" s="40"/>
      <c r="H73" s="73"/>
      <c r="I73" s="635"/>
      <c r="J73" s="73"/>
      <c r="K73" s="940" t="str">
        <f>K65</f>
        <v>OOH clinic visits</v>
      </c>
      <c r="L73" s="1133">
        <f>L65*D81</f>
        <v>40160.400000000001</v>
      </c>
      <c r="M73" s="1135">
        <f>(L65-M65)*F81+(M65*G81)</f>
        <v>4502.8010999545922</v>
      </c>
      <c r="N73" s="150"/>
      <c r="O73" s="2"/>
      <c r="P73" s="2"/>
      <c r="Q73" s="3"/>
      <c r="R73" s="3"/>
      <c r="S73" s="3"/>
    </row>
    <row r="74" spans="1:19" s="42" customFormat="1" ht="15">
      <c r="A74" s="39"/>
      <c r="B74" s="194"/>
      <c r="C74" s="597" t="str">
        <f>C66</f>
        <v>111 calls (call handler)</v>
      </c>
      <c r="D74" s="675">
        <f t="shared" si="5"/>
        <v>6</v>
      </c>
      <c r="E74" s="675">
        <f t="shared" si="5"/>
        <v>9</v>
      </c>
      <c r="F74" s="642">
        <f t="shared" si="5"/>
        <v>7.5</v>
      </c>
      <c r="G74" s="40"/>
      <c r="H74" s="73"/>
      <c r="I74" s="635"/>
      <c r="J74" s="73"/>
      <c r="K74" s="940" t="str">
        <f>K66</f>
        <v>111 calls (call handler)</v>
      </c>
      <c r="L74" s="1133">
        <f>L66*D82</f>
        <v>8232</v>
      </c>
      <c r="M74" s="1135">
        <f>(L66-M66)*F82+(M66*G82)</f>
        <v>412.42319999999938</v>
      </c>
      <c r="N74" s="2424"/>
      <c r="O74" s="2"/>
      <c r="P74" s="2"/>
      <c r="Q74" s="3"/>
      <c r="R74" s="3"/>
      <c r="S74" s="3"/>
    </row>
    <row r="75" spans="1:19" s="42" customFormat="1" ht="15">
      <c r="A75" s="39"/>
      <c r="B75" s="194"/>
      <c r="C75" s="597" t="str">
        <f>C67</f>
        <v>Community pharmacy attends</v>
      </c>
      <c r="D75" s="675">
        <f t="shared" si="5"/>
        <v>7</v>
      </c>
      <c r="E75" s="675">
        <f t="shared" si="5"/>
        <v>10</v>
      </c>
      <c r="F75" s="642">
        <f t="shared" si="5"/>
        <v>8.5</v>
      </c>
      <c r="G75" s="40"/>
      <c r="H75" s="73"/>
      <c r="I75" s="635"/>
      <c r="J75" s="73"/>
      <c r="K75" s="940" t="str">
        <f>K67</f>
        <v>Community pharmacy attends</v>
      </c>
      <c r="L75" s="1133">
        <f>L67*D83</f>
        <v>14527.058823529413</v>
      </c>
      <c r="M75" s="1135">
        <f>(L67-M67)*F83+(M67*G83)</f>
        <v>14527.058823529413</v>
      </c>
      <c r="N75" s="2424"/>
      <c r="O75" s="2"/>
      <c r="P75" s="2"/>
      <c r="Q75" s="3"/>
      <c r="R75" s="3"/>
      <c r="S75" s="3"/>
    </row>
    <row r="76" spans="1:19" s="42" customFormat="1" ht="15">
      <c r="A76" s="39"/>
      <c r="B76" s="194"/>
      <c r="C76" s="597" t="str">
        <f>C68</f>
        <v>ED Minor Attends</v>
      </c>
      <c r="D76" s="675">
        <f t="shared" si="5"/>
        <v>2</v>
      </c>
      <c r="E76" s="675">
        <f t="shared" si="5"/>
        <v>5</v>
      </c>
      <c r="F76" s="642">
        <f t="shared" si="5"/>
        <v>3.5</v>
      </c>
      <c r="G76" s="40"/>
      <c r="H76" s="73"/>
      <c r="I76" s="635"/>
      <c r="J76" s="73"/>
      <c r="K76" s="940" t="str">
        <f>K68</f>
        <v>ED Minor Attends</v>
      </c>
      <c r="L76" s="1133">
        <f>L68*D84</f>
        <v>225623.41413205015</v>
      </c>
      <c r="M76" s="1135">
        <f>(L68-M68)*F84+(M68*G84)</f>
        <v>27491.773170233962</v>
      </c>
      <c r="N76" s="2424"/>
      <c r="O76" s="2"/>
      <c r="P76" s="2"/>
      <c r="Q76" s="3"/>
      <c r="R76" s="3"/>
      <c r="S76" s="3"/>
    </row>
    <row r="77" spans="1:19" s="42" customFormat="1" ht="15">
      <c r="A77" s="39"/>
      <c r="B77" s="194"/>
      <c r="C77" s="597" t="str">
        <f>C69</f>
        <v>Attendance at own GP practice in hours</v>
      </c>
      <c r="D77" s="595">
        <f t="shared" si="5"/>
        <v>1000</v>
      </c>
      <c r="E77" s="675">
        <f t="shared" si="5"/>
        <v>10</v>
      </c>
      <c r="F77" s="642">
        <f t="shared" si="5"/>
        <v>100</v>
      </c>
      <c r="G77" s="40"/>
      <c r="H77" s="73"/>
      <c r="I77" s="635"/>
      <c r="J77" s="73"/>
      <c r="K77" s="588" t="str">
        <f>K69</f>
        <v>Attendance at own GP practice in hours</v>
      </c>
      <c r="L77" s="1133">
        <f>L69*D85</f>
        <v>3263.4</v>
      </c>
      <c r="M77" s="1135">
        <f>(L69-M69)*F85+(M69*G85)</f>
        <v>366.65666099630255</v>
      </c>
      <c r="N77" s="205"/>
      <c r="O77" s="2"/>
      <c r="P77" s="2"/>
      <c r="Q77" s="3"/>
      <c r="R77" s="3"/>
      <c r="S77" s="3"/>
    </row>
    <row r="78" spans="1:19" s="42" customFormat="1" ht="15">
      <c r="A78" s="39"/>
      <c r="B78" s="194"/>
      <c r="C78" s="40"/>
      <c r="D78" s="40"/>
      <c r="E78" s="529"/>
      <c r="F78" s="529"/>
      <c r="G78" s="529"/>
      <c r="H78" s="73"/>
      <c r="I78" s="529"/>
      <c r="J78" s="73"/>
      <c r="K78" s="588" t="s">
        <v>98</v>
      </c>
      <c r="L78" s="1133">
        <f>SUM(L73:L77)</f>
        <v>291806.27295557957</v>
      </c>
      <c r="M78" s="1135">
        <f>SUM(M73:M77)</f>
        <v>47300.712954714269</v>
      </c>
      <c r="N78" s="73"/>
      <c r="O78" s="2"/>
      <c r="P78" s="2"/>
      <c r="Q78" s="3"/>
      <c r="R78" s="3"/>
      <c r="S78" s="3"/>
    </row>
    <row r="79" spans="1:19" s="42" customFormat="1" ht="15">
      <c r="A79" s="40"/>
      <c r="B79" s="676"/>
      <c r="C79" s="40"/>
      <c r="D79" s="40"/>
      <c r="E79" s="40"/>
      <c r="F79" s="40"/>
      <c r="G79" s="40"/>
      <c r="H79" s="73"/>
      <c r="I79" s="617"/>
      <c r="J79" s="73"/>
      <c r="K79" s="529"/>
      <c r="L79" s="73"/>
      <c r="M79" s="1340"/>
    </row>
    <row r="80" spans="1:19" s="42" customFormat="1" ht="60">
      <c r="A80" s="40"/>
      <c r="B80" s="84"/>
      <c r="C80" s="582" t="s">
        <v>1214</v>
      </c>
      <c r="D80" s="563" t="s">
        <v>660</v>
      </c>
      <c r="E80" s="563" t="s">
        <v>145</v>
      </c>
      <c r="F80" s="563" t="s">
        <v>144</v>
      </c>
      <c r="G80" s="563" t="s">
        <v>561</v>
      </c>
      <c r="H80" s="73"/>
      <c r="I80" s="529"/>
      <c r="J80" s="73"/>
      <c r="K80" s="73"/>
      <c r="L80" s="73"/>
      <c r="M80" s="106"/>
      <c r="N80" s="73"/>
      <c r="O80" s="2"/>
      <c r="P80" s="2"/>
      <c r="Q80" s="3"/>
      <c r="R80" s="3"/>
      <c r="S80" s="3"/>
    </row>
    <row r="81" spans="1:19" s="42" customFormat="1" ht="15">
      <c r="A81" s="40"/>
      <c r="B81" s="194"/>
      <c r="C81" s="578" t="s">
        <v>44</v>
      </c>
      <c r="D81" s="1194">
        <f>VLOOKUP($C81,local_data_input!$B$4:$K$20,2,FALSE)</f>
        <v>68.3</v>
      </c>
      <c r="E81" s="771">
        <f>VLOOKUP($C81,local_data_input!$B$4:$K$20,7,FALSE)</f>
        <v>6300</v>
      </c>
      <c r="F81" s="1194">
        <f>VLOOKUP($C81,local_data_input!$B$4:$K$20,8,FALSE)</f>
        <v>7.6578249999227763</v>
      </c>
      <c r="G81" s="1194">
        <f>VLOOKUP($C81,local_data_input!$B$4:$K$20,9,FALSE)</f>
        <v>7.6578249999227763</v>
      </c>
      <c r="H81" s="73"/>
      <c r="I81" s="677"/>
      <c r="J81" s="73"/>
      <c r="K81" s="73"/>
      <c r="L81" s="73"/>
      <c r="M81" s="106"/>
    </row>
    <row r="82" spans="1:19" s="42" customFormat="1" ht="15">
      <c r="A82" s="40"/>
      <c r="B82" s="194"/>
      <c r="C82" s="578" t="s">
        <v>50</v>
      </c>
      <c r="D82" s="1194">
        <f>VLOOKUP($C82,local_data_input!$B$4:$K$20,2,FALSE)</f>
        <v>7</v>
      </c>
      <c r="E82" s="771">
        <f>VLOOKUP($C82,local_data_input!$B$4:$K$20,7,FALSE)</f>
        <v>9450</v>
      </c>
      <c r="F82" s="1194">
        <f>VLOOKUP($C82,local_data_input!$B$4:$K$20,8,FALSE)</f>
        <v>0.35069999999999946</v>
      </c>
      <c r="G82" s="1194">
        <f>VLOOKUP($C82,local_data_input!$B$4:$K$20,9,FALSE)</f>
        <v>0.35069999999999946</v>
      </c>
      <c r="H82" s="73"/>
      <c r="I82" s="677"/>
      <c r="J82" s="73"/>
      <c r="K82" s="73"/>
      <c r="L82" s="73"/>
      <c r="M82" s="106"/>
    </row>
    <row r="83" spans="1:19" s="42" customFormat="1" ht="15">
      <c r="A83" s="40"/>
      <c r="B83" s="194"/>
      <c r="C83" s="578" t="s">
        <v>41</v>
      </c>
      <c r="D83" s="1194">
        <f>VLOOKUP($C83,local_data_input!$B$4:$K$20,2,FALSE)</f>
        <v>14</v>
      </c>
      <c r="E83" s="771">
        <f>VLOOKUP($C83,local_data_input!$B$4:$K$20,7,FALSE)</f>
        <v>1</v>
      </c>
      <c r="F83" s="1194">
        <f>VLOOKUP($C83,local_data_input!$B$4:$K$20,8,FALSE)</f>
        <v>14</v>
      </c>
      <c r="G83" s="1194">
        <f>VLOOKUP($C83,local_data_input!$B$4:$K$20,9,FALSE)</f>
        <v>14</v>
      </c>
      <c r="H83" s="73"/>
      <c r="I83" s="677"/>
      <c r="J83" s="73"/>
      <c r="K83" s="73"/>
      <c r="L83" s="73"/>
      <c r="M83" s="106"/>
    </row>
    <row r="84" spans="1:19" s="42" customFormat="1" ht="15">
      <c r="A84" s="40"/>
      <c r="B84" s="194"/>
      <c r="C84" s="578" t="s">
        <v>49</v>
      </c>
      <c r="D84" s="1194">
        <f>VLOOKUP($C84,local_data_input!$B$4:$K$20,2,FALSE)</f>
        <v>89.533100846051653</v>
      </c>
      <c r="E84" s="771">
        <f>VLOOKUP($C84,local_data_input!$B$4:$K$20,7,FALSE)</f>
        <v>6300</v>
      </c>
      <c r="F84" s="1194">
        <f>VLOOKUP($C84,local_data_input!$B$4:$K$20,8,FALSE)</f>
        <v>10.909433797711889</v>
      </c>
      <c r="G84" s="1194">
        <f>VLOOKUP($C84,local_data_input!$B$4:$K$20,9,FALSE)</f>
        <v>10.909433797711889</v>
      </c>
      <c r="H84" s="73"/>
      <c r="I84" s="677"/>
      <c r="J84" s="73"/>
      <c r="K84" s="73"/>
      <c r="L84" s="73"/>
      <c r="M84" s="106"/>
    </row>
    <row r="85" spans="1:19" s="42" customFormat="1" ht="15">
      <c r="A85" s="73"/>
      <c r="B85" s="194"/>
      <c r="C85" s="578" t="s">
        <v>32</v>
      </c>
      <c r="D85" s="1194">
        <f>VLOOKUP($C85,local_data_input!$B$4:$K$20,2,FALSE)</f>
        <v>37</v>
      </c>
      <c r="E85" s="771">
        <f>VLOOKUP($C85,local_data_input!$B$4:$K$20,7,FALSE)</f>
        <v>1</v>
      </c>
      <c r="F85" s="1194">
        <f>VLOOKUP($C85,local_data_input!$B$4:$K$20,8,FALSE)</f>
        <v>4.1571049999580785</v>
      </c>
      <c r="G85" s="1194">
        <f>VLOOKUP($C85,local_data_input!$B$4:$K$20,9,FALSE)</f>
        <v>4.1571049999580785</v>
      </c>
      <c r="H85" s="73"/>
      <c r="I85" s="677"/>
      <c r="J85" s="73"/>
      <c r="K85" s="73"/>
      <c r="L85" s="73"/>
      <c r="M85" s="106"/>
    </row>
    <row r="86" spans="1:19" s="42" customFormat="1">
      <c r="A86" s="73"/>
      <c r="B86" s="194"/>
      <c r="C86" s="73"/>
      <c r="D86" s="73"/>
      <c r="E86" s="73"/>
      <c r="F86" s="40"/>
      <c r="G86" s="40"/>
      <c r="H86" s="73"/>
      <c r="I86" s="73"/>
      <c r="J86" s="73"/>
      <c r="K86" s="73"/>
      <c r="L86" s="73"/>
      <c r="M86" s="83"/>
    </row>
    <row r="87" spans="1:19" s="42" customFormat="1" ht="15">
      <c r="A87" s="73"/>
      <c r="B87" s="194"/>
      <c r="C87" s="40"/>
      <c r="D87" s="40"/>
      <c r="E87" s="581"/>
      <c r="F87" s="40"/>
      <c r="G87" s="40"/>
      <c r="H87" s="40"/>
      <c r="I87" s="40"/>
      <c r="J87" s="40"/>
      <c r="K87" s="40"/>
      <c r="L87" s="40"/>
      <c r="M87" s="83"/>
      <c r="N87" s="73"/>
      <c r="O87" s="2"/>
      <c r="P87" s="2"/>
      <c r="Q87" s="3"/>
      <c r="R87" s="3"/>
      <c r="S87" s="3"/>
    </row>
    <row r="88" spans="1:19" s="42" customFormat="1" ht="15">
      <c r="A88" s="73"/>
      <c r="B88" s="2343" t="s">
        <v>327</v>
      </c>
      <c r="C88" s="2344"/>
      <c r="D88" s="2344"/>
      <c r="E88" s="2344"/>
      <c r="F88" s="2344"/>
      <c r="G88" s="2344"/>
      <c r="H88" s="2344"/>
      <c r="I88" s="2344"/>
      <c r="J88" s="2344"/>
      <c r="K88" s="2344"/>
      <c r="L88" s="2344"/>
      <c r="M88" s="2345"/>
      <c r="N88" s="73"/>
      <c r="O88" s="39"/>
      <c r="P88" s="39"/>
    </row>
    <row r="89" spans="1:19" s="42" customFormat="1" ht="15">
      <c r="A89" s="73"/>
      <c r="B89" s="1195"/>
      <c r="C89" s="73"/>
      <c r="D89" s="40"/>
      <c r="E89" s="40"/>
      <c r="F89" s="40"/>
      <c r="G89" s="40"/>
      <c r="H89" s="40"/>
      <c r="I89" s="40"/>
      <c r="J89" s="40"/>
      <c r="K89" s="40"/>
      <c r="L89" s="40"/>
      <c r="M89" s="83"/>
      <c r="N89" s="44"/>
      <c r="O89" s="39"/>
      <c r="P89" s="39"/>
    </row>
    <row r="90" spans="1:19" s="42" customFormat="1" ht="15">
      <c r="A90" s="40"/>
      <c r="B90" s="194"/>
      <c r="C90" s="40"/>
      <c r="D90" s="40"/>
      <c r="E90" s="40"/>
      <c r="F90" s="2386" t="s">
        <v>289</v>
      </c>
      <c r="G90" s="2386"/>
      <c r="H90" s="2386"/>
      <c r="I90" s="2386"/>
      <c r="J90" s="2386"/>
      <c r="K90" s="2386"/>
      <c r="L90" s="2386"/>
      <c r="M90" s="83"/>
      <c r="N90" s="40"/>
      <c r="O90" s="2"/>
      <c r="P90" s="2"/>
      <c r="Q90" s="3"/>
      <c r="R90" s="3"/>
      <c r="S90" s="3"/>
    </row>
    <row r="91" spans="1:19" s="42" customFormat="1">
      <c r="A91" s="39"/>
      <c r="B91" s="84"/>
      <c r="C91" s="40"/>
      <c r="D91" s="40"/>
      <c r="E91" s="40"/>
      <c r="F91" s="40"/>
      <c r="G91" s="40"/>
      <c r="H91" s="40"/>
      <c r="I91" s="40"/>
      <c r="J91" s="40"/>
      <c r="K91" s="40"/>
      <c r="L91" s="40"/>
      <c r="M91" s="83"/>
      <c r="N91" s="40"/>
      <c r="O91" s="2"/>
      <c r="P91" s="2"/>
      <c r="Q91" s="3"/>
      <c r="R91" s="3"/>
      <c r="S91" s="3"/>
    </row>
    <row r="92" spans="1:19" s="42" customFormat="1" ht="15">
      <c r="A92" s="39"/>
      <c r="B92" s="84"/>
      <c r="C92" s="40"/>
      <c r="D92" s="40"/>
      <c r="E92" s="40"/>
      <c r="F92" s="561" t="s">
        <v>288</v>
      </c>
      <c r="G92" s="1337">
        <f>F70*L46</f>
        <v>3410.1529411764709</v>
      </c>
      <c r="I92" s="678"/>
      <c r="J92" s="679"/>
      <c r="K92" s="73"/>
      <c r="L92" s="73"/>
      <c r="M92" s="83"/>
      <c r="N92" s="40"/>
      <c r="O92" s="2"/>
      <c r="P92" s="2"/>
      <c r="Q92" s="3"/>
      <c r="R92" s="3"/>
      <c r="S92" s="3"/>
    </row>
    <row r="93" spans="1:19" s="42" customFormat="1" ht="15">
      <c r="A93" s="39"/>
      <c r="B93" s="84"/>
      <c r="C93" s="40"/>
      <c r="D93" s="40"/>
      <c r="E93" s="40"/>
      <c r="F93" s="561" t="s">
        <v>111</v>
      </c>
      <c r="G93" s="1133">
        <f>G92*L56</f>
        <v>91302.646104201689</v>
      </c>
      <c r="I93" s="680"/>
      <c r="J93" s="664"/>
      <c r="K93" s="73"/>
      <c r="L93" s="73"/>
      <c r="M93" s="83"/>
      <c r="N93" s="40"/>
      <c r="O93" s="2"/>
      <c r="P93" s="2"/>
      <c r="Q93" s="3"/>
      <c r="R93" s="3"/>
      <c r="S93" s="3"/>
    </row>
    <row r="94" spans="1:19" s="42" customFormat="1" ht="15" thickBot="1">
      <c r="A94" s="39"/>
      <c r="B94" s="108"/>
      <c r="C94" s="109"/>
      <c r="D94" s="109"/>
      <c r="E94" s="109"/>
      <c r="F94" s="109"/>
      <c r="G94" s="109"/>
      <c r="H94" s="109"/>
      <c r="I94" s="109"/>
      <c r="J94" s="109"/>
      <c r="K94" s="207"/>
      <c r="L94" s="207"/>
      <c r="M94" s="110"/>
      <c r="N94" s="40"/>
      <c r="O94" s="2"/>
      <c r="P94" s="2"/>
      <c r="Q94" s="3"/>
      <c r="R94" s="3"/>
      <c r="S94" s="3"/>
    </row>
    <row r="95" spans="1:19" s="42" customFormat="1" ht="15">
      <c r="A95" s="39"/>
      <c r="C95" s="44"/>
      <c r="D95" s="40"/>
      <c r="E95" s="40"/>
      <c r="F95" s="40"/>
      <c r="G95" s="40"/>
      <c r="H95" s="40"/>
      <c r="I95" s="40"/>
      <c r="J95" s="40"/>
      <c r="K95" s="40"/>
      <c r="L95" s="40"/>
      <c r="M95" s="40"/>
      <c r="N95" s="40"/>
      <c r="O95" s="2"/>
      <c r="P95" s="2"/>
      <c r="Q95" s="3"/>
      <c r="R95" s="3"/>
      <c r="S95" s="3"/>
    </row>
    <row r="96" spans="1:19" s="42" customFormat="1" ht="15">
      <c r="A96" s="39"/>
      <c r="B96" s="44"/>
      <c r="C96" s="44"/>
      <c r="D96" s="39"/>
      <c r="E96" s="40"/>
      <c r="F96" s="40"/>
      <c r="G96" s="40"/>
      <c r="H96" s="40"/>
      <c r="I96" s="40"/>
      <c r="J96" s="40"/>
      <c r="K96" s="40"/>
      <c r="L96" s="40"/>
      <c r="M96" s="40"/>
      <c r="N96" s="40"/>
      <c r="O96" s="2"/>
      <c r="P96" s="2"/>
      <c r="Q96" s="3"/>
      <c r="R96" s="3"/>
      <c r="S96" s="3"/>
    </row>
    <row r="97" spans="1:19" s="42" customFormat="1" ht="15">
      <c r="A97" s="39"/>
      <c r="B97" s="44"/>
      <c r="C97" s="44"/>
      <c r="D97" s="44"/>
      <c r="E97" s="40"/>
      <c r="F97" s="40"/>
      <c r="G97" s="40"/>
      <c r="H97" s="40"/>
      <c r="I97" s="40"/>
      <c r="J97" s="40"/>
      <c r="K97" s="40"/>
      <c r="L97" s="40"/>
      <c r="M97" s="40"/>
      <c r="N97" s="40"/>
      <c r="O97" s="2"/>
      <c r="P97" s="2"/>
      <c r="Q97" s="3"/>
      <c r="R97" s="3"/>
      <c r="S97" s="3"/>
    </row>
    <row r="98" spans="1:19" s="42" customFormat="1" ht="15">
      <c r="A98" s="39"/>
      <c r="B98" s="44"/>
      <c r="C98" s="44"/>
      <c r="D98" s="44"/>
      <c r="E98" s="40"/>
      <c r="F98" s="40"/>
      <c r="G98" s="40"/>
      <c r="H98" s="40"/>
      <c r="I98" s="40"/>
      <c r="J98" s="40"/>
      <c r="K98" s="40"/>
      <c r="L98" s="40"/>
      <c r="M98" s="40"/>
      <c r="N98" s="40"/>
      <c r="O98" s="2"/>
      <c r="P98" s="2"/>
      <c r="Q98" s="3"/>
      <c r="R98" s="3"/>
      <c r="S98" s="3"/>
    </row>
    <row r="99" spans="1:19" s="42" customFormat="1" ht="15">
      <c r="A99" s="39"/>
      <c r="B99" s="44"/>
      <c r="C99" s="40"/>
      <c r="D99" s="40"/>
      <c r="E99" s="208"/>
      <c r="F99" s="208"/>
      <c r="G99" s="208"/>
      <c r="H99" s="208"/>
      <c r="I99" s="208"/>
      <c r="J99" s="208"/>
      <c r="K99" s="208"/>
      <c r="L99" s="208"/>
      <c r="M99" s="208"/>
      <c r="N99" s="40"/>
      <c r="O99" s="2"/>
      <c r="P99" s="2"/>
      <c r="Q99" s="3"/>
      <c r="R99" s="3"/>
      <c r="S99" s="3"/>
    </row>
    <row r="100" spans="1:19" s="42" customFormat="1">
      <c r="A100" s="39"/>
      <c r="B100" s="40"/>
      <c r="C100" s="40"/>
      <c r="D100" s="40"/>
      <c r="E100" s="40"/>
      <c r="F100" s="40"/>
      <c r="G100" s="40"/>
      <c r="H100" s="40"/>
      <c r="I100" s="40"/>
      <c r="J100" s="40"/>
      <c r="K100" s="40"/>
      <c r="L100" s="40"/>
      <c r="M100" s="40"/>
      <c r="N100" s="208"/>
      <c r="O100" s="2"/>
      <c r="P100" s="2"/>
      <c r="Q100" s="3"/>
      <c r="R100" s="3"/>
      <c r="S100" s="3"/>
    </row>
    <row r="101" spans="1:19" s="42" customFormat="1">
      <c r="A101" s="39"/>
      <c r="B101" s="40"/>
      <c r="C101" s="209"/>
      <c r="D101" s="40"/>
      <c r="E101" s="73"/>
      <c r="F101" s="40"/>
      <c r="G101" s="40"/>
      <c r="H101" s="40"/>
      <c r="I101" s="40"/>
      <c r="J101" s="40"/>
      <c r="K101" s="40"/>
      <c r="L101" s="40"/>
      <c r="M101" s="40"/>
      <c r="N101" s="40"/>
      <c r="O101" s="2"/>
      <c r="P101" s="2"/>
      <c r="Q101" s="3"/>
      <c r="R101" s="3"/>
      <c r="S101" s="3"/>
    </row>
    <row r="102" spans="1:19" s="42" customFormat="1">
      <c r="A102" s="39"/>
      <c r="B102" s="209"/>
      <c r="C102" s="40"/>
      <c r="D102" s="40"/>
      <c r="E102" s="40"/>
      <c r="F102" s="40"/>
      <c r="G102" s="40"/>
      <c r="H102" s="40"/>
      <c r="I102" s="40"/>
      <c r="J102" s="40"/>
      <c r="K102" s="40"/>
      <c r="L102" s="40"/>
      <c r="M102" s="40"/>
      <c r="N102" s="40"/>
      <c r="O102" s="2"/>
      <c r="P102" s="2"/>
      <c r="Q102" s="3"/>
      <c r="R102" s="3"/>
      <c r="S102" s="3"/>
    </row>
    <row r="103" spans="1:19" s="42" customFormat="1">
      <c r="A103" s="39"/>
      <c r="B103" s="40"/>
      <c r="C103" s="40"/>
      <c r="D103" s="40"/>
      <c r="E103" s="210"/>
      <c r="F103" s="210"/>
      <c r="G103" s="210"/>
      <c r="H103" s="210"/>
      <c r="I103" s="210"/>
      <c r="J103" s="210"/>
      <c r="K103" s="210"/>
      <c r="L103" s="210"/>
      <c r="M103" s="210"/>
      <c r="N103" s="40"/>
      <c r="O103" s="2"/>
      <c r="P103" s="2"/>
      <c r="Q103" s="3"/>
      <c r="R103" s="3"/>
      <c r="S103" s="3"/>
    </row>
    <row r="104" spans="1:19" s="42" customFormat="1">
      <c r="A104" s="39"/>
      <c r="B104" s="40"/>
      <c r="C104" s="40"/>
      <c r="D104" s="40"/>
      <c r="E104" s="40"/>
      <c r="F104" s="40"/>
      <c r="G104" s="40"/>
      <c r="H104" s="40"/>
      <c r="I104" s="40"/>
      <c r="J104" s="40"/>
      <c r="K104" s="40"/>
      <c r="L104" s="40"/>
      <c r="M104" s="40"/>
      <c r="N104" s="210"/>
      <c r="O104" s="2"/>
      <c r="P104" s="2"/>
      <c r="Q104" s="3"/>
      <c r="R104" s="3"/>
      <c r="S104" s="3"/>
    </row>
    <row r="105" spans="1:19" s="42" customFormat="1">
      <c r="A105" s="39"/>
      <c r="B105" s="40"/>
      <c r="C105" s="40"/>
      <c r="D105" s="40"/>
      <c r="E105" s="40"/>
      <c r="F105" s="40"/>
      <c r="G105" s="40"/>
      <c r="H105" s="40"/>
      <c r="I105" s="40"/>
      <c r="J105" s="40"/>
      <c r="K105" s="40"/>
      <c r="L105" s="40"/>
      <c r="M105" s="40"/>
      <c r="N105" s="40"/>
      <c r="O105" s="2"/>
      <c r="P105" s="2"/>
      <c r="Q105" s="3"/>
      <c r="R105" s="3"/>
      <c r="S105" s="3"/>
    </row>
    <row r="106" spans="1:19" s="42" customFormat="1" ht="15">
      <c r="A106" s="39"/>
      <c r="B106" s="40"/>
      <c r="C106" s="44"/>
      <c r="D106" s="40"/>
      <c r="E106" s="40"/>
      <c r="F106" s="40"/>
      <c r="G106" s="40"/>
      <c r="H106" s="40"/>
      <c r="I106" s="40"/>
      <c r="J106" s="40"/>
      <c r="K106" s="40"/>
      <c r="L106" s="40"/>
      <c r="M106" s="40"/>
      <c r="N106" s="40"/>
      <c r="O106" s="2"/>
      <c r="P106" s="2"/>
      <c r="Q106" s="3"/>
      <c r="R106" s="3"/>
      <c r="S106" s="3"/>
    </row>
    <row r="107" spans="1:19" s="42" customFormat="1" ht="15">
      <c r="A107" s="39"/>
      <c r="B107" s="44"/>
      <c r="C107" s="40"/>
      <c r="D107" s="40"/>
      <c r="E107" s="210"/>
      <c r="F107" s="210"/>
      <c r="G107" s="210"/>
      <c r="H107" s="210"/>
      <c r="I107" s="210"/>
      <c r="J107" s="210"/>
      <c r="K107" s="210"/>
      <c r="L107" s="210"/>
      <c r="M107" s="210"/>
      <c r="N107" s="40"/>
      <c r="O107" s="2"/>
      <c r="P107" s="2"/>
      <c r="Q107" s="3"/>
      <c r="R107" s="3"/>
      <c r="S107" s="3"/>
    </row>
    <row r="108" spans="1:19" s="42" customFormat="1">
      <c r="A108" s="39"/>
      <c r="B108" s="40"/>
      <c r="C108" s="40"/>
      <c r="D108" s="40"/>
      <c r="E108" s="40"/>
      <c r="F108" s="40"/>
      <c r="G108" s="40"/>
      <c r="H108" s="40"/>
      <c r="I108" s="40"/>
      <c r="J108" s="40"/>
      <c r="K108" s="40"/>
      <c r="L108" s="40"/>
      <c r="M108" s="40"/>
      <c r="N108" s="210"/>
      <c r="O108" s="2"/>
      <c r="P108" s="2"/>
      <c r="Q108" s="3"/>
      <c r="R108" s="3"/>
      <c r="S108" s="3"/>
    </row>
    <row r="109" spans="1:19" s="42" customFormat="1">
      <c r="A109" s="39"/>
      <c r="B109" s="40"/>
      <c r="C109" s="40"/>
      <c r="D109" s="40"/>
      <c r="E109" s="40"/>
      <c r="F109" s="40"/>
      <c r="G109" s="40"/>
      <c r="H109" s="40"/>
      <c r="I109" s="40"/>
      <c r="J109" s="40"/>
      <c r="K109" s="40"/>
      <c r="L109" s="40"/>
      <c r="M109" s="40"/>
      <c r="N109" s="40"/>
      <c r="O109" s="2"/>
      <c r="P109" s="2"/>
      <c r="Q109" s="3"/>
      <c r="R109" s="3"/>
      <c r="S109" s="3"/>
    </row>
    <row r="110" spans="1:19" s="42" customFormat="1">
      <c r="A110" s="39"/>
      <c r="B110" s="40"/>
      <c r="C110" s="40"/>
      <c r="D110" s="40"/>
      <c r="E110" s="210"/>
      <c r="F110" s="210"/>
      <c r="G110" s="210"/>
      <c r="H110" s="210"/>
      <c r="I110" s="210"/>
      <c r="J110" s="210"/>
      <c r="K110" s="210"/>
      <c r="L110" s="210"/>
      <c r="M110" s="210"/>
      <c r="N110" s="40"/>
      <c r="O110" s="2"/>
      <c r="P110" s="2"/>
      <c r="Q110" s="3"/>
      <c r="R110" s="3"/>
      <c r="S110" s="3"/>
    </row>
    <row r="111" spans="1:19" s="42" customFormat="1">
      <c r="A111" s="39"/>
      <c r="B111" s="40"/>
      <c r="C111" s="40"/>
      <c r="D111" s="40"/>
      <c r="E111" s="208"/>
      <c r="F111" s="208"/>
      <c r="G111" s="208"/>
      <c r="H111" s="208"/>
      <c r="I111" s="208"/>
      <c r="J111" s="208"/>
      <c r="K111" s="208"/>
      <c r="L111" s="208"/>
      <c r="M111" s="208"/>
      <c r="N111" s="210"/>
      <c r="O111" s="2"/>
      <c r="P111" s="2"/>
      <c r="Q111" s="3"/>
      <c r="R111" s="3"/>
      <c r="S111" s="3"/>
    </row>
    <row r="112" spans="1:19" s="42" customFormat="1">
      <c r="A112" s="39"/>
      <c r="B112" s="40"/>
      <c r="C112" s="40"/>
      <c r="D112" s="40"/>
      <c r="E112" s="208"/>
      <c r="F112" s="208"/>
      <c r="G112" s="208"/>
      <c r="H112" s="208"/>
      <c r="I112" s="208"/>
      <c r="J112" s="208"/>
      <c r="K112" s="208"/>
      <c r="L112" s="208"/>
      <c r="M112" s="208"/>
      <c r="N112" s="208"/>
      <c r="O112" s="2"/>
      <c r="P112" s="2"/>
      <c r="Q112" s="3"/>
      <c r="R112" s="3"/>
      <c r="S112" s="3"/>
    </row>
    <row r="113" spans="1:20" s="42" customFormat="1" ht="15">
      <c r="A113" s="39"/>
      <c r="B113" s="40"/>
      <c r="C113" s="44"/>
      <c r="D113" s="40"/>
      <c r="E113" s="211"/>
      <c r="F113" s="211"/>
      <c r="G113" s="211"/>
      <c r="H113" s="211"/>
      <c r="I113" s="211"/>
      <c r="J113" s="211"/>
      <c r="K113" s="211"/>
      <c r="L113" s="211"/>
      <c r="M113" s="211"/>
      <c r="N113" s="208"/>
      <c r="O113" s="2"/>
      <c r="P113" s="2"/>
      <c r="Q113" s="3"/>
      <c r="R113" s="3"/>
      <c r="S113" s="3"/>
    </row>
    <row r="114" spans="1:20" s="42" customFormat="1" ht="15">
      <c r="A114" s="39"/>
      <c r="B114" s="44"/>
      <c r="C114" s="44"/>
      <c r="D114" s="40"/>
      <c r="E114" s="211"/>
      <c r="F114" s="211"/>
      <c r="G114" s="211"/>
      <c r="H114" s="211"/>
      <c r="I114" s="211"/>
      <c r="J114" s="211"/>
      <c r="K114" s="211"/>
      <c r="L114" s="211"/>
      <c r="M114" s="211"/>
      <c r="N114" s="211"/>
      <c r="O114" s="2"/>
      <c r="P114" s="2"/>
      <c r="Q114" s="3"/>
      <c r="R114" s="3"/>
      <c r="S114" s="3"/>
    </row>
    <row r="115" spans="1:20" s="42" customFormat="1" ht="15">
      <c r="A115" s="39"/>
      <c r="B115" s="44"/>
      <c r="C115" s="44"/>
      <c r="D115" s="40"/>
      <c r="E115" s="211"/>
      <c r="F115" s="211"/>
      <c r="G115" s="211"/>
      <c r="H115" s="211"/>
      <c r="I115" s="211"/>
      <c r="J115" s="211"/>
      <c r="K115" s="211"/>
      <c r="L115" s="211"/>
      <c r="M115" s="211"/>
      <c r="N115" s="211"/>
      <c r="O115" s="2"/>
      <c r="P115" s="2"/>
      <c r="Q115" s="3"/>
      <c r="R115" s="3"/>
      <c r="S115" s="3"/>
    </row>
    <row r="116" spans="1:20" s="42" customFormat="1" ht="15">
      <c r="A116" s="39"/>
      <c r="B116" s="44"/>
      <c r="C116" s="40"/>
      <c r="D116" s="40"/>
      <c r="E116" s="208"/>
      <c r="F116" s="208"/>
      <c r="G116" s="208"/>
      <c r="H116" s="208"/>
      <c r="I116" s="208"/>
      <c r="J116" s="208"/>
      <c r="K116" s="208"/>
      <c r="L116" s="208"/>
      <c r="M116" s="208"/>
      <c r="N116" s="211"/>
      <c r="O116" s="2"/>
      <c r="P116" s="2"/>
      <c r="Q116" s="3"/>
      <c r="R116" s="3"/>
      <c r="S116" s="3"/>
    </row>
    <row r="117" spans="1:20" s="42" customFormat="1">
      <c r="A117" s="39"/>
      <c r="B117" s="40"/>
      <c r="C117" s="40"/>
      <c r="D117" s="40"/>
      <c r="E117" s="40"/>
      <c r="F117" s="40"/>
      <c r="G117" s="40"/>
      <c r="H117" s="40"/>
      <c r="I117" s="40"/>
      <c r="J117" s="40"/>
      <c r="K117" s="40"/>
      <c r="L117" s="39"/>
      <c r="M117" s="39"/>
      <c r="N117" s="208"/>
      <c r="O117" s="2"/>
      <c r="P117" s="2"/>
      <c r="Q117" s="3"/>
      <c r="R117" s="3"/>
      <c r="S117" s="3"/>
    </row>
    <row r="118" spans="1:20" s="42" customFormat="1">
      <c r="A118" s="39"/>
      <c r="B118" s="40"/>
      <c r="C118" s="62"/>
      <c r="D118" s="62" t="s">
        <v>42</v>
      </c>
      <c r="E118" s="62"/>
      <c r="F118" s="62"/>
      <c r="G118" s="62"/>
      <c r="H118" s="62"/>
      <c r="I118" s="62"/>
      <c r="J118" s="62"/>
      <c r="K118" s="62"/>
      <c r="L118" s="203"/>
      <c r="M118" s="203"/>
      <c r="N118" s="39"/>
      <c r="O118" s="39"/>
      <c r="P118" s="39"/>
      <c r="Q118" s="39"/>
      <c r="R118" s="39"/>
      <c r="S118" s="39"/>
      <c r="T118" s="39"/>
    </row>
    <row r="119" spans="1:20">
      <c r="A119" s="39"/>
      <c r="B119" s="62"/>
      <c r="C119" s="35"/>
      <c r="D119" s="35"/>
      <c r="E119" s="35"/>
      <c r="F119" s="35"/>
      <c r="G119" s="35"/>
      <c r="H119" s="35"/>
      <c r="I119" s="35"/>
      <c r="J119" s="35"/>
      <c r="K119" s="35"/>
      <c r="L119" s="35"/>
      <c r="M119" s="203"/>
      <c r="N119" s="203"/>
      <c r="O119" s="203"/>
      <c r="P119" s="203"/>
      <c r="Q119" s="203"/>
      <c r="R119" s="203"/>
      <c r="S119" s="203"/>
      <c r="T119" s="203"/>
    </row>
    <row r="120" spans="1:20">
      <c r="A120" s="39"/>
      <c r="B120" s="35"/>
      <c r="C120" s="35"/>
      <c r="D120" s="35"/>
      <c r="E120" s="35"/>
      <c r="F120" s="35"/>
      <c r="G120" s="35"/>
      <c r="H120" s="35"/>
      <c r="I120" s="35"/>
      <c r="J120" s="35"/>
      <c r="K120" s="35"/>
      <c r="L120" s="35"/>
      <c r="M120" s="203"/>
      <c r="N120" s="203"/>
      <c r="O120" s="203"/>
      <c r="P120" s="203"/>
      <c r="Q120" s="203"/>
      <c r="R120" s="203"/>
      <c r="S120" s="203"/>
      <c r="T120" s="203"/>
    </row>
    <row r="121" spans="1:20">
      <c r="A121" s="39"/>
      <c r="B121" s="35"/>
      <c r="C121" s="35"/>
      <c r="D121" s="35"/>
      <c r="E121" s="35"/>
      <c r="F121" s="35"/>
      <c r="G121" s="35"/>
      <c r="H121" s="35"/>
      <c r="I121" s="35"/>
      <c r="J121" s="35"/>
      <c r="K121" s="35"/>
      <c r="L121" s="35"/>
      <c r="M121" s="203"/>
      <c r="N121" s="203"/>
      <c r="O121" s="203"/>
      <c r="P121" s="203"/>
      <c r="Q121" s="203"/>
      <c r="R121" s="203"/>
      <c r="S121" s="203"/>
      <c r="T121" s="203"/>
    </row>
    <row r="122" spans="1:20">
      <c r="A122" s="35"/>
      <c r="B122" s="35"/>
      <c r="C122" s="35"/>
      <c r="D122" s="35"/>
      <c r="E122" s="35"/>
      <c r="F122" s="35"/>
      <c r="G122" s="35"/>
      <c r="H122" s="35"/>
      <c r="I122" s="35"/>
      <c r="J122" s="35"/>
      <c r="K122" s="35"/>
      <c r="L122" s="35"/>
      <c r="M122" s="203"/>
      <c r="N122" s="203"/>
      <c r="O122" s="203"/>
      <c r="P122" s="203"/>
      <c r="Q122" s="203"/>
      <c r="R122" s="203"/>
      <c r="S122" s="203"/>
      <c r="T122" s="203"/>
    </row>
    <row r="123" spans="1:20">
      <c r="A123" s="35"/>
      <c r="B123" s="35"/>
      <c r="C123" s="35"/>
      <c r="D123" s="35"/>
      <c r="E123" s="35"/>
      <c r="F123" s="35"/>
      <c r="G123" s="35"/>
      <c r="H123" s="35"/>
      <c r="I123" s="35"/>
      <c r="J123" s="35"/>
      <c r="K123" s="35"/>
      <c r="L123" s="35"/>
      <c r="M123" s="203"/>
      <c r="N123" s="203"/>
      <c r="O123" s="203"/>
      <c r="P123" s="203"/>
      <c r="Q123" s="203"/>
      <c r="R123" s="203"/>
      <c r="S123" s="203"/>
      <c r="T123" s="203"/>
    </row>
    <row r="124" spans="1:20">
      <c r="A124" s="35"/>
      <c r="B124" s="35"/>
      <c r="C124" s="35"/>
      <c r="D124" s="35"/>
      <c r="E124" s="35"/>
      <c r="F124" s="35"/>
      <c r="G124" s="35"/>
      <c r="H124" s="35"/>
      <c r="I124" s="35"/>
      <c r="J124" s="35"/>
      <c r="K124" s="35"/>
      <c r="L124" s="35"/>
      <c r="M124" s="203"/>
      <c r="N124" s="203"/>
      <c r="O124" s="203"/>
      <c r="P124" s="203"/>
      <c r="Q124" s="203"/>
      <c r="R124" s="203"/>
      <c r="S124" s="203"/>
      <c r="T124" s="203"/>
    </row>
    <row r="125" spans="1:20">
      <c r="A125" s="35"/>
      <c r="B125" s="35"/>
      <c r="C125" s="35"/>
      <c r="D125" s="35"/>
      <c r="E125" s="35"/>
      <c r="F125" s="35"/>
      <c r="G125" s="35"/>
      <c r="H125" s="35"/>
      <c r="I125" s="35"/>
      <c r="J125" s="35"/>
      <c r="K125" s="35"/>
      <c r="L125" s="35"/>
      <c r="M125" s="203"/>
      <c r="N125" s="203"/>
      <c r="O125" s="203"/>
      <c r="P125" s="203"/>
      <c r="Q125" s="203"/>
      <c r="R125" s="203"/>
      <c r="S125" s="203"/>
      <c r="T125" s="203"/>
    </row>
    <row r="126" spans="1:20">
      <c r="A126" s="35"/>
      <c r="B126" s="35"/>
      <c r="C126" s="35"/>
      <c r="D126" s="35"/>
      <c r="E126" s="35"/>
      <c r="F126" s="35"/>
      <c r="G126" s="35"/>
      <c r="H126" s="35"/>
      <c r="I126" s="35"/>
      <c r="J126" s="35"/>
      <c r="K126" s="35"/>
      <c r="L126" s="35"/>
      <c r="M126" s="203"/>
      <c r="N126" s="203"/>
      <c r="O126" s="203"/>
      <c r="P126" s="203"/>
      <c r="Q126" s="203"/>
      <c r="R126" s="203"/>
      <c r="S126" s="203"/>
      <c r="T126" s="203"/>
    </row>
    <row r="127" spans="1:20">
      <c r="A127" s="35"/>
      <c r="B127" s="35"/>
      <c r="C127" s="35"/>
      <c r="D127" s="35"/>
      <c r="E127" s="35"/>
      <c r="F127" s="35"/>
      <c r="G127" s="35"/>
      <c r="H127" s="35"/>
      <c r="I127" s="35"/>
      <c r="J127" s="35"/>
      <c r="K127" s="35"/>
      <c r="L127" s="35"/>
      <c r="M127" s="203"/>
      <c r="N127" s="203"/>
      <c r="O127" s="203"/>
      <c r="P127" s="203"/>
      <c r="Q127" s="203"/>
      <c r="R127" s="203"/>
      <c r="S127" s="203"/>
      <c r="T127" s="203"/>
    </row>
    <row r="128" spans="1:20">
      <c r="A128" s="35"/>
      <c r="B128" s="35"/>
      <c r="C128" s="35"/>
      <c r="D128" s="35"/>
      <c r="E128" s="35"/>
      <c r="F128" s="35"/>
      <c r="G128" s="35"/>
      <c r="H128" s="35"/>
      <c r="I128" s="35"/>
      <c r="J128" s="35"/>
      <c r="K128" s="35"/>
      <c r="L128" s="35"/>
      <c r="M128" s="203"/>
      <c r="N128" s="203"/>
      <c r="O128" s="203"/>
      <c r="P128" s="203"/>
      <c r="Q128" s="203"/>
      <c r="R128" s="203"/>
      <c r="S128" s="203"/>
      <c r="T128" s="203"/>
    </row>
    <row r="129" spans="1:24">
      <c r="A129" s="35"/>
      <c r="B129" s="35"/>
      <c r="C129" s="35"/>
      <c r="D129" s="35"/>
      <c r="E129" s="35"/>
      <c r="F129" s="35"/>
      <c r="G129" s="35"/>
      <c r="H129" s="35"/>
      <c r="I129" s="35"/>
      <c r="J129" s="35"/>
      <c r="K129" s="35"/>
      <c r="L129" s="35"/>
      <c r="M129" s="203"/>
      <c r="N129" s="203"/>
      <c r="O129" s="203"/>
      <c r="P129" s="203"/>
      <c r="Q129" s="203"/>
      <c r="R129" s="203"/>
      <c r="S129" s="203"/>
      <c r="T129" s="203"/>
    </row>
    <row r="130" spans="1:24">
      <c r="A130" s="35"/>
      <c r="B130" s="35"/>
      <c r="C130" s="35"/>
      <c r="D130" s="35"/>
      <c r="E130" s="35"/>
      <c r="F130" s="35"/>
      <c r="G130" s="35"/>
      <c r="H130" s="35"/>
      <c r="I130" s="35"/>
      <c r="J130" s="35"/>
      <c r="K130" s="35"/>
      <c r="L130" s="35"/>
      <c r="M130" s="203"/>
      <c r="N130" s="203"/>
      <c r="O130" s="203"/>
      <c r="P130" s="203"/>
      <c r="Q130" s="203"/>
      <c r="R130" s="203"/>
      <c r="S130" s="203"/>
      <c r="T130" s="203"/>
    </row>
    <row r="131" spans="1:24">
      <c r="A131" s="35"/>
      <c r="B131" s="35"/>
      <c r="C131" s="35"/>
      <c r="D131" s="35"/>
      <c r="E131" s="35"/>
      <c r="F131" s="35"/>
      <c r="G131" s="35"/>
      <c r="H131" s="35"/>
      <c r="I131" s="35"/>
      <c r="J131" s="35"/>
      <c r="K131" s="35"/>
      <c r="L131" s="35"/>
      <c r="M131" s="203"/>
      <c r="N131" s="203"/>
      <c r="O131" s="203"/>
      <c r="P131" s="203"/>
      <c r="Q131" s="203"/>
      <c r="R131" s="203"/>
      <c r="S131" s="203"/>
      <c r="T131" s="203"/>
    </row>
    <row r="132" spans="1:24">
      <c r="A132" s="35"/>
      <c r="B132" s="35"/>
      <c r="C132" s="35"/>
      <c r="D132" s="35"/>
      <c r="E132" s="35"/>
      <c r="F132" s="35"/>
      <c r="G132" s="35"/>
      <c r="H132" s="35"/>
      <c r="I132" s="35"/>
      <c r="J132" s="35"/>
      <c r="K132" s="35"/>
      <c r="L132" s="35"/>
      <c r="M132" s="203"/>
      <c r="N132" s="203"/>
      <c r="O132" s="203"/>
      <c r="P132" s="203"/>
      <c r="Q132" s="203"/>
      <c r="R132" s="203"/>
      <c r="S132" s="203"/>
      <c r="T132" s="203"/>
    </row>
    <row r="133" spans="1:24">
      <c r="A133" s="35"/>
      <c r="B133" s="35"/>
      <c r="C133" s="35"/>
      <c r="D133" s="35"/>
      <c r="E133" s="35"/>
      <c r="F133" s="35"/>
      <c r="G133" s="35"/>
      <c r="H133" s="35"/>
      <c r="I133" s="35"/>
      <c r="J133" s="35"/>
      <c r="K133" s="35"/>
      <c r="L133" s="35"/>
      <c r="M133" s="203"/>
      <c r="N133" s="203"/>
      <c r="O133" s="203"/>
      <c r="P133" s="203"/>
      <c r="Q133" s="203"/>
      <c r="R133" s="203"/>
      <c r="S133" s="203"/>
      <c r="T133" s="203"/>
    </row>
    <row r="134" spans="1:24">
      <c r="A134" s="35"/>
      <c r="B134" s="35"/>
      <c r="C134" s="35"/>
      <c r="D134" s="35"/>
      <c r="E134" s="35"/>
      <c r="F134" s="35"/>
      <c r="G134" s="35"/>
      <c r="H134" s="35"/>
      <c r="I134" s="35"/>
      <c r="J134" s="35"/>
      <c r="K134" s="35"/>
      <c r="L134" s="35"/>
      <c r="M134" s="203"/>
      <c r="N134" s="203"/>
      <c r="O134" s="203"/>
      <c r="P134" s="203"/>
      <c r="Q134" s="203"/>
      <c r="R134" s="203"/>
      <c r="S134" s="203"/>
      <c r="T134" s="203"/>
      <c r="U134" s="10"/>
      <c r="V134" s="10"/>
      <c r="W134" s="10"/>
      <c r="X134" s="10"/>
    </row>
    <row r="135" spans="1:24">
      <c r="A135" s="35"/>
      <c r="B135" s="35"/>
      <c r="C135" s="35"/>
      <c r="D135" s="35"/>
      <c r="E135" s="35"/>
      <c r="F135" s="35"/>
      <c r="G135" s="35"/>
      <c r="H135" s="35"/>
      <c r="I135" s="35"/>
      <c r="J135" s="35"/>
      <c r="K135" s="35"/>
      <c r="L135" s="35"/>
      <c r="M135" s="203"/>
      <c r="N135" s="203"/>
      <c r="O135" s="203"/>
      <c r="P135" s="203"/>
      <c r="Q135" s="203"/>
      <c r="R135" s="203"/>
      <c r="S135" s="203"/>
      <c r="T135" s="203"/>
    </row>
    <row r="136" spans="1:24">
      <c r="A136" s="35"/>
      <c r="B136" s="35"/>
      <c r="C136" s="35"/>
      <c r="D136" s="35"/>
      <c r="E136" s="35"/>
      <c r="F136" s="35"/>
      <c r="G136" s="35"/>
      <c r="H136" s="35"/>
      <c r="I136" s="35"/>
      <c r="J136" s="35"/>
      <c r="K136" s="35"/>
      <c r="L136" s="35"/>
      <c r="M136" s="203"/>
      <c r="N136" s="203"/>
      <c r="O136" s="203"/>
      <c r="P136" s="203"/>
      <c r="Q136" s="203"/>
      <c r="R136" s="203"/>
      <c r="S136" s="203"/>
      <c r="T136" s="203"/>
    </row>
    <row r="137" spans="1:24">
      <c r="A137" s="35"/>
      <c r="B137" s="35"/>
      <c r="C137" s="35"/>
      <c r="D137" s="35"/>
      <c r="E137" s="35"/>
      <c r="F137" s="35"/>
      <c r="G137" s="35"/>
      <c r="H137" s="35"/>
      <c r="I137" s="35"/>
      <c r="J137" s="35"/>
      <c r="K137" s="35"/>
      <c r="L137" s="35"/>
      <c r="M137" s="203"/>
      <c r="N137" s="203"/>
      <c r="O137" s="203"/>
      <c r="P137" s="203"/>
      <c r="Q137" s="203"/>
      <c r="R137" s="203"/>
      <c r="S137" s="203"/>
      <c r="T137" s="203"/>
    </row>
    <row r="138" spans="1:24">
      <c r="A138" s="35"/>
      <c r="B138" s="35"/>
      <c r="C138" s="35"/>
      <c r="D138" s="35"/>
      <c r="E138" s="35"/>
      <c r="F138" s="35"/>
      <c r="G138" s="35"/>
      <c r="H138" s="35"/>
      <c r="I138" s="35"/>
      <c r="J138" s="35"/>
      <c r="K138" s="35"/>
      <c r="L138" s="35"/>
      <c r="M138" s="203"/>
      <c r="N138" s="203"/>
      <c r="O138" s="203"/>
      <c r="P138" s="203"/>
      <c r="Q138" s="203"/>
      <c r="R138" s="203"/>
      <c r="S138" s="203"/>
      <c r="T138" s="203"/>
    </row>
    <row r="139" spans="1:24">
      <c r="A139" s="35"/>
      <c r="B139" s="35"/>
      <c r="N139" s="203"/>
      <c r="O139" s="203"/>
      <c r="P139" s="203"/>
      <c r="Q139" s="203"/>
      <c r="R139" s="203"/>
      <c r="S139" s="203"/>
      <c r="T139" s="203"/>
    </row>
    <row r="140" spans="1:24">
      <c r="A140" s="35"/>
    </row>
    <row r="141" spans="1:24">
      <c r="A141" s="35"/>
    </row>
  </sheetData>
  <mergeCells count="20">
    <mergeCell ref="F90:L90"/>
    <mergeCell ref="B88:M88"/>
    <mergeCell ref="N74:N76"/>
    <mergeCell ref="C62:D62"/>
    <mergeCell ref="B60:M60"/>
    <mergeCell ref="C23:D23"/>
    <mergeCell ref="C42:E42"/>
    <mergeCell ref="C43:D43"/>
    <mergeCell ref="C44:D44"/>
    <mergeCell ref="C46:D46"/>
    <mergeCell ref="E1:F1"/>
    <mergeCell ref="I1:J1"/>
    <mergeCell ref="C4:D5"/>
    <mergeCell ref="B11:M11"/>
    <mergeCell ref="B19:M19"/>
    <mergeCell ref="C13:D13"/>
    <mergeCell ref="C14:D14"/>
    <mergeCell ref="C15:D15"/>
    <mergeCell ref="C16:D16"/>
    <mergeCell ref="C17:D17"/>
  </mergeCells>
  <conditionalFormatting sqref="L46 E16">
    <cfRule type="expression" dxfId="18" priority="33">
      <formula>$L$68&gt;$E$15</formula>
    </cfRule>
  </conditionalFormatting>
  <dataValidations count="1">
    <dataValidation type="list" allowBlank="1" showInputMessage="1" prompt="Select from list or type in job title" sqref="C26:C31">
      <formula1>Staff_List</formula1>
    </dataValidation>
  </dataValidations>
  <pageMargins left="0.7" right="0.7" top="0.75" bottom="0.75" header="0.3" footer="0.3"/>
  <pageSetup paperSize="9" scale="34" orientation="portrait" r:id="rId1"/>
  <colBreaks count="1" manualBreakCount="1">
    <brk id="13"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staff_costs!$A$4:$A$21</xm:f>
          </x14:formula1>
          <xm:sqref>D26:D31</xm:sqref>
        </x14:dataValidation>
      </x14:dataValidations>
    </ex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4" tint="-0.249977111117893"/>
    <pageSetUpPr fitToPage="1"/>
  </sheetPr>
  <dimension ref="A1:BW89"/>
  <sheetViews>
    <sheetView showGridLines="0" topLeftCell="B1" zoomScale="75" zoomScaleNormal="75" zoomScaleSheetLayoutView="100" zoomScalePageLayoutView="75" workbookViewId="0">
      <pane ySplit="1" topLeftCell="A2" activePane="bottomLeft" state="frozen"/>
      <selection activeCell="C3" sqref="C3"/>
      <selection pane="bottomLeft" activeCell="D31" sqref="D31"/>
    </sheetView>
  </sheetViews>
  <sheetFormatPr defaultColWidth="8.7109375" defaultRowHeight="14.25" outlineLevelCol="1"/>
  <cols>
    <col min="1" max="1" width="64.42578125" style="38" hidden="1" customWidth="1" outlineLevel="1"/>
    <col min="2" max="2" width="15.7109375" style="38" customWidth="1" collapsed="1"/>
    <col min="3" max="3" width="45.7109375" style="38" customWidth="1"/>
    <col min="4" max="4" width="22.85546875" style="38" customWidth="1"/>
    <col min="5" max="5" width="15.7109375" style="38" customWidth="1"/>
    <col min="6" max="6" width="17.42578125" style="38" customWidth="1"/>
    <col min="7" max="7" width="17" style="38" customWidth="1"/>
    <col min="8" max="8" width="21.28515625" style="38" customWidth="1"/>
    <col min="9" max="9" width="45.7109375" style="38" customWidth="1"/>
    <col min="10" max="10" width="23.85546875" style="38" bestFit="1" customWidth="1"/>
    <col min="11" max="11" width="22.85546875" style="38" bestFit="1" customWidth="1"/>
    <col min="12" max="12" width="8.42578125" style="38" customWidth="1"/>
    <col min="13" max="13" width="19.140625" style="38" customWidth="1"/>
    <col min="14" max="14" width="23.42578125" style="38" customWidth="1"/>
    <col min="15" max="15" width="15.140625" style="38" bestFit="1" customWidth="1"/>
    <col min="16" max="19" width="8.7109375" style="38"/>
    <col min="20" max="20" width="3" style="38" customWidth="1"/>
    <col min="21" max="21" width="9.42578125" style="38" customWidth="1"/>
    <col min="22" max="23" width="34.7109375" style="38" customWidth="1"/>
    <col min="24" max="24" width="14.7109375" style="38" customWidth="1"/>
    <col min="25" max="25" width="17.7109375" style="38" customWidth="1"/>
    <col min="26" max="26" width="15.42578125" style="38" customWidth="1"/>
    <col min="27" max="16384" width="8.7109375" style="38"/>
  </cols>
  <sheetData>
    <row r="1" spans="1:75" s="51" customFormat="1" ht="42.75" customHeight="1" thickBot="1">
      <c r="B1" s="1760"/>
      <c r="C1" s="1850" t="str">
        <f>HYPERLINK("[.\]Menu!A1", "To Menu")</f>
        <v>To Menu</v>
      </c>
      <c r="D1" s="2017"/>
      <c r="E1" s="2436" t="str">
        <f>HYPERLINK("[.\]control_sheet_and_graphs!A1", "To Control sheet and graphical results")</f>
        <v>To Control sheet and graphical results</v>
      </c>
      <c r="F1" s="2437"/>
      <c r="G1" s="2018"/>
      <c r="H1" s="2019"/>
      <c r="I1" s="2089" t="str">
        <f>HYPERLINK("[.\]outputs_by_channel!A1", "To Intervention data outputs by channel")</f>
        <v>To Intervention data outputs by channel</v>
      </c>
      <c r="J1" s="2090"/>
      <c r="K1" s="1762"/>
      <c r="O1" s="52"/>
      <c r="Q1" s="52"/>
      <c r="R1" s="52"/>
      <c r="S1" s="52"/>
      <c r="T1" s="52"/>
      <c r="V1" s="52"/>
      <c r="W1" s="52"/>
      <c r="X1" s="52"/>
      <c r="Y1" s="52"/>
      <c r="AA1" s="52"/>
      <c r="AB1" s="52"/>
      <c r="AC1" s="52"/>
      <c r="AD1" s="52"/>
      <c r="AF1" s="52"/>
      <c r="AG1" s="52"/>
      <c r="AH1" s="52"/>
      <c r="AI1" s="52"/>
      <c r="AK1" s="52"/>
      <c r="AL1" s="52"/>
      <c r="AM1" s="52"/>
      <c r="AN1" s="52"/>
      <c r="AP1" s="52"/>
      <c r="AQ1" s="52"/>
      <c r="AR1" s="52"/>
      <c r="AS1" s="52"/>
      <c r="AU1" s="52"/>
      <c r="AV1" s="52"/>
      <c r="AW1" s="52"/>
      <c r="AX1" s="52"/>
      <c r="AZ1" s="52"/>
      <c r="BA1" s="52"/>
      <c r="BB1" s="52"/>
      <c r="BC1" s="52"/>
      <c r="BE1" s="52"/>
      <c r="BF1" s="52"/>
      <c r="BG1" s="52"/>
      <c r="BH1" s="52"/>
      <c r="BJ1" s="52"/>
      <c r="BK1" s="52"/>
      <c r="BL1" s="52"/>
      <c r="BM1" s="52"/>
      <c r="BO1" s="52"/>
      <c r="BP1" s="52"/>
      <c r="BQ1" s="52"/>
      <c r="BR1" s="52"/>
      <c r="BT1" s="52"/>
      <c r="BU1" s="52"/>
      <c r="BV1" s="52"/>
      <c r="BW1" s="52"/>
    </row>
    <row r="2" spans="1:75" s="42" customFormat="1" ht="15">
      <c r="A2" s="41"/>
      <c r="B2" s="240"/>
      <c r="C2" s="580"/>
      <c r="D2" s="580"/>
      <c r="E2" s="593"/>
      <c r="F2" s="593"/>
      <c r="G2" s="593"/>
      <c r="H2" s="593"/>
      <c r="I2" s="2072"/>
      <c r="J2" s="2072"/>
      <c r="K2" s="2071"/>
      <c r="L2" s="39"/>
      <c r="M2" s="40"/>
      <c r="N2" s="40"/>
      <c r="O2" s="40"/>
      <c r="P2" s="40"/>
      <c r="Q2" s="39"/>
      <c r="R2" s="39"/>
      <c r="S2" s="39"/>
      <c r="T2" s="39"/>
      <c r="U2" s="74"/>
      <c r="V2" s="39"/>
      <c r="W2" s="39"/>
    </row>
    <row r="3" spans="1:75" s="42" customFormat="1" ht="15.75" thickBot="1">
      <c r="A3" s="41"/>
      <c r="B3" s="240"/>
      <c r="C3" s="97"/>
      <c r="D3" s="97"/>
      <c r="E3" s="115"/>
      <c r="F3"/>
      <c r="G3"/>
      <c r="H3"/>
      <c r="I3" s="2070"/>
      <c r="J3" s="2074"/>
      <c r="K3" s="2083"/>
      <c r="M3" s="40"/>
      <c r="N3" s="40"/>
      <c r="O3" s="40"/>
      <c r="P3" s="40"/>
      <c r="Q3" s="39"/>
      <c r="R3" s="39"/>
      <c r="S3" s="39"/>
      <c r="T3" s="39"/>
      <c r="U3" s="74"/>
      <c r="V3" s="39"/>
      <c r="W3" s="39"/>
    </row>
    <row r="4" spans="1:75" s="42" customFormat="1" ht="15" customHeight="1">
      <c r="A4" s="39"/>
      <c r="B4" s="240"/>
      <c r="C4" s="2438" t="str">
        <f>Menu!$B26</f>
        <v>Community pharmacy: PGD minor ailments service</v>
      </c>
      <c r="D4" s="2439"/>
      <c r="E4" s="116"/>
      <c r="F4"/>
      <c r="G4"/>
      <c r="H4"/>
      <c r="I4" s="2070"/>
      <c r="J4" s="2074"/>
      <c r="K4" s="2083"/>
      <c r="L4" s="39"/>
      <c r="M4" s="40"/>
      <c r="N4" s="40"/>
      <c r="O4" s="40"/>
      <c r="P4" s="40"/>
      <c r="Q4" s="39"/>
      <c r="R4" s="39"/>
      <c r="S4" s="39"/>
      <c r="T4" s="39"/>
      <c r="U4" s="74"/>
      <c r="V4" s="39"/>
      <c r="W4" s="39"/>
    </row>
    <row r="5" spans="1:75" s="42" customFormat="1" ht="15.75" thickBot="1">
      <c r="A5" s="39"/>
      <c r="B5" s="602"/>
      <c r="C5" s="2440"/>
      <c r="D5" s="2399"/>
      <c r="F5"/>
      <c r="G5"/>
      <c r="H5"/>
      <c r="I5" s="2070"/>
      <c r="J5" s="2075"/>
      <c r="K5" s="2084"/>
      <c r="L5" s="39"/>
      <c r="M5" s="40"/>
      <c r="N5" s="40"/>
      <c r="O5" s="40"/>
      <c r="P5" s="40"/>
      <c r="Q5" s="39"/>
      <c r="R5" s="39"/>
      <c r="S5" s="39"/>
      <c r="T5" s="39"/>
      <c r="U5" s="74"/>
      <c r="V5" s="39"/>
      <c r="W5" s="39"/>
    </row>
    <row r="6" spans="1:75" s="42" customFormat="1" ht="15.75" thickBot="1">
      <c r="A6" s="39"/>
      <c r="B6" s="602"/>
      <c r="C6" s="97"/>
      <c r="D6" s="97"/>
      <c r="E6" s="116"/>
      <c r="F6"/>
      <c r="G6"/>
      <c r="H6"/>
      <c r="I6" s="2070"/>
      <c r="J6" s="2077"/>
      <c r="K6" s="2085"/>
      <c r="L6" s="39"/>
      <c r="M6" s="40"/>
      <c r="N6" s="40"/>
      <c r="O6" s="40"/>
      <c r="P6" s="40"/>
      <c r="Q6" s="39"/>
      <c r="R6" s="39"/>
      <c r="S6" s="39"/>
      <c r="T6" s="39"/>
      <c r="U6" s="74"/>
      <c r="V6" s="39"/>
      <c r="W6" s="39"/>
    </row>
    <row r="7" spans="1:75" s="42" customFormat="1" ht="15.75" thickBot="1">
      <c r="A7" s="39"/>
      <c r="B7" s="602"/>
      <c r="C7" s="797" t="s">
        <v>582</v>
      </c>
      <c r="D7" s="806">
        <v>304721</v>
      </c>
      <c r="F7" s="116"/>
      <c r="G7" s="97"/>
      <c r="H7" s="97"/>
      <c r="I7" s="2070"/>
      <c r="J7" s="2078"/>
      <c r="K7" s="2083"/>
      <c r="L7" s="39"/>
      <c r="M7" s="40"/>
      <c r="N7" s="40"/>
      <c r="O7" s="40"/>
      <c r="P7" s="40"/>
      <c r="Q7" s="39"/>
      <c r="R7" s="39"/>
      <c r="S7" s="39"/>
      <c r="T7" s="39"/>
      <c r="U7" s="74"/>
      <c r="V7" s="39"/>
      <c r="W7" s="39"/>
    </row>
    <row r="8" spans="1:75" s="42" customFormat="1" ht="15">
      <c r="A8" s="39"/>
      <c r="B8" s="1202"/>
      <c r="C8" s="683"/>
      <c r="D8" s="683"/>
      <c r="E8" s="580"/>
      <c r="F8" s="580"/>
      <c r="G8" s="580"/>
      <c r="H8" s="580"/>
      <c r="I8" s="2070"/>
      <c r="J8" s="2075"/>
      <c r="K8" s="2084"/>
      <c r="L8" s="39"/>
      <c r="M8" s="40"/>
      <c r="N8" s="40"/>
      <c r="O8" s="40"/>
      <c r="P8" s="40"/>
      <c r="Q8" s="39"/>
      <c r="R8" s="39"/>
      <c r="S8" s="39"/>
      <c r="T8" s="39"/>
      <c r="U8" s="74"/>
      <c r="V8" s="39"/>
      <c r="W8" s="39"/>
    </row>
    <row r="9" spans="1:75" s="42" customFormat="1" ht="15">
      <c r="B9" s="84"/>
      <c r="C9" s="1777" t="str">
        <f>HYPERLINK("[.\]E_MAS!A2","To Evidence")</f>
        <v>To Evidence</v>
      </c>
      <c r="D9" s="40"/>
      <c r="E9" s="40"/>
      <c r="F9" s="40"/>
      <c r="G9" s="40"/>
      <c r="H9" s="40"/>
      <c r="I9" s="40"/>
      <c r="J9" s="40"/>
      <c r="K9" s="615"/>
      <c r="L9" s="73"/>
      <c r="M9" s="40"/>
      <c r="N9" s="40"/>
      <c r="O9" s="40"/>
      <c r="P9" s="40"/>
      <c r="Q9" s="39"/>
      <c r="R9" s="39"/>
      <c r="S9" s="39"/>
      <c r="T9" s="39"/>
      <c r="U9" s="39"/>
      <c r="V9" s="39"/>
      <c r="W9" s="39"/>
    </row>
    <row r="10" spans="1:75" s="42" customFormat="1" ht="15">
      <c r="B10" s="130"/>
      <c r="C10" s="1203"/>
      <c r="D10" s="1203"/>
      <c r="E10" s="1203"/>
      <c r="F10" s="1203"/>
      <c r="G10" s="1203"/>
      <c r="H10" s="1203"/>
      <c r="I10" s="40"/>
      <c r="J10" s="40"/>
      <c r="K10" s="615"/>
      <c r="L10" s="1715"/>
      <c r="M10" s="40"/>
      <c r="N10" s="40"/>
      <c r="O10" s="40"/>
      <c r="P10" s="40"/>
      <c r="Q10" s="39"/>
      <c r="R10" s="39"/>
      <c r="S10" s="39"/>
      <c r="T10" s="39"/>
      <c r="U10" s="39"/>
      <c r="V10" s="39"/>
      <c r="W10" s="39"/>
    </row>
    <row r="11" spans="1:75" s="42" customFormat="1" ht="15">
      <c r="A11" s="2037" t="s">
        <v>103</v>
      </c>
      <c r="B11" s="2343" t="s">
        <v>542</v>
      </c>
      <c r="C11" s="2360"/>
      <c r="D11" s="2360"/>
      <c r="E11" s="2360"/>
      <c r="F11" s="2360"/>
      <c r="G11" s="2360"/>
      <c r="H11" s="2360"/>
      <c r="I11" s="2360"/>
      <c r="J11" s="2360"/>
      <c r="K11" s="2361"/>
      <c r="L11" s="44"/>
      <c r="M11" s="39"/>
      <c r="N11" s="39"/>
      <c r="O11" s="39"/>
      <c r="P11" s="39"/>
      <c r="Q11" s="39"/>
      <c r="R11" s="39"/>
      <c r="S11" s="39"/>
      <c r="T11" s="39"/>
      <c r="U11" s="39"/>
      <c r="V11" s="39"/>
      <c r="W11" s="39"/>
    </row>
    <row r="12" spans="1:75" s="39" customFormat="1" ht="15">
      <c r="A12" s="1204"/>
      <c r="B12" s="546"/>
      <c r="C12" s="45"/>
      <c r="D12" s="45"/>
      <c r="E12" s="45"/>
      <c r="F12" s="45"/>
      <c r="G12" s="45"/>
      <c r="H12" s="45"/>
      <c r="I12" s="45"/>
      <c r="J12" s="45"/>
      <c r="K12" s="107"/>
      <c r="L12" s="44"/>
    </row>
    <row r="13" spans="1:75" s="39" customFormat="1" ht="15">
      <c r="A13" s="249"/>
      <c r="B13" s="84"/>
      <c r="C13" s="2323" t="s">
        <v>339</v>
      </c>
      <c r="D13" s="2341"/>
      <c r="E13" s="2341"/>
      <c r="F13" s="2377"/>
      <c r="G13" s="119">
        <f>D7</f>
        <v>304721</v>
      </c>
      <c r="H13" s="47"/>
      <c r="J13" s="77"/>
      <c r="K13" s="78" t="s">
        <v>141</v>
      </c>
      <c r="L13" s="44"/>
    </row>
    <row r="14" spans="1:75" s="39" customFormat="1" ht="15" customHeight="1">
      <c r="A14" s="249"/>
      <c r="B14" s="84"/>
      <c r="C14" s="2323" t="s">
        <v>338</v>
      </c>
      <c r="D14" s="2341"/>
      <c r="E14" s="2341"/>
      <c r="F14" s="2377"/>
      <c r="G14" s="89">
        <v>6.9</v>
      </c>
      <c r="H14" s="47"/>
      <c r="J14" s="63"/>
      <c r="K14" s="78" t="s">
        <v>143</v>
      </c>
      <c r="L14" s="44"/>
    </row>
    <row r="15" spans="1:75" s="39" customFormat="1" ht="15" customHeight="1">
      <c r="A15" s="249"/>
      <c r="B15" s="84"/>
      <c r="C15" s="2323" t="s">
        <v>1074</v>
      </c>
      <c r="D15" s="2341"/>
      <c r="E15" s="2341"/>
      <c r="F15" s="2377"/>
      <c r="G15" s="90">
        <v>0.02</v>
      </c>
      <c r="H15" s="155"/>
      <c r="J15" s="80" t="s">
        <v>556</v>
      </c>
      <c r="K15" s="78" t="s">
        <v>143</v>
      </c>
      <c r="L15" s="44"/>
    </row>
    <row r="16" spans="1:75" s="39" customFormat="1" ht="15" customHeight="1">
      <c r="A16" s="249"/>
      <c r="B16" s="84"/>
      <c r="C16" s="2323" t="s">
        <v>1075</v>
      </c>
      <c r="D16" s="2341"/>
      <c r="E16" s="2341"/>
      <c r="F16" s="2377"/>
      <c r="G16" s="119">
        <f>G13*G14*G15</f>
        <v>42051.498</v>
      </c>
      <c r="H16" s="47"/>
      <c r="J16" s="2193"/>
      <c r="K16" s="507" t="s">
        <v>1299</v>
      </c>
      <c r="L16" s="44"/>
    </row>
    <row r="17" spans="1:23" s="39" customFormat="1" ht="14.45" customHeight="1">
      <c r="A17" s="249"/>
      <c r="B17" s="84"/>
      <c r="C17" s="2323" t="s">
        <v>946</v>
      </c>
      <c r="D17" s="2341"/>
      <c r="E17" s="2341"/>
      <c r="F17" s="2377"/>
      <c r="G17" s="90">
        <v>0.1</v>
      </c>
      <c r="H17" s="155"/>
      <c r="J17" s="47"/>
      <c r="K17" s="107"/>
      <c r="L17" s="44"/>
    </row>
    <row r="18" spans="1:23" s="39" customFormat="1" ht="15" customHeight="1">
      <c r="A18" s="249"/>
      <c r="B18" s="84"/>
      <c r="C18" s="2323" t="s">
        <v>945</v>
      </c>
      <c r="D18" s="2341"/>
      <c r="E18" s="2341"/>
      <c r="F18" s="2377"/>
      <c r="G18" s="119">
        <f>G17*G16</f>
        <v>4205.1498000000001</v>
      </c>
      <c r="H18" s="47"/>
      <c r="J18" s="47"/>
      <c r="K18" s="107"/>
      <c r="L18" s="44"/>
    </row>
    <row r="19" spans="1:23" s="39" customFormat="1" ht="15" customHeight="1">
      <c r="A19" s="249"/>
      <c r="B19" s="84"/>
      <c r="C19" s="2323" t="s">
        <v>337</v>
      </c>
      <c r="D19" s="2341"/>
      <c r="E19" s="2341"/>
      <c r="F19" s="2377"/>
      <c r="G19" s="94">
        <v>1080</v>
      </c>
      <c r="H19" s="47"/>
      <c r="J19" s="47"/>
      <c r="K19" s="107"/>
      <c r="L19" s="44"/>
    </row>
    <row r="20" spans="1:23" s="39" customFormat="1" ht="15" customHeight="1">
      <c r="A20" s="249"/>
      <c r="B20" s="84"/>
      <c r="C20" s="2323" t="s">
        <v>554</v>
      </c>
      <c r="D20" s="2341"/>
      <c r="E20" s="2341"/>
      <c r="F20" s="2377"/>
      <c r="G20" s="178">
        <f>G18-G19</f>
        <v>3125.1498000000001</v>
      </c>
      <c r="H20" s="47"/>
      <c r="J20" s="47"/>
      <c r="K20" s="107"/>
      <c r="L20" s="44"/>
    </row>
    <row r="21" spans="1:23" s="39" customFormat="1" ht="15">
      <c r="A21" s="249"/>
      <c r="B21" s="84"/>
      <c r="C21" s="2323" t="s">
        <v>543</v>
      </c>
      <c r="D21" s="2341"/>
      <c r="E21" s="2341"/>
      <c r="F21" s="2377"/>
      <c r="G21" s="178">
        <f>D30</f>
        <v>3000</v>
      </c>
      <c r="H21" s="244">
        <f>G21/G20</f>
        <v>0.95995398364583995</v>
      </c>
      <c r="J21" s="47"/>
      <c r="K21" s="107"/>
      <c r="L21" s="44"/>
    </row>
    <row r="22" spans="1:23" s="39" customFormat="1" ht="15">
      <c r="A22" s="249"/>
      <c r="B22" s="245"/>
      <c r="C22" s="2324"/>
      <c r="D22" s="2341"/>
      <c r="E22" s="2341"/>
      <c r="F22" s="2341"/>
      <c r="G22" s="45"/>
      <c r="H22" s="45"/>
      <c r="I22" s="45"/>
      <c r="J22" s="45"/>
      <c r="K22" s="107"/>
      <c r="L22" s="44"/>
    </row>
    <row r="23" spans="1:23" s="42" customFormat="1" ht="15">
      <c r="A23" s="246"/>
      <c r="B23" s="2316" t="s">
        <v>236</v>
      </c>
      <c r="C23" s="2432"/>
      <c r="D23" s="2432"/>
      <c r="E23" s="2432"/>
      <c r="F23" s="2432"/>
      <c r="G23" s="2432"/>
      <c r="H23" s="2432"/>
      <c r="I23" s="2432"/>
      <c r="J23" s="2432"/>
      <c r="K23" s="2433"/>
      <c r="L23" s="40"/>
      <c r="M23" s="40"/>
      <c r="N23" s="40"/>
      <c r="O23" s="40"/>
      <c r="P23" s="39"/>
      <c r="Q23" s="39"/>
      <c r="R23" s="39"/>
      <c r="S23" s="39"/>
      <c r="T23" s="39"/>
      <c r="U23" s="39"/>
      <c r="V23" s="39"/>
      <c r="W23" s="39"/>
    </row>
    <row r="24" spans="1:23" s="42" customFormat="1" ht="15">
      <c r="A24" s="247"/>
      <c r="B24" s="194"/>
      <c r="C24" s="46"/>
      <c r="D24" s="40"/>
      <c r="E24" s="85"/>
      <c r="F24" s="85"/>
      <c r="G24" s="44"/>
      <c r="H24" s="44"/>
      <c r="I24" s="47"/>
      <c r="J24" s="47"/>
      <c r="K24" s="145"/>
      <c r="L24" s="40"/>
      <c r="M24" s="40"/>
      <c r="N24" s="40"/>
      <c r="O24" s="40"/>
      <c r="P24" s="44"/>
      <c r="Q24" s="39"/>
      <c r="R24" s="39"/>
      <c r="S24" s="39"/>
      <c r="T24" s="39"/>
      <c r="U24" s="39"/>
      <c r="V24" s="39"/>
      <c r="W24" s="39"/>
    </row>
    <row r="25" spans="1:23" s="42" customFormat="1" ht="15">
      <c r="A25" s="247"/>
      <c r="B25" s="194"/>
      <c r="C25" s="1777" t="str">
        <f>HYPERLINK("[.\]Set_up_MAS!A3","To Set up costs template")</f>
        <v>To Set up costs template</v>
      </c>
      <c r="D25" s="1714"/>
      <c r="E25" s="560"/>
      <c r="F25" s="560"/>
      <c r="G25" s="526"/>
      <c r="H25" s="526"/>
      <c r="I25" s="1711"/>
      <c r="J25" s="1711"/>
      <c r="K25" s="615"/>
      <c r="L25" s="40"/>
      <c r="M25" s="40"/>
      <c r="N25" s="40"/>
      <c r="O25" s="40"/>
      <c r="P25" s="526"/>
      <c r="Q25" s="39"/>
      <c r="R25" s="39"/>
      <c r="S25" s="39"/>
      <c r="T25" s="39"/>
      <c r="U25" s="39"/>
      <c r="V25" s="39"/>
      <c r="W25" s="39"/>
    </row>
    <row r="26" spans="1:23" s="42" customFormat="1" ht="15">
      <c r="A26" s="247"/>
      <c r="B26" s="194"/>
      <c r="C26" s="528"/>
      <c r="D26" s="40"/>
      <c r="E26" s="560"/>
      <c r="F26" s="560"/>
      <c r="G26" s="526"/>
      <c r="H26" s="526"/>
      <c r="I26" s="1711"/>
      <c r="J26" s="1711"/>
      <c r="K26" s="615"/>
      <c r="L26" s="40"/>
      <c r="M26" s="40"/>
      <c r="N26" s="40"/>
      <c r="O26" s="40"/>
      <c r="P26" s="526"/>
      <c r="Q26" s="39"/>
      <c r="R26" s="39"/>
      <c r="S26" s="39"/>
      <c r="T26" s="39"/>
      <c r="U26" s="39"/>
      <c r="V26" s="39"/>
      <c r="W26" s="39"/>
    </row>
    <row r="27" spans="1:23" s="42" customFormat="1" ht="15">
      <c r="A27" s="247"/>
      <c r="B27" s="194"/>
      <c r="C27" s="639" t="s">
        <v>1092</v>
      </c>
      <c r="D27" s="1208">
        <f>Set_up_MAS!B5</f>
        <v>10000</v>
      </c>
      <c r="E27" s="73"/>
      <c r="F27" s="44"/>
      <c r="G27" s="44"/>
      <c r="H27" s="44"/>
      <c r="I27" s="44"/>
      <c r="J27" s="44"/>
      <c r="K27" s="145"/>
      <c r="L27" s="40"/>
      <c r="M27" s="40"/>
      <c r="N27" s="40"/>
      <c r="O27" s="40"/>
      <c r="P27" s="44"/>
      <c r="Q27" s="39"/>
      <c r="R27" s="39"/>
      <c r="S27" s="39"/>
      <c r="T27" s="39"/>
      <c r="U27" s="39"/>
      <c r="V27" s="39"/>
      <c r="W27" s="39"/>
    </row>
    <row r="28" spans="1:23" s="42" customFormat="1" ht="15">
      <c r="A28" s="247"/>
      <c r="B28" s="194"/>
      <c r="C28" s="44"/>
      <c r="D28" s="85"/>
      <c r="E28" s="73"/>
      <c r="F28" s="85"/>
      <c r="G28" s="44"/>
      <c r="H28" s="44"/>
      <c r="I28" s="44"/>
      <c r="J28" s="44"/>
      <c r="K28" s="145"/>
      <c r="L28" s="40"/>
      <c r="M28" s="40"/>
      <c r="N28" s="40"/>
      <c r="O28" s="40"/>
      <c r="P28" s="44"/>
      <c r="Q28" s="39"/>
      <c r="R28" s="39"/>
      <c r="S28" s="39"/>
      <c r="T28" s="39"/>
      <c r="U28" s="39"/>
      <c r="V28" s="39"/>
      <c r="W28" s="39"/>
    </row>
    <row r="29" spans="1:23" s="42" customFormat="1" ht="30">
      <c r="A29" s="247"/>
      <c r="B29" s="194"/>
      <c r="C29" s="684" t="s">
        <v>323</v>
      </c>
      <c r="D29" s="563" t="s">
        <v>1023</v>
      </c>
      <c r="E29" s="73"/>
      <c r="F29" s="85"/>
      <c r="G29" s="85"/>
      <c r="H29" s="44"/>
      <c r="I29" s="44"/>
      <c r="J29" s="44"/>
      <c r="K29" s="145"/>
      <c r="L29" s="40"/>
      <c r="M29" s="40"/>
      <c r="N29" s="40"/>
      <c r="O29" s="40"/>
      <c r="P29" s="44"/>
      <c r="Q29" s="39"/>
      <c r="R29" s="39"/>
      <c r="S29" s="39"/>
      <c r="T29" s="39"/>
      <c r="U29" s="39"/>
      <c r="V29" s="39"/>
      <c r="W29" s="39"/>
    </row>
    <row r="30" spans="1:23" s="42" customFormat="1" ht="15">
      <c r="A30" s="247"/>
      <c r="B30" s="194"/>
      <c r="C30" s="946" t="s">
        <v>335</v>
      </c>
      <c r="D30" s="947">
        <v>3000</v>
      </c>
      <c r="E30" s="73"/>
      <c r="F30" s="183"/>
      <c r="G30" s="85"/>
      <c r="H30" s="44"/>
      <c r="I30" s="73"/>
      <c r="J30" s="44"/>
      <c r="K30" s="145"/>
      <c r="L30" s="40"/>
      <c r="M30" s="40"/>
      <c r="N30" s="40"/>
      <c r="O30" s="40"/>
      <c r="P30" s="44"/>
      <c r="Q30" s="39"/>
      <c r="R30" s="39"/>
      <c r="S30" s="39"/>
      <c r="T30" s="39"/>
      <c r="U30" s="39"/>
      <c r="V30" s="39"/>
      <c r="W30" s="39"/>
    </row>
    <row r="31" spans="1:23" s="42" customFormat="1" ht="15">
      <c r="B31" s="194"/>
      <c r="C31" s="51"/>
      <c r="D31" s="43"/>
      <c r="E31" s="73"/>
      <c r="F31" s="43"/>
      <c r="G31" s="40"/>
      <c r="H31" s="44"/>
      <c r="I31" s="44"/>
      <c r="J31" s="44"/>
      <c r="K31" s="83"/>
      <c r="L31" s="40"/>
      <c r="M31" s="40"/>
      <c r="N31" s="39"/>
      <c r="O31" s="39"/>
      <c r="P31" s="39"/>
      <c r="Q31" s="39"/>
      <c r="R31" s="39"/>
      <c r="S31" s="39"/>
      <c r="T31" s="39"/>
      <c r="U31" s="39"/>
      <c r="V31" s="39"/>
      <c r="W31" s="39"/>
    </row>
    <row r="32" spans="1:23" s="248" customFormat="1" ht="30">
      <c r="B32" s="249"/>
      <c r="C32" s="563" t="s">
        <v>973</v>
      </c>
      <c r="D32" s="563" t="s">
        <v>971</v>
      </c>
      <c r="E32" s="242"/>
      <c r="F32" s="40"/>
      <c r="G32" s="40"/>
      <c r="H32" s="209"/>
      <c r="I32" s="563" t="s">
        <v>972</v>
      </c>
      <c r="K32" s="250"/>
      <c r="L32" s="209"/>
      <c r="M32" s="40"/>
      <c r="N32" s="251"/>
      <c r="O32" s="251"/>
      <c r="P32" s="251"/>
      <c r="Q32" s="251"/>
      <c r="R32" s="251"/>
      <c r="S32" s="251"/>
      <c r="T32" s="251"/>
      <c r="U32" s="251"/>
      <c r="V32" s="251"/>
      <c r="W32" s="251"/>
    </row>
    <row r="33" spans="1:26" s="42" customFormat="1" ht="30">
      <c r="B33" s="194"/>
      <c r="C33" s="946" t="s">
        <v>334</v>
      </c>
      <c r="D33" s="1209">
        <v>10.82</v>
      </c>
      <c r="E33" s="73"/>
      <c r="F33" s="40"/>
      <c r="G33" s="40"/>
      <c r="H33" s="91" t="s">
        <v>334</v>
      </c>
      <c r="I33" s="807">
        <f>D30*D33</f>
        <v>32460</v>
      </c>
      <c r="K33" s="83"/>
      <c r="L33" s="40"/>
      <c r="M33" s="40"/>
      <c r="N33" s="39"/>
      <c r="O33" s="39"/>
      <c r="P33" s="39"/>
      <c r="Q33" s="39"/>
      <c r="R33" s="39"/>
      <c r="S33" s="39"/>
      <c r="T33" s="39"/>
      <c r="U33" s="39"/>
      <c r="V33" s="39"/>
      <c r="W33" s="39"/>
    </row>
    <row r="34" spans="1:26" s="42" customFormat="1" ht="15">
      <c r="B34" s="194"/>
      <c r="C34" s="40"/>
      <c r="D34" s="40"/>
      <c r="E34" s="43"/>
      <c r="F34" s="40"/>
      <c r="G34" s="40"/>
      <c r="H34" s="44"/>
      <c r="I34" s="44"/>
      <c r="J34" s="73"/>
      <c r="K34" s="83"/>
      <c r="L34" s="40"/>
      <c r="M34" s="40"/>
      <c r="N34" s="39"/>
      <c r="O34" s="39"/>
      <c r="P34" s="39"/>
      <c r="Q34" s="39"/>
      <c r="R34" s="39"/>
      <c r="S34" s="39"/>
      <c r="T34" s="39"/>
      <c r="U34" s="39"/>
      <c r="V34" s="39"/>
      <c r="W34" s="39"/>
    </row>
    <row r="35" spans="1:26" s="42" customFormat="1" ht="15">
      <c r="A35" s="246"/>
      <c r="B35" s="2343" t="s">
        <v>102</v>
      </c>
      <c r="C35" s="2360"/>
      <c r="D35" s="2360"/>
      <c r="E35" s="2360"/>
      <c r="F35" s="2360"/>
      <c r="G35" s="2360"/>
      <c r="H35" s="2360"/>
      <c r="I35" s="2360"/>
      <c r="J35" s="2360"/>
      <c r="K35" s="2361"/>
      <c r="L35" s="44"/>
      <c r="M35" s="39"/>
      <c r="N35" s="39"/>
      <c r="O35" s="39"/>
      <c r="P35" s="39"/>
      <c r="Q35" s="39"/>
      <c r="R35" s="39"/>
      <c r="S35" s="39"/>
      <c r="T35" s="39"/>
      <c r="U35" s="39"/>
      <c r="V35" s="39"/>
      <c r="W35" s="39"/>
    </row>
    <row r="36" spans="1:26" s="42" customFormat="1" ht="15">
      <c r="A36" s="2039"/>
      <c r="B36" s="1195"/>
      <c r="C36" s="73"/>
      <c r="D36" s="73"/>
      <c r="E36" s="73"/>
      <c r="F36" s="150"/>
      <c r="G36" s="40"/>
      <c r="H36" s="98"/>
      <c r="I36" s="98"/>
      <c r="J36" s="98"/>
      <c r="K36" s="83"/>
      <c r="L36" s="40"/>
      <c r="M36" s="39"/>
      <c r="N36" s="39"/>
      <c r="O36" s="39"/>
      <c r="P36" s="39"/>
      <c r="Q36" s="39"/>
      <c r="R36" s="39"/>
      <c r="S36" s="39"/>
      <c r="T36" s="39"/>
      <c r="U36" s="2"/>
      <c r="V36" s="2"/>
      <c r="W36" s="2"/>
      <c r="X36" s="3"/>
      <c r="Y36" s="3"/>
      <c r="Z36" s="3"/>
    </row>
    <row r="37" spans="1:26" s="42" customFormat="1" ht="15">
      <c r="A37" s="676"/>
      <c r="B37" s="194"/>
      <c r="C37" s="582" t="s">
        <v>333</v>
      </c>
      <c r="D37" s="85"/>
      <c r="E37" s="85"/>
      <c r="F37" s="85"/>
      <c r="G37" s="40"/>
      <c r="H37" s="98"/>
      <c r="I37" s="98"/>
      <c r="J37" s="98"/>
      <c r="K37" s="83"/>
      <c r="L37" s="40"/>
      <c r="M37" s="39"/>
      <c r="N37" s="39"/>
      <c r="O37" s="39"/>
      <c r="P37" s="39"/>
      <c r="Q37" s="39"/>
      <c r="R37" s="39"/>
      <c r="S37" s="39"/>
      <c r="T37" s="39"/>
      <c r="U37" s="2"/>
      <c r="V37" s="2"/>
      <c r="W37" s="2"/>
      <c r="X37" s="3"/>
      <c r="Y37" s="3"/>
      <c r="Z37" s="3"/>
    </row>
    <row r="38" spans="1:26" s="42" customFormat="1" ht="30">
      <c r="A38" s="249"/>
      <c r="B38" s="194"/>
      <c r="C38" s="2330" t="s">
        <v>1293</v>
      </c>
      <c r="D38" s="2434"/>
      <c r="E38" s="2434"/>
      <c r="F38" s="2435"/>
      <c r="G38" s="40"/>
      <c r="H38" s="73"/>
      <c r="I38" s="446" t="s">
        <v>1001</v>
      </c>
      <c r="J38" s="563" t="s">
        <v>110</v>
      </c>
      <c r="K38" s="1134" t="s">
        <v>148</v>
      </c>
      <c r="L38" s="40"/>
      <c r="M38" s="39"/>
      <c r="N38" s="39"/>
      <c r="O38" s="39"/>
      <c r="P38" s="39"/>
      <c r="Q38" s="39"/>
      <c r="R38" s="39"/>
      <c r="S38" s="39"/>
      <c r="T38" s="39"/>
      <c r="U38" s="2"/>
      <c r="V38" s="2"/>
      <c r="W38" s="2"/>
      <c r="X38" s="3"/>
      <c r="Y38" s="3"/>
      <c r="Z38" s="3"/>
    </row>
    <row r="39" spans="1:26" s="42" customFormat="1" ht="15">
      <c r="A39" s="249"/>
      <c r="B39" s="194"/>
      <c r="C39" s="476" t="s">
        <v>332</v>
      </c>
      <c r="D39" s="563" t="s">
        <v>122</v>
      </c>
      <c r="E39" s="563" t="s">
        <v>100</v>
      </c>
      <c r="F39" s="563" t="s">
        <v>199</v>
      </c>
      <c r="G39" s="40"/>
      <c r="H39" s="73"/>
      <c r="I39" s="569" t="s">
        <v>32</v>
      </c>
      <c r="J39" s="771">
        <f>F40*D30</f>
        <v>2250</v>
      </c>
      <c r="K39" s="104">
        <f>INT(J39/E53)*E53</f>
        <v>2250</v>
      </c>
      <c r="L39" s="40"/>
      <c r="M39" s="39"/>
      <c r="N39" s="39"/>
      <c r="O39" s="39"/>
      <c r="P39" s="39"/>
      <c r="Q39" s="39"/>
      <c r="R39" s="39"/>
      <c r="S39" s="39"/>
      <c r="T39" s="39"/>
      <c r="U39" s="2"/>
      <c r="V39" s="2"/>
      <c r="W39" s="2"/>
      <c r="X39" s="3"/>
      <c r="Y39" s="3"/>
      <c r="Z39" s="3"/>
    </row>
    <row r="40" spans="1:26" s="42" customFormat="1" ht="15">
      <c r="A40" s="249"/>
      <c r="B40" s="194"/>
      <c r="C40" s="582" t="s">
        <v>331</v>
      </c>
      <c r="D40" s="102">
        <v>0.65</v>
      </c>
      <c r="E40" s="102">
        <v>0.85</v>
      </c>
      <c r="F40" s="587">
        <v>0.75</v>
      </c>
      <c r="G40" s="40"/>
      <c r="H40" s="73"/>
      <c r="I40" s="569" t="s">
        <v>44</v>
      </c>
      <c r="J40" s="771">
        <f>F41*D30</f>
        <v>570</v>
      </c>
      <c r="K40" s="104">
        <f>INT(J40/E54)*E54</f>
        <v>0</v>
      </c>
      <c r="L40" s="40"/>
      <c r="M40" s="39"/>
      <c r="N40" s="39"/>
      <c r="O40" s="39"/>
      <c r="P40" s="39"/>
      <c r="Q40" s="39"/>
      <c r="R40" s="39"/>
      <c r="S40" s="39"/>
      <c r="T40" s="39"/>
      <c r="U40" s="2"/>
      <c r="V40" s="2"/>
      <c r="W40" s="2"/>
      <c r="X40" s="3"/>
      <c r="Y40" s="3"/>
      <c r="Z40" s="3"/>
    </row>
    <row r="41" spans="1:26" s="42" customFormat="1" ht="15">
      <c r="A41" s="249"/>
      <c r="B41" s="194"/>
      <c r="C41" s="582" t="s">
        <v>1292</v>
      </c>
      <c r="D41" s="102">
        <v>0.1</v>
      </c>
      <c r="E41" s="102">
        <v>0.28999999999999998</v>
      </c>
      <c r="F41" s="587">
        <v>0.19</v>
      </c>
      <c r="G41" s="40"/>
      <c r="H41" s="73"/>
      <c r="I41" s="569" t="s">
        <v>49</v>
      </c>
      <c r="J41" s="771">
        <f>F42*D30</f>
        <v>60</v>
      </c>
      <c r="K41" s="104">
        <f>INT(J41/E55)*E55</f>
        <v>0</v>
      </c>
      <c r="L41" s="40"/>
      <c r="M41" s="39"/>
      <c r="N41" s="39"/>
      <c r="O41" s="39"/>
      <c r="P41" s="39"/>
      <c r="Q41" s="39"/>
      <c r="R41" s="39"/>
      <c r="S41" s="39"/>
      <c r="T41" s="39"/>
      <c r="U41" s="2"/>
      <c r="V41" s="2"/>
      <c r="W41" s="2"/>
      <c r="X41" s="3"/>
      <c r="Y41" s="3"/>
      <c r="Z41" s="3"/>
    </row>
    <row r="42" spans="1:26" s="42" customFormat="1" ht="15">
      <c r="A42" s="249"/>
      <c r="B42" s="194"/>
      <c r="C42" s="582" t="s">
        <v>330</v>
      </c>
      <c r="D42" s="102">
        <v>0</v>
      </c>
      <c r="E42" s="102">
        <v>0.03</v>
      </c>
      <c r="F42" s="587">
        <v>0.02</v>
      </c>
      <c r="G42" s="40"/>
      <c r="H42" s="73"/>
      <c r="I42" s="569" t="s">
        <v>67</v>
      </c>
      <c r="J42" s="771">
        <f>F43*D30</f>
        <v>30</v>
      </c>
      <c r="K42" s="104">
        <f>INT(J42/E56)*E56</f>
        <v>0</v>
      </c>
      <c r="L42" s="40"/>
      <c r="M42" s="39"/>
      <c r="N42" s="39"/>
      <c r="O42" s="39"/>
      <c r="P42" s="39"/>
      <c r="Q42" s="39"/>
      <c r="R42" s="39"/>
      <c r="S42" s="39"/>
      <c r="T42" s="39"/>
      <c r="U42" s="2"/>
      <c r="V42" s="2"/>
      <c r="W42" s="2"/>
      <c r="X42" s="3"/>
      <c r="Y42" s="3"/>
      <c r="Z42" s="3"/>
    </row>
    <row r="43" spans="1:26" s="42" customFormat="1" ht="15" customHeight="1">
      <c r="A43" s="249"/>
      <c r="B43" s="194"/>
      <c r="C43" s="688" t="s">
        <v>329</v>
      </c>
      <c r="D43" s="102">
        <v>0</v>
      </c>
      <c r="E43" s="102">
        <v>0.03</v>
      </c>
      <c r="F43" s="587">
        <v>0.01</v>
      </c>
      <c r="G43" s="40"/>
      <c r="H43" s="73"/>
      <c r="I43" s="100"/>
      <c r="J43" s="100"/>
      <c r="K43" s="82"/>
      <c r="L43" s="40"/>
      <c r="M43" s="39"/>
      <c r="N43" s="39"/>
      <c r="O43" s="39"/>
      <c r="P43" s="39"/>
      <c r="Q43" s="39"/>
      <c r="R43" s="39"/>
      <c r="S43" s="39"/>
      <c r="T43" s="39"/>
      <c r="U43" s="2"/>
      <c r="V43" s="2"/>
      <c r="W43" s="2"/>
      <c r="X43" s="3"/>
      <c r="Y43" s="3"/>
      <c r="Z43" s="3"/>
    </row>
    <row r="44" spans="1:26" s="42" customFormat="1" ht="30">
      <c r="A44" s="249"/>
      <c r="B44" s="194"/>
      <c r="C44" s="73"/>
      <c r="D44" s="73"/>
      <c r="E44" s="73"/>
      <c r="F44" s="73"/>
      <c r="G44" s="40"/>
      <c r="H44" s="73"/>
      <c r="I44" s="446" t="s">
        <v>328</v>
      </c>
      <c r="J44" s="691" t="s">
        <v>661</v>
      </c>
      <c r="K44" s="1173" t="s">
        <v>120</v>
      </c>
      <c r="L44" s="40"/>
      <c r="M44" s="39"/>
      <c r="N44" s="39"/>
      <c r="O44" s="39"/>
      <c r="P44" s="39"/>
      <c r="Q44" s="39"/>
      <c r="R44" s="39"/>
      <c r="S44" s="39"/>
      <c r="T44" s="39"/>
      <c r="U44" s="2"/>
      <c r="V44" s="2"/>
      <c r="W44" s="2"/>
      <c r="X44" s="3"/>
      <c r="Y44" s="3"/>
      <c r="Z44" s="3"/>
    </row>
    <row r="45" spans="1:26" s="42" customFormat="1" ht="15">
      <c r="A45" s="249"/>
      <c r="B45" s="194"/>
      <c r="F45" s="1454" t="s">
        <v>199</v>
      </c>
      <c r="G45" s="40"/>
      <c r="H45" s="73"/>
      <c r="I45" s="484" t="str">
        <f>I39</f>
        <v>GP attends</v>
      </c>
      <c r="J45" s="1133">
        <f>J39*D53</f>
        <v>83250</v>
      </c>
      <c r="K45" s="1135">
        <f>(J39-K39)*F53+(K39*G53)</f>
        <v>9353.4862499056762</v>
      </c>
      <c r="L45" s="40"/>
      <c r="M45" s="39"/>
      <c r="N45" s="39"/>
      <c r="O45" s="39"/>
      <c r="P45" s="39"/>
      <c r="Q45" s="39"/>
      <c r="R45" s="39"/>
      <c r="S45" s="39"/>
      <c r="T45" s="39"/>
      <c r="U45" s="2"/>
      <c r="V45" s="2"/>
      <c r="W45" s="2"/>
      <c r="X45" s="3"/>
      <c r="Y45" s="3"/>
      <c r="Z45" s="3"/>
    </row>
    <row r="46" spans="1:26" s="42" customFormat="1" ht="15">
      <c r="A46" s="249"/>
      <c r="B46" s="194"/>
      <c r="C46" s="2323" t="s">
        <v>1025</v>
      </c>
      <c r="D46" s="2324"/>
      <c r="E46" s="2381"/>
      <c r="F46" s="102">
        <f>1- SUM(F40:F43)</f>
        <v>3.0000000000000027E-2</v>
      </c>
      <c r="G46" s="40"/>
      <c r="H46" s="73"/>
      <c r="I46" s="91" t="str">
        <f>I40</f>
        <v>OOH clinic visits</v>
      </c>
      <c r="J46" s="1133">
        <f>J40*D54</f>
        <v>38931</v>
      </c>
      <c r="K46" s="1135">
        <f>(J40-K40)*F54+(K40*G54)</f>
        <v>4364.9602499559824</v>
      </c>
      <c r="L46" s="40"/>
      <c r="M46" s="39"/>
      <c r="N46" s="39"/>
      <c r="O46" s="39"/>
      <c r="P46" s="39"/>
      <c r="Q46" s="39"/>
      <c r="R46" s="39"/>
      <c r="S46" s="39"/>
      <c r="T46" s="39"/>
      <c r="U46" s="2"/>
      <c r="V46" s="2"/>
      <c r="W46" s="2"/>
      <c r="X46" s="3"/>
      <c r="Y46" s="3"/>
      <c r="Z46" s="3"/>
    </row>
    <row r="47" spans="1:26" s="42" customFormat="1" ht="15">
      <c r="A47" s="249"/>
      <c r="B47" s="194"/>
      <c r="C47" s="73"/>
      <c r="D47" s="73"/>
      <c r="E47" s="73"/>
      <c r="F47" s="40"/>
      <c r="G47" s="40"/>
      <c r="H47" s="73"/>
      <c r="I47" s="91" t="str">
        <f>I41</f>
        <v>ED Minor attends</v>
      </c>
      <c r="J47" s="1133">
        <f>J41*D55</f>
        <v>5371.9860507630992</v>
      </c>
      <c r="K47" s="1135">
        <f>(J41-K41)*F55+(K41*G55)</f>
        <v>654.56602786271333</v>
      </c>
      <c r="L47" s="40"/>
      <c r="M47" s="39"/>
      <c r="N47" s="39"/>
      <c r="O47" s="39"/>
      <c r="P47" s="39"/>
      <c r="Q47" s="39"/>
      <c r="R47" s="39"/>
      <c r="S47" s="39"/>
      <c r="T47" s="39"/>
      <c r="U47" s="2"/>
      <c r="V47" s="2"/>
      <c r="W47" s="2"/>
      <c r="X47" s="3"/>
      <c r="Y47" s="3"/>
      <c r="Z47" s="3"/>
    </row>
    <row r="48" spans="1:26" s="42" customFormat="1" ht="15">
      <c r="A48" s="249"/>
      <c r="B48" s="194"/>
      <c r="C48" s="73"/>
      <c r="D48" s="73"/>
      <c r="E48" s="73"/>
      <c r="F48" s="40"/>
      <c r="G48" s="40"/>
      <c r="H48" s="73"/>
      <c r="I48" s="91" t="str">
        <f>I42</f>
        <v>UCC attends</v>
      </c>
      <c r="J48" s="1133">
        <f>J42*D56</f>
        <v>1710</v>
      </c>
      <c r="K48" s="1135">
        <f>(J42-K42)*F56+(K42*G56)</f>
        <v>130.79999999999998</v>
      </c>
      <c r="L48" s="40"/>
      <c r="M48" s="39"/>
      <c r="N48" s="39"/>
      <c r="O48" s="39"/>
      <c r="P48" s="39"/>
      <c r="Q48" s="39"/>
      <c r="R48" s="39"/>
      <c r="S48" s="39"/>
      <c r="T48" s="39"/>
      <c r="U48" s="2"/>
      <c r="V48" s="2"/>
      <c r="W48" s="2"/>
      <c r="X48" s="3"/>
      <c r="Y48" s="3"/>
      <c r="Z48" s="3"/>
    </row>
    <row r="49" spans="1:26" s="42" customFormat="1" ht="15">
      <c r="A49" s="249"/>
      <c r="B49" s="194"/>
      <c r="C49" s="73"/>
      <c r="D49" s="73"/>
      <c r="E49" s="73"/>
      <c r="F49" s="40"/>
      <c r="G49" s="40"/>
      <c r="H49" s="73"/>
      <c r="I49" s="91" t="s">
        <v>1256</v>
      </c>
      <c r="J49" s="1133">
        <f>SUM(J45:J48)</f>
        <v>129262.98605076309</v>
      </c>
      <c r="K49" s="1135">
        <f>SUM(K45:K48)</f>
        <v>14503.812527724371</v>
      </c>
      <c r="L49" s="40"/>
      <c r="M49" s="39"/>
      <c r="N49" s="39"/>
      <c r="O49" s="39"/>
      <c r="P49" s="39"/>
      <c r="Q49" s="39"/>
      <c r="R49" s="39"/>
      <c r="S49" s="39"/>
      <c r="T49" s="39"/>
      <c r="U49" s="2"/>
      <c r="V49" s="2"/>
      <c r="W49" s="2"/>
      <c r="X49" s="3"/>
      <c r="Y49" s="3"/>
      <c r="Z49" s="3"/>
    </row>
    <row r="50" spans="1:26" s="42" customFormat="1">
      <c r="A50" s="249"/>
      <c r="B50" s="194"/>
      <c r="C50" s="73"/>
      <c r="D50" s="73"/>
      <c r="E50" s="73"/>
      <c r="F50" s="40"/>
      <c r="G50" s="40"/>
      <c r="H50" s="73"/>
      <c r="I50" s="100"/>
      <c r="J50" s="100"/>
      <c r="K50" s="82"/>
      <c r="L50" s="40"/>
      <c r="M50" s="39"/>
      <c r="N50" s="39"/>
      <c r="O50" s="39"/>
      <c r="P50" s="39"/>
      <c r="Q50" s="39"/>
      <c r="R50" s="39"/>
      <c r="S50" s="39"/>
      <c r="T50" s="39"/>
      <c r="U50" s="2"/>
      <c r="V50" s="2"/>
      <c r="W50" s="2"/>
      <c r="X50" s="3"/>
      <c r="Y50" s="3"/>
      <c r="Z50" s="3"/>
    </row>
    <row r="51" spans="1:26" s="42" customFormat="1" ht="15">
      <c r="A51" s="249"/>
      <c r="B51" s="194"/>
      <c r="C51" s="73"/>
      <c r="D51" s="73"/>
      <c r="E51" s="73"/>
      <c r="F51" s="40"/>
      <c r="G51" s="40"/>
      <c r="H51" s="205"/>
      <c r="I51" s="206"/>
      <c r="J51" s="206"/>
      <c r="K51" s="83"/>
      <c r="L51" s="40"/>
      <c r="M51" s="39"/>
      <c r="N51" s="39"/>
      <c r="O51" s="39"/>
      <c r="P51" s="39"/>
      <c r="Q51" s="39"/>
      <c r="R51" s="39"/>
      <c r="S51" s="39"/>
      <c r="T51" s="39"/>
      <c r="U51" s="2"/>
      <c r="V51" s="2"/>
      <c r="W51" s="2"/>
      <c r="X51" s="3"/>
      <c r="Y51" s="3"/>
      <c r="Z51" s="3"/>
    </row>
    <row r="52" spans="1:26" s="42" customFormat="1" ht="60">
      <c r="A52" s="194"/>
      <c r="B52" s="194"/>
      <c r="C52" s="582" t="s">
        <v>1214</v>
      </c>
      <c r="D52" s="563" t="s">
        <v>660</v>
      </c>
      <c r="E52" s="563" t="s">
        <v>145</v>
      </c>
      <c r="F52" s="563" t="s">
        <v>144</v>
      </c>
      <c r="G52" s="563" t="s">
        <v>561</v>
      </c>
      <c r="H52" s="73"/>
      <c r="I52" s="73"/>
      <c r="J52" s="73"/>
      <c r="K52" s="106"/>
      <c r="L52" s="73"/>
    </row>
    <row r="53" spans="1:26" s="42" customFormat="1" ht="15">
      <c r="A53" s="194"/>
      <c r="B53" s="194"/>
      <c r="C53" s="96" t="s">
        <v>32</v>
      </c>
      <c r="D53" s="2110">
        <f>VLOOKUP($C53,local_data_input!$B$4:$K$20,2,FALSE)</f>
        <v>37</v>
      </c>
      <c r="E53" s="771">
        <f>VLOOKUP($C53,local_data_input!$B$4:$K$20,7,FALSE)</f>
        <v>1</v>
      </c>
      <c r="F53" s="2110">
        <f>VLOOKUP($C53,local_data_input!$B$4:$K$20,8,FALSE)</f>
        <v>4.1571049999580785</v>
      </c>
      <c r="G53" s="2110">
        <f>VLOOKUP($C53,local_data_input!$B$4:$K$20,9,FALSE)</f>
        <v>4.1571049999580785</v>
      </c>
      <c r="H53" s="73"/>
      <c r="I53" s="73"/>
      <c r="J53" s="73"/>
      <c r="K53" s="106"/>
      <c r="L53" s="73"/>
    </row>
    <row r="54" spans="1:26" s="42" customFormat="1" ht="15">
      <c r="A54" s="194"/>
      <c r="B54" s="194"/>
      <c r="C54" s="96" t="s">
        <v>44</v>
      </c>
      <c r="D54" s="2110">
        <f>VLOOKUP($C54,local_data_input!$B$4:$K$20,2,FALSE)</f>
        <v>68.3</v>
      </c>
      <c r="E54" s="771">
        <f>VLOOKUP($C54,local_data_input!$B$4:$K$20,7,FALSE)</f>
        <v>6300</v>
      </c>
      <c r="F54" s="2110">
        <f>VLOOKUP($C54,local_data_input!$B$4:$K$20,8,FALSE)</f>
        <v>7.6578249999227763</v>
      </c>
      <c r="G54" s="2110">
        <f>VLOOKUP($C54,local_data_input!$B$4:$K$20,9,FALSE)</f>
        <v>7.6578249999227763</v>
      </c>
      <c r="H54" s="73"/>
      <c r="I54" s="73"/>
      <c r="J54" s="73"/>
      <c r="K54" s="106"/>
      <c r="L54" s="73"/>
    </row>
    <row r="55" spans="1:26" s="42" customFormat="1" ht="15">
      <c r="A55" s="194"/>
      <c r="B55" s="194"/>
      <c r="C55" s="96" t="s">
        <v>49</v>
      </c>
      <c r="D55" s="2110">
        <f>VLOOKUP($C55,local_data_input!$B$4:$K$20,2,FALSE)</f>
        <v>89.533100846051653</v>
      </c>
      <c r="E55" s="771">
        <f>VLOOKUP($C55,local_data_input!$B$4:$K$20,7,FALSE)</f>
        <v>6300</v>
      </c>
      <c r="F55" s="2110">
        <f>VLOOKUP($C55,local_data_input!$B$4:$K$20,8,FALSE)</f>
        <v>10.909433797711889</v>
      </c>
      <c r="G55" s="2110">
        <f>VLOOKUP($C55,local_data_input!$B$4:$K$20,9,FALSE)</f>
        <v>10.909433797711889</v>
      </c>
      <c r="H55" s="73"/>
      <c r="I55" s="73"/>
      <c r="J55" s="73"/>
      <c r="K55" s="106"/>
      <c r="L55" s="73"/>
    </row>
    <row r="56" spans="1:26" s="42" customFormat="1" ht="15">
      <c r="A56" s="194"/>
      <c r="B56" s="194"/>
      <c r="C56" s="96" t="s">
        <v>67</v>
      </c>
      <c r="D56" s="2110">
        <f>VLOOKUP($C56,local_data_input!$B$4:$K$20,2,FALSE)</f>
        <v>57</v>
      </c>
      <c r="E56" s="771">
        <f>VLOOKUP($C56,local_data_input!$B$4:$K$20,7,FALSE)</f>
        <v>4725</v>
      </c>
      <c r="F56" s="2110">
        <f>VLOOKUP($C56,local_data_input!$B$4:$K$20,8,FALSE)</f>
        <v>4.3599999999999994</v>
      </c>
      <c r="G56" s="2110">
        <f>VLOOKUP($C56,local_data_input!$B$4:$K$20,9,FALSE)</f>
        <v>4.3599999999999994</v>
      </c>
      <c r="H56" s="73"/>
      <c r="I56" s="73"/>
      <c r="J56" s="73"/>
      <c r="K56" s="106"/>
      <c r="L56" s="73"/>
    </row>
    <row r="57" spans="1:26" s="42" customFormat="1">
      <c r="A57" s="194"/>
      <c r="B57" s="84"/>
      <c r="C57" s="40"/>
      <c r="D57" s="40"/>
      <c r="E57" s="40"/>
      <c r="F57" s="40"/>
      <c r="G57" s="40"/>
      <c r="H57" s="40"/>
      <c r="I57" s="40"/>
      <c r="J57" s="40"/>
      <c r="K57" s="83"/>
      <c r="L57" s="40"/>
      <c r="M57" s="39"/>
      <c r="N57" s="39"/>
      <c r="O57" s="39"/>
      <c r="P57" s="39"/>
      <c r="Q57" s="39"/>
      <c r="R57" s="39"/>
      <c r="S57" s="39"/>
      <c r="T57" s="39"/>
      <c r="U57" s="2"/>
      <c r="V57" s="2"/>
      <c r="W57" s="2"/>
      <c r="X57" s="3"/>
      <c r="Y57" s="3"/>
      <c r="Z57" s="3"/>
    </row>
    <row r="58" spans="1:26" s="42" customFormat="1">
      <c r="A58" s="194"/>
      <c r="B58" s="84"/>
      <c r="C58" s="40"/>
      <c r="D58" s="40"/>
      <c r="E58" s="40"/>
      <c r="F58" s="40"/>
      <c r="G58" s="40"/>
      <c r="H58" s="40"/>
      <c r="I58" s="40"/>
      <c r="J58" s="40"/>
      <c r="K58" s="83"/>
      <c r="L58" s="40"/>
      <c r="M58" s="39"/>
      <c r="N58" s="39"/>
      <c r="O58" s="39"/>
      <c r="P58" s="39"/>
      <c r="Q58" s="39"/>
      <c r="R58" s="39"/>
      <c r="S58" s="39"/>
      <c r="T58" s="39"/>
      <c r="U58" s="2"/>
      <c r="V58" s="2"/>
      <c r="W58" s="2"/>
      <c r="X58" s="3"/>
      <c r="Y58" s="3"/>
      <c r="Z58" s="3"/>
    </row>
    <row r="59" spans="1:26" s="42" customFormat="1" ht="15">
      <c r="A59" s="194"/>
      <c r="B59" s="130"/>
      <c r="C59" s="40"/>
      <c r="D59" s="40"/>
      <c r="E59" s="40"/>
      <c r="F59" s="40"/>
      <c r="G59" s="40"/>
      <c r="H59" s="2386"/>
      <c r="I59" s="2386"/>
      <c r="J59" s="40"/>
      <c r="K59" s="83"/>
      <c r="L59" s="44"/>
      <c r="M59" s="39"/>
      <c r="N59" s="39"/>
      <c r="O59" s="39"/>
      <c r="P59" s="39"/>
      <c r="Q59" s="39"/>
      <c r="R59" s="39"/>
      <c r="S59" s="39"/>
      <c r="T59" s="39"/>
      <c r="U59" s="39"/>
      <c r="V59" s="39"/>
      <c r="W59" s="39"/>
    </row>
    <row r="60" spans="1:26" s="42" customFormat="1" ht="15">
      <c r="A60" s="2038"/>
      <c r="B60" s="2343" t="s">
        <v>327</v>
      </c>
      <c r="C60" s="2360"/>
      <c r="D60" s="2360"/>
      <c r="E60" s="2360"/>
      <c r="F60" s="2360"/>
      <c r="G60" s="2360"/>
      <c r="H60" s="2360"/>
      <c r="I60" s="2360"/>
      <c r="J60" s="2360"/>
      <c r="K60" s="2361"/>
      <c r="L60" s="44"/>
      <c r="M60" s="39"/>
      <c r="N60" s="39"/>
      <c r="O60" s="39"/>
      <c r="P60" s="39"/>
      <c r="Q60" s="39"/>
      <c r="R60" s="39"/>
      <c r="S60" s="39"/>
      <c r="T60" s="39"/>
      <c r="U60" s="39"/>
      <c r="V60" s="39"/>
      <c r="W60" s="39"/>
    </row>
    <row r="61" spans="1:26" s="42" customFormat="1">
      <c r="A61" s="40"/>
      <c r="B61" s="194"/>
      <c r="C61" s="73"/>
      <c r="D61" s="40"/>
      <c r="E61" s="40"/>
      <c r="F61" s="40"/>
      <c r="G61" s="40"/>
      <c r="H61" s="40"/>
      <c r="I61" s="40"/>
      <c r="J61" s="40"/>
      <c r="K61" s="83"/>
      <c r="L61" s="40"/>
      <c r="M61" s="39"/>
      <c r="N61" s="39"/>
      <c r="O61" s="39"/>
      <c r="P61" s="39"/>
      <c r="Q61" s="39"/>
      <c r="R61" s="39"/>
      <c r="S61" s="39"/>
      <c r="T61" s="39"/>
      <c r="U61" s="2"/>
      <c r="V61" s="2"/>
      <c r="W61" s="2"/>
      <c r="X61" s="3"/>
      <c r="Y61" s="3"/>
      <c r="Z61" s="3"/>
    </row>
    <row r="62" spans="1:26" s="42" customFormat="1" ht="15">
      <c r="B62" s="84"/>
      <c r="C62" s="40"/>
      <c r="D62" s="524" t="s">
        <v>979</v>
      </c>
      <c r="E62" s="40"/>
      <c r="F62" s="40"/>
      <c r="G62" s="40"/>
      <c r="H62" s="252">
        <f>F46</f>
        <v>3.0000000000000027E-2</v>
      </c>
      <c r="I62" s="40"/>
      <c r="J62" s="40"/>
      <c r="K62" s="83"/>
      <c r="L62" s="40"/>
      <c r="M62" s="39"/>
      <c r="N62" s="39"/>
      <c r="O62" s="39"/>
      <c r="P62" s="39"/>
      <c r="Q62" s="39"/>
      <c r="R62" s="39"/>
      <c r="S62" s="39"/>
      <c r="T62" s="39"/>
      <c r="U62" s="2"/>
      <c r="V62" s="2"/>
      <c r="W62" s="2"/>
      <c r="X62" s="3"/>
      <c r="Y62" s="3"/>
      <c r="Z62" s="3"/>
    </row>
    <row r="63" spans="1:26" s="42" customFormat="1" ht="15" thickBot="1">
      <c r="B63" s="108"/>
      <c r="C63" s="109"/>
      <c r="D63" s="109"/>
      <c r="E63" s="109"/>
      <c r="F63" s="109"/>
      <c r="G63" s="109"/>
      <c r="H63" s="109"/>
      <c r="I63" s="109"/>
      <c r="J63" s="109"/>
      <c r="K63" s="110"/>
      <c r="L63" s="40"/>
      <c r="M63" s="39"/>
      <c r="N63" s="39"/>
      <c r="O63" s="39"/>
      <c r="P63" s="39"/>
      <c r="Q63" s="39"/>
      <c r="R63" s="39"/>
      <c r="S63" s="39"/>
      <c r="T63" s="39"/>
      <c r="U63" s="2"/>
      <c r="V63" s="2"/>
      <c r="W63" s="2"/>
      <c r="X63" s="3"/>
      <c r="Y63" s="3"/>
      <c r="Z63" s="3"/>
    </row>
    <row r="64" spans="1:26" s="42" customFormat="1" ht="15">
      <c r="B64" s="44"/>
      <c r="C64" s="44"/>
      <c r="D64" s="40"/>
      <c r="E64" s="40"/>
      <c r="F64" s="40"/>
      <c r="G64" s="40"/>
      <c r="H64" s="40"/>
      <c r="I64" s="40"/>
      <c r="J64" s="40"/>
      <c r="K64" s="40"/>
      <c r="L64" s="40"/>
      <c r="M64" s="39"/>
      <c r="N64" s="39"/>
      <c r="O64" s="39"/>
      <c r="P64" s="39"/>
      <c r="Q64" s="39"/>
      <c r="R64" s="39"/>
      <c r="S64" s="39"/>
      <c r="T64" s="39"/>
      <c r="U64" s="2"/>
      <c r="V64" s="2"/>
      <c r="W64" s="2"/>
      <c r="X64" s="3"/>
      <c r="Y64" s="3"/>
      <c r="Z64" s="3"/>
    </row>
    <row r="65" spans="1:26" ht="15">
      <c r="B65" s="56"/>
      <c r="C65" s="56"/>
      <c r="D65" s="35"/>
      <c r="E65" s="62"/>
      <c r="F65" s="62"/>
      <c r="G65" s="62"/>
      <c r="H65" s="62"/>
      <c r="I65" s="62"/>
      <c r="J65" s="62"/>
      <c r="K65" s="62"/>
      <c r="L65" s="62"/>
      <c r="M65" s="35"/>
      <c r="N65" s="35"/>
      <c r="O65" s="35"/>
      <c r="P65" s="35"/>
      <c r="Q65" s="35"/>
      <c r="R65" s="35"/>
      <c r="S65" s="35"/>
      <c r="T65" s="35"/>
      <c r="U65" s="4"/>
      <c r="V65" s="4"/>
      <c r="W65" s="4"/>
      <c r="X65" s="5"/>
      <c r="Y65" s="5"/>
      <c r="Z65" s="5"/>
    </row>
    <row r="66" spans="1:26" ht="15">
      <c r="B66" s="56"/>
      <c r="C66" s="56"/>
      <c r="D66" s="56"/>
      <c r="E66" s="62"/>
      <c r="F66" s="62"/>
      <c r="G66" s="62"/>
      <c r="H66" s="62"/>
      <c r="I66" s="62"/>
      <c r="J66" s="62"/>
      <c r="K66" s="62"/>
      <c r="L66" s="62"/>
      <c r="M66" s="35"/>
      <c r="N66" s="35"/>
      <c r="O66" s="35"/>
      <c r="P66" s="35"/>
      <c r="Q66" s="35"/>
      <c r="R66" s="35"/>
      <c r="S66" s="35"/>
      <c r="T66" s="35"/>
      <c r="U66" s="4"/>
      <c r="V66" s="4"/>
      <c r="W66" s="4"/>
      <c r="X66" s="5"/>
      <c r="Y66" s="5"/>
      <c r="Z66" s="5"/>
    </row>
    <row r="67" spans="1:26" ht="15">
      <c r="B67" s="56"/>
      <c r="C67" s="56"/>
      <c r="D67" s="56"/>
      <c r="E67" s="62"/>
      <c r="F67" s="62"/>
      <c r="G67" s="62"/>
      <c r="H67" s="62"/>
      <c r="I67" s="62"/>
      <c r="J67" s="62"/>
      <c r="K67" s="62"/>
      <c r="L67" s="62"/>
      <c r="M67" s="35"/>
      <c r="N67" s="35"/>
      <c r="O67" s="35"/>
      <c r="P67" s="35"/>
      <c r="Q67" s="35"/>
      <c r="R67" s="35"/>
      <c r="S67" s="35"/>
      <c r="T67" s="35"/>
      <c r="U67" s="4"/>
      <c r="V67" s="4"/>
      <c r="W67" s="4"/>
      <c r="X67" s="5"/>
      <c r="Y67" s="5"/>
      <c r="Z67" s="5"/>
    </row>
    <row r="68" spans="1:26">
      <c r="A68" s="70"/>
      <c r="B68" s="62"/>
      <c r="C68" s="62"/>
      <c r="D68" s="36"/>
      <c r="E68" s="111"/>
      <c r="F68" s="111"/>
      <c r="G68" s="111"/>
      <c r="H68" s="111"/>
      <c r="I68" s="111"/>
      <c r="J68" s="111"/>
      <c r="K68" s="111"/>
      <c r="L68" s="111"/>
      <c r="M68" s="35"/>
      <c r="N68" s="35"/>
      <c r="O68" s="35"/>
      <c r="P68" s="35"/>
      <c r="Q68" s="35"/>
      <c r="R68" s="35"/>
      <c r="S68" s="35"/>
      <c r="T68" s="35"/>
      <c r="U68" s="4"/>
      <c r="V68" s="4"/>
      <c r="W68" s="4"/>
      <c r="X68" s="5"/>
      <c r="Y68" s="5"/>
      <c r="Z68" s="5"/>
    </row>
    <row r="69" spans="1:26">
      <c r="B69" s="62"/>
      <c r="C69" s="62"/>
      <c r="D69" s="36"/>
      <c r="E69" s="62"/>
      <c r="F69" s="62"/>
      <c r="G69" s="62"/>
      <c r="H69" s="62"/>
      <c r="I69" s="62"/>
      <c r="J69" s="62"/>
      <c r="K69" s="62"/>
      <c r="L69" s="62"/>
      <c r="M69" s="35"/>
      <c r="N69" s="35"/>
      <c r="O69" s="35"/>
      <c r="P69" s="35"/>
      <c r="Q69" s="35"/>
      <c r="R69" s="35"/>
      <c r="S69" s="35"/>
      <c r="T69" s="35"/>
      <c r="U69" s="4"/>
      <c r="V69" s="4"/>
      <c r="W69" s="4"/>
      <c r="X69" s="5"/>
      <c r="Y69" s="5"/>
      <c r="Z69" s="5"/>
    </row>
    <row r="70" spans="1:26">
      <c r="B70" s="112"/>
      <c r="C70" s="112"/>
      <c r="D70" s="36"/>
      <c r="E70" s="67"/>
      <c r="F70" s="67"/>
      <c r="G70" s="62"/>
      <c r="H70" s="62"/>
      <c r="I70" s="62"/>
      <c r="J70" s="62"/>
      <c r="K70" s="62"/>
      <c r="L70" s="62"/>
      <c r="M70" s="35"/>
      <c r="N70" s="35"/>
      <c r="O70" s="35"/>
      <c r="P70" s="35"/>
      <c r="Q70" s="35"/>
      <c r="R70" s="35"/>
      <c r="S70" s="35"/>
      <c r="T70" s="35"/>
      <c r="U70" s="4"/>
      <c r="V70" s="4"/>
      <c r="W70" s="4"/>
      <c r="X70" s="5"/>
      <c r="Y70" s="5"/>
      <c r="Z70" s="5"/>
    </row>
    <row r="71" spans="1:26" ht="15" thickBot="1">
      <c r="B71" s="36"/>
      <c r="C71" s="36"/>
      <c r="D71" s="36"/>
      <c r="E71" s="36"/>
      <c r="F71" s="36"/>
      <c r="G71" s="36"/>
      <c r="H71" s="36"/>
      <c r="I71" s="36"/>
      <c r="J71" s="36"/>
      <c r="K71" s="36"/>
      <c r="L71" s="36"/>
      <c r="M71" s="35"/>
      <c r="N71" s="35"/>
      <c r="O71" s="35"/>
      <c r="P71" s="35"/>
      <c r="Q71" s="35"/>
      <c r="R71" s="35"/>
      <c r="S71" s="35"/>
      <c r="T71" s="35"/>
      <c r="U71" s="4"/>
      <c r="V71" s="4"/>
      <c r="W71" s="4"/>
      <c r="X71" s="5"/>
      <c r="Y71" s="5"/>
      <c r="Z71" s="5"/>
    </row>
    <row r="72" spans="1:26" ht="15.75" thickBot="1">
      <c r="B72" s="35"/>
      <c r="C72" s="35"/>
      <c r="D72" s="35"/>
      <c r="E72" s="35"/>
      <c r="F72" s="35"/>
      <c r="G72" s="35"/>
      <c r="H72" s="35"/>
      <c r="I72" s="35"/>
      <c r="J72" s="35"/>
      <c r="K72" s="35"/>
      <c r="L72" s="35"/>
      <c r="M72" s="35"/>
      <c r="N72" s="35"/>
      <c r="O72" s="35"/>
      <c r="P72" s="35"/>
      <c r="Q72" s="35"/>
      <c r="R72" s="35"/>
      <c r="S72" s="35"/>
      <c r="T72" s="35"/>
      <c r="U72" s="15"/>
      <c r="V72" s="233"/>
      <c r="W72" s="234"/>
      <c r="X72" s="234"/>
      <c r="Y72" s="234"/>
      <c r="Z72" s="234"/>
    </row>
    <row r="73" spans="1:26" ht="15.75" thickBot="1">
      <c r="B73" s="35"/>
      <c r="C73" s="35"/>
      <c r="D73" s="35"/>
      <c r="E73" s="35"/>
      <c r="F73" s="35"/>
      <c r="G73" s="35"/>
      <c r="H73" s="35"/>
      <c r="I73" s="35"/>
      <c r="J73" s="35"/>
      <c r="K73" s="35"/>
      <c r="L73" s="35"/>
      <c r="M73" s="35"/>
      <c r="N73" s="35"/>
      <c r="O73" s="35"/>
      <c r="P73" s="35"/>
      <c r="Q73" s="35"/>
      <c r="R73" s="35"/>
      <c r="S73" s="35"/>
      <c r="T73" s="35"/>
      <c r="U73" s="15"/>
      <c r="V73" s="233"/>
      <c r="W73" s="234"/>
      <c r="X73" s="234"/>
      <c r="Y73" s="234"/>
      <c r="Z73" s="234"/>
    </row>
    <row r="74" spans="1:26" ht="15.75" thickBot="1">
      <c r="B74" s="35"/>
      <c r="C74" s="35"/>
      <c r="D74" s="35"/>
      <c r="E74" s="35"/>
      <c r="F74" s="35"/>
      <c r="G74" s="35"/>
      <c r="H74" s="35"/>
      <c r="I74" s="35"/>
      <c r="J74" s="35"/>
      <c r="K74" s="35"/>
      <c r="L74" s="35"/>
      <c r="M74" s="35"/>
      <c r="N74" s="35"/>
      <c r="O74" s="35"/>
      <c r="P74" s="35"/>
      <c r="Q74" s="35"/>
      <c r="R74" s="35"/>
      <c r="S74" s="35"/>
      <c r="T74" s="35"/>
      <c r="U74" s="15"/>
      <c r="V74" s="233"/>
      <c r="W74" s="234"/>
      <c r="X74" s="234"/>
      <c r="Y74" s="234"/>
      <c r="Z74" s="234"/>
    </row>
    <row r="75" spans="1:26" ht="15.75" thickBot="1">
      <c r="B75" s="35"/>
      <c r="C75" s="35"/>
      <c r="D75" s="35"/>
      <c r="E75" s="35"/>
      <c r="F75" s="35"/>
      <c r="G75" s="35"/>
      <c r="H75" s="35"/>
      <c r="I75" s="35"/>
      <c r="J75" s="35"/>
      <c r="K75" s="35"/>
      <c r="L75" s="35"/>
      <c r="M75" s="35"/>
      <c r="N75" s="35"/>
      <c r="O75" s="35"/>
      <c r="P75" s="35"/>
      <c r="Q75" s="35"/>
      <c r="R75" s="35"/>
      <c r="S75" s="35"/>
      <c r="T75" s="35"/>
      <c r="U75" s="15"/>
      <c r="V75" s="233"/>
      <c r="W75" s="234"/>
      <c r="X75" s="234"/>
      <c r="Y75" s="234"/>
      <c r="Z75" s="234"/>
    </row>
    <row r="76" spans="1:26" ht="15.75" thickBot="1">
      <c r="B76" s="35"/>
      <c r="C76" s="35"/>
      <c r="D76" s="35"/>
      <c r="E76" s="35"/>
      <c r="F76" s="35"/>
      <c r="G76" s="35"/>
      <c r="H76" s="35"/>
      <c r="I76" s="35"/>
      <c r="J76" s="35"/>
      <c r="K76" s="35"/>
      <c r="L76" s="35"/>
      <c r="M76" s="35"/>
      <c r="N76" s="35"/>
      <c r="O76" s="35"/>
      <c r="P76" s="35"/>
      <c r="Q76" s="35"/>
      <c r="R76" s="35"/>
      <c r="S76" s="35"/>
      <c r="T76" s="35"/>
      <c r="U76" s="15"/>
      <c r="V76" s="233"/>
      <c r="W76" s="234"/>
      <c r="X76" s="234"/>
      <c r="Y76" s="234"/>
      <c r="Z76" s="234"/>
    </row>
    <row r="77" spans="1:26" ht="15.75" thickBot="1">
      <c r="B77" s="35"/>
      <c r="C77" s="35"/>
      <c r="D77" s="35"/>
      <c r="E77" s="35"/>
      <c r="F77" s="35"/>
      <c r="G77" s="35"/>
      <c r="H77" s="35"/>
      <c r="I77" s="35"/>
      <c r="J77" s="35"/>
      <c r="K77" s="35"/>
      <c r="L77" s="35"/>
      <c r="M77" s="35"/>
      <c r="N77" s="35"/>
      <c r="O77" s="35"/>
      <c r="P77" s="35"/>
      <c r="Q77" s="35"/>
      <c r="R77" s="35"/>
      <c r="S77" s="35"/>
      <c r="T77" s="35"/>
      <c r="U77" s="14"/>
      <c r="V77" s="233"/>
      <c r="W77" s="234"/>
      <c r="X77" s="234"/>
      <c r="Y77" s="234"/>
      <c r="Z77" s="234"/>
    </row>
    <row r="78" spans="1:26" ht="15.75" thickBot="1">
      <c r="B78" s="35"/>
      <c r="C78" s="35"/>
      <c r="D78" s="35"/>
      <c r="E78" s="35"/>
      <c r="F78" s="35"/>
      <c r="G78" s="35"/>
      <c r="H78" s="35"/>
      <c r="I78" s="35"/>
      <c r="J78" s="35"/>
      <c r="K78" s="35"/>
      <c r="L78" s="35"/>
      <c r="M78" s="35"/>
      <c r="N78" s="35"/>
      <c r="O78" s="35"/>
      <c r="P78" s="35"/>
      <c r="Q78" s="35"/>
      <c r="R78" s="35"/>
      <c r="S78" s="35"/>
      <c r="T78" s="35"/>
      <c r="U78" s="14"/>
      <c r="V78" s="233"/>
      <c r="W78" s="234"/>
      <c r="X78" s="234"/>
      <c r="Y78" s="234"/>
      <c r="Z78" s="234"/>
    </row>
    <row r="79" spans="1:26" ht="15.75" thickBot="1">
      <c r="B79" s="35"/>
      <c r="C79" s="35"/>
      <c r="D79" s="35"/>
      <c r="E79" s="35"/>
      <c r="F79" s="35"/>
      <c r="G79" s="35"/>
      <c r="H79" s="35"/>
      <c r="I79" s="35"/>
      <c r="J79" s="35"/>
      <c r="K79" s="35"/>
      <c r="L79" s="35"/>
      <c r="M79" s="35"/>
      <c r="N79" s="35"/>
      <c r="O79" s="35"/>
      <c r="P79" s="35"/>
      <c r="Q79" s="35"/>
      <c r="R79" s="35"/>
      <c r="S79" s="35"/>
      <c r="T79" s="35"/>
      <c r="U79" s="13"/>
      <c r="V79" s="235"/>
      <c r="W79" s="236"/>
      <c r="X79" s="236"/>
      <c r="Y79" s="236"/>
      <c r="Z79" s="236"/>
    </row>
    <row r="80" spans="1:26" ht="15.75" thickBot="1">
      <c r="B80" s="35"/>
      <c r="C80" s="35"/>
      <c r="D80" s="35"/>
      <c r="E80" s="35"/>
      <c r="F80" s="35"/>
      <c r="G80" s="35"/>
      <c r="H80" s="35"/>
      <c r="I80" s="35"/>
      <c r="J80" s="35"/>
      <c r="K80" s="35"/>
      <c r="L80" s="35"/>
      <c r="M80" s="35"/>
      <c r="N80" s="35"/>
      <c r="O80" s="35"/>
      <c r="P80" s="35"/>
      <c r="Q80" s="35"/>
      <c r="R80" s="35"/>
      <c r="S80" s="35"/>
      <c r="T80" s="35"/>
      <c r="U80" s="13"/>
      <c r="V80" s="235"/>
      <c r="W80" s="236"/>
      <c r="X80" s="236"/>
      <c r="Y80" s="236"/>
      <c r="Z80" s="236"/>
    </row>
    <row r="81" spans="2:26" ht="15.75" thickBot="1">
      <c r="B81" s="35"/>
      <c r="C81" s="35"/>
      <c r="D81" s="35"/>
      <c r="E81" s="35"/>
      <c r="F81" s="35"/>
      <c r="G81" s="35"/>
      <c r="H81" s="35"/>
      <c r="I81" s="35"/>
      <c r="J81" s="35"/>
      <c r="K81" s="35"/>
      <c r="L81" s="35"/>
      <c r="M81" s="35"/>
      <c r="N81" s="35"/>
      <c r="O81" s="35"/>
      <c r="P81" s="35"/>
      <c r="Q81" s="35"/>
      <c r="R81" s="35"/>
      <c r="S81" s="35"/>
      <c r="T81" s="35"/>
      <c r="U81" s="237"/>
      <c r="V81" s="233"/>
      <c r="W81" s="234"/>
      <c r="X81" s="234"/>
      <c r="Y81" s="234"/>
      <c r="Z81" s="234"/>
    </row>
    <row r="82" spans="2:26" ht="15.75" thickBot="1">
      <c r="B82" s="35"/>
      <c r="C82" s="35"/>
      <c r="D82" s="35"/>
      <c r="E82" s="35"/>
      <c r="F82" s="35"/>
      <c r="G82" s="35"/>
      <c r="H82" s="35"/>
      <c r="I82" s="35"/>
      <c r="J82" s="35"/>
      <c r="K82" s="35"/>
      <c r="L82" s="35"/>
      <c r="M82" s="35"/>
      <c r="N82" s="35"/>
      <c r="O82" s="35"/>
      <c r="P82" s="35"/>
      <c r="Q82" s="35"/>
      <c r="R82" s="35"/>
      <c r="S82" s="35"/>
      <c r="T82" s="35"/>
      <c r="U82" s="12"/>
      <c r="V82" s="238"/>
      <c r="W82" s="239"/>
      <c r="X82" s="239"/>
      <c r="Y82" s="239"/>
      <c r="Z82" s="239"/>
    </row>
    <row r="83" spans="2:26" ht="15">
      <c r="B83" s="35"/>
      <c r="C83" s="35"/>
      <c r="D83" s="35"/>
      <c r="E83" s="35"/>
      <c r="F83" s="35"/>
      <c r="G83" s="35"/>
      <c r="H83" s="35"/>
      <c r="I83" s="35"/>
      <c r="J83" s="35"/>
      <c r="K83" s="35"/>
      <c r="L83" s="35"/>
      <c r="M83" s="35"/>
      <c r="N83" s="35"/>
      <c r="O83" s="35"/>
      <c r="P83" s="35"/>
      <c r="Q83" s="35"/>
      <c r="R83" s="35"/>
      <c r="S83" s="35"/>
      <c r="T83" s="35"/>
      <c r="U83" s="10"/>
      <c r="V83" s="23" t="s">
        <v>295</v>
      </c>
      <c r="W83" s="11"/>
      <c r="X83" s="11"/>
      <c r="Y83" s="11"/>
      <c r="Z83" s="11"/>
    </row>
    <row r="84" spans="2:26">
      <c r="B84" s="35"/>
      <c r="C84" s="35"/>
      <c r="D84" s="35"/>
      <c r="E84" s="35"/>
      <c r="F84" s="35"/>
      <c r="G84" s="35"/>
      <c r="H84" s="35"/>
      <c r="I84" s="35"/>
      <c r="J84" s="35"/>
      <c r="K84" s="35"/>
      <c r="L84" s="35"/>
      <c r="M84" s="35"/>
      <c r="N84" s="35"/>
      <c r="O84" s="35"/>
      <c r="P84" s="35"/>
      <c r="Q84" s="35"/>
      <c r="R84" s="35"/>
      <c r="S84" s="35"/>
      <c r="T84" s="35"/>
      <c r="U84" s="10"/>
      <c r="V84" s="10"/>
      <c r="W84" s="10"/>
      <c r="X84" s="10"/>
      <c r="Y84" s="10"/>
      <c r="Z84" s="10"/>
    </row>
    <row r="85" spans="2:26">
      <c r="B85" s="35"/>
      <c r="C85" s="35"/>
      <c r="D85" s="35"/>
      <c r="E85" s="35"/>
      <c r="F85" s="35"/>
      <c r="G85" s="35"/>
      <c r="H85" s="35"/>
      <c r="I85" s="35"/>
      <c r="J85" s="35"/>
      <c r="K85" s="35"/>
      <c r="L85" s="35"/>
      <c r="M85" s="35"/>
      <c r="N85" s="35"/>
      <c r="O85" s="35"/>
      <c r="P85" s="35"/>
      <c r="Q85" s="35"/>
      <c r="R85" s="35"/>
      <c r="S85" s="35"/>
      <c r="T85" s="35"/>
    </row>
    <row r="86" spans="2:26">
      <c r="B86" s="35"/>
      <c r="C86" s="35"/>
      <c r="D86" s="35"/>
      <c r="E86" s="35"/>
      <c r="F86" s="35"/>
      <c r="G86" s="35"/>
      <c r="H86" s="35"/>
      <c r="I86" s="35"/>
      <c r="J86" s="35"/>
      <c r="K86" s="35"/>
      <c r="L86" s="35"/>
      <c r="M86" s="35"/>
      <c r="N86" s="35"/>
      <c r="O86" s="35"/>
      <c r="P86" s="35"/>
      <c r="Q86" s="35"/>
      <c r="R86" s="35"/>
      <c r="S86" s="35"/>
      <c r="T86" s="35"/>
    </row>
    <row r="87" spans="2:26">
      <c r="B87" s="35"/>
      <c r="C87" s="35"/>
      <c r="D87" s="35"/>
      <c r="E87" s="35"/>
      <c r="F87" s="35"/>
      <c r="G87" s="35"/>
      <c r="H87" s="35"/>
      <c r="I87" s="35"/>
      <c r="J87" s="35"/>
      <c r="K87" s="35"/>
      <c r="L87" s="35"/>
      <c r="M87" s="35"/>
      <c r="N87" s="35"/>
      <c r="O87" s="35"/>
      <c r="P87" s="35"/>
      <c r="Q87" s="35"/>
      <c r="R87" s="35"/>
      <c r="S87" s="35"/>
      <c r="T87" s="35"/>
    </row>
    <row r="88" spans="2:26">
      <c r="B88" s="35"/>
      <c r="C88" s="35"/>
      <c r="D88" s="35"/>
      <c r="E88" s="35"/>
      <c r="F88" s="35"/>
      <c r="G88" s="35"/>
      <c r="H88" s="35"/>
      <c r="I88" s="35"/>
      <c r="J88" s="35"/>
      <c r="K88" s="35"/>
      <c r="L88" s="35"/>
      <c r="M88" s="35"/>
      <c r="N88" s="35"/>
      <c r="O88" s="35"/>
      <c r="P88" s="35"/>
      <c r="Q88" s="35"/>
      <c r="R88" s="35"/>
      <c r="S88" s="35"/>
      <c r="T88" s="35"/>
    </row>
    <row r="89" spans="2:26">
      <c r="B89" s="35"/>
      <c r="C89" s="35"/>
      <c r="D89" s="35"/>
      <c r="E89" s="35"/>
      <c r="F89" s="35"/>
      <c r="G89" s="35"/>
      <c r="H89" s="35"/>
      <c r="I89" s="35"/>
      <c r="J89" s="35"/>
      <c r="K89" s="35"/>
      <c r="L89" s="35"/>
      <c r="M89" s="35"/>
      <c r="N89" s="35"/>
      <c r="O89" s="35"/>
      <c r="P89" s="35"/>
      <c r="Q89" s="35"/>
      <c r="R89" s="35"/>
      <c r="S89" s="35"/>
      <c r="T89" s="35"/>
    </row>
  </sheetData>
  <mergeCells count="19">
    <mergeCell ref="C19:F19"/>
    <mergeCell ref="C20:F20"/>
    <mergeCell ref="C21:F21"/>
    <mergeCell ref="E1:F1"/>
    <mergeCell ref="C46:E46"/>
    <mergeCell ref="C4:D5"/>
    <mergeCell ref="C22:F22"/>
    <mergeCell ref="C13:F13"/>
    <mergeCell ref="C14:F14"/>
    <mergeCell ref="B11:K11"/>
    <mergeCell ref="C15:F15"/>
    <mergeCell ref="C16:F16"/>
    <mergeCell ref="C17:F17"/>
    <mergeCell ref="C18:F18"/>
    <mergeCell ref="B60:K60"/>
    <mergeCell ref="B23:K23"/>
    <mergeCell ref="B35:K35"/>
    <mergeCell ref="C38:F38"/>
    <mergeCell ref="H59:I59"/>
  </mergeCells>
  <conditionalFormatting sqref="G21:H21">
    <cfRule type="expression" dxfId="17" priority="1">
      <formula>$G$21&gt;$G$20</formula>
    </cfRule>
  </conditionalFormatting>
  <pageMargins left="0.70866141732283472" right="0.70866141732283472" top="0.74803149606299213" bottom="0.74803149606299213" header="0.31496062992125984" footer="0.31496062992125984"/>
  <pageSetup paperSize="9" scale="36" orientation="portrait"/>
  <colBreaks count="1" manualBreakCount="1">
    <brk id="11" max="86" man="1"/>
  </colBreaks>
  <drawing r:id="rId1"/>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4" tint="-0.249977111117893"/>
  </sheetPr>
  <dimension ref="A1:BW146"/>
  <sheetViews>
    <sheetView showGridLines="0" topLeftCell="B1" zoomScale="75" zoomScaleNormal="75" zoomScaleSheetLayoutView="85" zoomScalePageLayoutView="75" workbookViewId="0">
      <pane ySplit="1" topLeftCell="A2" activePane="bottomLeft" state="frozen"/>
      <selection activeCell="C3" sqref="C3"/>
      <selection pane="bottomLeft" activeCell="J16" sqref="J16"/>
    </sheetView>
  </sheetViews>
  <sheetFormatPr defaultColWidth="8.85546875" defaultRowHeight="14.25" outlineLevelCol="1"/>
  <cols>
    <col min="1" max="1" width="56.140625" style="38" hidden="1" customWidth="1" outlineLevel="1"/>
    <col min="2" max="2" width="15.7109375" style="38" customWidth="1" collapsed="1"/>
    <col min="3" max="3" width="45.7109375" style="38" customWidth="1"/>
    <col min="4" max="4" width="16.85546875" style="38" customWidth="1"/>
    <col min="5" max="8" width="15.7109375" style="38" customWidth="1"/>
    <col min="9" max="9" width="50.28515625" style="38" customWidth="1"/>
    <col min="10" max="10" width="17.28515625" style="38" customWidth="1"/>
    <col min="11" max="12" width="15.7109375" style="38" customWidth="1"/>
    <col min="13" max="15" width="8.85546875" style="38"/>
    <col min="16" max="16" width="3" style="38" customWidth="1"/>
    <col min="17" max="17" width="9.42578125" style="38" customWidth="1"/>
    <col min="18" max="19" width="34.7109375" style="38" customWidth="1"/>
    <col min="20" max="20" width="14.7109375" style="38" customWidth="1"/>
    <col min="21" max="21" width="17.7109375" style="38" customWidth="1"/>
    <col min="22" max="22" width="15.42578125" style="38" customWidth="1"/>
    <col min="23" max="16384" width="8.85546875" style="38"/>
  </cols>
  <sheetData>
    <row r="1" spans="1:75" s="51" customFormat="1" ht="42.75" customHeight="1" thickBot="1">
      <c r="B1" s="1760"/>
      <c r="C1" s="1850" t="str">
        <f>HYPERLINK("[.\]Menu!A1", "To Menu")</f>
        <v>To Menu</v>
      </c>
      <c r="D1" s="2017"/>
      <c r="E1" s="2436" t="str">
        <f>HYPERLINK("[.\]control_sheet_and_graphs!A1", "To Control sheet and graphical results")</f>
        <v>To Control sheet and graphical results</v>
      </c>
      <c r="F1" s="2437"/>
      <c r="G1" s="2018"/>
      <c r="H1" s="2019"/>
      <c r="I1" s="2065" t="str">
        <f>HYPERLINK("[.\]outputs_by_channel!A1", "To Intervention data outputs by channel")</f>
        <v>To Intervention data outputs by channel</v>
      </c>
      <c r="J1" s="2062"/>
      <c r="K1" s="1762"/>
      <c r="O1" s="52"/>
      <c r="Q1" s="52"/>
      <c r="R1" s="52"/>
      <c r="S1" s="52"/>
      <c r="T1" s="52"/>
      <c r="V1" s="52"/>
      <c r="W1" s="52"/>
      <c r="X1" s="52"/>
      <c r="Y1" s="52"/>
      <c r="AA1" s="52"/>
      <c r="AB1" s="52"/>
      <c r="AC1" s="52"/>
      <c r="AD1" s="52"/>
      <c r="AF1" s="52"/>
      <c r="AG1" s="52"/>
      <c r="AH1" s="52"/>
      <c r="AI1" s="52"/>
      <c r="AK1" s="52"/>
      <c r="AL1" s="52"/>
      <c r="AM1" s="52"/>
      <c r="AN1" s="52"/>
      <c r="AP1" s="52"/>
      <c r="AQ1" s="52"/>
      <c r="AR1" s="52"/>
      <c r="AS1" s="52"/>
      <c r="AU1" s="52"/>
      <c r="AV1" s="52"/>
      <c r="AW1" s="52"/>
      <c r="AX1" s="52"/>
      <c r="AZ1" s="52"/>
      <c r="BA1" s="52"/>
      <c r="BB1" s="52"/>
      <c r="BC1" s="52"/>
      <c r="BE1" s="52"/>
      <c r="BF1" s="52"/>
      <c r="BG1" s="52"/>
      <c r="BH1" s="52"/>
      <c r="BJ1" s="52"/>
      <c r="BK1" s="52"/>
      <c r="BL1" s="52"/>
      <c r="BM1" s="52"/>
      <c r="BO1" s="52"/>
      <c r="BP1" s="52"/>
      <c r="BQ1" s="52"/>
      <c r="BR1" s="52"/>
      <c r="BT1" s="52"/>
      <c r="BU1" s="52"/>
      <c r="BV1" s="52"/>
      <c r="BW1" s="52"/>
    </row>
    <row r="2" spans="1:75" s="42" customFormat="1" ht="15">
      <c r="A2" s="39"/>
      <c r="B2" s="84"/>
      <c r="C2" s="580"/>
      <c r="D2" s="580"/>
      <c r="E2" s="580"/>
      <c r="F2" s="580"/>
      <c r="G2" s="580"/>
      <c r="H2" s="580"/>
      <c r="I2" s="2072"/>
      <c r="J2" s="2072"/>
      <c r="K2" s="2071"/>
      <c r="L2" s="39"/>
      <c r="M2" s="39"/>
      <c r="N2" s="39"/>
      <c r="O2" s="39"/>
      <c r="P2" s="39"/>
      <c r="Q2" s="39"/>
      <c r="R2" s="39"/>
    </row>
    <row r="3" spans="1:75" s="42" customFormat="1" ht="15.75" thickBot="1">
      <c r="A3" s="39"/>
      <c r="B3" s="84"/>
      <c r="C3" s="97"/>
      <c r="D3" s="97"/>
      <c r="E3" s="97"/>
      <c r="F3" s="97"/>
      <c r="G3" s="97"/>
      <c r="H3" s="97"/>
      <c r="I3" s="2070"/>
      <c r="J3" s="2074"/>
      <c r="K3" s="2083"/>
      <c r="L3" s="39"/>
      <c r="M3" s="39"/>
      <c r="N3" s="39"/>
      <c r="O3" s="39"/>
      <c r="P3" s="39"/>
      <c r="Q3" s="39"/>
      <c r="R3" s="39"/>
    </row>
    <row r="4" spans="1:75" s="42" customFormat="1" ht="15">
      <c r="A4" s="39"/>
      <c r="B4" s="84"/>
      <c r="C4" s="2438" t="str">
        <f>Menu!$B25</f>
        <v>GP extended hours</v>
      </c>
      <c r="D4" s="2439"/>
      <c r="F4"/>
      <c r="G4"/>
      <c r="H4" s="97"/>
      <c r="I4" s="2070"/>
      <c r="J4" s="2074"/>
      <c r="K4" s="2083"/>
      <c r="L4" s="39"/>
      <c r="M4" s="39"/>
      <c r="N4" s="39"/>
      <c r="O4" s="39"/>
      <c r="P4" s="39"/>
      <c r="Q4" s="39"/>
      <c r="R4" s="39"/>
    </row>
    <row r="5" spans="1:75" s="42" customFormat="1" ht="15.75" thickBot="1">
      <c r="A5" s="39"/>
      <c r="B5" s="84"/>
      <c r="C5" s="2440"/>
      <c r="D5" s="2399"/>
      <c r="F5"/>
      <c r="G5"/>
      <c r="H5" s="97"/>
      <c r="I5" s="2070"/>
      <c r="J5" s="2075"/>
      <c r="K5" s="2084"/>
      <c r="L5" s="39"/>
      <c r="M5" s="39"/>
      <c r="N5" s="39"/>
      <c r="O5" s="39"/>
      <c r="P5" s="39"/>
      <c r="Q5" s="39"/>
      <c r="R5" s="39"/>
    </row>
    <row r="6" spans="1:75" s="42" customFormat="1" ht="15.75" thickBot="1">
      <c r="A6" s="39"/>
      <c r="B6" s="84"/>
      <c r="C6" s="526"/>
      <c r="D6" s="97"/>
      <c r="F6"/>
      <c r="G6"/>
      <c r="H6" s="97"/>
      <c r="I6" s="2070"/>
      <c r="J6" s="2077"/>
      <c r="K6" s="2085"/>
      <c r="L6" s="39"/>
      <c r="M6" s="39"/>
      <c r="N6" s="39"/>
      <c r="O6" s="39"/>
      <c r="P6" s="39"/>
      <c r="Q6" s="39"/>
      <c r="R6" s="39"/>
    </row>
    <row r="7" spans="1:75" s="42" customFormat="1" ht="15.75" thickBot="1">
      <c r="A7" s="39"/>
      <c r="B7" s="84"/>
      <c r="C7" s="797" t="s">
        <v>582</v>
      </c>
      <c r="D7" s="806">
        <v>762764</v>
      </c>
      <c r="F7" s="97"/>
      <c r="G7" s="97"/>
      <c r="H7" s="97"/>
      <c r="I7" s="2070"/>
      <c r="J7" s="2078"/>
      <c r="K7" s="2083"/>
      <c r="L7" s="39"/>
      <c r="M7" s="39"/>
      <c r="N7" s="39"/>
      <c r="O7" s="39"/>
      <c r="P7" s="39"/>
      <c r="Q7" s="39"/>
      <c r="R7" s="39"/>
    </row>
    <row r="8" spans="1:75" s="42" customFormat="1" ht="15">
      <c r="A8" s="212"/>
      <c r="B8" s="84"/>
      <c r="C8" s="213"/>
      <c r="D8" s="213"/>
      <c r="E8" s="213"/>
      <c r="F8" s="97"/>
      <c r="G8" s="97"/>
      <c r="H8" s="97"/>
      <c r="I8" s="2070"/>
      <c r="J8" s="2075"/>
      <c r="K8" s="2084"/>
      <c r="L8" s="39"/>
      <c r="M8" s="39"/>
      <c r="N8" s="39"/>
      <c r="O8" s="39"/>
      <c r="P8" s="39"/>
      <c r="Q8" s="39"/>
      <c r="R8" s="39"/>
    </row>
    <row r="9" spans="1:75" s="42" customFormat="1">
      <c r="B9" s="84"/>
      <c r="C9" s="1777" t="str">
        <f>HYPERLINK("[.\]E_GP_hrs!A2","To Evidence")</f>
        <v>To Evidence</v>
      </c>
      <c r="D9" s="40"/>
      <c r="E9" s="40"/>
      <c r="F9" s="40"/>
      <c r="G9" s="40"/>
      <c r="H9" s="40"/>
      <c r="I9" s="51"/>
      <c r="J9" s="40"/>
      <c r="K9" s="83"/>
      <c r="L9" s="39"/>
      <c r="M9" s="39"/>
      <c r="N9" s="39"/>
      <c r="O9" s="39"/>
      <c r="P9" s="39"/>
      <c r="Q9" s="39"/>
      <c r="R9" s="39"/>
      <c r="S9" s="39"/>
    </row>
    <row r="10" spans="1:75" s="42" customFormat="1">
      <c r="B10" s="130"/>
      <c r="C10" s="1203"/>
      <c r="D10" s="1203"/>
      <c r="E10" s="1203"/>
      <c r="F10" s="1203"/>
      <c r="G10" s="1203"/>
      <c r="H10" s="1203"/>
      <c r="I10" s="1269"/>
      <c r="J10" s="1203"/>
      <c r="K10" s="1430"/>
      <c r="L10" s="39"/>
      <c r="M10" s="39"/>
      <c r="N10" s="39"/>
      <c r="O10" s="39"/>
      <c r="P10" s="39"/>
      <c r="Q10" s="39"/>
      <c r="R10" s="39"/>
      <c r="S10" s="39"/>
    </row>
    <row r="11" spans="1:75" s="42" customFormat="1" ht="15">
      <c r="A11" s="2007" t="s">
        <v>103</v>
      </c>
      <c r="B11" s="2343" t="s">
        <v>119</v>
      </c>
      <c r="C11" s="2360"/>
      <c r="D11" s="2360"/>
      <c r="E11" s="2360"/>
      <c r="F11" s="2360"/>
      <c r="G11" s="2360"/>
      <c r="H11" s="2360"/>
      <c r="I11" s="2360"/>
      <c r="J11" s="2360"/>
      <c r="K11" s="2361"/>
      <c r="L11" s="39"/>
      <c r="M11" s="39"/>
      <c r="N11" s="39"/>
      <c r="O11" s="39"/>
      <c r="P11" s="39"/>
      <c r="Q11" s="39"/>
      <c r="R11" s="619"/>
      <c r="S11" s="39"/>
    </row>
    <row r="12" spans="1:75" s="39" customFormat="1" ht="15">
      <c r="B12" s="76"/>
      <c r="C12" s="45"/>
      <c r="D12" s="45"/>
      <c r="E12" s="45"/>
      <c r="F12" s="45"/>
      <c r="G12" s="45"/>
      <c r="H12" s="45"/>
      <c r="I12" s="45"/>
      <c r="J12" s="45"/>
      <c r="K12" s="107"/>
      <c r="R12" s="214"/>
    </row>
    <row r="13" spans="1:75" s="39" customFormat="1" ht="15">
      <c r="B13" s="76"/>
      <c r="C13" s="2323" t="s">
        <v>1251</v>
      </c>
      <c r="D13" s="2377"/>
      <c r="E13" s="573">
        <v>150000</v>
      </c>
      <c r="F13" s="41" t="s">
        <v>1255</v>
      </c>
      <c r="H13" s="40"/>
      <c r="J13" s="77"/>
      <c r="K13" s="78" t="s">
        <v>141</v>
      </c>
    </row>
    <row r="14" spans="1:75" s="39" customFormat="1" ht="15">
      <c r="B14" s="76"/>
      <c r="C14" s="2323" t="s">
        <v>552</v>
      </c>
      <c r="D14" s="2377"/>
      <c r="E14" s="568">
        <v>0.1</v>
      </c>
      <c r="G14" s="155"/>
      <c r="H14" s="40"/>
      <c r="J14" s="63"/>
      <c r="K14" s="78" t="s">
        <v>143</v>
      </c>
    </row>
    <row r="15" spans="1:75" s="39" customFormat="1" ht="15">
      <c r="B15" s="76"/>
      <c r="C15" s="2323" t="s">
        <v>1288</v>
      </c>
      <c r="D15" s="2377"/>
      <c r="E15" s="640">
        <f>E14*E13</f>
        <v>15000</v>
      </c>
      <c r="G15" s="45"/>
      <c r="H15" s="40"/>
      <c r="J15" s="80" t="s">
        <v>556</v>
      </c>
      <c r="K15" s="78" t="s">
        <v>143</v>
      </c>
    </row>
    <row r="16" spans="1:75" s="39" customFormat="1" ht="42.75">
      <c r="B16" s="76"/>
      <c r="C16" s="2323" t="s">
        <v>1289</v>
      </c>
      <c r="D16" s="2377"/>
      <c r="E16" s="640">
        <f>J76</f>
        <v>360.23270400000001</v>
      </c>
      <c r="H16" s="45"/>
      <c r="J16" s="2193"/>
      <c r="K16" s="507" t="s">
        <v>1299</v>
      </c>
    </row>
    <row r="17" spans="1:19" s="39" customFormat="1" ht="15">
      <c r="B17" s="76"/>
      <c r="C17" s="2323" t="s">
        <v>590</v>
      </c>
      <c r="D17" s="2377"/>
      <c r="E17" s="641">
        <f>E16/E15</f>
        <v>2.40155136E-2</v>
      </c>
      <c r="G17" s="45"/>
      <c r="H17" s="45"/>
      <c r="I17" s="45"/>
      <c r="J17" s="45"/>
      <c r="K17" s="107"/>
    </row>
    <row r="18" spans="1:19" s="42" customFormat="1" ht="15">
      <c r="A18" s="39"/>
      <c r="B18" s="84"/>
      <c r="C18" s="44"/>
      <c r="D18" s="44"/>
      <c r="E18" s="40"/>
      <c r="F18" s="85"/>
      <c r="G18" s="44"/>
      <c r="H18" s="44"/>
      <c r="I18" s="47"/>
      <c r="J18" s="45"/>
      <c r="K18" s="157"/>
      <c r="L18" s="44"/>
      <c r="M18" s="39"/>
      <c r="N18" s="39"/>
      <c r="O18" s="39"/>
      <c r="P18" s="39"/>
      <c r="Q18" s="39"/>
      <c r="R18" s="39"/>
      <c r="S18" s="39"/>
    </row>
    <row r="19" spans="1:19" s="42" customFormat="1" ht="15">
      <c r="A19" s="39"/>
      <c r="B19" s="2316" t="s">
        <v>236</v>
      </c>
      <c r="C19" s="2360"/>
      <c r="D19" s="2360"/>
      <c r="E19" s="2360"/>
      <c r="F19" s="2360"/>
      <c r="G19" s="2360"/>
      <c r="H19" s="2360"/>
      <c r="I19" s="2360"/>
      <c r="J19" s="2360"/>
      <c r="K19" s="2361"/>
      <c r="L19" s="39"/>
      <c r="M19" s="39"/>
      <c r="N19" s="39"/>
      <c r="O19" s="39"/>
      <c r="P19" s="39"/>
      <c r="Q19" s="39"/>
      <c r="R19" s="39"/>
      <c r="S19" s="39"/>
    </row>
    <row r="20" spans="1:19" s="42" customFormat="1" ht="15">
      <c r="A20" s="39"/>
      <c r="B20" s="84"/>
      <c r="C20" s="44"/>
      <c r="D20" s="44"/>
      <c r="E20" s="40"/>
      <c r="F20" s="85"/>
      <c r="G20" s="44"/>
      <c r="H20" s="44"/>
      <c r="I20" s="47"/>
      <c r="J20" s="45"/>
      <c r="K20" s="157"/>
      <c r="L20" s="44"/>
      <c r="M20" s="39"/>
      <c r="N20" s="39"/>
      <c r="O20" s="39"/>
      <c r="P20" s="39"/>
      <c r="Q20" s="39"/>
      <c r="R20" s="39"/>
      <c r="S20" s="39"/>
    </row>
    <row r="21" spans="1:19" s="42" customFormat="1" ht="15">
      <c r="A21" s="39"/>
      <c r="B21" s="84"/>
      <c r="C21" s="1774" t="str">
        <f>HYPERLINK("[.\]Set_up_GP_Hrs!A3","To Set up costs template")</f>
        <v>To Set up costs template</v>
      </c>
      <c r="D21" s="1714"/>
      <c r="E21" s="40"/>
      <c r="F21" s="85"/>
      <c r="G21" s="44"/>
      <c r="H21" s="44"/>
      <c r="I21" s="47"/>
      <c r="J21" s="45"/>
      <c r="K21" s="157"/>
      <c r="L21" s="44"/>
      <c r="M21" s="39"/>
      <c r="N21" s="39"/>
      <c r="O21" s="39"/>
      <c r="P21" s="39"/>
      <c r="Q21" s="39"/>
      <c r="R21" s="39"/>
      <c r="S21" s="39"/>
    </row>
    <row r="22" spans="1:19" s="42" customFormat="1" ht="15">
      <c r="A22" s="39"/>
      <c r="B22" s="84"/>
      <c r="D22" s="528"/>
      <c r="E22" s="40"/>
      <c r="F22" s="560"/>
      <c r="G22" s="526"/>
      <c r="H22" s="526"/>
      <c r="I22" s="1711"/>
      <c r="J22" s="1722"/>
      <c r="K22" s="620"/>
      <c r="L22" s="526"/>
      <c r="M22" s="39"/>
      <c r="N22" s="39"/>
      <c r="O22" s="39"/>
      <c r="P22" s="39"/>
      <c r="Q22" s="39"/>
      <c r="R22" s="39"/>
      <c r="S22" s="39"/>
    </row>
    <row r="23" spans="1:19" s="42" customFormat="1" ht="15">
      <c r="A23" s="39"/>
      <c r="B23" s="84"/>
      <c r="C23" s="2357" t="s">
        <v>1070</v>
      </c>
      <c r="D23" s="2250"/>
      <c r="E23" s="1208">
        <f>Set_Up_GP_hrs!B5</f>
        <v>142885</v>
      </c>
      <c r="G23" s="44"/>
      <c r="H23" s="44"/>
      <c r="I23" s="47"/>
      <c r="J23" s="45"/>
      <c r="K23" s="157"/>
      <c r="L23" s="44"/>
      <c r="M23" s="39"/>
      <c r="N23" s="39"/>
      <c r="O23" s="39"/>
      <c r="P23" s="39"/>
      <c r="Q23" s="39"/>
      <c r="R23" s="39"/>
      <c r="S23" s="39"/>
    </row>
    <row r="24" spans="1:19" s="42" customFormat="1" ht="15">
      <c r="A24" s="39"/>
      <c r="B24" s="84"/>
      <c r="C24" s="128"/>
      <c r="D24" s="40"/>
      <c r="E24" s="40"/>
      <c r="F24" s="215"/>
      <c r="G24" s="44"/>
      <c r="H24" s="44"/>
      <c r="I24" s="47"/>
      <c r="J24" s="45"/>
      <c r="K24" s="157"/>
      <c r="L24" s="44"/>
      <c r="M24" s="39"/>
      <c r="N24" s="39"/>
      <c r="O24" s="39"/>
      <c r="P24" s="39"/>
      <c r="Q24" s="39"/>
      <c r="R24" s="39"/>
      <c r="S24" s="39"/>
    </row>
    <row r="25" spans="1:19" s="42" customFormat="1" ht="60">
      <c r="A25" s="39"/>
      <c r="B25" s="84"/>
      <c r="C25" s="2278" t="s">
        <v>323</v>
      </c>
      <c r="D25" s="2444"/>
      <c r="E25" s="563" t="s">
        <v>322</v>
      </c>
      <c r="F25" s="563" t="s">
        <v>321</v>
      </c>
      <c r="H25" s="85"/>
      <c r="I25" s="1298" t="s">
        <v>320</v>
      </c>
      <c r="J25" s="563" t="s">
        <v>304</v>
      </c>
      <c r="K25" s="1134" t="s">
        <v>110</v>
      </c>
      <c r="L25" s="44"/>
      <c r="M25" s="39"/>
      <c r="N25" s="39"/>
      <c r="O25" s="39"/>
      <c r="P25" s="39"/>
      <c r="Q25" s="39"/>
      <c r="R25" s="39"/>
      <c r="S25" s="39"/>
    </row>
    <row r="26" spans="1:19" s="42" customFormat="1" ht="15">
      <c r="A26" s="39"/>
      <c r="B26" s="84"/>
      <c r="C26" s="2441" t="s">
        <v>308</v>
      </c>
      <c r="D26" s="2441"/>
      <c r="E26" s="984">
        <v>5</v>
      </c>
      <c r="F26" s="985">
        <v>1.5</v>
      </c>
      <c r="H26" s="73"/>
      <c r="I26" s="940" t="s">
        <v>1018</v>
      </c>
      <c r="J26" s="1342">
        <f>(E26*F26)*E$31*E$30</f>
        <v>90</v>
      </c>
      <c r="K26" s="1343">
        <f>J26*52</f>
        <v>4680</v>
      </c>
      <c r="L26" s="44"/>
      <c r="M26" s="39"/>
      <c r="N26" s="39"/>
      <c r="O26" s="39"/>
      <c r="P26" s="39"/>
      <c r="Q26" s="39"/>
      <c r="R26" s="39"/>
      <c r="S26" s="39"/>
    </row>
    <row r="27" spans="1:19" s="42" customFormat="1" ht="15">
      <c r="A27" s="39"/>
      <c r="B27" s="84"/>
      <c r="C27" s="2442" t="s">
        <v>306</v>
      </c>
      <c r="D27" s="2442"/>
      <c r="E27" s="945">
        <v>1</v>
      </c>
      <c r="F27" s="803">
        <v>6</v>
      </c>
      <c r="H27" s="73"/>
      <c r="I27" s="105" t="s">
        <v>319</v>
      </c>
      <c r="J27" s="670">
        <f>(E27*F27)*E$31*E$30</f>
        <v>72</v>
      </c>
      <c r="K27" s="228">
        <f>J27*52</f>
        <v>3744</v>
      </c>
      <c r="L27" s="44"/>
      <c r="M27" s="39"/>
      <c r="N27" s="39"/>
      <c r="O27" s="39"/>
      <c r="P27" s="39"/>
      <c r="Q27" s="39"/>
      <c r="R27" s="39"/>
      <c r="S27" s="39"/>
    </row>
    <row r="28" spans="1:19" s="42" customFormat="1" ht="15">
      <c r="A28" s="39"/>
      <c r="B28" s="84"/>
      <c r="C28" s="2442" t="s">
        <v>305</v>
      </c>
      <c r="D28" s="2442"/>
      <c r="E28" s="945">
        <v>1</v>
      </c>
      <c r="F28" s="803">
        <v>6</v>
      </c>
      <c r="H28" s="73"/>
      <c r="I28" s="105" t="s">
        <v>318</v>
      </c>
      <c r="J28" s="670">
        <f>(E28*F28)*E$31*E$30</f>
        <v>72</v>
      </c>
      <c r="K28" s="228">
        <f>J28*52</f>
        <v>3744</v>
      </c>
      <c r="L28" s="44"/>
      <c r="M28" s="39"/>
      <c r="N28" s="39"/>
      <c r="O28" s="39"/>
      <c r="P28" s="39"/>
      <c r="Q28" s="39"/>
      <c r="R28" s="39"/>
      <c r="S28" s="39"/>
    </row>
    <row r="29" spans="1:19" s="42" customFormat="1" ht="15" customHeight="1">
      <c r="A29" s="39"/>
      <c r="B29" s="84"/>
      <c r="F29" s="687"/>
      <c r="H29" s="40"/>
      <c r="I29" s="105" t="s">
        <v>316</v>
      </c>
      <c r="J29" s="670">
        <f>SUM(J26:J28)</f>
        <v>234</v>
      </c>
      <c r="K29" s="228">
        <f>J29*52</f>
        <v>12168</v>
      </c>
      <c r="L29" s="44"/>
      <c r="M29" s="39"/>
      <c r="N29" s="39"/>
      <c r="O29" s="39"/>
      <c r="P29" s="39"/>
      <c r="Q29" s="39"/>
      <c r="R29" s="39"/>
      <c r="S29" s="39"/>
    </row>
    <row r="30" spans="1:19" s="42" customFormat="1" ht="15" customHeight="1">
      <c r="A30" s="39"/>
      <c r="B30" s="84"/>
      <c r="C30" s="2442" t="s">
        <v>317</v>
      </c>
      <c r="D30" s="2442"/>
      <c r="E30" s="945">
        <v>6</v>
      </c>
      <c r="F30" s="687"/>
      <c r="H30" s="40"/>
      <c r="I30" s="95"/>
      <c r="J30" s="95"/>
      <c r="K30" s="636"/>
      <c r="L30" s="44"/>
      <c r="M30" s="39"/>
      <c r="N30" s="39"/>
      <c r="O30" s="39"/>
      <c r="P30" s="39"/>
      <c r="Q30" s="39"/>
      <c r="R30" s="39"/>
      <c r="S30" s="39"/>
    </row>
    <row r="31" spans="1:19" s="42" customFormat="1" ht="15" customHeight="1">
      <c r="A31" s="39"/>
      <c r="B31" s="84"/>
      <c r="C31" s="2323" t="s">
        <v>315</v>
      </c>
      <c r="D31" s="2325"/>
      <c r="E31" s="945">
        <v>2</v>
      </c>
      <c r="F31" s="1150"/>
      <c r="H31" s="40"/>
      <c r="I31" s="105" t="s">
        <v>1073</v>
      </c>
      <c r="J31" s="216"/>
      <c r="K31" s="228">
        <f>K29*1000/D7</f>
        <v>15.952509557346703</v>
      </c>
      <c r="L31" s="39"/>
      <c r="M31" s="39"/>
      <c r="N31" s="39"/>
      <c r="O31" s="39"/>
      <c r="P31" s="39"/>
      <c r="Q31" s="39"/>
      <c r="R31" s="39"/>
      <c r="S31" s="39"/>
    </row>
    <row r="32" spans="1:19" s="42" customFormat="1">
      <c r="A32" s="39"/>
      <c r="B32" s="84"/>
      <c r="D32" s="40"/>
      <c r="E32" s="51"/>
      <c r="F32" s="43"/>
      <c r="G32" s="40"/>
      <c r="H32" s="40"/>
      <c r="I32" s="40"/>
      <c r="J32" s="40"/>
      <c r="K32" s="83"/>
      <c r="L32" s="39"/>
      <c r="M32" s="39"/>
      <c r="N32" s="39"/>
      <c r="O32" s="39"/>
      <c r="P32" s="39"/>
      <c r="Q32" s="39"/>
      <c r="R32" s="39"/>
      <c r="S32" s="39"/>
    </row>
    <row r="33" spans="1:19" s="42" customFormat="1" ht="45">
      <c r="A33" s="39"/>
      <c r="B33" s="84"/>
      <c r="C33" s="2323" t="s">
        <v>978</v>
      </c>
      <c r="D33" s="2381"/>
      <c r="E33" s="563" t="s">
        <v>321</v>
      </c>
      <c r="F33" s="40"/>
      <c r="G33" s="40"/>
      <c r="I33" s="1298" t="s">
        <v>314</v>
      </c>
      <c r="J33" s="563" t="s">
        <v>304</v>
      </c>
      <c r="K33" s="1134" t="s">
        <v>110</v>
      </c>
      <c r="L33" s="39"/>
      <c r="M33" s="39"/>
      <c r="N33" s="39"/>
      <c r="O33" s="39"/>
      <c r="P33" s="39"/>
      <c r="Q33" s="39"/>
      <c r="R33" s="39"/>
      <c r="S33" s="39"/>
    </row>
    <row r="34" spans="1:19" s="42" customFormat="1" ht="15">
      <c r="A34" s="39"/>
      <c r="B34" s="84"/>
      <c r="C34" s="2443" t="s">
        <v>8</v>
      </c>
      <c r="D34" s="2359"/>
      <c r="E34" s="92">
        <v>0.5</v>
      </c>
      <c r="F34" s="40"/>
      <c r="G34" s="40"/>
      <c r="I34" s="91" t="str">
        <f>IF(C34&gt;"",C34,"")</f>
        <v>GP</v>
      </c>
      <c r="J34" s="1344">
        <f>IF($C34="","",((E26*F26)+(E27*F27)+(E28*F28)+SUM(E26:E28)*E34)*E31)</f>
        <v>46</v>
      </c>
      <c r="K34" s="1345">
        <f>IF($C34="","",J34*52)</f>
        <v>2392</v>
      </c>
      <c r="L34" s="39"/>
      <c r="M34" s="39"/>
      <c r="N34" s="39"/>
      <c r="O34" s="39"/>
      <c r="P34" s="39"/>
      <c r="Q34" s="39"/>
      <c r="R34" s="39"/>
      <c r="S34" s="39"/>
    </row>
    <row r="35" spans="1:19" s="42" customFormat="1" ht="15">
      <c r="A35" s="39"/>
      <c r="B35" s="84"/>
      <c r="C35" s="2443" t="s">
        <v>313</v>
      </c>
      <c r="D35" s="2359"/>
      <c r="E35" s="92">
        <v>1</v>
      </c>
      <c r="F35" s="40"/>
      <c r="G35" s="40"/>
      <c r="I35" s="1040" t="str">
        <f>IF(C35&gt;"",C35,"")</f>
        <v>Receptionist</v>
      </c>
      <c r="J35" s="1344">
        <f>IF($C35="","",((E26*F26)+(E27*F27)+(E28*F28)+SUM(E26:E28)*E35))</f>
        <v>26.5</v>
      </c>
      <c r="K35" s="1345">
        <f>IF($C35="","",J35*52)</f>
        <v>1378</v>
      </c>
      <c r="L35" s="39"/>
      <c r="M35" s="39"/>
      <c r="N35" s="39"/>
      <c r="O35" s="39"/>
      <c r="P35" s="39"/>
      <c r="Q35" s="39"/>
      <c r="R35" s="39"/>
      <c r="S35" s="39"/>
    </row>
    <row r="36" spans="1:19" s="42" customFormat="1" ht="15">
      <c r="A36" s="39"/>
      <c r="B36" s="84"/>
      <c r="C36" s="2443"/>
      <c r="D36" s="2359"/>
      <c r="E36" s="570"/>
      <c r="F36" s="40"/>
      <c r="G36" s="40"/>
      <c r="I36" s="1040" t="str">
        <f>IF(C36&gt;"",C36,"")</f>
        <v/>
      </c>
      <c r="J36" s="1344" t="str">
        <f>IF($C36="","",((E26*F26)+(E27*F27)+(E28*F28)+SUM(E26:E28)*E36))</f>
        <v/>
      </c>
      <c r="K36" s="1345" t="str">
        <f>IF($C36="","",J36*52)</f>
        <v/>
      </c>
      <c r="L36" s="39"/>
      <c r="M36" s="39"/>
      <c r="N36" s="39"/>
      <c r="O36" s="39"/>
      <c r="P36" s="39"/>
      <c r="Q36" s="39"/>
      <c r="R36" s="39"/>
      <c r="S36" s="39"/>
    </row>
    <row r="37" spans="1:19" s="42" customFormat="1" ht="15">
      <c r="A37" s="39"/>
      <c r="B37" s="84"/>
      <c r="C37" s="2443"/>
      <c r="D37" s="2359"/>
      <c r="E37" s="570"/>
      <c r="F37" s="40"/>
      <c r="G37" s="40"/>
      <c r="I37" s="1040" t="str">
        <f>IF(C37&gt;"",C37,"")</f>
        <v/>
      </c>
      <c r="J37" s="1344" t="str">
        <f>IF($C37="","",((E26*F26)+(E27*F27)+(E28*F28)+SUM(E26:E28)*E37))</f>
        <v/>
      </c>
      <c r="K37" s="1345" t="str">
        <f>IF($C37="","",J37*52)</f>
        <v/>
      </c>
      <c r="L37" s="39"/>
      <c r="M37" s="39"/>
      <c r="N37" s="39"/>
      <c r="O37" s="39"/>
      <c r="P37" s="39"/>
      <c r="Q37" s="39"/>
      <c r="R37" s="39"/>
      <c r="S37" s="39"/>
    </row>
    <row r="38" spans="1:19" s="42" customFormat="1" ht="15">
      <c r="A38" s="39"/>
      <c r="B38" s="84"/>
      <c r="C38" s="2443"/>
      <c r="D38" s="2359"/>
      <c r="E38" s="570"/>
      <c r="F38" s="40"/>
      <c r="G38" s="40"/>
      <c r="I38" s="1040" t="str">
        <f>IF(C38&gt;"",C38,"")</f>
        <v/>
      </c>
      <c r="J38" s="1344" t="str">
        <f>IF($C38="","",((E26*F26)+(E27*F27)+(E28*F28)+SUM(E26:E28)*E38))</f>
        <v/>
      </c>
      <c r="K38" s="1345" t="str">
        <f>IF($C38="","",J38*52)</f>
        <v/>
      </c>
      <c r="L38" s="39"/>
      <c r="M38" s="39"/>
      <c r="N38" s="39"/>
      <c r="O38" s="39"/>
      <c r="P38" s="39"/>
      <c r="Q38" s="39"/>
      <c r="R38" s="39"/>
      <c r="S38" s="39"/>
    </row>
    <row r="39" spans="1:19" s="42" customFormat="1">
      <c r="A39" s="39"/>
      <c r="B39" s="84"/>
      <c r="C39" s="51"/>
      <c r="D39" s="40"/>
      <c r="E39" s="1683"/>
      <c r="F39" s="40"/>
      <c r="G39" s="40"/>
      <c r="I39" s="40"/>
      <c r="J39" s="40"/>
      <c r="K39" s="83"/>
      <c r="L39" s="39"/>
      <c r="M39" s="39"/>
      <c r="N39" s="39"/>
      <c r="O39" s="39"/>
      <c r="P39" s="39"/>
      <c r="Q39" s="39"/>
      <c r="R39" s="39"/>
      <c r="S39" s="39"/>
    </row>
    <row r="40" spans="1:19" s="42" customFormat="1" ht="60">
      <c r="A40" s="39"/>
      <c r="B40" s="84"/>
      <c r="C40" s="1146" t="s">
        <v>133</v>
      </c>
      <c r="D40" s="684" t="s">
        <v>116</v>
      </c>
      <c r="E40" s="563" t="s">
        <v>1019</v>
      </c>
      <c r="F40" s="563" t="s">
        <v>113</v>
      </c>
      <c r="G40" s="563" t="s">
        <v>112</v>
      </c>
      <c r="I40" s="1146" t="s">
        <v>708</v>
      </c>
      <c r="J40" s="563" t="s">
        <v>304</v>
      </c>
      <c r="K40" s="1134" t="s">
        <v>110</v>
      </c>
      <c r="L40" s="39"/>
      <c r="M40" s="39"/>
      <c r="N40" s="39"/>
      <c r="O40" s="39"/>
      <c r="P40" s="39"/>
      <c r="Q40" s="39"/>
      <c r="R40" s="39"/>
    </row>
    <row r="41" spans="1:19" s="42" customFormat="1" ht="15">
      <c r="A41" s="39"/>
      <c r="B41" s="84"/>
      <c r="C41" s="88" t="s">
        <v>312</v>
      </c>
      <c r="D41" s="944" t="s">
        <v>8</v>
      </c>
      <c r="E41" s="1133">
        <f>IF(D41&lt;&gt;"",VLOOKUP(D41,staff_costs!$A$3:$H$22,6,0)/(52*40),"")</f>
        <v>53.773076923076921</v>
      </c>
      <c r="F41" s="1346">
        <v>1</v>
      </c>
      <c r="G41" s="1346">
        <v>0.1</v>
      </c>
      <c r="I41" s="91" t="str">
        <f>IF(C41&gt;"",C41,"")</f>
        <v>GP clinical advisor</v>
      </c>
      <c r="J41" s="1133">
        <f>IF(C41="","",(E41*(1-F41)*J34)+E41*(1+G41)*F41*J34)</f>
        <v>2720.9176923076925</v>
      </c>
      <c r="K41" s="1133">
        <f>J41*52</f>
        <v>141487.72</v>
      </c>
      <c r="L41" s="39"/>
      <c r="M41" s="39"/>
      <c r="N41" s="39"/>
      <c r="O41" s="39"/>
      <c r="P41" s="39"/>
      <c r="Q41" s="39"/>
      <c r="R41" s="39"/>
    </row>
    <row r="42" spans="1:19" s="42" customFormat="1" ht="15">
      <c r="A42" s="39"/>
      <c r="B42" s="84"/>
      <c r="C42" s="88" t="s">
        <v>313</v>
      </c>
      <c r="D42" s="566">
        <v>3</v>
      </c>
      <c r="E42" s="1133">
        <f>IF(D42&lt;&gt;"",VLOOKUP(D42,staff_costs!$A$3:$H$22,6,0)/(52*40),"")</f>
        <v>10.821384615384614</v>
      </c>
      <c r="F42" s="568">
        <v>1</v>
      </c>
      <c r="G42" s="568">
        <v>0.2</v>
      </c>
      <c r="I42" s="91" t="str">
        <f>IF(C42&gt;"",C42,"")</f>
        <v>Receptionist</v>
      </c>
      <c r="J42" s="1133">
        <f>IF(C42="","",(E42*(1-F42)*J35)+E42*(1+G42)*F42*J35)</f>
        <v>344.12003076923071</v>
      </c>
      <c r="K42" s="1133">
        <f>J42*52</f>
        <v>17894.241599999998</v>
      </c>
      <c r="L42" s="39"/>
      <c r="M42" s="39"/>
      <c r="N42" s="39"/>
      <c r="O42" s="39"/>
      <c r="P42" s="39"/>
      <c r="Q42" s="39"/>
      <c r="R42" s="39"/>
    </row>
    <row r="43" spans="1:19" s="42" customFormat="1" ht="15">
      <c r="A43" s="39"/>
      <c r="B43" s="84"/>
      <c r="C43" s="565"/>
      <c r="D43" s="566"/>
      <c r="E43" s="1133" t="str">
        <f>IF(D43&lt;&gt;"",VLOOKUP(D43,staff_costs!$A$3:$H$22,6,0)/(52*40),"")</f>
        <v/>
      </c>
      <c r="F43" s="568"/>
      <c r="G43" s="568"/>
      <c r="I43" s="1040" t="str">
        <f t="shared" ref="I43:I45" si="0">IF(C43&gt;"",C43,"")</f>
        <v/>
      </c>
      <c r="J43" s="1133" t="str">
        <f t="shared" ref="J43:J45" si="1">IF(C43="","",(E43*(1-F43)*J36)+E43*(1+G43)*F43*J36)</f>
        <v/>
      </c>
      <c r="K43" s="1135" t="str">
        <f>IF(C43="","",K36*$E43+(K36*$F43*$G43))</f>
        <v/>
      </c>
      <c r="L43" s="39"/>
      <c r="M43" s="39"/>
      <c r="N43" s="39"/>
      <c r="O43" s="39"/>
      <c r="P43" s="39"/>
      <c r="Q43" s="39"/>
      <c r="R43" s="39"/>
    </row>
    <row r="44" spans="1:19" s="42" customFormat="1" ht="15">
      <c r="A44" s="39"/>
      <c r="B44" s="84"/>
      <c r="C44" s="88"/>
      <c r="D44" s="566"/>
      <c r="E44" s="1133" t="str">
        <f>IF(D44&lt;&gt;"",VLOOKUP(D44,staff_costs!$A$3:$H$22,6,0)/(52*40),"")</f>
        <v/>
      </c>
      <c r="F44" s="568"/>
      <c r="G44" s="568"/>
      <c r="I44" s="1040" t="str">
        <f t="shared" si="0"/>
        <v/>
      </c>
      <c r="J44" s="1133" t="str">
        <f t="shared" si="1"/>
        <v/>
      </c>
      <c r="K44" s="1135" t="str">
        <f>IF(C44="","",K37*$E44+(K37*$F44*$G44))</f>
        <v/>
      </c>
      <c r="L44" s="39"/>
      <c r="M44" s="39"/>
      <c r="N44" s="39"/>
      <c r="O44" s="39"/>
      <c r="P44" s="39"/>
      <c r="Q44" s="39"/>
      <c r="R44" s="39"/>
    </row>
    <row r="45" spans="1:19" s="42" customFormat="1" ht="15">
      <c r="A45" s="39"/>
      <c r="B45" s="84"/>
      <c r="C45" s="88"/>
      <c r="D45" s="566"/>
      <c r="E45" s="1133" t="str">
        <f>IF(D45&lt;&gt;"",VLOOKUP(D45,staff_costs!$A$3:$H$22,6,0)/(52*40),"")</f>
        <v/>
      </c>
      <c r="F45" s="568"/>
      <c r="G45" s="568"/>
      <c r="I45" s="1040" t="str">
        <f t="shared" si="0"/>
        <v/>
      </c>
      <c r="J45" s="1133" t="str">
        <f t="shared" si="1"/>
        <v/>
      </c>
      <c r="K45" s="1135" t="str">
        <f>IF(C45="","",K38*$E45+(K38*$F45*$G45))</f>
        <v/>
      </c>
      <c r="L45" s="39"/>
      <c r="M45" s="39"/>
      <c r="N45" s="39"/>
      <c r="O45" s="39"/>
      <c r="P45" s="39"/>
      <c r="Q45" s="39"/>
      <c r="R45" s="39"/>
    </row>
    <row r="46" spans="1:19" s="42" customFormat="1" ht="15">
      <c r="A46" s="39"/>
      <c r="B46" s="84"/>
      <c r="C46" s="40"/>
      <c r="D46" s="40"/>
      <c r="E46" s="40"/>
      <c r="F46" s="40"/>
      <c r="G46" s="40"/>
      <c r="H46" s="40"/>
      <c r="I46" s="91" t="s">
        <v>98</v>
      </c>
      <c r="J46" s="1133">
        <f>SUM(J41:J45)</f>
        <v>3065.0377230769232</v>
      </c>
      <c r="K46" s="1135">
        <f>SUM(K41:K45)</f>
        <v>159381.96160000001</v>
      </c>
      <c r="L46" s="39"/>
      <c r="M46" s="39"/>
      <c r="N46" s="39"/>
      <c r="O46" s="39"/>
      <c r="P46" s="39"/>
      <c r="Q46" s="39"/>
      <c r="R46" s="39"/>
      <c r="S46" s="39"/>
    </row>
    <row r="47" spans="1:19" s="42" customFormat="1" ht="15">
      <c r="A47" s="39"/>
      <c r="B47" s="84"/>
      <c r="C47" s="40"/>
      <c r="D47" s="40"/>
      <c r="E47" s="40"/>
      <c r="F47" s="40"/>
      <c r="G47" s="40"/>
      <c r="H47" s="40"/>
      <c r="I47" s="2213"/>
      <c r="J47" s="477"/>
      <c r="K47" s="2235"/>
      <c r="L47" s="39"/>
      <c r="M47" s="39"/>
      <c r="N47" s="39"/>
      <c r="O47" s="39"/>
      <c r="P47" s="39"/>
      <c r="Q47" s="39"/>
      <c r="R47" s="39"/>
      <c r="S47" s="39"/>
    </row>
    <row r="48" spans="1:19" s="42" customFormat="1" ht="45">
      <c r="A48" s="39"/>
      <c r="B48" s="84"/>
      <c r="C48" s="2216" t="s">
        <v>233</v>
      </c>
      <c r="D48" s="684" t="s">
        <v>1314</v>
      </c>
      <c r="E48" s="2216" t="s">
        <v>1313</v>
      </c>
      <c r="F48" s="1159"/>
      <c r="G48" s="1159"/>
      <c r="H48" s="40"/>
      <c r="I48" s="2216" t="s">
        <v>233</v>
      </c>
      <c r="J48" s="2202"/>
      <c r="K48" s="2216" t="s">
        <v>110</v>
      </c>
      <c r="L48" s="39"/>
      <c r="M48" s="39"/>
      <c r="N48" s="39"/>
      <c r="O48" s="39"/>
      <c r="P48" s="39"/>
      <c r="Q48" s="39"/>
      <c r="R48" s="39"/>
      <c r="S48" s="39"/>
    </row>
    <row r="49" spans="1:22" s="42" customFormat="1" ht="15">
      <c r="A49" s="39"/>
      <c r="B49" s="84"/>
      <c r="C49" s="565"/>
      <c r="D49" s="566"/>
      <c r="E49" s="1539"/>
      <c r="F49" s="605"/>
      <c r="G49" s="605"/>
      <c r="H49" s="40"/>
      <c r="I49" s="1040" t="str">
        <f>IF(C49="","",C49)</f>
        <v/>
      </c>
      <c r="J49" s="477"/>
      <c r="K49" s="1133" t="str">
        <f>IF(I49="","",D49*E49)</f>
        <v/>
      </c>
      <c r="L49" s="39"/>
      <c r="M49" s="39"/>
      <c r="N49" s="39"/>
      <c r="O49" s="39"/>
      <c r="P49" s="39"/>
      <c r="Q49" s="39"/>
      <c r="R49" s="39"/>
      <c r="S49" s="39"/>
    </row>
    <row r="50" spans="1:22" s="42" customFormat="1" ht="15">
      <c r="A50" s="39"/>
      <c r="B50" s="84"/>
      <c r="C50" s="565"/>
      <c r="D50" s="566"/>
      <c r="E50" s="1539"/>
      <c r="F50" s="605"/>
      <c r="G50" s="605"/>
      <c r="H50" s="40"/>
      <c r="I50" s="1040" t="str">
        <f t="shared" ref="I50:I53" si="2">IF(C50="","",C50)</f>
        <v/>
      </c>
      <c r="J50" s="477"/>
      <c r="K50" s="1133" t="str">
        <f t="shared" ref="K50:K53" si="3">IF(I50="","",D50*E50)</f>
        <v/>
      </c>
      <c r="L50" s="39"/>
      <c r="M50" s="39"/>
      <c r="N50" s="39"/>
      <c r="O50" s="39"/>
      <c r="P50" s="39"/>
      <c r="Q50" s="39"/>
      <c r="R50" s="39"/>
      <c r="S50" s="39"/>
    </row>
    <row r="51" spans="1:22" s="42" customFormat="1" ht="15">
      <c r="A51" s="39"/>
      <c r="B51" s="84"/>
      <c r="C51" s="565"/>
      <c r="D51" s="566"/>
      <c r="E51" s="1539" t="str">
        <f>IF(D51&lt;&gt;"",VLOOKUP(D51,staff_costs!$A$3:$H$22,6,0)/(52*40),"")</f>
        <v/>
      </c>
      <c r="F51" s="605"/>
      <c r="G51" s="605"/>
      <c r="H51" s="40"/>
      <c r="I51" s="1040" t="str">
        <f t="shared" si="2"/>
        <v/>
      </c>
      <c r="J51" s="477"/>
      <c r="K51" s="1133" t="str">
        <f t="shared" si="3"/>
        <v/>
      </c>
      <c r="L51" s="39"/>
      <c r="M51" s="39"/>
      <c r="N51" s="39"/>
      <c r="O51" s="39"/>
      <c r="P51" s="39"/>
      <c r="Q51" s="39"/>
      <c r="R51" s="39"/>
      <c r="S51" s="39"/>
    </row>
    <row r="52" spans="1:22" s="42" customFormat="1" ht="15">
      <c r="A52" s="39"/>
      <c r="B52" s="84"/>
      <c r="C52" s="565"/>
      <c r="D52" s="566"/>
      <c r="E52" s="1539" t="str">
        <f>IF(D52&lt;&gt;"",VLOOKUP(D52,staff_costs!$A$3:$H$22,6,0)/(52*40),"")</f>
        <v/>
      </c>
      <c r="F52" s="605"/>
      <c r="G52" s="605"/>
      <c r="H52" s="40"/>
      <c r="I52" s="1040" t="str">
        <f t="shared" si="2"/>
        <v/>
      </c>
      <c r="J52" s="477"/>
      <c r="K52" s="1133" t="str">
        <f t="shared" si="3"/>
        <v/>
      </c>
      <c r="L52" s="39"/>
      <c r="M52" s="39"/>
      <c r="N52" s="39"/>
      <c r="O52" s="39"/>
      <c r="P52" s="39"/>
      <c r="Q52" s="39"/>
      <c r="R52" s="39"/>
      <c r="S52" s="39"/>
    </row>
    <row r="53" spans="1:22" s="42" customFormat="1" ht="15">
      <c r="A53" s="39"/>
      <c r="B53" s="84"/>
      <c r="C53" s="565"/>
      <c r="D53" s="566"/>
      <c r="E53" s="1539" t="str">
        <f>IF(D53&lt;&gt;"",VLOOKUP(D53,staff_costs!$A$3:$H$22,6,0)/(52*40),"")</f>
        <v/>
      </c>
      <c r="F53" s="605"/>
      <c r="G53" s="605"/>
      <c r="H53" s="40"/>
      <c r="I53" s="1040" t="str">
        <f t="shared" si="2"/>
        <v/>
      </c>
      <c r="J53" s="477"/>
      <c r="K53" s="1133" t="str">
        <f t="shared" si="3"/>
        <v/>
      </c>
      <c r="L53" s="39"/>
      <c r="M53" s="39"/>
      <c r="N53" s="39"/>
      <c r="O53" s="39"/>
      <c r="P53" s="39"/>
      <c r="Q53" s="39"/>
      <c r="R53" s="39"/>
      <c r="S53" s="39"/>
    </row>
    <row r="54" spans="1:22" s="42" customFormat="1" ht="15">
      <c r="A54" s="39"/>
      <c r="B54" s="84"/>
      <c r="C54" s="40"/>
      <c r="D54" s="40"/>
      <c r="E54" s="40"/>
      <c r="F54" s="40"/>
      <c r="G54" s="40"/>
      <c r="H54" s="40"/>
      <c r="I54" s="1040" t="s">
        <v>98</v>
      </c>
      <c r="J54" s="477"/>
      <c r="K54" s="1133">
        <f>SUM(K49:K53)</f>
        <v>0</v>
      </c>
      <c r="L54" s="39"/>
      <c r="M54" s="39"/>
      <c r="N54" s="39"/>
      <c r="O54" s="39"/>
      <c r="P54" s="39"/>
      <c r="Q54" s="39"/>
      <c r="R54" s="39"/>
      <c r="S54" s="39"/>
    </row>
    <row r="55" spans="1:22" s="42" customFormat="1" ht="15">
      <c r="A55" s="39"/>
      <c r="B55" s="84"/>
      <c r="C55" s="40"/>
      <c r="D55" s="40"/>
      <c r="E55" s="40"/>
      <c r="F55" s="40"/>
      <c r="G55" s="40"/>
      <c r="H55" s="40"/>
      <c r="I55" s="2213"/>
      <c r="J55" s="477"/>
      <c r="K55" s="477"/>
      <c r="L55" s="39"/>
      <c r="M55" s="39"/>
      <c r="N55" s="39"/>
      <c r="O55" s="39"/>
      <c r="P55" s="39"/>
      <c r="Q55" s="39"/>
      <c r="R55" s="39"/>
      <c r="S55" s="39"/>
    </row>
    <row r="56" spans="1:22" s="42" customFormat="1" ht="15">
      <c r="A56" s="39"/>
      <c r="B56" s="84"/>
      <c r="C56" s="40"/>
      <c r="D56" s="40"/>
      <c r="E56" s="40"/>
      <c r="F56" s="40"/>
      <c r="G56" s="40"/>
      <c r="H56" s="40"/>
      <c r="I56" s="2213"/>
      <c r="J56" s="477"/>
      <c r="K56" s="477"/>
      <c r="L56" s="39"/>
      <c r="M56" s="39"/>
      <c r="N56" s="39"/>
      <c r="O56" s="39"/>
      <c r="P56" s="39"/>
      <c r="Q56" s="39"/>
      <c r="R56" s="39"/>
      <c r="S56" s="39"/>
    </row>
    <row r="57" spans="1:22" s="42" customFormat="1" ht="15">
      <c r="A57" s="39"/>
      <c r="B57" s="84"/>
      <c r="C57" s="44"/>
      <c r="D57" s="44"/>
      <c r="E57" s="40"/>
      <c r="F57" s="40"/>
      <c r="G57" s="43"/>
      <c r="H57" s="40"/>
      <c r="L57" s="39"/>
      <c r="M57" s="39"/>
      <c r="N57" s="39"/>
      <c r="O57" s="39"/>
      <c r="P57" s="39"/>
      <c r="Q57" s="39"/>
      <c r="R57" s="39"/>
      <c r="S57" s="39"/>
    </row>
    <row r="58" spans="1:22" s="42" customFormat="1" ht="30">
      <c r="A58" s="39"/>
      <c r="B58" s="84"/>
      <c r="C58" s="1147" t="s">
        <v>311</v>
      </c>
      <c r="D58" s="983" t="s">
        <v>100</v>
      </c>
      <c r="E58" s="983" t="s">
        <v>122</v>
      </c>
      <c r="F58" s="684" t="s">
        <v>199</v>
      </c>
      <c r="G58" s="526"/>
      <c r="H58" s="40"/>
      <c r="I58" s="1146" t="s">
        <v>310</v>
      </c>
      <c r="J58" s="563" t="s">
        <v>304</v>
      </c>
      <c r="K58" s="1134" t="s">
        <v>110</v>
      </c>
      <c r="L58" s="39"/>
      <c r="M58" s="39"/>
      <c r="N58" s="39"/>
      <c r="O58" s="39"/>
      <c r="P58" s="39"/>
      <c r="Q58" s="39"/>
      <c r="R58" s="39"/>
      <c r="S58" s="39"/>
    </row>
    <row r="59" spans="1:22" s="42" customFormat="1" ht="15">
      <c r="A59" s="39"/>
      <c r="B59" s="84"/>
      <c r="C59" s="96" t="s">
        <v>308</v>
      </c>
      <c r="D59" s="1494">
        <v>0.5</v>
      </c>
      <c r="E59" s="1494">
        <v>0.85</v>
      </c>
      <c r="F59" s="1416">
        <v>0.78</v>
      </c>
      <c r="G59" s="43"/>
      <c r="H59" s="40"/>
      <c r="I59" s="91" t="s">
        <v>308</v>
      </c>
      <c r="J59" s="1347">
        <f>J26*F59*(1-F64)</f>
        <v>66.69</v>
      </c>
      <c r="K59" s="1345">
        <f>J59*52</f>
        <v>3467.88</v>
      </c>
      <c r="L59" s="39"/>
      <c r="M59" s="39"/>
      <c r="N59" s="39"/>
      <c r="O59" s="39"/>
      <c r="P59" s="39"/>
      <c r="Q59" s="39"/>
      <c r="R59" s="39"/>
      <c r="S59" s="39"/>
    </row>
    <row r="60" spans="1:22" s="42" customFormat="1" ht="15">
      <c r="A60" s="39"/>
      <c r="B60" s="84"/>
      <c r="C60" s="96" t="s">
        <v>306</v>
      </c>
      <c r="D60" s="1494">
        <v>0.5</v>
      </c>
      <c r="E60" s="1494">
        <v>0.85</v>
      </c>
      <c r="F60" s="1416">
        <v>0.80700000000000005</v>
      </c>
      <c r="G60" s="43"/>
      <c r="H60" s="40"/>
      <c r="I60" s="91" t="s">
        <v>306</v>
      </c>
      <c r="J60" s="1347">
        <f>J27*F60*(1-F65)</f>
        <v>55.198800000000006</v>
      </c>
      <c r="K60" s="1345">
        <f>J60*52</f>
        <v>2870.3376000000003</v>
      </c>
      <c r="L60" s="39"/>
      <c r="M60" s="39"/>
      <c r="N60" s="39"/>
      <c r="O60" s="39"/>
      <c r="P60" s="39"/>
      <c r="Q60" s="2"/>
      <c r="R60" s="2"/>
      <c r="S60" s="2"/>
      <c r="T60" s="3"/>
      <c r="U60" s="3"/>
      <c r="V60" s="3"/>
    </row>
    <row r="61" spans="1:22" s="42" customFormat="1" ht="15">
      <c r="A61" s="39"/>
      <c r="B61" s="84"/>
      <c r="C61" s="96" t="s">
        <v>305</v>
      </c>
      <c r="D61" s="1494">
        <v>0.4</v>
      </c>
      <c r="E61" s="1494">
        <v>0.75</v>
      </c>
      <c r="F61" s="1416">
        <v>0.75</v>
      </c>
      <c r="G61" s="43"/>
      <c r="H61" s="40"/>
      <c r="I61" s="91" t="s">
        <v>305</v>
      </c>
      <c r="J61" s="1347">
        <f>J28*F61*(1-F66)</f>
        <v>51.3</v>
      </c>
      <c r="K61" s="1345">
        <f>J61*52</f>
        <v>2667.6</v>
      </c>
      <c r="L61" s="39"/>
      <c r="M61" s="39"/>
      <c r="N61" s="39"/>
      <c r="O61" s="39"/>
      <c r="P61" s="39"/>
      <c r="Q61" s="2"/>
      <c r="R61" s="2"/>
      <c r="S61" s="2"/>
      <c r="T61" s="3"/>
      <c r="U61" s="3"/>
      <c r="V61" s="3"/>
    </row>
    <row r="62" spans="1:22" s="42" customFormat="1" ht="15">
      <c r="A62" s="39"/>
      <c r="B62" s="84"/>
      <c r="C62" s="40"/>
      <c r="D62" s="243"/>
      <c r="E62" s="243"/>
      <c r="F62" s="243"/>
      <c r="G62" s="43"/>
      <c r="H62" s="40"/>
      <c r="I62" s="91" t="s">
        <v>98</v>
      </c>
      <c r="J62" s="1347">
        <f>SUM(J59:J61)</f>
        <v>173.18880000000001</v>
      </c>
      <c r="K62" s="1345">
        <f>J62*52</f>
        <v>9005.8176000000003</v>
      </c>
      <c r="L62" s="39"/>
      <c r="M62" s="39"/>
      <c r="N62" s="39"/>
      <c r="O62" s="39"/>
      <c r="P62" s="39"/>
      <c r="Q62" s="2"/>
      <c r="R62" s="2"/>
      <c r="S62" s="2"/>
      <c r="T62" s="3"/>
      <c r="U62" s="3"/>
      <c r="V62" s="3"/>
    </row>
    <row r="63" spans="1:22" s="42" customFormat="1" ht="15">
      <c r="A63" s="39"/>
      <c r="B63" s="84"/>
      <c r="C63" s="1147" t="s">
        <v>309</v>
      </c>
      <c r="D63" s="983" t="s">
        <v>100</v>
      </c>
      <c r="E63" s="983" t="s">
        <v>122</v>
      </c>
      <c r="F63" s="684" t="s">
        <v>199</v>
      </c>
      <c r="G63" s="43"/>
      <c r="H63" s="40"/>
      <c r="I63" s="98"/>
      <c r="J63" s="98"/>
      <c r="K63" s="218"/>
      <c r="L63" s="39"/>
      <c r="M63" s="39"/>
      <c r="N63" s="39"/>
      <c r="O63" s="39"/>
      <c r="P63" s="39"/>
      <c r="Q63" s="2"/>
      <c r="R63" s="2"/>
      <c r="S63" s="2"/>
      <c r="T63" s="3"/>
      <c r="U63" s="3"/>
      <c r="V63" s="3"/>
    </row>
    <row r="64" spans="1:22" s="42" customFormat="1" ht="15">
      <c r="A64" s="39"/>
      <c r="B64" s="84"/>
      <c r="C64" s="96" t="s">
        <v>308</v>
      </c>
      <c r="D64" s="1494">
        <v>0.03</v>
      </c>
      <c r="E64" s="1494">
        <v>0.15</v>
      </c>
      <c r="F64" s="1416">
        <v>0.05</v>
      </c>
      <c r="G64" s="43"/>
      <c r="H64" s="40"/>
      <c r="I64" s="44"/>
      <c r="J64" s="47"/>
      <c r="K64" s="157"/>
      <c r="L64" s="39"/>
      <c r="M64" s="39"/>
      <c r="N64" s="39"/>
      <c r="O64" s="39"/>
      <c r="P64" s="39"/>
      <c r="Q64" s="2"/>
      <c r="R64" s="2"/>
      <c r="S64" s="2"/>
      <c r="T64" s="3"/>
      <c r="U64" s="3"/>
      <c r="V64" s="3"/>
    </row>
    <row r="65" spans="1:22" s="42" customFormat="1" ht="15">
      <c r="A65" s="39"/>
      <c r="B65" s="84"/>
      <c r="C65" s="96" t="s">
        <v>306</v>
      </c>
      <c r="D65" s="1494">
        <v>0.03</v>
      </c>
      <c r="E65" s="1494">
        <v>0.15</v>
      </c>
      <c r="F65" s="1416">
        <v>0.05</v>
      </c>
      <c r="G65" s="43"/>
      <c r="H65" s="40"/>
      <c r="I65" s="91" t="s">
        <v>307</v>
      </c>
      <c r="J65" s="1194">
        <f>(K46+K54)/K62</f>
        <v>17.697667072448812</v>
      </c>
      <c r="K65" s="157"/>
      <c r="L65" s="39"/>
      <c r="M65" s="39"/>
      <c r="N65" s="39"/>
      <c r="O65" s="39"/>
      <c r="P65" s="39"/>
      <c r="Q65" s="2"/>
      <c r="R65" s="2"/>
      <c r="S65" s="2"/>
      <c r="T65" s="3"/>
      <c r="U65" s="3"/>
      <c r="V65" s="3"/>
    </row>
    <row r="66" spans="1:22" s="42" customFormat="1" ht="15">
      <c r="A66" s="39"/>
      <c r="B66" s="84"/>
      <c r="C66" s="96" t="s">
        <v>305</v>
      </c>
      <c r="D66" s="1494">
        <v>0.03</v>
      </c>
      <c r="E66" s="1494">
        <v>0.15</v>
      </c>
      <c r="F66" s="1416">
        <v>0.05</v>
      </c>
      <c r="G66" s="43"/>
      <c r="H66" s="40"/>
      <c r="I66" s="98"/>
      <c r="J66" s="98"/>
      <c r="K66" s="157"/>
      <c r="L66" s="39"/>
      <c r="M66" s="39"/>
      <c r="N66" s="39"/>
      <c r="O66" s="39"/>
      <c r="P66" s="39"/>
      <c r="Q66" s="2"/>
      <c r="R66" s="2"/>
      <c r="S66" s="2"/>
      <c r="T66" s="3"/>
      <c r="U66" s="3"/>
      <c r="V66" s="3"/>
    </row>
    <row r="67" spans="1:22" s="42" customFormat="1" ht="15">
      <c r="A67" s="39"/>
      <c r="B67" s="84"/>
      <c r="C67" s="40"/>
      <c r="D67" s="40"/>
      <c r="E67" s="40"/>
      <c r="F67" s="40"/>
      <c r="G67" s="43"/>
      <c r="H67" s="40"/>
      <c r="I67" s="98"/>
      <c r="J67" s="98"/>
      <c r="K67" s="218"/>
      <c r="L67" s="39"/>
      <c r="M67" s="39"/>
      <c r="N67" s="39"/>
      <c r="O67" s="39"/>
      <c r="P67" s="39"/>
      <c r="Q67" s="2"/>
      <c r="R67" s="2"/>
      <c r="S67" s="2"/>
      <c r="T67" s="3"/>
      <c r="U67" s="3"/>
      <c r="V67" s="3"/>
    </row>
    <row r="68" spans="1:22" s="42" customFormat="1">
      <c r="A68" s="39"/>
      <c r="B68" s="130"/>
      <c r="C68" s="187"/>
      <c r="D68" s="187"/>
      <c r="E68" s="187"/>
      <c r="F68" s="187"/>
      <c r="G68" s="187"/>
      <c r="H68" s="187"/>
      <c r="I68" s="187"/>
      <c r="J68" s="40"/>
      <c r="K68" s="133"/>
      <c r="L68" s="39"/>
      <c r="M68" s="39"/>
      <c r="N68" s="39"/>
      <c r="O68" s="39"/>
      <c r="P68" s="39"/>
      <c r="Q68" s="39"/>
      <c r="R68" s="39"/>
      <c r="S68" s="39"/>
    </row>
    <row r="69" spans="1:22" s="42" customFormat="1" ht="15">
      <c r="A69" s="39"/>
      <c r="B69" s="2343" t="s">
        <v>102</v>
      </c>
      <c r="C69" s="2360"/>
      <c r="D69" s="2360"/>
      <c r="E69" s="2360"/>
      <c r="F69" s="2360"/>
      <c r="G69" s="2360"/>
      <c r="H69" s="2360"/>
      <c r="I69" s="2360"/>
      <c r="J69" s="2360"/>
      <c r="K69" s="2361"/>
      <c r="L69" s="39"/>
      <c r="M69" s="39"/>
      <c r="N69" s="39"/>
      <c r="O69" s="39"/>
      <c r="P69" s="39"/>
      <c r="Q69" s="39"/>
      <c r="R69" s="39"/>
      <c r="S69" s="39"/>
    </row>
    <row r="70" spans="1:22" s="42" customFormat="1" ht="15">
      <c r="A70" s="39"/>
      <c r="B70" s="813"/>
      <c r="C70" s="685"/>
      <c r="D70" s="685"/>
      <c r="E70" s="685"/>
      <c r="F70" s="685"/>
      <c r="G70" s="685"/>
      <c r="H70" s="685"/>
      <c r="I70" s="1199"/>
      <c r="J70" s="1199"/>
      <c r="K70" s="1043"/>
      <c r="L70" s="39"/>
      <c r="M70" s="39"/>
      <c r="N70" s="39"/>
      <c r="O70" s="39"/>
      <c r="P70" s="39"/>
      <c r="Q70" s="39"/>
      <c r="R70" s="39"/>
      <c r="S70" s="39"/>
    </row>
    <row r="71" spans="1:22" s="42" customFormat="1" ht="15">
      <c r="A71" s="39"/>
      <c r="B71" s="84"/>
      <c r="C71" s="2386"/>
      <c r="D71" s="2386"/>
      <c r="E71" s="2386"/>
      <c r="F71" s="2386"/>
      <c r="G71" s="43"/>
      <c r="H71" s="40"/>
      <c r="I71" s="986" t="s">
        <v>1291</v>
      </c>
      <c r="J71" s="1198">
        <f>K62</f>
        <v>9005.8176000000003</v>
      </c>
      <c r="K71" s="1043"/>
      <c r="L71" s="39"/>
      <c r="M71" s="39"/>
      <c r="N71" s="39"/>
      <c r="O71" s="39"/>
      <c r="P71" s="39"/>
      <c r="Q71" s="2"/>
      <c r="R71" s="2"/>
      <c r="S71" s="2"/>
      <c r="T71" s="3"/>
      <c r="U71" s="3"/>
      <c r="V71" s="3"/>
    </row>
    <row r="72" spans="1:22" s="42" customFormat="1" ht="15">
      <c r="A72" s="39"/>
      <c r="B72" s="84"/>
      <c r="C72" s="617"/>
      <c r="D72" s="617"/>
      <c r="E72" s="617"/>
      <c r="F72" s="617"/>
      <c r="G72" s="438"/>
      <c r="H72" s="40"/>
      <c r="I72" s="1200"/>
      <c r="J72" s="987"/>
      <c r="K72" s="1201"/>
      <c r="L72" s="39"/>
      <c r="M72" s="39"/>
      <c r="N72" s="39"/>
      <c r="O72" s="39"/>
      <c r="P72" s="39"/>
      <c r="Q72" s="517"/>
      <c r="R72" s="517"/>
      <c r="S72" s="517"/>
      <c r="T72" s="518"/>
      <c r="U72" s="518"/>
      <c r="V72" s="518"/>
    </row>
    <row r="73" spans="1:22" s="42" customFormat="1" ht="45">
      <c r="A73" s="39"/>
      <c r="B73" s="84"/>
      <c r="C73" s="1147" t="s">
        <v>1020</v>
      </c>
      <c r="D73" s="983" t="s">
        <v>100</v>
      </c>
      <c r="E73" s="983" t="s">
        <v>122</v>
      </c>
      <c r="F73" s="684" t="s">
        <v>199</v>
      </c>
      <c r="G73" s="43"/>
      <c r="H73" s="40"/>
      <c r="I73" s="1250" t="s">
        <v>1021</v>
      </c>
      <c r="J73" s="563" t="s">
        <v>110</v>
      </c>
      <c r="K73" s="1134" t="s">
        <v>148</v>
      </c>
      <c r="L73" s="39"/>
      <c r="M73" s="39"/>
      <c r="N73" s="39"/>
      <c r="O73" s="39"/>
      <c r="P73" s="39"/>
      <c r="Q73" s="2"/>
      <c r="R73" s="2"/>
      <c r="S73" s="2"/>
      <c r="T73" s="3"/>
      <c r="U73" s="3"/>
      <c r="V73" s="3"/>
    </row>
    <row r="74" spans="1:22" s="42" customFormat="1" ht="15">
      <c r="A74" s="39"/>
      <c r="B74" s="84"/>
      <c r="C74" s="121" t="s">
        <v>44</v>
      </c>
      <c r="D74" s="604">
        <v>0.1</v>
      </c>
      <c r="E74" s="604">
        <v>0.5</v>
      </c>
      <c r="F74" s="587">
        <v>0.37</v>
      </c>
      <c r="G74" s="43"/>
      <c r="H74" s="40"/>
      <c r="I74" s="91" t="str">
        <f>C74</f>
        <v>OOH clinic visits</v>
      </c>
      <c r="J74" s="771">
        <f>F74*$K$62</f>
        <v>3332.1525120000001</v>
      </c>
      <c r="K74" s="104">
        <f>INT(J74/E90)*E90</f>
        <v>0</v>
      </c>
      <c r="L74" s="39"/>
      <c r="M74" s="39"/>
      <c r="N74" s="39"/>
      <c r="O74" s="39"/>
      <c r="P74" s="39"/>
      <c r="Q74" s="2"/>
      <c r="R74" s="2"/>
      <c r="S74" s="2"/>
      <c r="T74" s="3"/>
      <c r="U74" s="3"/>
      <c r="V74" s="3"/>
    </row>
    <row r="75" spans="1:22" s="42" customFormat="1" ht="15">
      <c r="A75" s="39"/>
      <c r="B75" s="84"/>
      <c r="C75" s="121" t="s">
        <v>67</v>
      </c>
      <c r="D75" s="604">
        <v>0.1</v>
      </c>
      <c r="E75" s="604">
        <v>0.5</v>
      </c>
      <c r="F75" s="566">
        <v>0.14000000000000001</v>
      </c>
      <c r="G75" s="43"/>
      <c r="H75" s="40"/>
      <c r="I75" s="91" t="str">
        <f>C75</f>
        <v>UCC attends</v>
      </c>
      <c r="J75" s="771">
        <f>F75*$K$62</f>
        <v>1260.8144640000003</v>
      </c>
      <c r="K75" s="104">
        <f>INT(J75/E91)*E91</f>
        <v>0</v>
      </c>
      <c r="L75" s="39"/>
      <c r="M75" s="39"/>
      <c r="N75" s="39"/>
      <c r="O75" s="39"/>
      <c r="P75" s="39"/>
      <c r="Q75" s="2"/>
      <c r="R75" s="2"/>
      <c r="S75" s="2"/>
      <c r="T75" s="3"/>
      <c r="U75" s="3"/>
      <c r="V75" s="3"/>
    </row>
    <row r="76" spans="1:22" s="42" customFormat="1" ht="15">
      <c r="A76" s="39"/>
      <c r="B76" s="84"/>
      <c r="C76" s="121" t="s">
        <v>49</v>
      </c>
      <c r="D76" s="604">
        <v>0</v>
      </c>
      <c r="E76" s="604">
        <v>0.1</v>
      </c>
      <c r="F76" s="566">
        <v>0.04</v>
      </c>
      <c r="G76" s="43"/>
      <c r="H76" s="40"/>
      <c r="I76" s="91" t="str">
        <f>C76</f>
        <v>ED Minor attends</v>
      </c>
      <c r="J76" s="771">
        <f>F76*$K$62</f>
        <v>360.23270400000001</v>
      </c>
      <c r="K76" s="104">
        <f>INT(J76/E92)*E92</f>
        <v>0</v>
      </c>
      <c r="L76" s="39"/>
      <c r="M76" s="39"/>
      <c r="N76" s="39"/>
      <c r="O76" s="39"/>
      <c r="P76" s="39"/>
      <c r="Q76" s="2"/>
      <c r="R76" s="2"/>
      <c r="S76" s="2"/>
      <c r="T76" s="3"/>
      <c r="U76" s="3"/>
      <c r="V76" s="3"/>
    </row>
    <row r="77" spans="1:22" s="42" customFormat="1" ht="15">
      <c r="A77" s="39"/>
      <c r="B77" s="84"/>
      <c r="C77" s="93" t="s">
        <v>290</v>
      </c>
      <c r="D77" s="604">
        <v>0</v>
      </c>
      <c r="E77" s="604">
        <v>0.1</v>
      </c>
      <c r="F77" s="587">
        <v>0.01</v>
      </c>
      <c r="G77" s="43"/>
      <c r="H77" s="40"/>
      <c r="I77" s="91" t="str">
        <f>C77</f>
        <v>Attendance at own GP practice in hours</v>
      </c>
      <c r="J77" s="771">
        <f>F77*$K$62</f>
        <v>90.058176000000003</v>
      </c>
      <c r="K77" s="1338">
        <f>INT(J77/E93)*E93</f>
        <v>90</v>
      </c>
      <c r="L77" s="39"/>
      <c r="M77" s="39"/>
      <c r="N77" s="39"/>
      <c r="O77" s="39"/>
      <c r="P77" s="39"/>
      <c r="Q77" s="2"/>
      <c r="R77" s="2"/>
      <c r="S77" s="2"/>
      <c r="T77" s="3"/>
      <c r="U77" s="3"/>
      <c r="V77" s="3"/>
    </row>
    <row r="78" spans="1:22" s="42" customFormat="1" ht="45">
      <c r="A78" s="39"/>
      <c r="B78" s="84"/>
      <c r="C78" s="93" t="s">
        <v>1252</v>
      </c>
      <c r="D78" s="809"/>
      <c r="E78" s="809"/>
      <c r="F78" s="1495">
        <f>1-SUM(F74:F77)</f>
        <v>0.43999999999999995</v>
      </c>
      <c r="G78" s="43"/>
      <c r="H78" s="40"/>
      <c r="I78" s="100"/>
      <c r="J78" s="100"/>
      <c r="K78" s="82"/>
      <c r="L78" s="39"/>
      <c r="M78" s="39"/>
      <c r="N78" s="39"/>
      <c r="O78" s="39"/>
      <c r="P78" s="39"/>
      <c r="Q78" s="2"/>
      <c r="R78" s="2"/>
      <c r="S78" s="2"/>
      <c r="T78" s="3"/>
      <c r="U78" s="3"/>
      <c r="V78" s="3"/>
    </row>
    <row r="79" spans="1:22" s="42" customFormat="1" ht="15">
      <c r="A79" s="39"/>
      <c r="B79" s="84"/>
      <c r="C79" s="73"/>
      <c r="D79" s="73"/>
      <c r="E79" s="73"/>
      <c r="F79" s="73"/>
      <c r="G79" s="43"/>
      <c r="H79" s="40"/>
      <c r="I79" s="100"/>
      <c r="J79" s="48"/>
      <c r="K79" s="219"/>
      <c r="L79" s="39"/>
      <c r="M79" s="39"/>
      <c r="N79" s="39"/>
      <c r="O79" s="39"/>
      <c r="P79" s="39"/>
      <c r="Q79" s="2"/>
      <c r="R79" s="2"/>
      <c r="S79" s="2"/>
      <c r="T79" s="3"/>
      <c r="U79" s="3"/>
      <c r="V79" s="3"/>
    </row>
    <row r="80" spans="1:22" s="42" customFormat="1" ht="30" customHeight="1">
      <c r="A80" s="39"/>
      <c r="B80" s="84"/>
      <c r="C80" s="1449" t="s">
        <v>291</v>
      </c>
      <c r="D80" s="684" t="s">
        <v>199</v>
      </c>
      <c r="E80" s="1161"/>
      <c r="G80" s="40"/>
      <c r="H80" s="40"/>
      <c r="I80" s="446" t="s">
        <v>1022</v>
      </c>
      <c r="J80" s="691" t="s">
        <v>661</v>
      </c>
      <c r="K80" s="1173" t="s">
        <v>120</v>
      </c>
      <c r="L80" s="39"/>
      <c r="M80" s="39"/>
      <c r="N80" s="39"/>
      <c r="O80" s="39"/>
      <c r="P80" s="39"/>
      <c r="Q80" s="2"/>
      <c r="R80" s="2"/>
      <c r="S80" s="2"/>
      <c r="T80" s="3"/>
      <c r="U80" s="3"/>
      <c r="V80" s="3"/>
    </row>
    <row r="81" spans="1:22" s="42" customFormat="1" ht="15">
      <c r="A81" s="39"/>
      <c r="B81" s="84"/>
      <c r="C81" s="946" t="str">
        <f>C74</f>
        <v>OOH clinic visits</v>
      </c>
      <c r="D81" s="980">
        <f>1/F74</f>
        <v>2.7027027027027026</v>
      </c>
      <c r="E81" s="40"/>
      <c r="G81" s="40"/>
      <c r="H81" s="40"/>
      <c r="I81" s="91" t="str">
        <f>I74</f>
        <v>OOH clinic visits</v>
      </c>
      <c r="J81" s="1133">
        <f>J74*D90</f>
        <v>227586.0165696</v>
      </c>
      <c r="K81" s="1135">
        <f>(J74-K74)*F90+(K74*G90)</f>
        <v>25517.040809949081</v>
      </c>
      <c r="L81" s="39"/>
      <c r="M81" s="39"/>
      <c r="N81" s="39"/>
      <c r="O81" s="39"/>
      <c r="P81" s="39"/>
      <c r="Q81" s="2"/>
      <c r="R81" s="2"/>
      <c r="S81" s="2"/>
      <c r="T81" s="3"/>
      <c r="U81" s="3"/>
      <c r="V81" s="3"/>
    </row>
    <row r="82" spans="1:22" s="42" customFormat="1" ht="15">
      <c r="A82" s="39"/>
      <c r="B82" s="84"/>
      <c r="C82" s="946" t="str">
        <f>C75</f>
        <v>UCC attends</v>
      </c>
      <c r="D82" s="184">
        <f>1/F75</f>
        <v>7.1428571428571423</v>
      </c>
      <c r="E82" s="40"/>
      <c r="G82" s="40"/>
      <c r="H82" s="40"/>
      <c r="I82" s="91" t="str">
        <f>I75</f>
        <v>UCC attends</v>
      </c>
      <c r="J82" s="1133">
        <f>J75*D91</f>
        <v>71866.42444800002</v>
      </c>
      <c r="K82" s="1135">
        <f>(J75-K75)*F91+(K75*G91)</f>
        <v>5497.1510630400007</v>
      </c>
      <c r="L82" s="39"/>
      <c r="M82" s="39"/>
      <c r="N82" s="39"/>
      <c r="O82" s="39"/>
      <c r="P82" s="39"/>
      <c r="Q82" s="2"/>
      <c r="R82" s="2"/>
      <c r="S82" s="2"/>
      <c r="T82" s="3"/>
      <c r="U82" s="3"/>
      <c r="V82" s="3"/>
    </row>
    <row r="83" spans="1:22" s="42" customFormat="1" ht="15">
      <c r="A83" s="39"/>
      <c r="B83" s="84"/>
      <c r="C83" s="946" t="str">
        <f>C76</f>
        <v>ED Minor attends</v>
      </c>
      <c r="D83" s="184">
        <f>1/F76</f>
        <v>25</v>
      </c>
      <c r="E83" s="40"/>
      <c r="G83" s="40"/>
      <c r="H83" s="40"/>
      <c r="I83" s="91" t="str">
        <f>I76</f>
        <v>ED Minor attends</v>
      </c>
      <c r="J83" s="1133">
        <f>J76*D92</f>
        <v>32252.751015277874</v>
      </c>
      <c r="K83" s="1135">
        <f>(J76-K76)*F92+(K76*G92)</f>
        <v>3929.9348360587433</v>
      </c>
      <c r="L83" s="39"/>
      <c r="M83" s="39"/>
      <c r="N83" s="39"/>
      <c r="O83" s="39"/>
      <c r="P83" s="39"/>
      <c r="Q83" s="2"/>
      <c r="R83" s="2"/>
      <c r="S83" s="2"/>
      <c r="T83" s="3"/>
      <c r="U83" s="3"/>
      <c r="V83" s="3"/>
    </row>
    <row r="84" spans="1:22" s="42" customFormat="1" ht="15">
      <c r="A84" s="39"/>
      <c r="B84" s="84"/>
      <c r="C84" s="946" t="str">
        <f>C77</f>
        <v>Attendance at own GP practice in hours</v>
      </c>
      <c r="D84" s="184">
        <f>1/F77</f>
        <v>100</v>
      </c>
      <c r="E84" s="40"/>
      <c r="G84" s="40"/>
      <c r="H84" s="40"/>
      <c r="I84" s="91" t="str">
        <f>I77</f>
        <v>Attendance at own GP practice in hours</v>
      </c>
      <c r="J84" s="1133">
        <f>J77*D93</f>
        <v>3332.1525120000001</v>
      </c>
      <c r="K84" s="1135">
        <f>(J77-K77)*F93+(K77*G93)</f>
        <v>374.38129373670466</v>
      </c>
      <c r="L84" s="39"/>
      <c r="M84" s="39"/>
      <c r="N84" s="39"/>
      <c r="O84" s="39"/>
      <c r="P84" s="39"/>
      <c r="Q84" s="2"/>
      <c r="R84" s="2"/>
      <c r="S84" s="2"/>
      <c r="T84" s="3"/>
      <c r="U84" s="3"/>
      <c r="V84" s="3"/>
    </row>
    <row r="85" spans="1:22" s="42" customFormat="1" ht="15">
      <c r="A85" s="39"/>
      <c r="B85" s="84"/>
      <c r="C85" s="73"/>
      <c r="D85" s="40"/>
      <c r="E85" s="40"/>
      <c r="F85" s="73"/>
      <c r="G85" s="40"/>
      <c r="H85" s="40"/>
      <c r="I85" s="91" t="s">
        <v>98</v>
      </c>
      <c r="J85" s="1133">
        <f>SUM(J81:J84)</f>
        <v>335037.34454487788</v>
      </c>
      <c r="K85" s="1135">
        <f>SUM(K81:K84)</f>
        <v>35318.508002784532</v>
      </c>
      <c r="L85" s="39"/>
      <c r="M85" s="39"/>
      <c r="N85" s="39"/>
      <c r="O85" s="39"/>
      <c r="P85" s="39"/>
      <c r="Q85" s="2"/>
      <c r="R85" s="2"/>
      <c r="S85" s="2"/>
      <c r="T85" s="3"/>
      <c r="U85" s="3"/>
      <c r="V85" s="3"/>
    </row>
    <row r="86" spans="1:22" s="42" customFormat="1">
      <c r="A86" s="39"/>
      <c r="B86" s="84"/>
      <c r="C86" s="40"/>
      <c r="D86" s="40"/>
      <c r="E86" s="40"/>
      <c r="F86" s="40"/>
      <c r="G86" s="40"/>
      <c r="H86" s="40"/>
      <c r="I86" s="220"/>
      <c r="J86" s="100"/>
      <c r="K86" s="555"/>
      <c r="L86" s="39"/>
      <c r="M86" s="39"/>
      <c r="N86" s="39"/>
      <c r="O86" s="39"/>
      <c r="P86" s="39"/>
      <c r="Q86" s="2"/>
      <c r="R86" s="2"/>
      <c r="S86" s="2"/>
      <c r="T86" s="3"/>
      <c r="U86" s="3"/>
      <c r="V86" s="3"/>
    </row>
    <row r="87" spans="1:22" s="42" customFormat="1">
      <c r="A87" s="39"/>
      <c r="B87" s="84"/>
      <c r="C87" s="40"/>
      <c r="D87" s="40"/>
      <c r="E87" s="40"/>
      <c r="F87" s="40"/>
      <c r="G87" s="40"/>
      <c r="H87" s="40"/>
      <c r="I87" s="220"/>
      <c r="J87" s="100"/>
      <c r="K87" s="555"/>
      <c r="L87" s="39"/>
      <c r="M87" s="39"/>
      <c r="N87" s="39"/>
      <c r="O87" s="39"/>
      <c r="P87" s="39"/>
      <c r="Q87" s="2"/>
      <c r="R87" s="2"/>
      <c r="S87" s="2"/>
      <c r="T87" s="3"/>
      <c r="U87" s="3"/>
      <c r="V87" s="3"/>
    </row>
    <row r="88" spans="1:22" s="42" customFormat="1">
      <c r="A88" s="39"/>
      <c r="B88" s="84"/>
      <c r="C88" s="40"/>
      <c r="D88" s="40"/>
      <c r="E88" s="40"/>
      <c r="F88" s="40"/>
      <c r="G88" s="40"/>
      <c r="H88" s="40"/>
      <c r="I88" s="221"/>
      <c r="J88" s="221"/>
      <c r="K88" s="222"/>
      <c r="L88" s="39"/>
      <c r="M88" s="39"/>
      <c r="N88" s="39"/>
      <c r="O88" s="39"/>
      <c r="P88" s="39"/>
      <c r="Q88" s="2"/>
      <c r="R88" s="2"/>
      <c r="S88" s="2"/>
      <c r="T88" s="3"/>
      <c r="U88" s="3"/>
      <c r="V88" s="3"/>
    </row>
    <row r="89" spans="1:22" s="42" customFormat="1" ht="75">
      <c r="B89" s="194"/>
      <c r="C89" s="582" t="s">
        <v>1214</v>
      </c>
      <c r="D89" s="87" t="s">
        <v>660</v>
      </c>
      <c r="E89" s="87" t="s">
        <v>145</v>
      </c>
      <c r="F89" s="87" t="s">
        <v>144</v>
      </c>
      <c r="G89" s="87" t="s">
        <v>561</v>
      </c>
      <c r="I89" s="73"/>
      <c r="J89" s="73"/>
      <c r="K89" s="106"/>
    </row>
    <row r="90" spans="1:22" s="42" customFormat="1" ht="15">
      <c r="B90" s="194"/>
      <c r="C90" s="121" t="s">
        <v>44</v>
      </c>
      <c r="D90" s="1194">
        <f>VLOOKUP($C90,local_data_input!$B$4:$K$20,2,FALSE)</f>
        <v>68.3</v>
      </c>
      <c r="E90" s="771">
        <f>VLOOKUP($C90,local_data_input!$B$4:$K$20,7,FALSE)</f>
        <v>6300</v>
      </c>
      <c r="F90" s="1194">
        <f>VLOOKUP($C90,local_data_input!$B$4:$K$20,8,FALSE)</f>
        <v>7.6578249999227763</v>
      </c>
      <c r="G90" s="1194">
        <f>VLOOKUP($C90,local_data_input!$B$4:$K$20,9,FALSE)</f>
        <v>7.6578249999227763</v>
      </c>
      <c r="I90" s="73"/>
      <c r="J90" s="73"/>
      <c r="K90" s="106"/>
    </row>
    <row r="91" spans="1:22" s="42" customFormat="1" ht="15">
      <c r="B91" s="194"/>
      <c r="C91" s="121" t="s">
        <v>67</v>
      </c>
      <c r="D91" s="1194">
        <f>VLOOKUP($C91,local_data_input!$B$4:$K$20,2,FALSE)</f>
        <v>57</v>
      </c>
      <c r="E91" s="771">
        <f>VLOOKUP($C91,local_data_input!$B$4:$K$20,7,FALSE)</f>
        <v>4725</v>
      </c>
      <c r="F91" s="1194">
        <f>VLOOKUP($C91,local_data_input!$B$4:$K$20,8,FALSE)</f>
        <v>4.3599999999999994</v>
      </c>
      <c r="G91" s="1194">
        <f>VLOOKUP($C91,local_data_input!$B$4:$K$20,9,FALSE)</f>
        <v>4.3599999999999994</v>
      </c>
      <c r="I91" s="73"/>
      <c r="J91" s="73"/>
      <c r="K91" s="106"/>
    </row>
    <row r="92" spans="1:22" s="42" customFormat="1" ht="15">
      <c r="B92" s="194"/>
      <c r="C92" s="121" t="s">
        <v>49</v>
      </c>
      <c r="D92" s="1194">
        <f>VLOOKUP($C92,local_data_input!$B$4:$K$20,2,FALSE)</f>
        <v>89.533100846051653</v>
      </c>
      <c r="E92" s="771">
        <f>VLOOKUP($C92,local_data_input!$B$4:$K$20,7,FALSE)</f>
        <v>6300</v>
      </c>
      <c r="F92" s="1194">
        <f>VLOOKUP($C92,local_data_input!$B$4:$K$20,8,FALSE)</f>
        <v>10.909433797711889</v>
      </c>
      <c r="G92" s="1194">
        <f>VLOOKUP($C92,local_data_input!$B$4:$K$20,9,FALSE)</f>
        <v>10.909433797711889</v>
      </c>
      <c r="I92" s="73"/>
      <c r="J92" s="73"/>
      <c r="K92" s="106"/>
    </row>
    <row r="93" spans="1:22" s="42" customFormat="1" ht="15">
      <c r="B93" s="194"/>
      <c r="C93" s="121" t="s">
        <v>32</v>
      </c>
      <c r="D93" s="1194">
        <f>VLOOKUP($C93,local_data_input!$B$4:$K$20,2,FALSE)</f>
        <v>37</v>
      </c>
      <c r="E93" s="771">
        <f>VLOOKUP($C93,local_data_input!$B$4:$K$20,7,FALSE)</f>
        <v>1</v>
      </c>
      <c r="F93" s="1194">
        <f>VLOOKUP($C93,local_data_input!$B$4:$K$20,8,FALSE)</f>
        <v>4.1571049999580785</v>
      </c>
      <c r="G93" s="1194">
        <f>VLOOKUP($C93,local_data_input!$B$4:$K$20,9,FALSE)</f>
        <v>4.1571049999580785</v>
      </c>
      <c r="I93" s="73"/>
      <c r="J93" s="73"/>
      <c r="K93" s="106"/>
    </row>
    <row r="94" spans="1:22" s="42" customFormat="1">
      <c r="A94" s="39"/>
      <c r="B94" s="84"/>
      <c r="C94" s="40"/>
      <c r="D94" s="40"/>
      <c r="E94" s="40"/>
      <c r="F94" s="40"/>
      <c r="G94" s="40"/>
      <c r="H94" s="40"/>
      <c r="I94" s="40"/>
      <c r="J94" s="40"/>
      <c r="K94" s="83"/>
      <c r="L94" s="39"/>
      <c r="M94" s="39"/>
      <c r="N94" s="39"/>
      <c r="O94" s="39"/>
      <c r="P94" s="39"/>
      <c r="Q94" s="2"/>
      <c r="R94" s="2"/>
      <c r="S94" s="2"/>
      <c r="T94" s="3"/>
      <c r="U94" s="3"/>
      <c r="V94" s="3"/>
    </row>
    <row r="95" spans="1:22" s="42" customFormat="1" ht="15">
      <c r="A95" s="39"/>
      <c r="B95" s="2316" t="s">
        <v>327</v>
      </c>
      <c r="C95" s="2432"/>
      <c r="D95" s="2432"/>
      <c r="E95" s="2432"/>
      <c r="F95" s="2432"/>
      <c r="G95" s="2432"/>
      <c r="H95" s="2432"/>
      <c r="I95" s="2432"/>
      <c r="J95" s="2432"/>
      <c r="K95" s="2433"/>
      <c r="L95" s="39"/>
      <c r="M95" s="39"/>
      <c r="N95" s="39"/>
      <c r="O95" s="39"/>
      <c r="P95" s="39"/>
      <c r="Q95" s="39"/>
      <c r="R95" s="39"/>
      <c r="S95" s="39"/>
    </row>
    <row r="96" spans="1:22" s="223" customFormat="1" ht="15">
      <c r="B96" s="224"/>
      <c r="C96" s="225"/>
      <c r="D96" s="225"/>
      <c r="E96" s="225"/>
      <c r="F96" s="225"/>
      <c r="G96" s="225"/>
      <c r="H96" s="225"/>
      <c r="I96" s="225"/>
      <c r="J96" s="225"/>
      <c r="K96" s="226"/>
    </row>
    <row r="97" spans="1:22" s="42" customFormat="1" ht="15">
      <c r="A97" s="39"/>
      <c r="B97" s="84"/>
      <c r="C97" s="40"/>
      <c r="D97" s="40"/>
      <c r="E97" s="40"/>
      <c r="F97" s="40"/>
      <c r="G97" s="40"/>
      <c r="H97" s="40"/>
      <c r="I97" s="150"/>
      <c r="J97" s="150"/>
      <c r="K97" s="227"/>
      <c r="L97" s="39"/>
      <c r="M97" s="39"/>
      <c r="N97" s="39"/>
      <c r="O97" s="39"/>
      <c r="P97" s="39"/>
      <c r="Q97" s="2"/>
      <c r="R97" s="2"/>
      <c r="S97" s="2"/>
      <c r="T97" s="3"/>
      <c r="U97" s="3"/>
      <c r="V97" s="3"/>
    </row>
    <row r="98" spans="1:22" s="42" customFormat="1" ht="15">
      <c r="A98" s="39"/>
      <c r="B98" s="84"/>
      <c r="C98" s="40"/>
      <c r="D98" s="40"/>
      <c r="E98" s="40"/>
      <c r="F98" s="40"/>
      <c r="G98" s="40"/>
      <c r="H98" s="40"/>
      <c r="I98" s="47"/>
      <c r="J98" s="691" t="s">
        <v>304</v>
      </c>
      <c r="K98" s="1173" t="s">
        <v>110</v>
      </c>
      <c r="L98" s="39"/>
      <c r="M98" s="39"/>
      <c r="N98" s="39"/>
      <c r="O98" s="39"/>
      <c r="P98" s="39"/>
      <c r="Q98" s="2"/>
      <c r="R98" s="2"/>
      <c r="S98" s="2"/>
      <c r="T98" s="3"/>
      <c r="U98" s="3"/>
      <c r="V98" s="3"/>
    </row>
    <row r="99" spans="1:22" s="42" customFormat="1" ht="15">
      <c r="A99" s="39"/>
      <c r="B99" s="84"/>
      <c r="C99" s="40"/>
      <c r="D99" s="40"/>
      <c r="E99" s="40"/>
      <c r="F99" s="40"/>
      <c r="G99" s="40"/>
      <c r="H99" s="40"/>
      <c r="I99" s="691" t="s">
        <v>1315</v>
      </c>
      <c r="J99" s="171">
        <f>F78*J62</f>
        <v>76.203071999999992</v>
      </c>
      <c r="K99" s="228">
        <f>J99*52</f>
        <v>3962.5597439999997</v>
      </c>
      <c r="L99" s="39"/>
      <c r="M99" s="39"/>
      <c r="N99" s="39"/>
      <c r="O99" s="39"/>
      <c r="P99" s="39"/>
      <c r="Q99" s="2"/>
      <c r="R99" s="2"/>
      <c r="S99" s="2"/>
      <c r="T99" s="3"/>
      <c r="U99" s="3"/>
      <c r="V99" s="3"/>
    </row>
    <row r="100" spans="1:22" s="42" customFormat="1" ht="15">
      <c r="A100" s="39"/>
      <c r="B100" s="84"/>
      <c r="C100" s="40"/>
      <c r="D100" s="40"/>
      <c r="E100" s="40"/>
      <c r="F100" s="40"/>
      <c r="G100" s="40"/>
      <c r="H100" s="40"/>
      <c r="I100" s="691" t="s">
        <v>111</v>
      </c>
      <c r="J100" s="1133">
        <f>J99*J65</f>
        <v>1348.6165981538459</v>
      </c>
      <c r="K100" s="1135">
        <f>J100*52</f>
        <v>70128.063103999986</v>
      </c>
      <c r="L100" s="39"/>
      <c r="M100" s="39"/>
      <c r="N100" s="39"/>
      <c r="O100" s="39"/>
      <c r="P100" s="39"/>
      <c r="Q100" s="2"/>
      <c r="R100" s="2"/>
      <c r="S100" s="2"/>
      <c r="T100" s="3"/>
      <c r="U100" s="3"/>
      <c r="V100" s="3"/>
    </row>
    <row r="101" spans="1:22" s="42" customFormat="1">
      <c r="A101" s="39"/>
      <c r="B101" s="84"/>
      <c r="C101" s="40"/>
      <c r="D101" s="40"/>
      <c r="E101" s="40"/>
      <c r="F101" s="40"/>
      <c r="G101" s="40"/>
      <c r="H101" s="40"/>
      <c r="I101" s="40"/>
      <c r="J101" s="40"/>
      <c r="K101" s="83"/>
      <c r="L101" s="39"/>
      <c r="M101" s="39"/>
      <c r="N101" s="39"/>
      <c r="O101" s="39"/>
      <c r="P101" s="39"/>
      <c r="Q101" s="2"/>
      <c r="R101" s="2"/>
      <c r="S101" s="2"/>
      <c r="T101" s="3"/>
      <c r="U101" s="3"/>
      <c r="V101" s="3"/>
    </row>
    <row r="102" spans="1:22" s="42" customFormat="1" ht="15.75" thickBot="1">
      <c r="A102" s="39"/>
      <c r="B102" s="108"/>
      <c r="C102" s="134"/>
      <c r="D102" s="134"/>
      <c r="E102" s="109"/>
      <c r="F102" s="109"/>
      <c r="G102" s="109"/>
      <c r="H102" s="109"/>
      <c r="I102" s="109"/>
      <c r="J102" s="109"/>
      <c r="K102" s="229"/>
      <c r="L102" s="39"/>
      <c r="M102" s="39"/>
      <c r="N102" s="39"/>
      <c r="O102" s="39"/>
      <c r="P102" s="39"/>
      <c r="Q102" s="39"/>
      <c r="R102" s="39"/>
      <c r="S102" s="39"/>
    </row>
    <row r="103" spans="1:22" ht="15">
      <c r="A103" s="35"/>
      <c r="B103" s="35"/>
      <c r="C103" s="56"/>
      <c r="D103" s="56"/>
      <c r="E103" s="36"/>
      <c r="F103" s="62"/>
      <c r="G103" s="62"/>
      <c r="H103" s="62"/>
      <c r="I103" s="62"/>
      <c r="J103" s="62"/>
      <c r="K103" s="62"/>
      <c r="L103" s="35"/>
      <c r="M103" s="35"/>
      <c r="N103" s="35"/>
      <c r="O103" s="35"/>
      <c r="P103" s="35"/>
      <c r="Q103" s="4"/>
      <c r="R103" s="4"/>
      <c r="S103" s="4"/>
      <c r="T103" s="5"/>
      <c r="U103" s="5"/>
      <c r="V103" s="5"/>
    </row>
    <row r="104" spans="1:22" ht="15">
      <c r="A104" s="35"/>
      <c r="B104" s="35"/>
      <c r="C104" s="56"/>
      <c r="D104" s="56"/>
      <c r="E104" s="35"/>
      <c r="F104" s="62"/>
      <c r="G104" s="62"/>
      <c r="H104" s="62"/>
      <c r="I104" s="62"/>
      <c r="J104" s="62"/>
      <c r="K104" s="62"/>
      <c r="L104" s="35"/>
      <c r="M104" s="35"/>
      <c r="N104" s="35"/>
      <c r="O104" s="35"/>
      <c r="P104" s="35"/>
      <c r="Q104" s="4"/>
      <c r="R104" s="4"/>
      <c r="S104" s="4"/>
      <c r="T104" s="5"/>
      <c r="U104" s="5"/>
      <c r="V104" s="5"/>
    </row>
    <row r="105" spans="1:22" ht="15">
      <c r="A105" s="35"/>
      <c r="B105" s="35"/>
      <c r="C105" s="56"/>
      <c r="D105" s="56"/>
      <c r="E105" s="56"/>
      <c r="F105" s="62"/>
      <c r="G105" s="62"/>
      <c r="H105" s="62"/>
      <c r="I105" s="62"/>
      <c r="J105" s="62"/>
      <c r="K105" s="62"/>
      <c r="L105" s="35"/>
      <c r="M105" s="35"/>
      <c r="N105" s="35"/>
      <c r="O105" s="35"/>
      <c r="P105" s="35"/>
      <c r="Q105" s="4"/>
      <c r="R105" s="4"/>
      <c r="S105" s="4"/>
      <c r="T105" s="5"/>
      <c r="U105" s="5"/>
      <c r="V105" s="5"/>
    </row>
    <row r="106" spans="1:22" ht="15">
      <c r="A106" s="35"/>
      <c r="B106" s="35"/>
      <c r="C106" s="56"/>
      <c r="D106" s="56"/>
      <c r="E106" s="56"/>
      <c r="F106" s="62"/>
      <c r="G106" s="62"/>
      <c r="H106" s="62"/>
      <c r="I106" s="62"/>
      <c r="J106" s="62"/>
      <c r="K106" s="62"/>
      <c r="L106" s="35"/>
      <c r="M106" s="35"/>
      <c r="N106" s="35"/>
      <c r="O106" s="35"/>
      <c r="P106" s="35"/>
      <c r="Q106" s="4"/>
      <c r="R106" s="4"/>
      <c r="S106" s="4"/>
      <c r="T106" s="5"/>
      <c r="U106" s="5"/>
      <c r="V106" s="5"/>
    </row>
    <row r="107" spans="1:22">
      <c r="A107" s="35"/>
      <c r="B107" s="35"/>
      <c r="C107" s="62"/>
      <c r="D107" s="62"/>
      <c r="E107" s="36"/>
      <c r="F107" s="111"/>
      <c r="G107" s="111"/>
      <c r="H107" s="111"/>
      <c r="I107" s="111"/>
      <c r="J107" s="111"/>
      <c r="K107" s="111"/>
      <c r="L107" s="35"/>
      <c r="M107" s="35"/>
      <c r="N107" s="35"/>
      <c r="O107" s="35"/>
      <c r="P107" s="35"/>
      <c r="Q107" s="4"/>
      <c r="R107" s="4"/>
      <c r="S107" s="4"/>
      <c r="T107" s="5"/>
      <c r="U107" s="5"/>
      <c r="V107" s="5"/>
    </row>
    <row r="108" spans="1:22">
      <c r="A108" s="35"/>
      <c r="B108" s="35"/>
      <c r="C108" s="62"/>
      <c r="D108" s="62"/>
      <c r="E108" s="36"/>
      <c r="F108" s="62"/>
      <c r="G108" s="62"/>
      <c r="H108" s="62"/>
      <c r="I108" s="62"/>
      <c r="J108" s="62"/>
      <c r="K108" s="62"/>
      <c r="L108" s="35"/>
      <c r="M108" s="35"/>
      <c r="N108" s="35"/>
      <c r="O108" s="35"/>
      <c r="P108" s="35"/>
      <c r="Q108" s="4"/>
      <c r="R108" s="4"/>
      <c r="S108" s="4"/>
      <c r="T108" s="5"/>
      <c r="U108" s="5"/>
      <c r="V108" s="5"/>
    </row>
    <row r="109" spans="1:22">
      <c r="A109" s="35"/>
      <c r="B109" s="35"/>
      <c r="C109" s="112"/>
      <c r="D109" s="112"/>
      <c r="E109" s="36"/>
      <c r="F109" s="67"/>
      <c r="G109" s="62"/>
      <c r="H109" s="62"/>
      <c r="I109" s="62"/>
      <c r="J109" s="62"/>
      <c r="K109" s="62"/>
      <c r="L109" s="35"/>
      <c r="M109" s="35"/>
      <c r="N109" s="35"/>
      <c r="O109" s="35"/>
      <c r="P109" s="35"/>
      <c r="Q109" s="4"/>
      <c r="R109" s="4"/>
      <c r="S109" s="4"/>
      <c r="T109" s="5"/>
      <c r="U109" s="5"/>
      <c r="V109" s="5"/>
    </row>
    <row r="110" spans="1:22">
      <c r="A110" s="35"/>
      <c r="B110" s="35"/>
      <c r="C110" s="36"/>
      <c r="D110" s="36"/>
      <c r="E110" s="36"/>
      <c r="F110" s="36"/>
      <c r="G110" s="36"/>
      <c r="H110" s="36"/>
      <c r="I110" s="36"/>
      <c r="J110" s="36"/>
      <c r="K110" s="36"/>
      <c r="L110" s="35"/>
      <c r="M110" s="35"/>
      <c r="N110" s="35"/>
      <c r="O110" s="35"/>
      <c r="P110" s="35"/>
      <c r="Q110" s="4"/>
      <c r="R110" s="4"/>
      <c r="S110" s="4"/>
      <c r="T110" s="5"/>
      <c r="U110" s="5"/>
      <c r="V110" s="5"/>
    </row>
    <row r="111" spans="1:22">
      <c r="A111" s="35"/>
      <c r="B111" s="35"/>
      <c r="C111" s="62"/>
      <c r="D111" s="62"/>
      <c r="E111" s="36"/>
      <c r="F111" s="113"/>
      <c r="G111" s="113"/>
      <c r="H111" s="113"/>
      <c r="I111" s="113"/>
      <c r="J111" s="113"/>
      <c r="K111" s="113"/>
      <c r="L111" s="35"/>
      <c r="M111" s="35"/>
      <c r="N111" s="35"/>
      <c r="O111" s="35"/>
      <c r="P111" s="35"/>
      <c r="Q111" s="4"/>
      <c r="R111" s="4"/>
      <c r="S111" s="4"/>
      <c r="T111" s="5"/>
      <c r="U111" s="5"/>
      <c r="V111" s="5"/>
    </row>
    <row r="112" spans="1:22" ht="15">
      <c r="A112" s="35"/>
      <c r="B112" s="35"/>
      <c r="C112" s="62"/>
      <c r="D112" s="62"/>
      <c r="E112" s="36"/>
      <c r="F112" s="62"/>
      <c r="G112" s="62"/>
      <c r="H112"/>
      <c r="I112"/>
      <c r="J112"/>
      <c r="K112"/>
      <c r="L112"/>
      <c r="M112"/>
      <c r="N112" s="35"/>
      <c r="O112" s="35"/>
      <c r="P112" s="35"/>
      <c r="Q112" s="4"/>
      <c r="R112" s="4"/>
      <c r="S112" s="4"/>
      <c r="T112" s="5"/>
      <c r="U112" s="5"/>
      <c r="V112" s="5"/>
    </row>
    <row r="113" spans="1:22" ht="15">
      <c r="A113" s="35"/>
      <c r="B113" s="35"/>
      <c r="C113" s="62"/>
      <c r="D113" s="62"/>
      <c r="E113" s="36"/>
      <c r="F113" s="62"/>
      <c r="G113" s="62"/>
      <c r="H113"/>
      <c r="I113"/>
      <c r="J113"/>
      <c r="K113"/>
      <c r="L113"/>
      <c r="M113"/>
      <c r="N113" s="35"/>
      <c r="O113" s="35"/>
      <c r="P113" s="35"/>
      <c r="Q113" s="4"/>
      <c r="R113" s="4"/>
      <c r="S113" s="4"/>
      <c r="T113" s="5"/>
      <c r="U113" s="5"/>
      <c r="V113" s="5"/>
    </row>
    <row r="114" spans="1:22" ht="15">
      <c r="A114" s="35"/>
      <c r="B114" s="35"/>
      <c r="C114" s="56"/>
      <c r="D114" s="56"/>
      <c r="E114" s="36"/>
      <c r="F114" s="62"/>
      <c r="G114" s="62"/>
      <c r="H114"/>
      <c r="I114"/>
      <c r="J114"/>
      <c r="K114"/>
      <c r="L114"/>
      <c r="M114"/>
      <c r="N114" s="35"/>
      <c r="O114" s="35"/>
      <c r="P114" s="35"/>
      <c r="Q114" s="4"/>
      <c r="R114" s="4"/>
      <c r="S114" s="4"/>
      <c r="T114" s="5"/>
      <c r="U114" s="5"/>
      <c r="V114" s="5"/>
    </row>
    <row r="115" spans="1:22" ht="15">
      <c r="A115" s="35"/>
      <c r="B115" s="35"/>
      <c r="C115" s="62"/>
      <c r="D115" s="62"/>
      <c r="E115" s="36"/>
      <c r="F115" s="113"/>
      <c r="G115" s="113"/>
      <c r="H115"/>
      <c r="I115"/>
      <c r="J115"/>
      <c r="K115"/>
      <c r="L115"/>
      <c r="M115"/>
      <c r="N115" s="35"/>
      <c r="O115" s="35"/>
      <c r="P115" s="35"/>
      <c r="Q115" s="4"/>
      <c r="R115" s="4"/>
      <c r="S115" s="4"/>
      <c r="T115" s="5"/>
      <c r="U115" s="5"/>
      <c r="V115" s="5"/>
    </row>
    <row r="116" spans="1:22" ht="15">
      <c r="A116" s="35"/>
      <c r="B116" s="35"/>
      <c r="C116" s="62"/>
      <c r="D116" s="62"/>
      <c r="E116" s="36"/>
      <c r="F116" s="62"/>
      <c r="G116" s="62"/>
      <c r="H116"/>
      <c r="I116"/>
      <c r="J116"/>
      <c r="K116"/>
      <c r="L116"/>
      <c r="M116"/>
      <c r="N116" s="35"/>
      <c r="O116" s="35"/>
      <c r="P116" s="35"/>
      <c r="Q116" s="4"/>
      <c r="R116" s="4"/>
      <c r="S116" s="4"/>
      <c r="T116" s="5"/>
      <c r="U116" s="5"/>
      <c r="V116" s="5"/>
    </row>
    <row r="117" spans="1:22" ht="15">
      <c r="A117" s="35"/>
      <c r="B117" s="35"/>
      <c r="C117" s="62"/>
      <c r="D117" s="62"/>
      <c r="E117" s="36"/>
      <c r="F117" s="62"/>
      <c r="G117" s="62"/>
      <c r="H117"/>
      <c r="I117"/>
      <c r="J117"/>
      <c r="K117"/>
      <c r="L117"/>
      <c r="M117"/>
      <c r="N117" s="35"/>
      <c r="O117" s="35"/>
      <c r="P117" s="35"/>
      <c r="Q117" s="4"/>
      <c r="R117" s="4"/>
      <c r="S117" s="4"/>
      <c r="T117" s="5"/>
      <c r="U117" s="5"/>
      <c r="V117" s="5"/>
    </row>
    <row r="118" spans="1:22" ht="15">
      <c r="A118" s="35"/>
      <c r="B118" s="35"/>
      <c r="C118" s="62"/>
      <c r="D118" s="62"/>
      <c r="E118" s="62"/>
      <c r="F118" s="113"/>
      <c r="G118" s="113"/>
      <c r="H118"/>
      <c r="I118"/>
      <c r="J118"/>
      <c r="K118"/>
      <c r="L118"/>
      <c r="M118"/>
      <c r="N118" s="35"/>
      <c r="O118" s="35"/>
      <c r="P118" s="35"/>
      <c r="Q118" s="4"/>
      <c r="R118" s="4"/>
      <c r="S118" s="4"/>
      <c r="T118" s="5"/>
      <c r="U118" s="5"/>
      <c r="V118" s="5"/>
    </row>
    <row r="119" spans="1:22" ht="15">
      <c r="A119" s="35"/>
      <c r="B119" s="35"/>
      <c r="C119" s="62"/>
      <c r="D119" s="62"/>
      <c r="E119" s="62"/>
      <c r="F119" s="111"/>
      <c r="G119" s="111"/>
      <c r="H119"/>
      <c r="I119"/>
      <c r="J119"/>
      <c r="K119"/>
      <c r="L119"/>
      <c r="M119"/>
      <c r="N119" s="35"/>
      <c r="O119" s="35"/>
      <c r="P119" s="35"/>
      <c r="Q119" s="4"/>
      <c r="R119" s="4"/>
      <c r="S119" s="4"/>
      <c r="T119" s="5"/>
      <c r="U119" s="5"/>
      <c r="V119" s="5"/>
    </row>
    <row r="120" spans="1:22" ht="15">
      <c r="A120" s="35"/>
      <c r="B120" s="35"/>
      <c r="C120" s="62"/>
      <c r="D120" s="62"/>
      <c r="E120" s="62"/>
      <c r="F120" s="111"/>
      <c r="G120" s="111"/>
      <c r="H120"/>
      <c r="I120"/>
      <c r="J120"/>
      <c r="K120"/>
      <c r="L120"/>
      <c r="M120"/>
      <c r="N120" s="35"/>
      <c r="O120" s="35"/>
      <c r="P120" s="35"/>
      <c r="Q120" s="4"/>
      <c r="R120" s="4"/>
      <c r="S120" s="4"/>
      <c r="T120" s="5"/>
      <c r="U120" s="5"/>
      <c r="V120" s="5"/>
    </row>
    <row r="121" spans="1:22" ht="15">
      <c r="A121" s="35"/>
      <c r="B121" s="35"/>
      <c r="C121" s="56"/>
      <c r="D121" s="56"/>
      <c r="E121" s="62"/>
      <c r="F121" s="177"/>
      <c r="G121" s="177"/>
      <c r="H121"/>
      <c r="I121"/>
      <c r="J121"/>
      <c r="K121"/>
      <c r="L121"/>
      <c r="M121"/>
      <c r="N121" s="35"/>
      <c r="O121" s="35"/>
      <c r="P121" s="35"/>
      <c r="Q121" s="4"/>
      <c r="R121" s="4"/>
      <c r="S121" s="4"/>
      <c r="T121" s="5"/>
      <c r="U121" s="5"/>
      <c r="V121" s="5"/>
    </row>
    <row r="122" spans="1:22" ht="15">
      <c r="A122" s="35"/>
      <c r="B122" s="35"/>
      <c r="C122" s="56"/>
      <c r="D122" s="56"/>
      <c r="E122" s="62"/>
      <c r="F122" s="177"/>
      <c r="G122" s="177"/>
      <c r="H122"/>
      <c r="I122"/>
      <c r="J122"/>
      <c r="K122"/>
      <c r="L122"/>
      <c r="M122"/>
      <c r="N122" s="35"/>
      <c r="O122" s="35"/>
      <c r="P122" s="35"/>
      <c r="Q122" s="4"/>
      <c r="R122" s="4"/>
      <c r="S122" s="4"/>
      <c r="T122" s="5"/>
      <c r="U122" s="5"/>
      <c r="V122" s="5"/>
    </row>
    <row r="123" spans="1:22" ht="15">
      <c r="A123" s="35"/>
      <c r="B123" s="35"/>
      <c r="C123" s="56"/>
      <c r="D123" s="56"/>
      <c r="E123" s="62"/>
      <c r="F123" s="177"/>
      <c r="G123" s="177"/>
      <c r="H123"/>
      <c r="I123"/>
      <c r="J123"/>
      <c r="K123"/>
      <c r="L123"/>
      <c r="M123"/>
      <c r="N123" s="35"/>
      <c r="O123" s="35"/>
      <c r="P123" s="35"/>
      <c r="Q123" s="4"/>
      <c r="R123" s="4"/>
      <c r="S123" s="4"/>
      <c r="T123" s="5"/>
      <c r="U123" s="5"/>
      <c r="V123" s="5"/>
    </row>
    <row r="124" spans="1:22" ht="15">
      <c r="A124" s="35"/>
      <c r="B124" s="35"/>
      <c r="C124" s="62"/>
      <c r="D124" s="62"/>
      <c r="E124" s="62"/>
      <c r="F124" s="111"/>
      <c r="G124" s="111"/>
      <c r="H124"/>
      <c r="I124"/>
      <c r="J124"/>
      <c r="K124"/>
      <c r="L124"/>
      <c r="M124"/>
      <c r="N124" s="35"/>
      <c r="O124" s="35"/>
      <c r="P124" s="35"/>
      <c r="Q124" s="4"/>
      <c r="R124" s="4"/>
      <c r="S124" s="4"/>
      <c r="T124" s="5"/>
      <c r="U124" s="5"/>
      <c r="V124" s="5"/>
    </row>
    <row r="125" spans="1:22" ht="15">
      <c r="A125" s="35"/>
      <c r="B125" s="35"/>
      <c r="C125" s="62"/>
      <c r="D125" s="62"/>
      <c r="E125" s="62"/>
      <c r="F125" s="62"/>
      <c r="G125" s="62"/>
      <c r="H125"/>
      <c r="I125"/>
      <c r="J125"/>
      <c r="K125"/>
      <c r="L125"/>
      <c r="M125"/>
      <c r="N125" s="35"/>
      <c r="O125" s="35"/>
      <c r="P125" s="35"/>
      <c r="Q125" s="4"/>
      <c r="R125" s="4"/>
      <c r="S125" s="4"/>
      <c r="T125" s="5"/>
      <c r="U125" s="5"/>
      <c r="V125" s="5"/>
    </row>
    <row r="126" spans="1:22" ht="15">
      <c r="A126" s="35"/>
      <c r="B126" s="35"/>
      <c r="C126" s="62"/>
      <c r="D126" s="62"/>
      <c r="E126" s="62" t="s">
        <v>42</v>
      </c>
      <c r="F126" s="62"/>
      <c r="G126" s="62"/>
      <c r="H126"/>
      <c r="I126"/>
      <c r="J126"/>
      <c r="K126"/>
      <c r="L126"/>
      <c r="M126"/>
      <c r="N126" s="35"/>
      <c r="O126" s="35"/>
      <c r="P126" s="35"/>
    </row>
    <row r="127" spans="1:22">
      <c r="A127" s="35"/>
      <c r="B127" s="35"/>
      <c r="C127" s="35"/>
      <c r="D127" s="35"/>
      <c r="E127" s="35"/>
      <c r="F127" s="35"/>
      <c r="G127" s="35"/>
      <c r="H127" s="35"/>
      <c r="I127" s="35"/>
      <c r="J127" s="35"/>
      <c r="K127" s="35"/>
      <c r="L127" s="35"/>
      <c r="M127" s="35"/>
      <c r="N127" s="35"/>
      <c r="O127" s="35"/>
      <c r="P127" s="35"/>
    </row>
    <row r="128" spans="1:22">
      <c r="A128" s="35"/>
      <c r="B128" s="35"/>
      <c r="C128" s="35"/>
      <c r="D128" s="35"/>
      <c r="E128" s="35"/>
      <c r="F128" s="35"/>
      <c r="G128" s="35"/>
      <c r="H128" s="35"/>
      <c r="I128" s="35"/>
      <c r="J128" s="35"/>
      <c r="K128" s="35"/>
      <c r="L128" s="35"/>
      <c r="M128" s="35"/>
      <c r="N128" s="35"/>
      <c r="O128" s="35"/>
      <c r="P128" s="35"/>
    </row>
    <row r="129" spans="1:22">
      <c r="A129" s="35"/>
      <c r="B129" s="35"/>
      <c r="C129" s="35"/>
      <c r="D129" s="35"/>
      <c r="E129" s="35"/>
      <c r="F129" s="35"/>
      <c r="G129" s="35"/>
      <c r="H129" s="35"/>
      <c r="I129" s="35"/>
      <c r="J129" s="35"/>
      <c r="K129" s="35"/>
      <c r="L129" s="35"/>
      <c r="M129" s="35"/>
      <c r="N129" s="35"/>
      <c r="O129" s="35"/>
      <c r="P129" s="35"/>
    </row>
    <row r="130" spans="1:22">
      <c r="A130" s="35"/>
      <c r="B130" s="35"/>
      <c r="C130" s="35"/>
      <c r="D130" s="35"/>
      <c r="E130" s="35"/>
      <c r="F130" s="35"/>
      <c r="G130" s="35"/>
      <c r="H130" s="35"/>
      <c r="I130" s="35"/>
      <c r="J130" s="35"/>
      <c r="K130" s="35"/>
      <c r="L130" s="35"/>
      <c r="M130" s="35"/>
      <c r="N130" s="35"/>
      <c r="O130" s="35"/>
      <c r="P130" s="35"/>
    </row>
    <row r="131" spans="1:22">
      <c r="A131" s="35"/>
      <c r="B131" s="35"/>
      <c r="C131" s="35"/>
      <c r="D131" s="35"/>
      <c r="E131" s="35"/>
      <c r="F131" s="35"/>
      <c r="G131" s="35"/>
      <c r="H131" s="35"/>
      <c r="I131" s="35"/>
      <c r="J131" s="35"/>
      <c r="K131" s="35"/>
      <c r="L131" s="35"/>
      <c r="M131" s="35"/>
      <c r="N131" s="35"/>
      <c r="O131" s="35"/>
      <c r="P131" s="35"/>
    </row>
    <row r="132" spans="1:22">
      <c r="A132" s="35"/>
      <c r="B132" s="35"/>
      <c r="C132" s="35"/>
      <c r="D132" s="35"/>
      <c r="E132" s="35"/>
      <c r="F132" s="35"/>
      <c r="G132" s="35"/>
      <c r="H132" s="35"/>
      <c r="I132" s="35"/>
      <c r="J132" s="35"/>
      <c r="K132" s="35"/>
      <c r="L132" s="35"/>
      <c r="M132" s="35"/>
      <c r="N132" s="35"/>
      <c r="O132" s="35"/>
      <c r="P132" s="35"/>
    </row>
    <row r="133" spans="1:22">
      <c r="A133" s="35"/>
      <c r="B133" s="35"/>
      <c r="C133" s="35"/>
      <c r="D133" s="35"/>
      <c r="E133" s="35"/>
      <c r="F133" s="35"/>
      <c r="G133" s="35"/>
      <c r="H133" s="35"/>
      <c r="I133" s="35"/>
      <c r="J133" s="35"/>
      <c r="K133" s="35"/>
      <c r="L133" s="35"/>
      <c r="M133" s="35"/>
      <c r="N133" s="35"/>
      <c r="O133" s="35"/>
      <c r="P133" s="35"/>
    </row>
    <row r="134" spans="1:22">
      <c r="A134" s="35"/>
      <c r="B134" s="35"/>
      <c r="C134" s="35"/>
      <c r="D134" s="35"/>
      <c r="E134" s="35"/>
      <c r="F134" s="35"/>
      <c r="G134" s="35"/>
      <c r="H134" s="35"/>
      <c r="I134" s="35"/>
      <c r="J134" s="35"/>
      <c r="K134" s="35"/>
      <c r="L134" s="35"/>
      <c r="M134" s="35"/>
      <c r="N134" s="35"/>
      <c r="O134" s="35"/>
      <c r="P134" s="35"/>
    </row>
    <row r="135" spans="1:22">
      <c r="A135" s="35"/>
      <c r="B135" s="35"/>
      <c r="C135" s="35"/>
      <c r="D135" s="35"/>
      <c r="E135" s="35"/>
      <c r="F135" s="35"/>
      <c r="G135" s="35"/>
      <c r="H135" s="35"/>
      <c r="I135" s="35"/>
      <c r="J135" s="35"/>
      <c r="K135" s="35"/>
      <c r="L135" s="35"/>
      <c r="M135" s="35"/>
      <c r="N135" s="35"/>
      <c r="O135" s="35"/>
      <c r="P135" s="35"/>
    </row>
    <row r="136" spans="1:22">
      <c r="A136" s="35"/>
      <c r="B136" s="35"/>
      <c r="C136" s="35"/>
      <c r="D136" s="35"/>
      <c r="E136" s="35"/>
      <c r="F136" s="35"/>
      <c r="G136" s="35"/>
      <c r="H136" s="35"/>
      <c r="I136" s="35"/>
      <c r="J136" s="35"/>
      <c r="K136" s="35"/>
      <c r="L136" s="35"/>
      <c r="M136" s="35"/>
      <c r="N136" s="35"/>
      <c r="O136" s="35"/>
      <c r="P136" s="35"/>
    </row>
    <row r="137" spans="1:22">
      <c r="A137" s="35"/>
      <c r="B137" s="35"/>
      <c r="C137" s="35"/>
      <c r="D137" s="35"/>
      <c r="E137" s="35"/>
      <c r="F137" s="35"/>
      <c r="G137" s="35"/>
      <c r="H137" s="35"/>
      <c r="I137" s="35"/>
      <c r="J137" s="35"/>
      <c r="K137" s="35"/>
      <c r="L137" s="35"/>
      <c r="M137" s="35"/>
      <c r="N137" s="35"/>
      <c r="O137" s="35"/>
      <c r="P137" s="35"/>
    </row>
    <row r="138" spans="1:22">
      <c r="A138" s="35"/>
      <c r="B138" s="35"/>
      <c r="C138" s="35"/>
      <c r="D138" s="35"/>
      <c r="E138" s="35"/>
      <c r="F138" s="35"/>
      <c r="G138" s="35"/>
      <c r="H138" s="35"/>
      <c r="I138" s="35"/>
      <c r="J138" s="35"/>
      <c r="K138" s="35"/>
      <c r="L138" s="35"/>
      <c r="M138" s="35"/>
      <c r="N138" s="35"/>
      <c r="O138" s="35"/>
      <c r="P138" s="35"/>
    </row>
    <row r="139" spans="1:22">
      <c r="A139" s="35"/>
      <c r="B139" s="35"/>
      <c r="C139" s="35"/>
      <c r="D139" s="35"/>
      <c r="E139" s="35"/>
      <c r="F139" s="35"/>
      <c r="G139" s="35"/>
      <c r="H139" s="35"/>
      <c r="I139" s="35"/>
      <c r="J139" s="35"/>
      <c r="K139" s="35"/>
      <c r="L139" s="35"/>
      <c r="M139" s="35"/>
      <c r="N139" s="35"/>
      <c r="O139" s="35"/>
      <c r="P139" s="35"/>
    </row>
    <row r="140" spans="1:22">
      <c r="A140" s="35"/>
      <c r="B140" s="35"/>
      <c r="C140" s="35"/>
      <c r="D140" s="35"/>
      <c r="E140" s="35"/>
      <c r="F140" s="35"/>
      <c r="G140" s="35"/>
      <c r="H140" s="35"/>
      <c r="I140" s="35"/>
      <c r="J140" s="35"/>
      <c r="K140" s="35"/>
      <c r="L140" s="35"/>
      <c r="M140" s="35"/>
      <c r="N140" s="35"/>
      <c r="O140" s="35"/>
      <c r="P140" s="35"/>
    </row>
    <row r="141" spans="1:22">
      <c r="A141" s="35"/>
      <c r="B141" s="35"/>
      <c r="C141" s="35"/>
      <c r="D141" s="35"/>
      <c r="E141" s="35"/>
      <c r="F141" s="35"/>
      <c r="G141" s="35"/>
      <c r="H141" s="35"/>
      <c r="I141" s="35"/>
      <c r="J141" s="35"/>
      <c r="K141" s="35"/>
      <c r="L141" s="35"/>
      <c r="M141" s="35"/>
      <c r="N141" s="35"/>
      <c r="O141" s="35"/>
      <c r="P141" s="35"/>
      <c r="Q141" s="10"/>
      <c r="R141" s="10"/>
      <c r="S141" s="10"/>
      <c r="T141" s="10"/>
      <c r="U141" s="10"/>
      <c r="V141" s="10"/>
    </row>
    <row r="142" spans="1:22">
      <c r="A142" s="35"/>
      <c r="B142" s="35"/>
      <c r="C142" s="35"/>
      <c r="D142" s="35"/>
      <c r="E142" s="35"/>
      <c r="F142" s="35"/>
      <c r="G142" s="35"/>
      <c r="H142" s="35"/>
      <c r="I142" s="35"/>
      <c r="J142" s="35"/>
      <c r="K142" s="35"/>
      <c r="L142" s="35"/>
      <c r="M142" s="35"/>
      <c r="N142" s="35"/>
      <c r="O142" s="35"/>
      <c r="P142" s="35"/>
    </row>
    <row r="143" spans="1:22">
      <c r="A143" s="35"/>
      <c r="B143" s="35"/>
      <c r="C143" s="35"/>
      <c r="D143" s="35"/>
      <c r="E143" s="35"/>
      <c r="F143" s="35"/>
      <c r="G143" s="35"/>
      <c r="H143" s="35"/>
      <c r="I143" s="35"/>
      <c r="J143" s="35"/>
      <c r="K143" s="35"/>
      <c r="L143" s="35"/>
      <c r="M143" s="35"/>
      <c r="N143" s="35"/>
      <c r="O143" s="35"/>
      <c r="P143" s="35"/>
    </row>
    <row r="144" spans="1:22">
      <c r="A144" s="35"/>
      <c r="B144" s="35"/>
      <c r="C144" s="35"/>
      <c r="D144" s="35"/>
      <c r="E144" s="35"/>
      <c r="F144" s="35"/>
      <c r="G144" s="35"/>
      <c r="H144" s="35"/>
      <c r="I144" s="35"/>
      <c r="J144" s="35"/>
      <c r="K144" s="35"/>
      <c r="L144" s="35"/>
      <c r="M144" s="35"/>
      <c r="N144" s="35"/>
      <c r="O144" s="35"/>
      <c r="P144" s="35"/>
    </row>
    <row r="145" spans="1:16">
      <c r="A145" s="35"/>
      <c r="B145" s="35"/>
      <c r="C145" s="35"/>
      <c r="D145" s="35"/>
      <c r="E145" s="35"/>
      <c r="F145" s="35"/>
      <c r="G145" s="35"/>
      <c r="H145" s="35"/>
      <c r="I145" s="35"/>
      <c r="J145" s="35"/>
      <c r="K145" s="35"/>
      <c r="L145" s="35"/>
      <c r="M145" s="35"/>
      <c r="N145" s="35"/>
      <c r="O145" s="35"/>
      <c r="P145" s="35"/>
    </row>
    <row r="146" spans="1:16">
      <c r="C146" s="35"/>
      <c r="D146" s="35"/>
      <c r="E146" s="35"/>
      <c r="F146" s="35"/>
      <c r="G146" s="35"/>
      <c r="H146" s="35"/>
      <c r="I146" s="35"/>
      <c r="J146" s="35"/>
      <c r="K146" s="35"/>
      <c r="L146" s="35"/>
      <c r="M146" s="35"/>
      <c r="N146" s="35"/>
      <c r="O146" s="35"/>
      <c r="P146" s="35"/>
    </row>
  </sheetData>
  <mergeCells count="25">
    <mergeCell ref="C13:D13"/>
    <mergeCell ref="C14:D14"/>
    <mergeCell ref="C33:D33"/>
    <mergeCell ref="C34:D34"/>
    <mergeCell ref="C15:D15"/>
    <mergeCell ref="C16:D16"/>
    <mergeCell ref="C17:D17"/>
    <mergeCell ref="C23:D23"/>
    <mergeCell ref="C25:D25"/>
    <mergeCell ref="E1:F1"/>
    <mergeCell ref="B95:K95"/>
    <mergeCell ref="B11:K11"/>
    <mergeCell ref="B19:K19"/>
    <mergeCell ref="B69:K69"/>
    <mergeCell ref="C71:F71"/>
    <mergeCell ref="C26:D26"/>
    <mergeCell ref="C27:D27"/>
    <mergeCell ref="C28:D28"/>
    <mergeCell ref="C30:D30"/>
    <mergeCell ref="C31:D31"/>
    <mergeCell ref="C35:D35"/>
    <mergeCell ref="C36:D36"/>
    <mergeCell ref="C37:D37"/>
    <mergeCell ref="C38:D38"/>
    <mergeCell ref="C4:D5"/>
  </mergeCells>
  <conditionalFormatting sqref="J76 E16:E17">
    <cfRule type="expression" dxfId="16" priority="2">
      <formula>$J$76&gt;$E$15</formula>
    </cfRule>
  </conditionalFormatting>
  <dataValidations count="3">
    <dataValidation type="list" allowBlank="1" showInputMessage="1" prompt="Select from list or type in job title" sqref="C41:C45">
      <formula1>Staff_List</formula1>
    </dataValidation>
    <dataValidation allowBlank="1" showInputMessage="1" showErrorMessage="1" prompt="Please select Band from Drop down list" sqref="D49:D53"/>
    <dataValidation allowBlank="1" showInputMessage="1" prompt="Select from list or type in job title" sqref="C49:C53"/>
  </dataValidations>
  <pageMargins left="0.7" right="0.7" top="0.75" bottom="0.75" header="0.3" footer="0.3"/>
  <pageSetup paperSize="9" scale="39" orientation="portrait"/>
  <rowBreaks count="1" manualBreakCount="1">
    <brk id="102" max="16383" man="1"/>
  </rowBreaks>
  <colBreaks count="1" manualBreakCount="1">
    <brk id="11" max="130" man="1"/>
  </colBreaks>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Please select Band from Drop down list">
          <x14:formula1>
            <xm:f>staff_costs!$A$4:$A$21</xm:f>
          </x14:formula1>
          <xm:sqref>D41:D45</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0"/>
  <sheetViews>
    <sheetView showGridLines="0" zoomScale="75" zoomScaleNormal="75" zoomScalePageLayoutView="75" workbookViewId="0">
      <selection activeCell="D17" sqref="D17"/>
    </sheetView>
  </sheetViews>
  <sheetFormatPr defaultColWidth="4.42578125" defaultRowHeight="14.25"/>
  <cols>
    <col min="1" max="1" width="3.28515625" style="49" customWidth="1"/>
    <col min="2" max="2" width="67.42578125" style="49" customWidth="1"/>
    <col min="3" max="5" width="25.7109375" style="49" customWidth="1"/>
    <col min="6" max="7" width="15.7109375" style="49" customWidth="1"/>
    <col min="8" max="8" width="3.28515625" style="49" customWidth="1"/>
    <col min="9" max="16384" width="4.42578125" style="49"/>
  </cols>
  <sheetData>
    <row r="1" spans="1:7" ht="15">
      <c r="D1" s="1549" t="s">
        <v>1124</v>
      </c>
      <c r="E1" s="1550">
        <v>42761</v>
      </c>
    </row>
    <row r="3" spans="1:7" ht="20.25">
      <c r="A3" s="1443"/>
      <c r="B3" s="1548" t="s">
        <v>1329</v>
      </c>
      <c r="C3" s="1445"/>
      <c r="D3" s="1445"/>
      <c r="E3" s="1445"/>
      <c r="F3" s="1445"/>
      <c r="G3" s="1445"/>
    </row>
    <row r="4" spans="1:7">
      <c r="A4" s="1443"/>
      <c r="B4" s="1443"/>
      <c r="C4" s="1443"/>
      <c r="D4" s="1443"/>
      <c r="E4" s="1443"/>
      <c r="F4" s="1443"/>
      <c r="G4" s="1443"/>
    </row>
    <row r="5" spans="1:7" ht="15" customHeight="1">
      <c r="A5" s="1443"/>
      <c r="B5" s="1443"/>
      <c r="C5" s="1443"/>
      <c r="D5" s="1443"/>
      <c r="E5" s="1443"/>
      <c r="F5" s="1443"/>
      <c r="G5" s="1443"/>
    </row>
    <row r="6" spans="1:7" ht="15.75">
      <c r="A6" s="1443"/>
      <c r="B6" s="1541" t="s">
        <v>563</v>
      </c>
      <c r="C6" s="1444"/>
      <c r="D6" s="2249" t="s">
        <v>140</v>
      </c>
      <c r="E6" s="2250"/>
      <c r="F6" s="1444"/>
      <c r="G6" s="1444"/>
    </row>
    <row r="7" spans="1:7" ht="20.100000000000001" customHeight="1">
      <c r="A7" s="1443"/>
      <c r="B7" s="1844" t="str">
        <f>HYPERLINK("[.\]local_data_input!B3", "cost data")</f>
        <v>cost data</v>
      </c>
      <c r="C7" s="1721"/>
      <c r="D7" s="2251" t="str">
        <f>HYPERLINK("[.\]control_sheet_and_graphs!A1", "control sheet and graphical results")</f>
        <v>control sheet and graphical results</v>
      </c>
      <c r="E7" s="2252"/>
      <c r="F7" s="1721"/>
      <c r="G7" s="1721"/>
    </row>
    <row r="8" spans="1:7" ht="20.100000000000001" customHeight="1">
      <c r="A8" s="1443"/>
      <c r="B8" s="1845" t="str">
        <f>HYPERLINK("[.\]local_data_input!B23", "baseline activity")</f>
        <v>baseline activity</v>
      </c>
      <c r="C8" s="1721"/>
      <c r="D8" s="2253" t="str">
        <f>HYPERLINK("[.\]outputs_by_channel!A1", "intervention data outputs by channel")</f>
        <v>intervention data outputs by channel</v>
      </c>
      <c r="E8" s="2254"/>
      <c r="F8" s="1721"/>
      <c r="G8" s="1721"/>
    </row>
    <row r="9" spans="1:7" ht="20.100000000000001" customHeight="1">
      <c r="A9" s="1443"/>
      <c r="B9" s="1845" t="str">
        <f>HYPERLINK("[.\]local_data_input!B42", "population")</f>
        <v>population</v>
      </c>
      <c r="C9" s="1721"/>
      <c r="D9" s="2255" t="str">
        <f>HYPERLINK("[.\]projections!A1", "projection calculations")</f>
        <v>projection calculations</v>
      </c>
      <c r="E9" s="2256"/>
      <c r="F9" s="1721"/>
      <c r="G9" s="1721"/>
    </row>
    <row r="10" spans="1:7" ht="20.100000000000001" customHeight="1">
      <c r="A10" s="1443"/>
      <c r="B10" s="1845" t="str">
        <f>HYPERLINK("[.\]local_data_input!B47", "inflation and growth assumptions")</f>
        <v>inflation and growth assumptions</v>
      </c>
      <c r="C10" s="1721"/>
      <c r="D10" s="1713"/>
      <c r="E10" s="1712"/>
      <c r="F10" s="1721"/>
      <c r="G10" s="1721"/>
    </row>
    <row r="11" spans="1:7" ht="20.100000000000001" customHeight="1">
      <c r="A11" s="1443"/>
      <c r="B11" s="1846" t="str">
        <f>HYPERLINK("[.\]staff_costs!A1", "staff costs")</f>
        <v>staff costs</v>
      </c>
      <c r="C11" s="1721"/>
      <c r="D11" s="1721"/>
      <c r="E11" s="1721"/>
      <c r="F11" s="1721"/>
      <c r="G11" s="1721"/>
    </row>
    <row r="12" spans="1:7" ht="20.100000000000001" customHeight="1">
      <c r="A12" s="1443"/>
      <c r="C12" s="1721"/>
      <c r="D12" s="1721"/>
      <c r="E12" s="1721"/>
      <c r="F12" s="1721"/>
      <c r="G12" s="1721"/>
    </row>
    <row r="13" spans="1:7">
      <c r="A13" s="1443"/>
      <c r="B13" s="1443"/>
      <c r="C13" s="1443"/>
      <c r="D13" s="1443"/>
      <c r="E13" s="1443"/>
      <c r="F13" s="1443"/>
      <c r="G13" s="1443"/>
    </row>
    <row r="14" spans="1:7" ht="15.75">
      <c r="A14" s="1443"/>
      <c r="B14" s="1446"/>
      <c r="C14" s="1446"/>
      <c r="D14" s="1446"/>
      <c r="E14" s="1446"/>
      <c r="F14" s="1446"/>
      <c r="G14" s="1446"/>
    </row>
    <row r="15" spans="1:7" ht="15">
      <c r="A15" s="1443"/>
      <c r="B15" s="1722"/>
      <c r="C15" s="2257" t="s">
        <v>1123</v>
      </c>
      <c r="D15" s="2258"/>
      <c r="E15" s="2259"/>
      <c r="F15" s="1443"/>
    </row>
    <row r="16" spans="1:7" ht="31.5">
      <c r="A16" s="1443"/>
      <c r="B16" s="1541" t="s">
        <v>628</v>
      </c>
      <c r="C16" s="1541" t="s">
        <v>629</v>
      </c>
      <c r="D16" s="1541" t="s">
        <v>630</v>
      </c>
      <c r="E16" s="1541" t="s">
        <v>631</v>
      </c>
      <c r="F16" s="1443"/>
    </row>
    <row r="17" spans="1:6" ht="28.35" customHeight="1">
      <c r="A17" s="1443"/>
      <c r="B17" s="1542" t="s">
        <v>579</v>
      </c>
      <c r="C17" s="1844" t="str">
        <f>HYPERLINK("[.\]hear_and_treat!B2", "M")</f>
        <v>M</v>
      </c>
      <c r="D17" s="1844" t="str">
        <f>HYPERLINK("[.\]E_ambulance!A2", "E")</f>
        <v>E</v>
      </c>
      <c r="E17" s="1844" t="str">
        <f>HYPERLINK("[.\]Set_up_hear_and_treat!A4", "C")</f>
        <v>C</v>
      </c>
      <c r="F17" s="1443"/>
    </row>
    <row r="18" spans="1:6" ht="28.35" customHeight="1">
      <c r="A18" s="1443"/>
      <c r="B18" s="1545" t="s">
        <v>580</v>
      </c>
      <c r="C18" s="1846" t="str">
        <f>HYPERLINK("[.\]see_and_treat!B2", "M")</f>
        <v>M</v>
      </c>
      <c r="D18" s="1846" t="str">
        <f>HYPERLINK("[.\]E_ambulance!A2", "E")</f>
        <v>E</v>
      </c>
      <c r="E18" s="1846" t="str">
        <f>HYPERLINK("[.\]Set_up_hear_and_treat!A10", "C")</f>
        <v>C</v>
      </c>
      <c r="F18" s="1443"/>
    </row>
    <row r="19" spans="1:6" ht="28.35" customHeight="1">
      <c r="A19" s="1443"/>
      <c r="B19" s="1543" t="s">
        <v>581</v>
      </c>
      <c r="C19" s="1844" t="str">
        <f>HYPERLINK("[.\]clinical_advisor_consultations!B2", "M")</f>
        <v>M</v>
      </c>
      <c r="D19" s="1844" t="str">
        <f>HYPERLINK("[.\]E_ICH!A2", "E")</f>
        <v>E</v>
      </c>
      <c r="E19" s="1844" t="str">
        <f>HYPERLINK("[.\]Set_up_ICH!A4", "C")</f>
        <v>C</v>
      </c>
      <c r="F19" s="1443"/>
    </row>
    <row r="20" spans="1:6" ht="28.35" customHeight="1">
      <c r="A20" s="1443"/>
      <c r="B20" s="1543" t="s">
        <v>576</v>
      </c>
      <c r="C20" s="1846" t="str">
        <f>HYPERLINK("[.\]integration_of_hubs!B2", "M")</f>
        <v>M</v>
      </c>
      <c r="D20" s="1846" t="str">
        <f>HYPERLINK("[.\]E_ICH!A2", "E")</f>
        <v>E</v>
      </c>
      <c r="E20" s="1846" t="str">
        <f>HYPERLINK("[.\]Set_up_ICH!A10", "C")</f>
        <v>C</v>
      </c>
      <c r="F20" s="1443"/>
    </row>
    <row r="21" spans="1:6" ht="28.35" customHeight="1">
      <c r="A21" s="1443"/>
      <c r="B21" s="1546" t="s">
        <v>217</v>
      </c>
      <c r="C21" s="1844" t="str">
        <f>HYPERLINK("[.\]AEC!B2", "M")</f>
        <v>M</v>
      </c>
      <c r="D21" s="1844" t="str">
        <f>HYPERLINK("[.\]E_AEC!A2", "E")</f>
        <v>E</v>
      </c>
      <c r="E21" s="1844" t="str">
        <f>HYPERLINK("[.\]Set_up_AEC!A3", "C")</f>
        <v>C</v>
      </c>
      <c r="F21" s="1443"/>
    </row>
    <row r="22" spans="1:6" ht="28.35" customHeight="1">
      <c r="A22" s="1443"/>
      <c r="B22" s="1546" t="s">
        <v>238</v>
      </c>
      <c r="C22" s="1844" t="str">
        <f>HYPERLINK("[.\]Care_planning!B2", "M")</f>
        <v>M</v>
      </c>
      <c r="D22" s="1844" t="str">
        <f>HYPERLINK("[.\]E_care_plan!A2", "E")</f>
        <v>E</v>
      </c>
      <c r="E22" s="1844" t="str">
        <f>HYPERLINK("[.\]Set_up_PCP!A1", "C")</f>
        <v>C</v>
      </c>
      <c r="F22" s="1443"/>
    </row>
    <row r="23" spans="1:6" ht="28.35" customHeight="1">
      <c r="A23" s="1443"/>
      <c r="B23" s="1546" t="s">
        <v>286</v>
      </c>
      <c r="C23" s="1844" t="str">
        <f>HYPERLINK("[.\]Colocate_UCC!B2", "M")</f>
        <v>M</v>
      </c>
      <c r="D23" s="1844" t="str">
        <f>HYPERLINK("[.\]E_colocation_UCC_ED!A2", "E")</f>
        <v>E</v>
      </c>
      <c r="E23" s="1844" t="str">
        <f>HYPERLINK("[.\]Set_up_co_UCC!A1", "C")</f>
        <v>C</v>
      </c>
      <c r="F23" s="1443"/>
    </row>
    <row r="24" spans="1:6" ht="28.35" customHeight="1">
      <c r="A24" s="1443"/>
      <c r="B24" s="2244" t="s">
        <v>293</v>
      </c>
      <c r="C24" s="2245" t="str">
        <f>HYPERLINK("[.\]Enhanced_UCS!B2", "M")</f>
        <v>M</v>
      </c>
      <c r="D24" s="2245" t="str">
        <f>HYPERLINK("[.\]E_UCC_standards!A2", "E")</f>
        <v>E</v>
      </c>
      <c r="E24" s="2245" t="str">
        <f>HYPERLINK("[.\]Set_up_Ad_UCS!A3", "C")</f>
        <v>C</v>
      </c>
      <c r="F24" s="1443"/>
    </row>
    <row r="25" spans="1:6" ht="28.35" customHeight="1">
      <c r="A25" s="1443"/>
      <c r="B25" s="1546" t="s">
        <v>324</v>
      </c>
      <c r="C25" s="1844" t="str">
        <f>HYPERLINK("[.\]GP_Hours!B2", "M")</f>
        <v>M</v>
      </c>
      <c r="D25" s="1844" t="str">
        <f>HYPERLINK("[.\]E_GP_hrs!A2", "E")</f>
        <v>E</v>
      </c>
      <c r="E25" s="1844" t="str">
        <f>HYPERLINK("[.\]Set_up_GP_Hrs!A3", "C")</f>
        <v>C</v>
      </c>
      <c r="F25" s="1443"/>
    </row>
    <row r="26" spans="1:6" ht="28.35" customHeight="1">
      <c r="A26" s="1443"/>
      <c r="B26" s="1543" t="s">
        <v>577</v>
      </c>
      <c r="C26" s="1844" t="str">
        <f>HYPERLINK("[.\]PGD_Minor_ailments!B2", "M")</f>
        <v>M</v>
      </c>
      <c r="D26" s="1844" t="str">
        <f>HYPERLINK("[.\]E_MAS!A2", "E")</f>
        <v>E</v>
      </c>
      <c r="E26" s="1844" t="str">
        <f>HYPERLINK("[.\]Set_up_MAS!A3", "C")</f>
        <v>C</v>
      </c>
      <c r="F26" s="1443"/>
    </row>
    <row r="27" spans="1:6" ht="28.35" customHeight="1">
      <c r="A27" s="1443"/>
      <c r="B27" s="2020" t="s">
        <v>1246</v>
      </c>
      <c r="C27" s="1846" t="str">
        <f>HYPERLINK("[.\]Emergency_medication_supply!B2", "M")</f>
        <v>M</v>
      </c>
      <c r="D27" s="1846" t="str">
        <f>HYPERLINK("[.\]E_MAS!A2", "E")</f>
        <v>E</v>
      </c>
      <c r="E27" s="1846" t="str">
        <f>HYPERLINK("[.\]Set_up_MAS!A3", "C")</f>
        <v>C</v>
      </c>
      <c r="F27" s="1443"/>
    </row>
    <row r="28" spans="1:6" ht="28.35" customHeight="1">
      <c r="A28" s="1443"/>
      <c r="B28" s="1544" t="s">
        <v>1076</v>
      </c>
      <c r="C28" s="1844" t="str">
        <f>HYPERLINK("[.\]IP_drug_reconciliation!B2", "M")</f>
        <v>M</v>
      </c>
      <c r="D28" s="1844" t="str">
        <f>HYPERLINK("[.\]E_SCR!A2", "E")</f>
        <v>E</v>
      </c>
      <c r="E28" s="1844" t="str">
        <f>HYPERLINK("[.\]Set_up_SCR!A3", "C")</f>
        <v>C</v>
      </c>
      <c r="F28" s="1443"/>
    </row>
    <row r="29" spans="1:6" ht="28.35" customHeight="1">
      <c r="A29" s="1443"/>
      <c r="B29" s="1545" t="s">
        <v>578</v>
      </c>
      <c r="C29" s="1846" t="str">
        <f>HYPERLINK("[.\]SCR_in_ED!B2", "M")</f>
        <v>M</v>
      </c>
      <c r="D29" s="1846" t="str">
        <f>HYPERLINK("[.\]E_SCR!A2", "E")</f>
        <v>E</v>
      </c>
      <c r="E29" s="1846" t="str">
        <f>HYPERLINK("[.\]Set_up_SCR!A3", "C")</f>
        <v>C</v>
      </c>
      <c r="F29" s="1443"/>
    </row>
    <row r="30" spans="1:6" ht="28.35" customHeight="1">
      <c r="A30" s="1443"/>
      <c r="B30" s="1546" t="s">
        <v>750</v>
      </c>
      <c r="C30" s="1844" t="str">
        <f>HYPERLINK("[.\]IR_in_AS!B2", "M")</f>
        <v>M</v>
      </c>
      <c r="D30" s="1844" t="str">
        <f>HYPERLINK("[.\]E_IR!A2", "E")</f>
        <v>E</v>
      </c>
      <c r="E30" s="1844" t="str">
        <f>HYPERLINK("[.\]Set_up_IR!B8", "C")</f>
        <v>C</v>
      </c>
      <c r="F30" s="1443"/>
    </row>
    <row r="31" spans="1:6" ht="28.35" customHeight="1">
      <c r="A31" s="1443"/>
      <c r="B31" s="1546" t="s">
        <v>751</v>
      </c>
      <c r="C31" s="1844" t="str">
        <f>HYPERLINK("[.\]IR_in_ED!B2", "M")</f>
        <v>M</v>
      </c>
      <c r="D31" s="1844" t="str">
        <f>HYPERLINK("[.\]E_IR!A2", "E")</f>
        <v>E</v>
      </c>
      <c r="E31" s="1844" t="str">
        <f>HYPERLINK("[.\]Set_up_IR!C8", "C")</f>
        <v>C</v>
      </c>
      <c r="F31" s="1443"/>
    </row>
    <row r="32" spans="1:6" ht="28.35" customHeight="1">
      <c r="A32" s="1443"/>
      <c r="B32" s="1546" t="s">
        <v>752</v>
      </c>
      <c r="C32" s="1844" t="str">
        <f>HYPERLINK("[.\]IR_in_CH!B2", "M")</f>
        <v>M</v>
      </c>
      <c r="D32" s="1844" t="str">
        <f>HYPERLINK("[.\]E_IR!A2", "E")</f>
        <v>E</v>
      </c>
      <c r="E32" s="1844" t="str">
        <f>HYPERLINK("[.\]Set_up_IR!D8", "C")</f>
        <v>C</v>
      </c>
      <c r="F32" s="1443"/>
    </row>
    <row r="33" spans="1:7" ht="28.35" customHeight="1">
      <c r="A33" s="1443"/>
      <c r="B33" s="1677" t="s">
        <v>1269</v>
      </c>
      <c r="C33" s="2195" t="str">
        <f>HYPERLINK("[.\]D2A!B2", "M")</f>
        <v>M</v>
      </c>
      <c r="D33" s="2195" t="str">
        <f>HYPERLINK("[.\]E_D2A!A2", "E")</f>
        <v>E</v>
      </c>
      <c r="E33" s="2195" t="str">
        <f>HYPERLINK("[.\]Run_D2A!A3", "C")</f>
        <v>C</v>
      </c>
      <c r="F33" s="2196" t="str">
        <f>HYPERLINK("[.\]D2A Comm_Ward!A3", "C2")</f>
        <v>C2</v>
      </c>
      <c r="G33" s="2196" t="str">
        <f>HYPERLINK("[.\]Run_D2A!A3", "C3")</f>
        <v>C3</v>
      </c>
    </row>
    <row r="34" spans="1:7" ht="28.35" customHeight="1">
      <c r="A34" s="1443"/>
      <c r="B34" s="1546" t="s">
        <v>753</v>
      </c>
      <c r="C34" s="1844" t="str">
        <f>HYPERLINK("[.\]Dis_Pl!B2", "M")</f>
        <v>M</v>
      </c>
      <c r="D34" s="1844" t="str">
        <f>HYPERLINK("[.\]E_Dis_Pl!A2", "E")</f>
        <v>E</v>
      </c>
      <c r="E34" s="1844" t="str">
        <f>HYPERLINK("[.\]Set_up_Dis_Pl!A3", "C")</f>
        <v>C</v>
      </c>
      <c r="F34" s="1443"/>
    </row>
    <row r="35" spans="1:7" ht="28.35" customHeight="1">
      <c r="A35" s="1443"/>
      <c r="B35" s="1546" t="s">
        <v>703</v>
      </c>
      <c r="C35" s="1844" t="str">
        <f>HYPERLINK("[.\]Rapid_Response!B2", "M")</f>
        <v>M</v>
      </c>
      <c r="D35" s="1844" t="str">
        <f>HYPERLINK("[.\]E_RR!A2", "E")</f>
        <v>E</v>
      </c>
      <c r="E35" s="1844" t="str">
        <f>HYPERLINK("[.\]Set_up_RR!A3", "C")</f>
        <v>C</v>
      </c>
      <c r="F35" s="1443"/>
    </row>
    <row r="36" spans="1:7" ht="28.35" customHeight="1">
      <c r="A36" s="1443"/>
      <c r="B36" s="1547" t="s">
        <v>976</v>
      </c>
      <c r="C36" s="1844" t="str">
        <f>HYPERLINK("[.\]Falls!B2", "M")</f>
        <v>M</v>
      </c>
      <c r="D36" s="1844" t="str">
        <f>HYPERLINK("[.\]E_Falls!A2", "E")</f>
        <v>E</v>
      </c>
      <c r="E36" s="1844" t="str">
        <f>HYPERLINK("[.\]Set_up_Falls!A3", "C")</f>
        <v>C</v>
      </c>
      <c r="F36" s="1443"/>
    </row>
    <row r="37" spans="1:7" ht="28.35" customHeight="1">
      <c r="A37" s="1443"/>
      <c r="B37" s="1546" t="s">
        <v>754</v>
      </c>
      <c r="C37" s="1844" t="str">
        <f>HYPERLINK("[.\]CHE!B2", "M")</f>
        <v>M</v>
      </c>
      <c r="D37" s="1844" t="str">
        <f>HYPERLINK("[.\]E_CHE!A2", "E")</f>
        <v>E</v>
      </c>
      <c r="E37" s="1844" t="str">
        <f>HYPERLINK("[.\]Set_up_CHE!A3", "C")</f>
        <v>C</v>
      </c>
      <c r="F37" s="1443"/>
    </row>
    <row r="38" spans="1:7" ht="28.35" customHeight="1">
      <c r="A38" s="1443"/>
      <c r="B38" s="1546" t="s">
        <v>755</v>
      </c>
      <c r="C38" s="1844" t="str">
        <f>HYPERLINK("[.\]EWS_in_CH!B2", "M")</f>
        <v>M</v>
      </c>
      <c r="D38" s="1849" t="str">
        <f>HYPERLINK("[.\]E_EWS_in_CH!A2", "E")</f>
        <v>E</v>
      </c>
      <c r="E38" s="1849" t="str">
        <f>HYPERLINK("[.\]Set_up_EWS_in_CH!A3", "C")</f>
        <v>C</v>
      </c>
      <c r="F38" s="1443"/>
    </row>
    <row r="39" spans="1:7" ht="28.35" customHeight="1">
      <c r="A39" s="1443"/>
      <c r="B39" s="1545" t="s">
        <v>925</v>
      </c>
      <c r="C39" s="1849" t="str">
        <f>HYPERLINK("[.\]other_intervention!B2", "M")</f>
        <v>M</v>
      </c>
      <c r="D39" s="1847"/>
      <c r="E39" s="1848"/>
      <c r="F39" s="1443"/>
    </row>
    <row r="40" spans="1:7">
      <c r="A40" s="1443"/>
      <c r="B40" s="1724"/>
      <c r="C40" s="1724"/>
      <c r="D40" s="1724"/>
      <c r="E40" s="1724"/>
      <c r="F40" s="1443"/>
    </row>
  </sheetData>
  <mergeCells count="5">
    <mergeCell ref="D6:E6"/>
    <mergeCell ref="D7:E7"/>
    <mergeCell ref="D8:E8"/>
    <mergeCell ref="D9:E9"/>
    <mergeCell ref="C15:E15"/>
  </mergeCells>
  <pageMargins left="0.70866141732283472" right="0.70866141732283472" top="0.74803149606299213" bottom="0.74803149606299213" header="0.31496062992125984" footer="0.31496062992125984"/>
  <pageSetup paperSize="9" scale="48"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4" tint="-0.249977111117893"/>
    <pageSetUpPr fitToPage="1"/>
  </sheetPr>
  <dimension ref="A1:BV108"/>
  <sheetViews>
    <sheetView showGridLines="0" zoomScale="75" zoomScaleNormal="75" zoomScalePageLayoutView="75" workbookViewId="0">
      <pane ySplit="1" topLeftCell="A2" activePane="bottomLeft" state="frozen"/>
      <selection activeCell="C3" sqref="C3"/>
      <selection pane="bottomLeft" activeCell="D27" sqref="D27"/>
    </sheetView>
  </sheetViews>
  <sheetFormatPr defaultColWidth="8.7109375" defaultRowHeight="14.25" outlineLevelCol="1"/>
  <cols>
    <col min="1" max="1" width="56.140625" style="38" hidden="1" customWidth="1" outlineLevel="1"/>
    <col min="2" max="2" width="15.7109375" style="38" customWidth="1" collapsed="1"/>
    <col min="3" max="3" width="45.7109375" style="38" customWidth="1"/>
    <col min="4" max="4" width="17.28515625" style="38" customWidth="1"/>
    <col min="5" max="8" width="15.7109375" style="38" customWidth="1"/>
    <col min="9" max="9" width="45.7109375" style="38" customWidth="1"/>
    <col min="10" max="10" width="17.28515625" style="38" customWidth="1"/>
    <col min="11" max="11" width="15.7109375" style="38" customWidth="1"/>
    <col min="12" max="12" width="8.42578125" style="38" customWidth="1"/>
    <col min="13" max="13" width="19.140625" style="38" customWidth="1"/>
    <col min="14" max="14" width="23.42578125" style="38" customWidth="1"/>
    <col min="15" max="15" width="15.140625" style="38" bestFit="1" customWidth="1"/>
    <col min="16" max="19" width="8.7109375" style="38"/>
    <col min="20" max="20" width="3" style="38" customWidth="1"/>
    <col min="21" max="21" width="9.42578125" style="38" customWidth="1"/>
    <col min="22" max="23" width="34.7109375" style="38" customWidth="1"/>
    <col min="24" max="24" width="14.7109375" style="38" customWidth="1"/>
    <col min="25" max="25" width="17.7109375" style="38" customWidth="1"/>
    <col min="26" max="26" width="15.42578125" style="38" customWidth="1"/>
    <col min="27" max="16384" width="8.7109375" style="38"/>
  </cols>
  <sheetData>
    <row r="1" spans="1:74" s="51" customFormat="1" ht="42.75" customHeight="1" thickBot="1">
      <c r="B1" s="1760"/>
      <c r="C1" s="1850" t="str">
        <f>HYPERLINK("[.\]Menu!A1", "To Menu")</f>
        <v>To Menu</v>
      </c>
      <c r="D1" s="2017"/>
      <c r="E1" s="2436" t="str">
        <f>HYPERLINK("[.\]control_sheet_and_graphs!A1", "To Control sheet and graphical results")</f>
        <v>To Control sheet and graphical results</v>
      </c>
      <c r="F1" s="2437"/>
      <c r="G1" s="2019"/>
      <c r="H1" s="2019"/>
      <c r="I1" s="2065" t="str">
        <f>HYPERLINK("[.\]outputs_by_channel!A1", "To Intervention data outputs by channel")</f>
        <v>To Intervention data outputs by channel</v>
      </c>
      <c r="J1" s="2062"/>
      <c r="K1" s="1762"/>
      <c r="N1" s="52"/>
      <c r="P1" s="52"/>
      <c r="Q1" s="52"/>
      <c r="R1" s="52"/>
      <c r="S1" s="52"/>
      <c r="U1" s="52"/>
      <c r="V1" s="52"/>
      <c r="W1" s="52"/>
      <c r="X1" s="52"/>
      <c r="Z1" s="52"/>
      <c r="AA1" s="52"/>
      <c r="AB1" s="52"/>
      <c r="AC1" s="52"/>
      <c r="AE1" s="52"/>
      <c r="AF1" s="52"/>
      <c r="AG1" s="52"/>
      <c r="AH1" s="52"/>
      <c r="AJ1" s="52"/>
      <c r="AK1" s="52"/>
      <c r="AL1" s="52"/>
      <c r="AM1" s="52"/>
      <c r="AO1" s="52"/>
      <c r="AP1" s="52"/>
      <c r="AQ1" s="52"/>
      <c r="AR1" s="52"/>
      <c r="AT1" s="52"/>
      <c r="AU1" s="52"/>
      <c r="AV1" s="52"/>
      <c r="AW1" s="52"/>
      <c r="AY1" s="52"/>
      <c r="AZ1" s="52"/>
      <c r="BA1" s="52"/>
      <c r="BB1" s="52"/>
      <c r="BD1" s="52"/>
      <c r="BE1" s="52"/>
      <c r="BF1" s="52"/>
      <c r="BG1" s="52"/>
      <c r="BI1" s="52"/>
      <c r="BJ1" s="52"/>
      <c r="BK1" s="52"/>
      <c r="BL1" s="52"/>
      <c r="BN1" s="52"/>
      <c r="BO1" s="52"/>
      <c r="BP1" s="52"/>
      <c r="BQ1" s="52"/>
      <c r="BS1" s="52"/>
      <c r="BT1" s="52"/>
      <c r="BU1" s="52"/>
      <c r="BV1" s="52"/>
    </row>
    <row r="2" spans="1:74" s="42" customFormat="1" ht="15">
      <c r="A2" s="41"/>
      <c r="B2" s="84"/>
      <c r="C2" s="580"/>
      <c r="D2" s="580"/>
      <c r="E2" s="580"/>
      <c r="F2" s="593"/>
      <c r="G2" s="593"/>
      <c r="H2" s="593"/>
      <c r="I2" s="2072"/>
      <c r="J2" s="2072"/>
      <c r="K2" s="2088"/>
      <c r="L2" s="39"/>
      <c r="M2" s="40"/>
      <c r="N2" s="40"/>
      <c r="O2" s="40"/>
      <c r="P2" s="40"/>
      <c r="Q2" s="39"/>
      <c r="R2" s="39"/>
      <c r="S2" s="39"/>
      <c r="T2" s="39"/>
      <c r="U2" s="74"/>
      <c r="V2" s="39"/>
      <c r="W2" s="39"/>
    </row>
    <row r="3" spans="1:74" s="42" customFormat="1" ht="15.75" thickBot="1">
      <c r="A3" s="41"/>
      <c r="B3" s="84"/>
      <c r="C3" s="97"/>
      <c r="D3" s="97"/>
      <c r="E3" s="97"/>
      <c r="F3"/>
      <c r="G3"/>
      <c r="H3" s="1262"/>
      <c r="I3" s="2070"/>
      <c r="J3" s="2074"/>
      <c r="K3" s="2083"/>
      <c r="M3" s="40"/>
      <c r="N3" s="40"/>
      <c r="O3" s="40"/>
      <c r="P3" s="40"/>
      <c r="Q3" s="39"/>
      <c r="R3" s="39"/>
      <c r="S3" s="39"/>
      <c r="T3" s="39"/>
      <c r="U3" s="74"/>
      <c r="V3" s="39"/>
      <c r="W3" s="39"/>
    </row>
    <row r="4" spans="1:74" s="42" customFormat="1" ht="15" customHeight="1">
      <c r="A4" s="39"/>
      <c r="B4" s="84"/>
      <c r="C4" s="2438" t="str">
        <f>Menu!$B27</f>
        <v>Community pharmacy: Emergency medication supply</v>
      </c>
      <c r="D4" s="2439"/>
      <c r="E4" s="97"/>
      <c r="F4"/>
      <c r="G4"/>
      <c r="H4" s="580"/>
      <c r="I4" s="2070"/>
      <c r="J4" s="2074"/>
      <c r="K4" s="2083"/>
      <c r="L4" s="39"/>
      <c r="M4" s="40"/>
      <c r="N4" s="40"/>
      <c r="O4" s="40"/>
      <c r="P4" s="40"/>
      <c r="Q4" s="39"/>
      <c r="R4" s="39"/>
      <c r="S4" s="39"/>
      <c r="T4" s="39"/>
      <c r="U4" s="74"/>
      <c r="V4" s="39"/>
      <c r="W4" s="39"/>
    </row>
    <row r="5" spans="1:74" s="42" customFormat="1" ht="15.75" thickBot="1">
      <c r="A5" s="39"/>
      <c r="B5" s="84"/>
      <c r="C5" s="2440"/>
      <c r="D5" s="2399"/>
      <c r="E5" s="97"/>
      <c r="F5"/>
      <c r="G5"/>
      <c r="H5" s="593"/>
      <c r="I5" s="2070"/>
      <c r="J5" s="2075"/>
      <c r="K5" s="2084"/>
      <c r="L5" s="39"/>
      <c r="M5" s="40"/>
      <c r="N5" s="40"/>
      <c r="O5" s="40"/>
      <c r="P5" s="40"/>
      <c r="Q5" s="39"/>
      <c r="R5" s="39"/>
      <c r="S5" s="39"/>
      <c r="T5" s="39"/>
      <c r="U5" s="74"/>
      <c r="V5" s="39"/>
      <c r="W5" s="39"/>
    </row>
    <row r="6" spans="1:74" s="42" customFormat="1" ht="15.75" thickBot="1">
      <c r="A6" s="39"/>
      <c r="B6" s="84"/>
      <c r="E6" s="97"/>
      <c r="F6"/>
      <c r="G6"/>
      <c r="H6" s="580"/>
      <c r="I6" s="2070"/>
      <c r="J6" s="2077"/>
      <c r="K6" s="2085"/>
      <c r="L6" s="39"/>
      <c r="M6" s="40"/>
      <c r="N6" s="40"/>
      <c r="O6" s="40"/>
      <c r="P6" s="40"/>
      <c r="Q6" s="39"/>
      <c r="R6" s="39"/>
      <c r="S6" s="39"/>
      <c r="T6" s="39"/>
      <c r="U6" s="74"/>
      <c r="V6" s="39"/>
      <c r="W6" s="39"/>
    </row>
    <row r="7" spans="1:74" s="42" customFormat="1" ht="15.75" thickBot="1">
      <c r="A7" s="39"/>
      <c r="B7" s="84"/>
      <c r="C7" s="474" t="s">
        <v>582</v>
      </c>
      <c r="D7" s="806">
        <v>304721</v>
      </c>
      <c r="E7" s="97"/>
      <c r="F7" s="116"/>
      <c r="G7" s="97"/>
      <c r="H7" s="580"/>
      <c r="I7" s="2070"/>
      <c r="J7" s="2078"/>
      <c r="K7" s="2083"/>
      <c r="L7" s="39"/>
      <c r="M7" s="40"/>
      <c r="N7" s="40"/>
      <c r="O7" s="40"/>
      <c r="P7" s="40"/>
      <c r="Q7" s="39"/>
      <c r="R7" s="39"/>
      <c r="S7" s="39"/>
      <c r="T7" s="39"/>
      <c r="U7" s="74"/>
      <c r="V7" s="39"/>
      <c r="W7" s="39"/>
    </row>
    <row r="8" spans="1:74" s="42" customFormat="1" ht="15">
      <c r="A8" s="39"/>
      <c r="B8" s="84"/>
      <c r="C8" s="683"/>
      <c r="D8" s="683"/>
      <c r="E8" s="683"/>
      <c r="F8" s="580"/>
      <c r="G8" s="580"/>
      <c r="H8" s="580"/>
      <c r="I8" s="2070"/>
      <c r="J8" s="2075"/>
      <c r="K8" s="2084"/>
      <c r="L8" s="39"/>
      <c r="M8" s="40"/>
      <c r="N8" s="40"/>
      <c r="O8" s="40"/>
      <c r="P8" s="40"/>
      <c r="Q8" s="39"/>
      <c r="R8" s="39"/>
      <c r="S8" s="39"/>
      <c r="T8" s="39"/>
      <c r="U8" s="74"/>
      <c r="V8" s="39"/>
      <c r="W8" s="39"/>
    </row>
    <row r="9" spans="1:74" s="42" customFormat="1" ht="15">
      <c r="B9" s="84"/>
      <c r="C9" s="1777" t="str">
        <f>HYPERLINK("[.\]E_MAS!A2","To Evidence")</f>
        <v>To Evidence</v>
      </c>
      <c r="D9" s="40"/>
      <c r="E9" s="40"/>
      <c r="F9" s="40"/>
      <c r="G9" s="40"/>
      <c r="H9" s="40"/>
      <c r="I9" s="40"/>
      <c r="J9" s="40"/>
      <c r="K9" s="145"/>
      <c r="L9" s="73"/>
      <c r="M9" s="40"/>
      <c r="N9" s="40"/>
      <c r="O9" s="40"/>
      <c r="P9" s="40"/>
      <c r="Q9" s="39"/>
      <c r="R9" s="39"/>
      <c r="S9" s="39"/>
      <c r="T9" s="39"/>
      <c r="U9" s="39"/>
      <c r="V9" s="39"/>
      <c r="W9" s="39"/>
    </row>
    <row r="10" spans="1:74" s="42" customFormat="1" ht="15">
      <c r="B10" s="130"/>
      <c r="C10" s="1203"/>
      <c r="D10" s="1203"/>
      <c r="E10" s="1203"/>
      <c r="F10" s="1203"/>
      <c r="G10" s="1203"/>
      <c r="H10" s="1203"/>
      <c r="I10" s="40"/>
      <c r="J10" s="40"/>
      <c r="K10" s="615"/>
      <c r="L10" s="1715"/>
      <c r="M10" s="40"/>
      <c r="N10" s="40"/>
      <c r="O10" s="40"/>
      <c r="P10" s="40"/>
      <c r="Q10" s="39"/>
      <c r="R10" s="39"/>
      <c r="S10" s="39"/>
      <c r="T10" s="39"/>
      <c r="U10" s="39"/>
      <c r="V10" s="39"/>
      <c r="W10" s="39"/>
    </row>
    <row r="11" spans="1:74" s="42" customFormat="1" ht="15">
      <c r="A11" s="2037" t="s">
        <v>103</v>
      </c>
      <c r="B11" s="2343" t="s">
        <v>119</v>
      </c>
      <c r="C11" s="2360"/>
      <c r="D11" s="2360"/>
      <c r="E11" s="2360"/>
      <c r="F11" s="2360"/>
      <c r="G11" s="2360"/>
      <c r="H11" s="2360"/>
      <c r="I11" s="2360"/>
      <c r="J11" s="2360"/>
      <c r="K11" s="2361"/>
      <c r="L11" s="44"/>
      <c r="M11" s="39"/>
      <c r="N11" s="39"/>
      <c r="O11" s="39"/>
      <c r="P11" s="39"/>
      <c r="Q11" s="39"/>
      <c r="R11" s="39"/>
      <c r="S11" s="39"/>
      <c r="T11" s="39"/>
      <c r="U11" s="39"/>
      <c r="V11" s="39"/>
      <c r="W11" s="39"/>
    </row>
    <row r="12" spans="1:74" s="39" customFormat="1" ht="15">
      <c r="A12" s="241"/>
      <c r="B12" s="76"/>
      <c r="C12" s="45"/>
      <c r="D12" s="45"/>
      <c r="E12" s="45"/>
      <c r="F12" s="45"/>
      <c r="G12" s="45"/>
      <c r="H12" s="45"/>
      <c r="I12" s="45"/>
      <c r="J12" s="45"/>
      <c r="K12" s="107"/>
      <c r="L12" s="44"/>
    </row>
    <row r="13" spans="1:74" s="39" customFormat="1" ht="30.75" customHeight="1">
      <c r="A13" s="242"/>
      <c r="B13" s="76"/>
      <c r="C13" s="2445" t="s">
        <v>557</v>
      </c>
      <c r="D13" s="2446"/>
      <c r="E13" s="94">
        <v>10000</v>
      </c>
      <c r="F13" s="47"/>
      <c r="I13" s="47"/>
      <c r="J13" s="77"/>
      <c r="K13" s="693" t="s">
        <v>141</v>
      </c>
      <c r="L13" s="44"/>
    </row>
    <row r="14" spans="1:74" s="39" customFormat="1" ht="15">
      <c r="A14" s="242"/>
      <c r="B14" s="76"/>
      <c r="C14" s="2445" t="s">
        <v>947</v>
      </c>
      <c r="D14" s="2446"/>
      <c r="E14" s="90">
        <v>0.6</v>
      </c>
      <c r="F14" s="155"/>
      <c r="I14" s="40"/>
      <c r="J14" s="63"/>
      <c r="K14" s="78" t="s">
        <v>143</v>
      </c>
      <c r="L14" s="44"/>
    </row>
    <row r="15" spans="1:74" s="39" customFormat="1" ht="29.25" customHeight="1">
      <c r="A15" s="242"/>
      <c r="B15" s="76"/>
      <c r="C15" s="2323" t="s">
        <v>347</v>
      </c>
      <c r="D15" s="2381"/>
      <c r="E15" s="94">
        <v>2239</v>
      </c>
      <c r="F15" s="47"/>
      <c r="I15" s="40"/>
      <c r="J15" s="80" t="s">
        <v>556</v>
      </c>
      <c r="K15" s="78" t="s">
        <v>143</v>
      </c>
      <c r="L15" s="44"/>
    </row>
    <row r="16" spans="1:74" s="39" customFormat="1" ht="42.75">
      <c r="A16" s="242"/>
      <c r="B16" s="76"/>
      <c r="C16" s="2445" t="s">
        <v>544</v>
      </c>
      <c r="D16" s="2446"/>
      <c r="E16" s="178">
        <f>(E13*E14)-E15</f>
        <v>3761</v>
      </c>
      <c r="F16" s="45"/>
      <c r="I16" s="40"/>
      <c r="J16" s="2193"/>
      <c r="K16" s="507" t="s">
        <v>1299</v>
      </c>
      <c r="L16" s="44"/>
    </row>
    <row r="17" spans="1:23" s="39" customFormat="1" ht="15">
      <c r="A17" s="242"/>
      <c r="B17" s="76"/>
      <c r="C17" s="2445" t="s">
        <v>187</v>
      </c>
      <c r="D17" s="2446"/>
      <c r="E17" s="178">
        <f>D26</f>
        <v>3500</v>
      </c>
      <c r="F17" s="244">
        <f>E17/E16</f>
        <v>0.93060356288221213</v>
      </c>
      <c r="I17" s="40"/>
      <c r="J17" s="47"/>
      <c r="K17" s="107"/>
      <c r="L17" s="44"/>
    </row>
    <row r="18" spans="1:23" s="39" customFormat="1" ht="15">
      <c r="A18" s="242"/>
      <c r="B18" s="76"/>
      <c r="C18" s="40"/>
      <c r="D18" s="40"/>
      <c r="E18" s="40"/>
      <c r="F18" s="40"/>
      <c r="G18" s="45"/>
      <c r="H18" s="40"/>
      <c r="I18" s="40"/>
      <c r="J18" s="47"/>
      <c r="K18" s="107"/>
      <c r="L18" s="44"/>
    </row>
    <row r="19" spans="1:23" s="42" customFormat="1" ht="15">
      <c r="A19" s="2041"/>
      <c r="B19" s="2316" t="s">
        <v>236</v>
      </c>
      <c r="C19" s="2432"/>
      <c r="D19" s="2432"/>
      <c r="E19" s="2432"/>
      <c r="F19" s="2432"/>
      <c r="G19" s="2432"/>
      <c r="H19" s="2432"/>
      <c r="I19" s="2432"/>
      <c r="J19" s="2432"/>
      <c r="K19" s="2433"/>
      <c r="L19" s="40"/>
      <c r="M19" s="40"/>
      <c r="N19" s="40"/>
      <c r="O19" s="40"/>
      <c r="P19" s="39"/>
      <c r="Q19" s="39"/>
      <c r="R19" s="39"/>
      <c r="S19" s="39"/>
      <c r="T19" s="39"/>
      <c r="U19" s="39"/>
      <c r="V19" s="39"/>
      <c r="W19" s="39"/>
    </row>
    <row r="20" spans="1:23" s="42" customFormat="1" ht="15">
      <c r="A20" s="560"/>
      <c r="B20" s="84"/>
      <c r="C20" s="44"/>
      <c r="D20" s="44"/>
      <c r="E20" s="40"/>
      <c r="F20" s="85"/>
      <c r="G20" s="44"/>
      <c r="H20" s="44"/>
      <c r="I20" s="47"/>
      <c r="J20" s="47"/>
      <c r="K20" s="145"/>
      <c r="L20" s="40"/>
      <c r="M20" s="40"/>
      <c r="N20" s="40"/>
      <c r="O20" s="40"/>
      <c r="P20" s="44"/>
      <c r="Q20" s="39"/>
      <c r="R20" s="39"/>
      <c r="S20" s="39"/>
      <c r="T20" s="39"/>
      <c r="U20" s="39"/>
      <c r="V20" s="39"/>
      <c r="W20" s="39"/>
    </row>
    <row r="21" spans="1:23" s="42" customFormat="1" ht="15">
      <c r="A21" s="560"/>
      <c r="B21" s="84"/>
      <c r="C21" s="1777" t="str">
        <f>HYPERLINK("[.\]Set_up_MAS!A3","To Set up costs template")</f>
        <v>To Set up costs template</v>
      </c>
      <c r="D21" s="526"/>
      <c r="E21" s="40"/>
      <c r="F21" s="560"/>
      <c r="G21" s="526"/>
      <c r="H21" s="526"/>
      <c r="I21" s="1711"/>
      <c r="J21" s="1711"/>
      <c r="K21" s="615"/>
      <c r="L21" s="40"/>
      <c r="M21" s="40"/>
      <c r="N21" s="40"/>
      <c r="O21" s="40"/>
      <c r="P21" s="526"/>
      <c r="Q21" s="39"/>
      <c r="R21" s="39"/>
      <c r="S21" s="39"/>
      <c r="T21" s="39"/>
      <c r="U21" s="39"/>
      <c r="V21" s="39"/>
      <c r="W21" s="39"/>
    </row>
    <row r="22" spans="1:23" s="42" customFormat="1" ht="15">
      <c r="A22" s="560"/>
      <c r="B22" s="84"/>
      <c r="C22" s="526"/>
      <c r="D22" s="526"/>
      <c r="E22" s="40"/>
      <c r="F22" s="560"/>
      <c r="G22" s="526"/>
      <c r="H22" s="526"/>
      <c r="I22" s="1711"/>
      <c r="J22" s="1711"/>
      <c r="K22" s="615"/>
      <c r="L22" s="40"/>
      <c r="M22" s="40"/>
      <c r="N22" s="40"/>
      <c r="O22" s="40"/>
      <c r="P22" s="526"/>
      <c r="Q22" s="39"/>
      <c r="R22" s="39"/>
      <c r="S22" s="39"/>
      <c r="T22" s="39"/>
      <c r="U22" s="39"/>
      <c r="V22" s="39"/>
      <c r="W22" s="39"/>
    </row>
    <row r="23" spans="1:23" s="42" customFormat="1" ht="15">
      <c r="A23" s="247"/>
      <c r="B23" s="84"/>
      <c r="C23" s="1298" t="s">
        <v>336</v>
      </c>
      <c r="D23" s="1208">
        <f>Set_up_MAS!B5</f>
        <v>10000</v>
      </c>
      <c r="E23" s="40"/>
      <c r="G23" s="44"/>
      <c r="H23" s="44"/>
      <c r="I23" s="44"/>
      <c r="J23" s="44"/>
      <c r="K23" s="145"/>
      <c r="L23" s="40"/>
      <c r="M23" s="40"/>
      <c r="N23" s="40"/>
      <c r="O23" s="40"/>
      <c r="P23" s="44"/>
      <c r="Q23" s="39"/>
      <c r="R23" s="39"/>
      <c r="S23" s="39"/>
      <c r="T23" s="39"/>
      <c r="U23" s="39"/>
      <c r="V23" s="39"/>
      <c r="W23" s="39"/>
    </row>
    <row r="24" spans="1:23" s="42" customFormat="1" ht="15">
      <c r="A24" s="247"/>
      <c r="B24" s="84"/>
      <c r="C24" s="44"/>
      <c r="D24" s="85"/>
      <c r="E24" s="40"/>
      <c r="G24" s="44"/>
      <c r="H24" s="44"/>
      <c r="I24" s="44"/>
      <c r="J24" s="44"/>
      <c r="K24" s="145"/>
      <c r="L24" s="40"/>
      <c r="M24" s="40"/>
      <c r="N24" s="40"/>
      <c r="O24" s="40"/>
      <c r="P24" s="44"/>
      <c r="Q24" s="39"/>
      <c r="R24" s="39"/>
      <c r="S24" s="39"/>
      <c r="T24" s="39"/>
      <c r="U24" s="39"/>
      <c r="V24" s="39"/>
      <c r="W24" s="39"/>
    </row>
    <row r="25" spans="1:23" s="42" customFormat="1" ht="15">
      <c r="A25" s="247"/>
      <c r="B25" s="84"/>
      <c r="C25" s="684" t="s">
        <v>323</v>
      </c>
      <c r="D25" s="563" t="s">
        <v>1026</v>
      </c>
      <c r="E25" s="40"/>
      <c r="G25" s="85"/>
      <c r="H25" s="44"/>
      <c r="I25" s="44"/>
      <c r="J25" s="44"/>
      <c r="K25" s="145"/>
      <c r="L25" s="40"/>
      <c r="M25" s="40"/>
      <c r="N25" s="40"/>
      <c r="O25" s="40"/>
      <c r="P25" s="44"/>
      <c r="Q25" s="39"/>
      <c r="R25" s="39"/>
      <c r="S25" s="39"/>
      <c r="T25" s="39"/>
      <c r="U25" s="39"/>
      <c r="V25" s="39"/>
      <c r="W25" s="39"/>
    </row>
    <row r="26" spans="1:23" s="42" customFormat="1" ht="15">
      <c r="A26" s="247"/>
      <c r="B26" s="84"/>
      <c r="C26" s="86" t="s">
        <v>346</v>
      </c>
      <c r="D26" s="573">
        <v>3500</v>
      </c>
      <c r="E26" s="40"/>
      <c r="G26" s="85"/>
      <c r="H26" s="44"/>
      <c r="I26" s="44"/>
      <c r="J26" s="44"/>
      <c r="K26" s="145"/>
      <c r="L26" s="44"/>
      <c r="M26" s="40"/>
      <c r="N26" s="39"/>
      <c r="O26" s="39"/>
      <c r="P26" s="44"/>
      <c r="Q26" s="39"/>
      <c r="R26" s="39"/>
      <c r="S26" s="39"/>
      <c r="T26" s="39"/>
      <c r="U26" s="39"/>
      <c r="V26" s="39"/>
      <c r="W26" s="39"/>
    </row>
    <row r="27" spans="1:23" s="42" customFormat="1" ht="15">
      <c r="B27" s="84"/>
      <c r="C27" s="51"/>
      <c r="D27" s="40"/>
      <c r="E27" s="40"/>
      <c r="F27" s="43"/>
      <c r="G27" s="40"/>
      <c r="H27" s="44"/>
      <c r="I27" s="44"/>
      <c r="J27" s="44"/>
      <c r="K27" s="83"/>
      <c r="L27" s="40"/>
      <c r="M27" s="40"/>
      <c r="N27" s="39"/>
      <c r="O27" s="39"/>
      <c r="P27" s="39"/>
      <c r="Q27" s="39"/>
      <c r="R27" s="39"/>
      <c r="S27" s="39"/>
      <c r="T27" s="39"/>
      <c r="U27" s="39"/>
      <c r="V27" s="39"/>
      <c r="W27" s="39"/>
    </row>
    <row r="28" spans="1:23" s="248" customFormat="1" ht="60">
      <c r="B28" s="254"/>
      <c r="C28" s="563" t="s">
        <v>973</v>
      </c>
      <c r="D28" s="563" t="s">
        <v>971</v>
      </c>
      <c r="E28" s="209"/>
      <c r="G28" s="40"/>
      <c r="I28" s="209"/>
      <c r="J28" s="563" t="s">
        <v>972</v>
      </c>
      <c r="K28" s="250"/>
      <c r="L28" s="209"/>
      <c r="M28" s="40"/>
      <c r="N28" s="251"/>
      <c r="O28" s="251"/>
      <c r="P28" s="251"/>
      <c r="Q28" s="251"/>
      <c r="R28" s="251"/>
      <c r="S28" s="251"/>
      <c r="T28" s="251"/>
      <c r="U28" s="251"/>
      <c r="V28" s="251"/>
      <c r="W28" s="251"/>
    </row>
    <row r="29" spans="1:23" s="42" customFormat="1" ht="15">
      <c r="B29" s="84"/>
      <c r="C29" s="501" t="s">
        <v>345</v>
      </c>
      <c r="D29" s="1209">
        <v>11.64</v>
      </c>
      <c r="E29" s="40"/>
      <c r="G29" s="40"/>
      <c r="I29" s="91" t="s">
        <v>345</v>
      </c>
      <c r="J29" s="1133">
        <f>D26*D29</f>
        <v>40740</v>
      </c>
      <c r="K29" s="83"/>
      <c r="L29" s="40"/>
      <c r="M29" s="40"/>
      <c r="N29" s="39"/>
      <c r="O29" s="39"/>
      <c r="P29" s="39"/>
      <c r="Q29" s="39"/>
      <c r="R29" s="39"/>
      <c r="S29" s="39"/>
      <c r="T29" s="39"/>
      <c r="U29" s="39"/>
      <c r="V29" s="39"/>
      <c r="W29" s="39"/>
    </row>
    <row r="30" spans="1:23" s="42" customFormat="1" ht="15">
      <c r="B30" s="130"/>
      <c r="C30" s="187"/>
      <c r="D30" s="187"/>
      <c r="E30" s="187"/>
      <c r="F30" s="187"/>
      <c r="G30" s="187"/>
      <c r="H30" s="187"/>
      <c r="I30" s="187"/>
      <c r="J30" s="44"/>
      <c r="K30" s="133"/>
      <c r="L30" s="40"/>
      <c r="M30" s="39"/>
      <c r="N30" s="39"/>
      <c r="O30" s="39"/>
      <c r="P30" s="39"/>
      <c r="Q30" s="39"/>
      <c r="R30" s="39"/>
      <c r="S30" s="39"/>
      <c r="T30" s="39"/>
      <c r="U30" s="39"/>
      <c r="V30" s="39"/>
      <c r="W30" s="39"/>
    </row>
    <row r="31" spans="1:23" s="42" customFormat="1" ht="15">
      <c r="A31" s="246"/>
      <c r="B31" s="2343" t="s">
        <v>102</v>
      </c>
      <c r="C31" s="2360"/>
      <c r="D31" s="2360"/>
      <c r="E31" s="2360"/>
      <c r="F31" s="2360"/>
      <c r="G31" s="2360"/>
      <c r="H31" s="2360"/>
      <c r="I31" s="2360"/>
      <c r="J31" s="2360"/>
      <c r="K31" s="2361"/>
      <c r="L31" s="44"/>
      <c r="M31" s="39"/>
      <c r="N31" s="39"/>
      <c r="O31" s="39"/>
      <c r="P31" s="39"/>
      <c r="Q31" s="39"/>
      <c r="R31" s="39"/>
      <c r="S31" s="39"/>
      <c r="T31" s="39"/>
      <c r="U31" s="39"/>
      <c r="V31" s="39"/>
      <c r="W31" s="39"/>
    </row>
    <row r="32" spans="1:23" s="42" customFormat="1" ht="15">
      <c r="A32" s="246"/>
      <c r="B32" s="1206"/>
      <c r="C32" s="1205"/>
      <c r="D32" s="1205"/>
      <c r="E32" s="1205"/>
      <c r="F32" s="1205"/>
      <c r="G32" s="1199"/>
      <c r="H32" s="1199"/>
      <c r="I32" s="1199"/>
      <c r="J32" s="1205"/>
      <c r="K32" s="1207"/>
      <c r="L32" s="526"/>
      <c r="M32" s="39"/>
      <c r="N32" s="39"/>
      <c r="O32" s="39"/>
      <c r="P32" s="39"/>
      <c r="Q32" s="39"/>
      <c r="R32" s="39"/>
      <c r="S32" s="39"/>
      <c r="T32" s="39"/>
      <c r="U32" s="39"/>
      <c r="V32" s="39"/>
      <c r="W32" s="39"/>
    </row>
    <row r="33" spans="1:26" s="42" customFormat="1" ht="45">
      <c r="A33" s="2040"/>
      <c r="B33" s="84"/>
      <c r="C33" s="1147" t="s">
        <v>344</v>
      </c>
      <c r="D33" s="983" t="s">
        <v>100</v>
      </c>
      <c r="E33" s="983" t="s">
        <v>122</v>
      </c>
      <c r="F33" s="684" t="s">
        <v>199</v>
      </c>
      <c r="G33" s="40"/>
      <c r="H33" s="73"/>
      <c r="I33" s="1250" t="s">
        <v>1027</v>
      </c>
      <c r="J33" s="563" t="s">
        <v>121</v>
      </c>
      <c r="K33" s="1134" t="s">
        <v>148</v>
      </c>
      <c r="L33" s="40"/>
      <c r="M33" s="39"/>
      <c r="N33" s="39"/>
      <c r="O33" s="39"/>
      <c r="P33" s="39"/>
      <c r="Q33" s="39"/>
      <c r="R33" s="39"/>
      <c r="S33" s="39"/>
      <c r="T33" s="39"/>
      <c r="U33" s="2"/>
      <c r="V33" s="2"/>
      <c r="W33" s="2"/>
      <c r="X33" s="3"/>
      <c r="Y33" s="3"/>
      <c r="Z33" s="3"/>
    </row>
    <row r="34" spans="1:26" s="42" customFormat="1" ht="15">
      <c r="A34" s="246"/>
      <c r="B34" s="84"/>
      <c r="C34" s="101" t="s">
        <v>32</v>
      </c>
      <c r="D34" s="255">
        <v>0.17499999999999999</v>
      </c>
      <c r="E34" s="255">
        <v>0.17499999999999999</v>
      </c>
      <c r="F34" s="103">
        <v>0.17899999999999999</v>
      </c>
      <c r="G34" s="40"/>
      <c r="H34" s="73"/>
      <c r="I34" s="91" t="str">
        <f>C34</f>
        <v>GP attends</v>
      </c>
      <c r="J34" s="771">
        <f>F34*D26</f>
        <v>626.5</v>
      </c>
      <c r="K34" s="1338">
        <f>INT(J34/E51)*E51</f>
        <v>626</v>
      </c>
      <c r="L34" s="40"/>
      <c r="M34" s="39"/>
      <c r="N34" s="39"/>
      <c r="O34" s="39"/>
      <c r="P34" s="39"/>
      <c r="Q34" s="39"/>
      <c r="R34" s="39"/>
      <c r="S34" s="39"/>
      <c r="T34" s="39"/>
      <c r="U34" s="2"/>
      <c r="V34" s="2"/>
      <c r="W34" s="2"/>
      <c r="X34" s="3"/>
      <c r="Y34" s="3"/>
      <c r="Z34" s="3"/>
    </row>
    <row r="35" spans="1:26" s="42" customFormat="1" ht="15">
      <c r="A35" s="246"/>
      <c r="B35" s="84"/>
      <c r="C35" s="1040" t="s">
        <v>44</v>
      </c>
      <c r="D35" s="255">
        <v>0.53300000000000003</v>
      </c>
      <c r="E35" s="255">
        <v>0.53300000000000003</v>
      </c>
      <c r="F35" s="103">
        <v>0.53</v>
      </c>
      <c r="G35" s="40"/>
      <c r="H35" s="73"/>
      <c r="I35" s="1040" t="str">
        <f>C35</f>
        <v>OOH clinic visits</v>
      </c>
      <c r="J35" s="771">
        <f>F35*D26</f>
        <v>1855</v>
      </c>
      <c r="K35" s="104">
        <f>INT(J35/E52)*E52</f>
        <v>0</v>
      </c>
      <c r="L35" s="40"/>
      <c r="M35" s="39"/>
      <c r="N35" s="39"/>
      <c r="O35" s="39"/>
      <c r="P35" s="39"/>
      <c r="Q35" s="39"/>
      <c r="R35" s="39"/>
      <c r="S35" s="39"/>
      <c r="T35" s="39"/>
      <c r="U35" s="2"/>
      <c r="V35" s="2"/>
      <c r="W35" s="2"/>
      <c r="X35" s="3"/>
      <c r="Y35" s="3"/>
      <c r="Z35" s="3"/>
    </row>
    <row r="36" spans="1:26" s="42" customFormat="1" ht="15">
      <c r="A36" s="246"/>
      <c r="B36" s="84"/>
      <c r="C36" s="1040" t="s">
        <v>49</v>
      </c>
      <c r="D36" s="255">
        <v>0</v>
      </c>
      <c r="E36" s="255">
        <v>0.03</v>
      </c>
      <c r="F36" s="103">
        <v>0.03</v>
      </c>
      <c r="G36" s="40"/>
      <c r="H36" s="73"/>
      <c r="I36" s="1040" t="str">
        <f>C36</f>
        <v>ED Minor attends</v>
      </c>
      <c r="J36" s="771">
        <f>F36*D26</f>
        <v>105</v>
      </c>
      <c r="K36" s="104">
        <f>INT(J36/E53)*E53</f>
        <v>0</v>
      </c>
      <c r="L36" s="40"/>
      <c r="M36" s="39"/>
      <c r="N36" s="39"/>
      <c r="O36" s="39"/>
      <c r="P36" s="39"/>
      <c r="Q36" s="39"/>
      <c r="R36" s="39"/>
      <c r="S36" s="39"/>
      <c r="T36" s="39"/>
      <c r="U36" s="2"/>
      <c r="V36" s="2"/>
      <c r="W36" s="2"/>
      <c r="X36" s="3"/>
      <c r="Y36" s="3"/>
      <c r="Z36" s="3"/>
    </row>
    <row r="37" spans="1:26" s="42" customFormat="1" ht="15">
      <c r="A37" s="246"/>
      <c r="B37" s="84"/>
      <c r="C37" s="2236" t="s">
        <v>67</v>
      </c>
      <c r="D37" s="2237">
        <v>2.4E-2</v>
      </c>
      <c r="E37" s="2237">
        <v>2.4E-2</v>
      </c>
      <c r="F37" s="2238">
        <v>0.02</v>
      </c>
      <c r="G37" s="40"/>
      <c r="H37" s="73"/>
      <c r="I37" s="1040" t="str">
        <f>C37</f>
        <v>UCC attends</v>
      </c>
      <c r="J37" s="771">
        <f>F37*D26</f>
        <v>70</v>
      </c>
      <c r="K37" s="104">
        <f>INT(J37/E54)*E54</f>
        <v>0</v>
      </c>
      <c r="L37" s="40"/>
      <c r="M37" s="39"/>
      <c r="N37" s="39"/>
      <c r="O37" s="39"/>
      <c r="P37" s="39"/>
      <c r="Q37" s="39"/>
      <c r="R37" s="39"/>
      <c r="S37" s="39"/>
      <c r="T37" s="39"/>
      <c r="U37" s="2"/>
      <c r="V37" s="2"/>
      <c r="W37" s="2"/>
      <c r="X37" s="3"/>
      <c r="Y37" s="3"/>
      <c r="Z37" s="3"/>
    </row>
    <row r="38" spans="1:26" s="42" customFormat="1" ht="15">
      <c r="A38" s="246"/>
      <c r="B38" s="84"/>
      <c r="C38" s="2239"/>
      <c r="D38" s="2240"/>
      <c r="E38" s="2240"/>
      <c r="F38" s="2240"/>
      <c r="G38" s="40"/>
      <c r="H38" s="73"/>
      <c r="I38" s="100"/>
      <c r="J38" s="100"/>
      <c r="K38" s="82"/>
      <c r="L38" s="40"/>
      <c r="M38" s="39"/>
      <c r="N38" s="39"/>
      <c r="O38" s="39"/>
      <c r="P38" s="39"/>
      <c r="Q38" s="39"/>
      <c r="R38" s="39"/>
      <c r="S38" s="39"/>
      <c r="T38" s="39"/>
      <c r="U38" s="2"/>
      <c r="V38" s="2"/>
      <c r="W38" s="2"/>
      <c r="X38" s="3"/>
      <c r="Y38" s="3"/>
      <c r="Z38" s="3"/>
    </row>
    <row r="39" spans="1:26" s="42" customFormat="1">
      <c r="A39" s="185"/>
      <c r="B39" s="84"/>
      <c r="C39" s="40"/>
      <c r="D39" s="40"/>
      <c r="E39" s="40"/>
      <c r="F39" s="40"/>
      <c r="G39" s="40"/>
      <c r="H39" s="73"/>
      <c r="I39" s="100"/>
      <c r="J39" s="100"/>
      <c r="K39" s="82"/>
      <c r="L39" s="40"/>
      <c r="M39" s="39"/>
      <c r="N39" s="39"/>
      <c r="O39" s="39"/>
      <c r="P39" s="39"/>
      <c r="Q39" s="39"/>
      <c r="R39" s="39"/>
      <c r="S39" s="39"/>
      <c r="T39" s="39"/>
      <c r="U39" s="2"/>
      <c r="V39" s="2"/>
      <c r="W39" s="2"/>
      <c r="X39" s="3"/>
      <c r="Y39" s="3"/>
      <c r="Z39" s="3"/>
    </row>
    <row r="40" spans="1:26" s="42" customFormat="1" ht="15">
      <c r="A40" s="185"/>
      <c r="B40" s="84"/>
      <c r="C40" s="40"/>
      <c r="D40" s="73"/>
      <c r="E40" s="73"/>
      <c r="F40" s="40"/>
      <c r="G40" s="40"/>
      <c r="H40" s="73"/>
      <c r="I40" s="125"/>
      <c r="J40" s="125"/>
      <c r="K40" s="219"/>
      <c r="L40" s="40"/>
      <c r="M40" s="39"/>
      <c r="N40" s="39"/>
      <c r="O40" s="39"/>
      <c r="P40" s="39"/>
      <c r="Q40" s="39"/>
      <c r="R40" s="39"/>
      <c r="S40" s="39"/>
      <c r="T40" s="39"/>
      <c r="U40" s="2"/>
      <c r="V40" s="2"/>
      <c r="W40" s="2"/>
      <c r="X40" s="3"/>
      <c r="Y40" s="3"/>
      <c r="Z40" s="3"/>
    </row>
    <row r="41" spans="1:26" s="42" customFormat="1" ht="30">
      <c r="A41" s="185"/>
      <c r="B41" s="84"/>
      <c r="C41" s="40"/>
      <c r="D41" s="40"/>
      <c r="E41" s="40"/>
      <c r="F41" s="40"/>
      <c r="G41" s="40"/>
      <c r="H41" s="73"/>
      <c r="I41" s="446" t="s">
        <v>1085</v>
      </c>
      <c r="J41" s="691" t="s">
        <v>661</v>
      </c>
      <c r="K41" s="1173" t="s">
        <v>120</v>
      </c>
      <c r="L41" s="40"/>
      <c r="M41" s="39"/>
      <c r="N41" s="39"/>
      <c r="O41" s="39"/>
      <c r="P41" s="39"/>
      <c r="Q41" s="39"/>
      <c r="R41" s="39"/>
      <c r="S41" s="39"/>
      <c r="T41" s="39"/>
      <c r="U41" s="2"/>
      <c r="V41" s="2"/>
      <c r="W41" s="2"/>
      <c r="X41" s="3"/>
      <c r="Y41" s="3"/>
      <c r="Z41" s="3"/>
    </row>
    <row r="42" spans="1:26" s="42" customFormat="1" ht="15">
      <c r="A42" s="185"/>
      <c r="B42" s="84"/>
      <c r="C42" s="40"/>
      <c r="D42" s="40"/>
      <c r="E42" s="40"/>
      <c r="F42" s="40"/>
      <c r="G42" s="40"/>
      <c r="H42" s="73"/>
      <c r="I42" s="91" t="str">
        <f>I34</f>
        <v>GP attends</v>
      </c>
      <c r="J42" s="1133">
        <f>J34*D51</f>
        <v>23180.5</v>
      </c>
      <c r="K42" s="1135">
        <f>(J34-K34)*F51+(K34*G51)</f>
        <v>2604.4262824737361</v>
      </c>
      <c r="L42" s="40"/>
      <c r="M42" s="39"/>
      <c r="N42" s="39"/>
      <c r="O42" s="39"/>
      <c r="P42" s="39"/>
      <c r="Q42" s="39"/>
      <c r="R42" s="39"/>
      <c r="S42" s="39"/>
      <c r="T42" s="39"/>
      <c r="U42" s="2"/>
      <c r="V42" s="2"/>
      <c r="W42" s="2"/>
      <c r="X42" s="3"/>
      <c r="Y42" s="3"/>
      <c r="Z42" s="3"/>
    </row>
    <row r="43" spans="1:26" s="42" customFormat="1" ht="15">
      <c r="A43" s="185"/>
      <c r="B43" s="84"/>
      <c r="C43" s="40"/>
      <c r="D43" s="40"/>
      <c r="E43" s="40"/>
      <c r="F43" s="40"/>
      <c r="G43" s="40"/>
      <c r="H43" s="73"/>
      <c r="I43" s="91" t="str">
        <f>I35</f>
        <v>OOH clinic visits</v>
      </c>
      <c r="J43" s="1133">
        <f>J35*D52</f>
        <v>126696.5</v>
      </c>
      <c r="K43" s="1135">
        <f>(J35-K35)*F52+(K35*G52)</f>
        <v>14205.26537485675</v>
      </c>
      <c r="L43" s="40"/>
      <c r="M43" s="39"/>
      <c r="N43" s="39"/>
      <c r="O43" s="39"/>
      <c r="P43" s="39"/>
      <c r="Q43" s="39"/>
      <c r="R43" s="39"/>
      <c r="S43" s="39"/>
      <c r="T43" s="39"/>
      <c r="U43" s="2"/>
      <c r="V43" s="2"/>
      <c r="W43" s="2"/>
      <c r="X43" s="3"/>
      <c r="Y43" s="3"/>
      <c r="Z43" s="3"/>
    </row>
    <row r="44" spans="1:26" s="42" customFormat="1" ht="15">
      <c r="A44" s="185"/>
      <c r="B44" s="84"/>
      <c r="C44" s="40"/>
      <c r="D44" s="40"/>
      <c r="E44" s="40"/>
      <c r="F44" s="40"/>
      <c r="G44" s="40"/>
      <c r="H44" s="73"/>
      <c r="I44" s="91" t="str">
        <f>I36</f>
        <v>ED Minor attends</v>
      </c>
      <c r="J44" s="1133">
        <f>J36*D53</f>
        <v>9400.975588835423</v>
      </c>
      <c r="K44" s="1135">
        <f>(J36-K36)*F53+(K36*G53)</f>
        <v>1145.4905487597484</v>
      </c>
      <c r="L44" s="40"/>
      <c r="M44" s="39"/>
      <c r="N44" s="39"/>
      <c r="O44" s="39"/>
      <c r="P44" s="39"/>
      <c r="Q44" s="39"/>
      <c r="R44" s="39"/>
      <c r="S44" s="39"/>
      <c r="T44" s="39"/>
      <c r="U44" s="2"/>
      <c r="V44" s="2"/>
      <c r="W44" s="2"/>
      <c r="X44" s="3"/>
      <c r="Y44" s="3"/>
      <c r="Z44" s="3"/>
    </row>
    <row r="45" spans="1:26" s="42" customFormat="1" ht="15">
      <c r="A45" s="185"/>
      <c r="B45" s="84"/>
      <c r="C45" s="40"/>
      <c r="D45" s="40"/>
      <c r="E45" s="40"/>
      <c r="F45" s="40"/>
      <c r="G45" s="40"/>
      <c r="H45" s="73"/>
      <c r="I45" s="91" t="str">
        <f>I37</f>
        <v>UCC attends</v>
      </c>
      <c r="J45" s="1133">
        <f>J37*D54</f>
        <v>3990</v>
      </c>
      <c r="K45" s="1135">
        <f>(J37-K37)*F54+(K37*G54)</f>
        <v>305.19999999999993</v>
      </c>
      <c r="L45" s="40"/>
      <c r="M45" s="39"/>
      <c r="N45" s="39"/>
      <c r="O45" s="39"/>
      <c r="P45" s="39"/>
      <c r="Q45" s="39"/>
      <c r="R45" s="39"/>
      <c r="S45" s="39"/>
      <c r="T45" s="39"/>
      <c r="U45" s="2"/>
      <c r="V45" s="2"/>
      <c r="W45" s="2"/>
      <c r="X45" s="3"/>
      <c r="Y45" s="3"/>
      <c r="Z45" s="3"/>
    </row>
    <row r="46" spans="1:26" s="42" customFormat="1" ht="15">
      <c r="A46" s="185"/>
      <c r="B46" s="84"/>
      <c r="C46" s="40"/>
      <c r="D46" s="40"/>
      <c r="E46" s="40"/>
      <c r="F46" s="40"/>
      <c r="G46" s="40"/>
      <c r="H46" s="73"/>
      <c r="I46" s="91" t="s">
        <v>1256</v>
      </c>
      <c r="J46" s="1133">
        <f>SUM(J42:J45)</f>
        <v>163267.97558883543</v>
      </c>
      <c r="K46" s="1135">
        <f>SUM(K42:K45)</f>
        <v>18260.382206090235</v>
      </c>
      <c r="L46" s="40"/>
      <c r="M46" s="39"/>
      <c r="N46" s="39"/>
      <c r="O46" s="39"/>
      <c r="P46" s="39"/>
      <c r="Q46" s="39"/>
      <c r="R46" s="39"/>
      <c r="S46" s="39"/>
      <c r="T46" s="39"/>
      <c r="U46" s="2"/>
      <c r="V46" s="2"/>
      <c r="W46" s="2"/>
      <c r="X46" s="3"/>
      <c r="Y46" s="3"/>
      <c r="Z46" s="3"/>
    </row>
    <row r="47" spans="1:26" s="42" customFormat="1">
      <c r="A47" s="185"/>
      <c r="B47" s="84"/>
      <c r="C47" s="40"/>
      <c r="D47" s="40"/>
      <c r="E47" s="40"/>
      <c r="F47" s="40"/>
      <c r="G47" s="40"/>
      <c r="H47" s="73"/>
      <c r="I47" s="100"/>
      <c r="J47" s="100"/>
      <c r="K47" s="82"/>
      <c r="L47" s="40"/>
      <c r="M47" s="39"/>
      <c r="N47" s="39"/>
      <c r="O47" s="39"/>
      <c r="P47" s="39"/>
      <c r="Q47" s="39"/>
      <c r="R47" s="39"/>
      <c r="S47" s="39"/>
      <c r="T47" s="39"/>
      <c r="U47" s="2"/>
      <c r="V47" s="2"/>
      <c r="W47" s="2"/>
      <c r="X47" s="3"/>
      <c r="Y47" s="3"/>
      <c r="Z47" s="3"/>
    </row>
    <row r="48" spans="1:26" s="42" customFormat="1">
      <c r="A48" s="185"/>
      <c r="B48" s="84"/>
      <c r="C48" s="40"/>
      <c r="D48" s="40"/>
      <c r="E48" s="40"/>
      <c r="F48" s="40"/>
      <c r="G48" s="40"/>
      <c r="H48" s="43"/>
      <c r="I48" s="43"/>
      <c r="J48" s="40"/>
      <c r="K48" s="83"/>
      <c r="L48" s="40"/>
      <c r="M48" s="39"/>
      <c r="N48" s="39"/>
      <c r="O48" s="39"/>
      <c r="P48" s="39"/>
      <c r="Q48" s="39"/>
      <c r="R48" s="39"/>
      <c r="S48" s="39"/>
      <c r="T48" s="39"/>
      <c r="U48" s="2"/>
      <c r="V48" s="2"/>
      <c r="W48" s="2"/>
      <c r="X48" s="3"/>
      <c r="Y48" s="3"/>
      <c r="Z48" s="3"/>
    </row>
    <row r="49" spans="1:26" s="42" customFormat="1">
      <c r="A49" s="185"/>
      <c r="B49" s="84"/>
      <c r="C49" s="40"/>
      <c r="D49" s="40"/>
      <c r="E49" s="40"/>
      <c r="F49" s="40"/>
      <c r="G49" s="40"/>
      <c r="H49" s="40"/>
      <c r="I49" s="40"/>
      <c r="J49" s="40"/>
      <c r="K49" s="83"/>
      <c r="L49" s="40"/>
      <c r="M49" s="39"/>
      <c r="N49" s="39"/>
      <c r="O49" s="39"/>
      <c r="P49" s="39"/>
      <c r="Q49" s="39"/>
      <c r="R49" s="39"/>
      <c r="S49" s="39"/>
      <c r="T49" s="39"/>
      <c r="U49" s="2"/>
      <c r="V49" s="2"/>
      <c r="W49" s="2"/>
      <c r="X49" s="3"/>
      <c r="Y49" s="3"/>
      <c r="Z49" s="3"/>
    </row>
    <row r="50" spans="1:26" s="42" customFormat="1" ht="75">
      <c r="A50" s="73"/>
      <c r="B50" s="194"/>
      <c r="C50" s="582" t="s">
        <v>1214</v>
      </c>
      <c r="D50" s="563" t="s">
        <v>660</v>
      </c>
      <c r="E50" s="563" t="s">
        <v>145</v>
      </c>
      <c r="F50" s="563" t="s">
        <v>144</v>
      </c>
      <c r="G50" s="563" t="s">
        <v>561</v>
      </c>
      <c r="I50" s="73"/>
      <c r="J50" s="73"/>
      <c r="K50" s="83"/>
      <c r="L50" s="40"/>
    </row>
    <row r="51" spans="1:26" s="42" customFormat="1" ht="15">
      <c r="A51" s="73"/>
      <c r="B51" s="194"/>
      <c r="C51" s="948" t="str">
        <f>I42</f>
        <v>GP attends</v>
      </c>
      <c r="D51" s="1194">
        <f>VLOOKUP($C51,local_data_input!$B$4:$K$20,2,FALSE)</f>
        <v>37</v>
      </c>
      <c r="E51" s="771">
        <f>VLOOKUP($C51,local_data_input!$B$4:$K$20,7,FALSE)</f>
        <v>1</v>
      </c>
      <c r="F51" s="1194">
        <f>VLOOKUP($C51,local_data_input!$B$4:$K$20,8,FALSE)</f>
        <v>4.1571049999580785</v>
      </c>
      <c r="G51" s="1194">
        <f>VLOOKUP($C51,local_data_input!$B$4:$K$20,9,FALSE)</f>
        <v>4.1571049999580785</v>
      </c>
      <c r="I51" s="73"/>
      <c r="J51" s="73"/>
      <c r="K51" s="83"/>
      <c r="L51" s="40"/>
    </row>
    <row r="52" spans="1:26" s="42" customFormat="1" ht="15">
      <c r="A52" s="73"/>
      <c r="B52" s="194"/>
      <c r="C52" s="96" t="str">
        <f>I43</f>
        <v>OOH clinic visits</v>
      </c>
      <c r="D52" s="1194">
        <f>VLOOKUP($C52,local_data_input!$B$4:$K$20,2,FALSE)</f>
        <v>68.3</v>
      </c>
      <c r="E52" s="771">
        <f>VLOOKUP($C52,local_data_input!$B$4:$K$20,7,FALSE)</f>
        <v>6300</v>
      </c>
      <c r="F52" s="1194">
        <f>VLOOKUP($C52,local_data_input!$B$4:$K$20,8,FALSE)</f>
        <v>7.6578249999227763</v>
      </c>
      <c r="G52" s="1194">
        <f>VLOOKUP($C52,local_data_input!$B$4:$K$20,9,FALSE)</f>
        <v>7.6578249999227763</v>
      </c>
      <c r="I52" s="73"/>
      <c r="J52" s="73"/>
      <c r="K52" s="83"/>
      <c r="L52" s="40"/>
    </row>
    <row r="53" spans="1:26" s="42" customFormat="1" ht="15">
      <c r="A53" s="73"/>
      <c r="B53" s="194"/>
      <c r="C53" s="96" t="str">
        <f>I44</f>
        <v>ED Minor attends</v>
      </c>
      <c r="D53" s="1194">
        <f>VLOOKUP($C53,local_data_input!$B$4:$K$20,2,FALSE)</f>
        <v>89.533100846051653</v>
      </c>
      <c r="E53" s="771">
        <f>VLOOKUP($C53,local_data_input!$B$4:$K$20,7,FALSE)</f>
        <v>6300</v>
      </c>
      <c r="F53" s="1194">
        <f>VLOOKUP($C53,local_data_input!$B$4:$K$20,8,FALSE)</f>
        <v>10.909433797711889</v>
      </c>
      <c r="G53" s="1194">
        <f>VLOOKUP($C53,local_data_input!$B$4:$K$20,9,FALSE)</f>
        <v>10.909433797711889</v>
      </c>
      <c r="I53" s="73"/>
      <c r="J53" s="73"/>
      <c r="K53" s="83"/>
      <c r="L53" s="40"/>
    </row>
    <row r="54" spans="1:26" s="42" customFormat="1" ht="15">
      <c r="A54" s="73"/>
      <c r="B54" s="194"/>
      <c r="C54" s="96" t="str">
        <f>I45</f>
        <v>UCC attends</v>
      </c>
      <c r="D54" s="1194">
        <f>VLOOKUP($C54,local_data_input!$B$4:$K$20,2,FALSE)</f>
        <v>57</v>
      </c>
      <c r="E54" s="771">
        <f>VLOOKUP($C54,local_data_input!$B$4:$K$20,7,FALSE)</f>
        <v>4725</v>
      </c>
      <c r="F54" s="1194">
        <f>VLOOKUP($C54,local_data_input!$B$4:$K$20,8,FALSE)</f>
        <v>4.3599999999999994</v>
      </c>
      <c r="G54" s="1194">
        <f>VLOOKUP($C54,local_data_input!$B$4:$K$20,9,FALSE)</f>
        <v>4.3599999999999994</v>
      </c>
      <c r="I54" s="73"/>
      <c r="J54" s="73"/>
      <c r="K54" s="83"/>
      <c r="L54" s="40"/>
    </row>
    <row r="55" spans="1:26" s="42" customFormat="1">
      <c r="A55" s="185"/>
      <c r="B55" s="84"/>
      <c r="C55" s="40"/>
      <c r="D55" s="40"/>
      <c r="E55" s="40"/>
      <c r="F55" s="40"/>
      <c r="G55" s="40"/>
      <c r="H55" s="40"/>
      <c r="I55" s="40"/>
      <c r="J55" s="40"/>
      <c r="K55" s="83"/>
      <c r="L55" s="40"/>
      <c r="M55" s="39"/>
      <c r="N55" s="39"/>
      <c r="O55" s="39"/>
      <c r="P55" s="39"/>
      <c r="Q55" s="39"/>
      <c r="R55" s="39"/>
      <c r="S55" s="39"/>
      <c r="T55" s="39"/>
      <c r="U55" s="2"/>
      <c r="V55" s="2"/>
      <c r="W55" s="2"/>
      <c r="X55" s="3"/>
      <c r="Y55" s="3"/>
      <c r="Z55" s="3"/>
    </row>
    <row r="56" spans="1:26" s="42" customFormat="1" ht="15">
      <c r="A56" s="185"/>
      <c r="B56" s="84"/>
      <c r="C56" s="40"/>
      <c r="D56" s="40"/>
      <c r="E56" s="40"/>
      <c r="F56" s="40"/>
      <c r="G56" s="40"/>
      <c r="H56" s="2386"/>
      <c r="I56" s="2386"/>
      <c r="J56" s="40"/>
      <c r="K56" s="83"/>
      <c r="L56" s="44"/>
      <c r="M56" s="39"/>
      <c r="N56" s="39"/>
      <c r="O56" s="39"/>
      <c r="P56" s="39"/>
      <c r="Q56" s="39"/>
      <c r="R56" s="39"/>
      <c r="S56" s="39"/>
      <c r="T56" s="39"/>
      <c r="U56" s="39"/>
      <c r="V56" s="39"/>
      <c r="W56" s="39"/>
    </row>
    <row r="57" spans="1:26" s="42" customFormat="1" ht="15">
      <c r="A57" s="2038"/>
      <c r="B57" s="2316" t="s">
        <v>327</v>
      </c>
      <c r="C57" s="2360"/>
      <c r="D57" s="2360"/>
      <c r="E57" s="2360"/>
      <c r="F57" s="2360"/>
      <c r="G57" s="2360"/>
      <c r="H57" s="2360"/>
      <c r="I57" s="2360"/>
      <c r="J57" s="2360"/>
      <c r="K57" s="2361"/>
      <c r="L57" s="44"/>
      <c r="M57" s="39"/>
      <c r="N57" s="39"/>
      <c r="O57" s="39"/>
      <c r="P57" s="39"/>
      <c r="Q57" s="39"/>
      <c r="R57" s="39"/>
      <c r="S57" s="39"/>
      <c r="T57" s="39"/>
      <c r="U57" s="39"/>
      <c r="V57" s="39"/>
      <c r="W57" s="39"/>
    </row>
    <row r="58" spans="1:26" s="42" customFormat="1">
      <c r="A58" s="40"/>
      <c r="B58" s="84"/>
      <c r="C58" s="73"/>
      <c r="D58" s="73"/>
      <c r="E58" s="40"/>
      <c r="F58" s="40"/>
      <c r="G58" s="40"/>
      <c r="H58" s="40"/>
      <c r="I58" s="40"/>
      <c r="J58" s="40"/>
      <c r="K58" s="83"/>
      <c r="L58" s="40"/>
      <c r="M58" s="39"/>
      <c r="N58" s="39"/>
      <c r="O58" s="39"/>
      <c r="P58" s="39"/>
      <c r="Q58" s="39"/>
      <c r="R58" s="39"/>
      <c r="S58" s="39"/>
      <c r="T58" s="39"/>
      <c r="U58" s="2"/>
      <c r="V58" s="2"/>
      <c r="W58" s="2"/>
      <c r="X58" s="3"/>
      <c r="Y58" s="3"/>
      <c r="Z58" s="3"/>
    </row>
    <row r="59" spans="1:26" s="42" customFormat="1">
      <c r="B59" s="84"/>
      <c r="C59" s="40"/>
      <c r="D59" s="40"/>
      <c r="E59" s="40"/>
      <c r="F59" s="40"/>
      <c r="G59" s="40"/>
      <c r="H59" s="40"/>
      <c r="I59" s="40"/>
      <c r="J59" s="40"/>
      <c r="K59" s="83"/>
      <c r="L59" s="40"/>
      <c r="M59" s="39"/>
      <c r="N59" s="39"/>
      <c r="O59" s="39"/>
      <c r="P59" s="39"/>
      <c r="Q59" s="39"/>
      <c r="R59" s="39"/>
      <c r="S59" s="39"/>
      <c r="T59" s="39"/>
      <c r="U59" s="2"/>
      <c r="V59" s="2"/>
      <c r="W59" s="2"/>
      <c r="X59" s="3"/>
      <c r="Y59" s="3"/>
      <c r="Z59" s="3"/>
    </row>
    <row r="60" spans="1:26" s="42" customFormat="1" ht="15">
      <c r="B60" s="84"/>
      <c r="C60" s="2330" t="s">
        <v>289</v>
      </c>
      <c r="D60" s="2434"/>
      <c r="E60" s="2434"/>
      <c r="F60" s="2435"/>
      <c r="G60" s="40"/>
      <c r="H60" s="85"/>
      <c r="I60" s="47"/>
      <c r="J60" s="40"/>
      <c r="K60" s="83"/>
      <c r="L60" s="40"/>
      <c r="M60" s="39"/>
      <c r="N60" s="39"/>
      <c r="O60" s="39"/>
      <c r="P60" s="39"/>
      <c r="Q60" s="39"/>
      <c r="R60" s="39"/>
      <c r="S60" s="39"/>
      <c r="T60" s="39"/>
      <c r="U60" s="2"/>
      <c r="V60" s="2"/>
      <c r="W60" s="2"/>
      <c r="X60" s="3"/>
      <c r="Y60" s="3"/>
      <c r="Z60" s="3"/>
    </row>
    <row r="61" spans="1:26" s="42" customFormat="1" ht="15">
      <c r="B61" s="84"/>
      <c r="C61" s="150"/>
      <c r="D61" s="150"/>
      <c r="E61" s="150"/>
      <c r="F61" s="150"/>
      <c r="G61" s="40"/>
      <c r="H61" s="150"/>
      <c r="I61" s="150"/>
      <c r="J61" s="150"/>
      <c r="K61" s="83"/>
      <c r="L61" s="40"/>
      <c r="M61" s="39"/>
      <c r="N61" s="39"/>
      <c r="O61" s="39"/>
      <c r="P61" s="39"/>
      <c r="Q61" s="39"/>
      <c r="R61" s="39"/>
      <c r="S61" s="39"/>
      <c r="T61" s="39"/>
      <c r="U61" s="2"/>
      <c r="V61" s="2"/>
      <c r="W61" s="2"/>
      <c r="X61" s="3"/>
      <c r="Y61" s="3"/>
      <c r="Z61" s="3"/>
    </row>
    <row r="62" spans="1:26" s="42" customFormat="1" ht="15">
      <c r="B62" s="84"/>
      <c r="C62" s="85"/>
      <c r="D62" s="563" t="s">
        <v>122</v>
      </c>
      <c r="E62" s="563" t="s">
        <v>100</v>
      </c>
      <c r="F62" s="563" t="s">
        <v>199</v>
      </c>
      <c r="G62" s="40"/>
      <c r="I62" s="85"/>
      <c r="J62" s="563" t="s">
        <v>343</v>
      </c>
      <c r="K62" s="1134" t="s">
        <v>111</v>
      </c>
      <c r="L62" s="40"/>
      <c r="M62" s="39"/>
      <c r="N62" s="39"/>
      <c r="O62" s="39"/>
      <c r="P62" s="39"/>
      <c r="Q62" s="39"/>
      <c r="R62" s="39"/>
      <c r="S62" s="39"/>
      <c r="T62" s="39"/>
      <c r="U62" s="2"/>
      <c r="V62" s="2"/>
      <c r="W62" s="2"/>
      <c r="X62" s="3"/>
      <c r="Y62" s="3"/>
      <c r="Z62" s="3"/>
    </row>
    <row r="63" spans="1:26" s="42" customFormat="1" ht="45">
      <c r="B63" s="84"/>
      <c r="C63" s="86" t="s">
        <v>342</v>
      </c>
      <c r="D63" s="256">
        <v>0.1</v>
      </c>
      <c r="E63" s="256">
        <v>0.2</v>
      </c>
      <c r="F63" s="103">
        <v>0.13800000000000001</v>
      </c>
      <c r="G63" s="40"/>
      <c r="I63" s="564" t="s">
        <v>288</v>
      </c>
      <c r="J63" s="949">
        <f>F63*D26</f>
        <v>483.00000000000006</v>
      </c>
      <c r="K63" s="1135">
        <f>J63*D29</f>
        <v>5622.1200000000008</v>
      </c>
      <c r="L63" s="40"/>
      <c r="M63" s="39"/>
      <c r="N63" s="39"/>
      <c r="O63" s="39"/>
      <c r="P63" s="39"/>
      <c r="Q63" s="39"/>
      <c r="R63" s="39"/>
      <c r="S63" s="39"/>
      <c r="T63" s="39"/>
      <c r="U63" s="2"/>
      <c r="V63" s="2"/>
      <c r="W63" s="2"/>
      <c r="X63" s="3"/>
      <c r="Y63" s="3"/>
      <c r="Z63" s="3"/>
    </row>
    <row r="64" spans="1:26" s="42" customFormat="1">
      <c r="B64" s="84"/>
      <c r="C64" s="40"/>
      <c r="D64" s="40"/>
      <c r="E64" s="40"/>
      <c r="F64" s="40"/>
      <c r="G64" s="40"/>
      <c r="H64" s="40"/>
      <c r="I64" s="40"/>
      <c r="J64" s="40"/>
      <c r="K64" s="83"/>
      <c r="L64" s="40"/>
      <c r="M64" s="39"/>
      <c r="N64" s="39"/>
      <c r="O64" s="39"/>
      <c r="P64" s="39"/>
      <c r="Q64" s="39"/>
      <c r="R64" s="39"/>
      <c r="S64" s="39"/>
      <c r="T64" s="39"/>
      <c r="U64" s="2"/>
      <c r="V64" s="2"/>
      <c r="W64" s="2"/>
      <c r="X64" s="3"/>
      <c r="Y64" s="3"/>
      <c r="Z64" s="3"/>
    </row>
    <row r="65" spans="1:26" ht="15.75" thickBot="1">
      <c r="B65" s="142"/>
      <c r="C65" s="172"/>
      <c r="D65" s="172"/>
      <c r="E65" s="173"/>
      <c r="F65" s="174"/>
      <c r="G65" s="174"/>
      <c r="H65" s="174"/>
      <c r="I65" s="174"/>
      <c r="J65" s="174"/>
      <c r="K65" s="175"/>
      <c r="L65" s="62"/>
      <c r="M65" s="35"/>
      <c r="N65" s="35"/>
      <c r="O65" s="35"/>
      <c r="P65" s="35"/>
      <c r="Q65" s="35"/>
      <c r="R65" s="35"/>
      <c r="S65" s="35"/>
      <c r="T65" s="35"/>
      <c r="U65" s="4"/>
      <c r="V65" s="4"/>
      <c r="W65" s="4"/>
      <c r="X65" s="5"/>
      <c r="Y65" s="5"/>
      <c r="Z65" s="5"/>
    </row>
    <row r="66" spans="1:26" ht="15">
      <c r="B66" s="35"/>
      <c r="C66" s="56"/>
      <c r="D66" s="56"/>
      <c r="E66" s="35"/>
      <c r="F66" s="62"/>
      <c r="G66" s="62"/>
      <c r="H66" s="62"/>
      <c r="I66" s="62"/>
      <c r="J66" s="62"/>
      <c r="K66" s="62"/>
      <c r="L66" s="62"/>
      <c r="M66" s="35"/>
      <c r="N66" s="35"/>
      <c r="O66" s="35"/>
      <c r="P66" s="35"/>
      <c r="Q66" s="35"/>
      <c r="R66" s="35"/>
      <c r="S66" s="35"/>
      <c r="T66" s="35"/>
      <c r="U66" s="4"/>
      <c r="V66" s="4"/>
      <c r="W66" s="4"/>
      <c r="X66" s="5"/>
      <c r="Y66" s="5"/>
      <c r="Z66" s="5"/>
    </row>
    <row r="67" spans="1:26" ht="15">
      <c r="B67" s="35"/>
      <c r="C67" s="56"/>
      <c r="D67" s="56"/>
      <c r="E67" s="56"/>
      <c r="F67" s="62"/>
      <c r="G67" s="62"/>
      <c r="H67" s="62"/>
      <c r="I67" s="62"/>
      <c r="J67" s="62"/>
      <c r="K67" s="62"/>
      <c r="L67" s="62"/>
      <c r="M67" s="35"/>
      <c r="N67" s="35"/>
      <c r="O67" s="35"/>
      <c r="P67" s="35"/>
      <c r="Q67" s="35"/>
      <c r="R67" s="35"/>
      <c r="S67" s="35"/>
      <c r="T67" s="35"/>
      <c r="U67" s="4"/>
      <c r="V67" s="4"/>
      <c r="W67" s="4"/>
      <c r="X67" s="5"/>
      <c r="Y67" s="5"/>
      <c r="Z67" s="5"/>
    </row>
    <row r="68" spans="1:26" ht="15">
      <c r="B68" s="35"/>
      <c r="C68" s="56"/>
      <c r="D68" s="56"/>
      <c r="E68" s="56"/>
      <c r="F68" s="62"/>
      <c r="G68" s="62"/>
      <c r="H68" s="62"/>
      <c r="I68" s="62"/>
      <c r="J68" s="62"/>
      <c r="K68" s="62"/>
      <c r="L68" s="62"/>
      <c r="M68" s="35"/>
      <c r="N68" s="35"/>
      <c r="O68" s="35"/>
      <c r="P68" s="35"/>
      <c r="Q68" s="35"/>
      <c r="R68" s="35"/>
      <c r="S68" s="35"/>
      <c r="T68" s="35"/>
      <c r="U68" s="4"/>
      <c r="V68" s="4"/>
      <c r="W68" s="4"/>
      <c r="X68" s="5"/>
      <c r="Y68" s="5"/>
      <c r="Z68" s="5"/>
    </row>
    <row r="69" spans="1:26">
      <c r="A69" s="70"/>
      <c r="B69" s="35"/>
      <c r="C69" s="62"/>
      <c r="D69" s="62"/>
      <c r="E69" s="36"/>
      <c r="F69" s="111"/>
      <c r="G69" s="111"/>
      <c r="H69" s="111"/>
      <c r="I69" s="111"/>
      <c r="J69" s="111"/>
      <c r="K69" s="111"/>
      <c r="L69" s="111"/>
      <c r="M69" s="35"/>
      <c r="N69" s="35"/>
      <c r="O69" s="35"/>
      <c r="P69" s="35"/>
      <c r="Q69" s="35"/>
      <c r="R69" s="35"/>
      <c r="S69" s="35"/>
      <c r="T69" s="35"/>
      <c r="U69" s="4"/>
      <c r="V69" s="4"/>
      <c r="W69" s="4"/>
      <c r="X69" s="5"/>
      <c r="Y69" s="5"/>
      <c r="Z69" s="5"/>
    </row>
    <row r="70" spans="1:26">
      <c r="B70" s="35"/>
      <c r="C70" s="62"/>
      <c r="D70" s="62"/>
      <c r="E70" s="36"/>
      <c r="F70" s="62"/>
      <c r="G70" s="62"/>
      <c r="H70" s="62"/>
      <c r="I70" s="62"/>
      <c r="J70" s="62"/>
      <c r="K70" s="62"/>
      <c r="L70" s="62"/>
      <c r="M70" s="35"/>
      <c r="N70" s="35"/>
      <c r="O70" s="35"/>
      <c r="P70" s="35"/>
      <c r="Q70" s="35"/>
      <c r="R70" s="35"/>
      <c r="S70" s="35"/>
      <c r="T70" s="35"/>
      <c r="U70" s="4"/>
      <c r="V70" s="4"/>
      <c r="W70" s="4"/>
      <c r="X70" s="5"/>
      <c r="Y70" s="5"/>
      <c r="Z70" s="5"/>
    </row>
    <row r="71" spans="1:26">
      <c r="B71" s="35"/>
      <c r="C71" s="112"/>
      <c r="D71" s="112"/>
      <c r="E71" s="36"/>
      <c r="F71" s="67"/>
      <c r="G71" s="62"/>
      <c r="H71" s="62"/>
      <c r="I71" s="62"/>
      <c r="J71" s="62"/>
      <c r="K71" s="62"/>
      <c r="L71" s="62"/>
      <c r="M71" s="35"/>
      <c r="N71" s="35"/>
      <c r="O71" s="35"/>
      <c r="P71" s="35"/>
      <c r="Q71" s="35"/>
      <c r="R71" s="35"/>
      <c r="S71" s="35"/>
      <c r="T71" s="35"/>
      <c r="U71" s="4"/>
      <c r="V71" s="4"/>
      <c r="W71" s="4"/>
      <c r="X71" s="5"/>
      <c r="Y71" s="5"/>
      <c r="Z71" s="5"/>
    </row>
    <row r="72" spans="1:26">
      <c r="B72" s="35"/>
      <c r="C72" s="36"/>
      <c r="D72" s="36"/>
      <c r="E72" s="36"/>
      <c r="F72" s="36"/>
      <c r="G72" s="36"/>
      <c r="H72" s="36"/>
      <c r="I72" s="36"/>
      <c r="J72" s="36"/>
      <c r="K72" s="36"/>
      <c r="L72" s="36"/>
      <c r="M72" s="35"/>
      <c r="N72" s="35"/>
      <c r="O72" s="35"/>
      <c r="P72" s="35"/>
      <c r="Q72" s="35"/>
      <c r="R72" s="35"/>
      <c r="S72" s="35"/>
      <c r="T72" s="35"/>
      <c r="U72" s="4"/>
      <c r="V72" s="4"/>
      <c r="W72" s="4"/>
      <c r="X72" s="5"/>
      <c r="Y72" s="5"/>
      <c r="Z72" s="5"/>
    </row>
    <row r="73" spans="1:26">
      <c r="B73" s="35"/>
      <c r="C73" s="62"/>
      <c r="D73" s="62"/>
      <c r="E73" s="36"/>
      <c r="F73" s="113"/>
      <c r="G73" s="113"/>
      <c r="H73" s="113"/>
      <c r="I73" s="113"/>
      <c r="J73" s="113"/>
      <c r="K73" s="113"/>
      <c r="L73" s="113"/>
      <c r="M73" s="35"/>
      <c r="N73" s="35"/>
      <c r="O73" s="35"/>
      <c r="P73" s="35"/>
      <c r="Q73" s="35"/>
      <c r="R73" s="35"/>
      <c r="S73" s="35"/>
      <c r="T73" s="35"/>
      <c r="U73" s="4"/>
      <c r="V73" s="4"/>
      <c r="W73" s="4"/>
      <c r="X73" s="5"/>
      <c r="Y73" s="5"/>
      <c r="Z73" s="5"/>
    </row>
    <row r="74" spans="1:26">
      <c r="B74" s="35"/>
      <c r="C74" s="62"/>
      <c r="D74" s="62"/>
      <c r="E74" s="36"/>
      <c r="F74" s="62"/>
      <c r="G74" s="62"/>
      <c r="H74" s="62"/>
      <c r="I74" s="62"/>
      <c r="J74" s="62"/>
      <c r="K74" s="62"/>
      <c r="L74" s="62"/>
      <c r="M74" s="35"/>
      <c r="N74" s="35"/>
      <c r="O74" s="35"/>
      <c r="P74" s="35"/>
      <c r="Q74" s="35"/>
      <c r="R74" s="35"/>
      <c r="S74" s="35"/>
      <c r="T74" s="35"/>
      <c r="U74" s="4"/>
      <c r="V74" s="4"/>
      <c r="W74" s="4"/>
      <c r="X74" s="5"/>
      <c r="Y74" s="5"/>
      <c r="Z74" s="5"/>
    </row>
    <row r="75" spans="1:26">
      <c r="B75" s="35"/>
      <c r="C75" s="62"/>
      <c r="D75" s="62"/>
      <c r="E75" s="36"/>
      <c r="F75" s="62"/>
      <c r="G75" s="62"/>
      <c r="H75" s="62"/>
      <c r="I75" s="62"/>
      <c r="J75" s="62"/>
      <c r="K75" s="62"/>
      <c r="L75" s="62"/>
      <c r="M75" s="35"/>
      <c r="N75" s="35"/>
      <c r="O75" s="35"/>
      <c r="P75" s="35"/>
      <c r="Q75" s="35"/>
      <c r="R75" s="35"/>
      <c r="S75" s="35"/>
      <c r="T75" s="35"/>
      <c r="U75" s="4"/>
      <c r="V75" s="4"/>
      <c r="W75" s="4"/>
      <c r="X75" s="5"/>
      <c r="Y75" s="5"/>
      <c r="Z75" s="5"/>
    </row>
    <row r="76" spans="1:26" ht="15">
      <c r="B76" s="35"/>
      <c r="C76" s="56"/>
      <c r="D76" s="56"/>
      <c r="E76" s="36"/>
      <c r="F76" s="62"/>
      <c r="G76" s="62"/>
      <c r="H76" s="62"/>
      <c r="I76" s="62"/>
      <c r="J76" s="62"/>
      <c r="K76" s="62"/>
      <c r="L76" s="62"/>
      <c r="M76" s="35"/>
      <c r="N76" s="35"/>
      <c r="O76" s="35"/>
      <c r="P76" s="35"/>
      <c r="Q76" s="35"/>
      <c r="R76" s="35"/>
      <c r="S76" s="35"/>
      <c r="T76" s="35"/>
      <c r="U76" s="4"/>
      <c r="V76" s="4"/>
      <c r="W76" s="4"/>
      <c r="X76" s="5"/>
      <c r="Y76" s="5"/>
      <c r="Z76" s="5"/>
    </row>
    <row r="77" spans="1:26">
      <c r="B77" s="35"/>
      <c r="C77" s="62"/>
      <c r="D77" s="62"/>
      <c r="E77" s="36"/>
      <c r="F77" s="113"/>
      <c r="G77" s="113"/>
      <c r="H77" s="113"/>
      <c r="I77" s="113"/>
      <c r="J77" s="113"/>
      <c r="K77" s="113"/>
      <c r="L77" s="113"/>
      <c r="M77" s="35"/>
      <c r="N77" s="35"/>
      <c r="O77" s="35"/>
      <c r="P77" s="35"/>
      <c r="Q77" s="35"/>
      <c r="R77" s="35"/>
      <c r="S77" s="35"/>
      <c r="T77" s="35"/>
      <c r="U77" s="4"/>
      <c r="V77" s="4"/>
      <c r="W77" s="4"/>
      <c r="X77" s="5"/>
      <c r="Y77" s="5"/>
      <c r="Z77" s="5"/>
    </row>
    <row r="78" spans="1:26">
      <c r="B78" s="35"/>
      <c r="C78" s="62"/>
      <c r="D78" s="62"/>
      <c r="E78" s="36"/>
      <c r="F78" s="62"/>
      <c r="G78" s="62"/>
      <c r="H78" s="62"/>
      <c r="I78" s="62"/>
      <c r="J78" s="62"/>
      <c r="K78" s="62"/>
      <c r="L78" s="62"/>
      <c r="M78" s="35"/>
      <c r="N78" s="35"/>
      <c r="O78" s="35"/>
      <c r="P78" s="35"/>
      <c r="Q78" s="35"/>
      <c r="R78" s="35"/>
      <c r="S78" s="35"/>
      <c r="T78" s="35"/>
      <c r="U78" s="4"/>
      <c r="V78" s="4"/>
      <c r="W78" s="4"/>
      <c r="X78" s="5"/>
      <c r="Y78" s="5"/>
      <c r="Z78" s="5"/>
    </row>
    <row r="79" spans="1:26">
      <c r="B79" s="35"/>
      <c r="C79" s="62"/>
      <c r="D79" s="62"/>
      <c r="E79" s="36"/>
      <c r="F79" s="62"/>
      <c r="G79" s="62"/>
      <c r="H79" s="62"/>
      <c r="I79" s="62"/>
      <c r="J79" s="62"/>
      <c r="K79" s="62"/>
      <c r="L79" s="62"/>
      <c r="M79" s="35"/>
      <c r="N79" s="35"/>
      <c r="O79" s="35"/>
      <c r="P79" s="35"/>
      <c r="Q79" s="35"/>
      <c r="R79" s="35"/>
      <c r="S79" s="35"/>
      <c r="T79" s="35"/>
      <c r="U79" s="4"/>
      <c r="V79" s="4"/>
      <c r="W79" s="4"/>
      <c r="X79" s="5"/>
      <c r="Y79" s="5"/>
      <c r="Z79" s="5"/>
    </row>
    <row r="80" spans="1:26">
      <c r="B80" s="35"/>
      <c r="C80" s="62"/>
      <c r="D80" s="62"/>
      <c r="E80" s="62"/>
      <c r="F80" s="113"/>
      <c r="G80" s="113"/>
      <c r="H80" s="113"/>
      <c r="I80" s="113"/>
      <c r="J80" s="113"/>
      <c r="K80" s="113"/>
      <c r="L80" s="113"/>
      <c r="M80" s="35"/>
      <c r="N80" s="35"/>
      <c r="O80" s="35"/>
      <c r="P80" s="35"/>
      <c r="Q80" s="35"/>
      <c r="R80" s="35"/>
      <c r="S80" s="35"/>
      <c r="T80" s="35"/>
      <c r="U80" s="4"/>
      <c r="V80" s="4"/>
      <c r="W80" s="4"/>
      <c r="X80" s="5"/>
      <c r="Y80" s="5"/>
      <c r="Z80" s="5"/>
    </row>
    <row r="81" spans="2:26">
      <c r="B81" s="35"/>
      <c r="C81" s="62"/>
      <c r="D81" s="62"/>
      <c r="E81" s="62"/>
      <c r="F81" s="111"/>
      <c r="G81" s="111"/>
      <c r="H81" s="111"/>
      <c r="I81" s="111"/>
      <c r="J81" s="111"/>
      <c r="K81" s="111"/>
      <c r="L81" s="111"/>
      <c r="M81" s="35"/>
      <c r="N81" s="35"/>
      <c r="O81" s="35"/>
      <c r="P81" s="35"/>
      <c r="Q81" s="35"/>
      <c r="R81" s="35"/>
      <c r="S81" s="35"/>
      <c r="T81" s="35"/>
      <c r="U81" s="4"/>
      <c r="V81" s="4"/>
      <c r="W81" s="4"/>
      <c r="X81" s="5"/>
      <c r="Y81" s="5"/>
      <c r="Z81" s="5"/>
    </row>
    <row r="82" spans="2:26">
      <c r="B82" s="35"/>
      <c r="C82" s="62"/>
      <c r="D82" s="62"/>
      <c r="E82" s="62"/>
      <c r="F82" s="111"/>
      <c r="G82" s="111"/>
      <c r="H82" s="111"/>
      <c r="I82" s="111"/>
      <c r="J82" s="111"/>
      <c r="K82" s="111"/>
      <c r="L82" s="111"/>
      <c r="M82" s="35"/>
      <c r="N82" s="35"/>
      <c r="O82" s="35"/>
      <c r="P82" s="35"/>
      <c r="Q82" s="35"/>
      <c r="R82" s="35"/>
      <c r="S82" s="35"/>
      <c r="T82" s="35"/>
      <c r="U82" s="4"/>
      <c r="V82" s="4"/>
      <c r="W82" s="4"/>
      <c r="X82" s="5"/>
      <c r="Y82" s="5"/>
      <c r="Z82" s="5"/>
    </row>
    <row r="83" spans="2:26" ht="15">
      <c r="B83" s="35"/>
      <c r="C83" s="56"/>
      <c r="D83" s="56"/>
      <c r="E83" s="62"/>
      <c r="F83" s="177"/>
      <c r="G83" s="177"/>
      <c r="H83" s="177"/>
      <c r="I83" s="177"/>
      <c r="J83" s="177"/>
      <c r="K83" s="177"/>
      <c r="L83" s="177"/>
      <c r="M83" s="35"/>
      <c r="N83" s="35"/>
      <c r="O83" s="35"/>
      <c r="P83" s="35"/>
      <c r="Q83" s="35"/>
      <c r="R83" s="35"/>
      <c r="S83" s="35"/>
      <c r="T83" s="35"/>
      <c r="U83" s="4"/>
      <c r="V83" s="4"/>
      <c r="W83" s="4"/>
      <c r="X83" s="5"/>
      <c r="Y83" s="5"/>
      <c r="Z83" s="5"/>
    </row>
    <row r="84" spans="2:26" ht="15">
      <c r="B84" s="35"/>
      <c r="C84" s="56"/>
      <c r="D84" s="56"/>
      <c r="E84" s="62"/>
      <c r="F84" s="177"/>
      <c r="G84" s="177"/>
      <c r="H84" s="177"/>
      <c r="I84" s="177"/>
      <c r="J84" s="177"/>
      <c r="K84" s="177"/>
      <c r="L84" s="177"/>
      <c r="M84" s="35"/>
      <c r="N84" s="35"/>
      <c r="O84" s="35"/>
      <c r="P84" s="35"/>
      <c r="Q84" s="35"/>
      <c r="R84" s="35"/>
      <c r="S84" s="35"/>
      <c r="T84" s="35"/>
      <c r="U84" s="4"/>
      <c r="V84" s="4"/>
      <c r="W84" s="4"/>
      <c r="X84" s="5"/>
      <c r="Y84" s="5"/>
      <c r="Z84" s="5"/>
    </row>
    <row r="85" spans="2:26" ht="15">
      <c r="B85" s="35"/>
      <c r="C85" s="56"/>
      <c r="D85" s="56"/>
      <c r="E85" s="62"/>
      <c r="F85" s="177"/>
      <c r="G85" s="177"/>
      <c r="H85" s="177"/>
      <c r="I85" s="177"/>
      <c r="J85" s="177"/>
      <c r="K85" s="177"/>
      <c r="L85" s="177"/>
      <c r="M85" s="35"/>
      <c r="N85" s="35"/>
      <c r="O85" s="35"/>
      <c r="P85" s="35"/>
      <c r="Q85" s="35"/>
      <c r="R85" s="35"/>
      <c r="S85" s="35"/>
      <c r="T85" s="35"/>
      <c r="U85" s="4"/>
      <c r="V85" s="4"/>
      <c r="W85" s="4"/>
      <c r="X85" s="5"/>
      <c r="Y85" s="5"/>
      <c r="Z85" s="5"/>
    </row>
    <row r="86" spans="2:26">
      <c r="B86" s="35"/>
      <c r="C86" s="62"/>
      <c r="D86" s="62"/>
      <c r="E86" s="62"/>
      <c r="F86" s="111"/>
      <c r="G86" s="111"/>
      <c r="H86" s="111"/>
      <c r="I86" s="111"/>
      <c r="J86" s="111"/>
      <c r="K86" s="111"/>
      <c r="L86" s="111"/>
      <c r="M86" s="35"/>
      <c r="N86" s="35"/>
      <c r="O86" s="35"/>
      <c r="P86" s="35"/>
      <c r="Q86" s="35"/>
      <c r="R86" s="35"/>
      <c r="S86" s="35"/>
      <c r="T86" s="35"/>
      <c r="U86" s="4"/>
      <c r="V86" s="4"/>
      <c r="W86" s="4"/>
      <c r="X86" s="5"/>
      <c r="Y86" s="5"/>
      <c r="Z86" s="5"/>
    </row>
    <row r="87" spans="2:26" ht="15" thickBot="1">
      <c r="B87" s="35"/>
      <c r="C87" s="62"/>
      <c r="D87" s="62"/>
      <c r="E87" s="62"/>
      <c r="F87" s="62"/>
      <c r="G87" s="62"/>
      <c r="H87" s="62"/>
      <c r="I87" s="62"/>
      <c r="J87" s="203"/>
      <c r="K87" s="62"/>
      <c r="L87" s="62"/>
      <c r="M87" s="35"/>
      <c r="N87" s="35"/>
      <c r="O87" s="35"/>
      <c r="P87" s="35"/>
      <c r="Q87" s="35"/>
      <c r="R87" s="35"/>
      <c r="S87" s="35"/>
      <c r="T87" s="35"/>
      <c r="U87" s="4"/>
      <c r="V87" s="4"/>
      <c r="W87" s="4"/>
      <c r="X87" s="5"/>
      <c r="Y87" s="5"/>
      <c r="Z87" s="5"/>
    </row>
    <row r="88" spans="2:26" ht="15.75" thickBot="1">
      <c r="B88" s="35"/>
      <c r="C88" s="62"/>
      <c r="D88" s="62"/>
      <c r="E88" s="62" t="s">
        <v>42</v>
      </c>
      <c r="F88" s="62"/>
      <c r="G88" s="62"/>
      <c r="H88" s="62"/>
      <c r="I88" s="62"/>
      <c r="J88" s="203"/>
      <c r="K88" s="203"/>
      <c r="L88" s="62"/>
      <c r="M88" s="35"/>
      <c r="N88" s="35"/>
      <c r="O88" s="35"/>
      <c r="P88" s="35"/>
      <c r="Q88" s="35"/>
      <c r="R88" s="35"/>
      <c r="S88" s="35"/>
      <c r="T88" s="35"/>
      <c r="U88" s="17" t="s">
        <v>303</v>
      </c>
      <c r="V88" s="16" t="s">
        <v>302</v>
      </c>
      <c r="W88" s="20" t="s">
        <v>301</v>
      </c>
      <c r="X88" s="21" t="s">
        <v>300</v>
      </c>
      <c r="Y88" s="21" t="s">
        <v>262</v>
      </c>
      <c r="Z88" s="21" t="s">
        <v>299</v>
      </c>
    </row>
    <row r="89" spans="2:26" ht="15.75" thickBot="1">
      <c r="B89" s="35"/>
      <c r="C89" s="35"/>
      <c r="D89" s="35"/>
      <c r="E89" s="35"/>
      <c r="F89" s="35"/>
      <c r="G89" s="35"/>
      <c r="H89" s="35"/>
      <c r="I89" s="35"/>
      <c r="J89" s="35"/>
      <c r="K89" s="35"/>
      <c r="L89" s="35"/>
      <c r="M89" s="35"/>
      <c r="N89" s="35"/>
      <c r="O89" s="35"/>
      <c r="P89" s="35"/>
      <c r="Q89" s="35"/>
      <c r="R89" s="35"/>
      <c r="S89" s="35"/>
      <c r="T89" s="35"/>
      <c r="U89" s="22"/>
      <c r="V89" s="230" t="s">
        <v>297</v>
      </c>
      <c r="W89" s="231" t="s">
        <v>298</v>
      </c>
      <c r="X89" s="232" t="e">
        <f>#REF!+#REF!</f>
        <v>#REF!</v>
      </c>
      <c r="Y89" s="231"/>
      <c r="Z89" s="231"/>
    </row>
    <row r="90" spans="2:26" ht="30.75" thickBot="1">
      <c r="B90" s="35"/>
      <c r="C90" s="35"/>
      <c r="D90" s="35"/>
      <c r="E90" s="35"/>
      <c r="F90" s="35"/>
      <c r="G90" s="35"/>
      <c r="H90" s="35"/>
      <c r="I90" s="35"/>
      <c r="J90" s="35"/>
      <c r="K90" s="35"/>
      <c r="L90" s="35"/>
      <c r="M90" s="35"/>
      <c r="N90" s="35"/>
      <c r="O90" s="35"/>
      <c r="P90" s="35"/>
      <c r="Q90" s="35"/>
      <c r="R90" s="35"/>
      <c r="S90" s="35"/>
      <c r="T90" s="35"/>
      <c r="U90" s="13"/>
      <c r="V90" s="230" t="s">
        <v>297</v>
      </c>
      <c r="W90" s="231" t="s">
        <v>296</v>
      </c>
      <c r="X90" s="231"/>
      <c r="Y90" s="231"/>
      <c r="Z90" s="231"/>
    </row>
    <row r="91" spans="2:26" ht="15.75" thickBot="1">
      <c r="B91" s="35"/>
      <c r="C91" s="35"/>
      <c r="D91" s="35"/>
      <c r="E91" s="35"/>
      <c r="F91" s="35"/>
      <c r="G91" s="35"/>
      <c r="H91" s="35"/>
      <c r="I91" s="35"/>
      <c r="J91" s="35"/>
      <c r="K91" s="35"/>
      <c r="L91" s="35"/>
      <c r="M91" s="35"/>
      <c r="N91" s="35"/>
      <c r="O91" s="35"/>
      <c r="P91" s="35"/>
      <c r="Q91" s="35"/>
      <c r="R91" s="35"/>
      <c r="S91" s="35"/>
      <c r="T91" s="35"/>
      <c r="U91" s="15"/>
      <c r="V91" s="233"/>
      <c r="W91" s="234"/>
      <c r="X91" s="234"/>
      <c r="Y91" s="234"/>
      <c r="Z91" s="234"/>
    </row>
    <row r="92" spans="2:26" ht="15.75" thickBot="1">
      <c r="B92" s="35"/>
      <c r="C92" s="35"/>
      <c r="D92" s="35"/>
      <c r="E92" s="35"/>
      <c r="F92" s="35"/>
      <c r="G92" s="35"/>
      <c r="H92" s="35"/>
      <c r="I92" s="35"/>
      <c r="J92" s="35"/>
      <c r="K92" s="35"/>
      <c r="L92" s="35"/>
      <c r="M92" s="35"/>
      <c r="N92" s="35"/>
      <c r="O92" s="35"/>
      <c r="P92" s="35"/>
      <c r="Q92" s="35"/>
      <c r="R92" s="35"/>
      <c r="S92" s="35"/>
      <c r="T92" s="35"/>
      <c r="U92" s="15"/>
      <c r="V92" s="233"/>
      <c r="W92" s="234"/>
      <c r="X92" s="234"/>
      <c r="Y92" s="234"/>
      <c r="Z92" s="234"/>
    </row>
    <row r="93" spans="2:26" ht="15.75" thickBot="1">
      <c r="B93" s="35"/>
      <c r="C93" s="35"/>
      <c r="D93" s="35"/>
      <c r="E93" s="35"/>
      <c r="F93" s="35"/>
      <c r="G93" s="35"/>
      <c r="H93" s="35"/>
      <c r="I93" s="35"/>
      <c r="J93" s="35"/>
      <c r="K93" s="35"/>
      <c r="L93" s="35"/>
      <c r="M93" s="35"/>
      <c r="N93" s="35"/>
      <c r="O93" s="35"/>
      <c r="P93" s="35"/>
      <c r="Q93" s="35"/>
      <c r="R93" s="35"/>
      <c r="S93" s="35"/>
      <c r="T93" s="35"/>
      <c r="U93" s="15"/>
      <c r="V93" s="233"/>
      <c r="W93" s="234"/>
      <c r="X93" s="234"/>
      <c r="Y93" s="234"/>
      <c r="Z93" s="234"/>
    </row>
    <row r="94" spans="2:26" ht="15.75" thickBot="1">
      <c r="B94" s="35"/>
      <c r="C94" s="35"/>
      <c r="D94" s="35"/>
      <c r="E94" s="35"/>
      <c r="F94" s="35"/>
      <c r="G94" s="35"/>
      <c r="H94" s="35"/>
      <c r="I94" s="35"/>
      <c r="J94" s="35"/>
      <c r="K94" s="35"/>
      <c r="L94" s="35"/>
      <c r="M94" s="35"/>
      <c r="N94" s="35"/>
      <c r="O94" s="35"/>
      <c r="P94" s="35"/>
      <c r="Q94" s="35"/>
      <c r="R94" s="35"/>
      <c r="S94" s="35"/>
      <c r="T94" s="35"/>
      <c r="U94" s="15"/>
      <c r="V94" s="233"/>
      <c r="W94" s="234"/>
      <c r="X94" s="234"/>
      <c r="Y94" s="234"/>
      <c r="Z94" s="234"/>
    </row>
    <row r="95" spans="2:26" ht="15.75" thickBot="1">
      <c r="B95" s="35"/>
      <c r="C95" s="35"/>
      <c r="D95" s="35"/>
      <c r="E95" s="35"/>
      <c r="F95" s="35"/>
      <c r="G95" s="35"/>
      <c r="H95" s="35"/>
      <c r="I95" s="35"/>
      <c r="J95" s="35"/>
      <c r="K95" s="35"/>
      <c r="L95" s="35"/>
      <c r="M95" s="35"/>
      <c r="N95" s="35"/>
      <c r="O95" s="35"/>
      <c r="P95" s="35"/>
      <c r="Q95" s="35"/>
      <c r="R95" s="35"/>
      <c r="S95" s="35"/>
      <c r="T95" s="35"/>
      <c r="U95" s="15"/>
      <c r="V95" s="233"/>
      <c r="W95" s="234"/>
      <c r="X95" s="234"/>
      <c r="Y95" s="234"/>
      <c r="Z95" s="234"/>
    </row>
    <row r="96" spans="2:26" ht="15.75" thickBot="1">
      <c r="B96" s="35"/>
      <c r="C96" s="35"/>
      <c r="D96" s="35"/>
      <c r="E96" s="35"/>
      <c r="F96" s="35"/>
      <c r="G96" s="35"/>
      <c r="H96" s="35"/>
      <c r="I96" s="35"/>
      <c r="J96" s="35"/>
      <c r="K96" s="35"/>
      <c r="L96" s="35"/>
      <c r="M96" s="35"/>
      <c r="N96" s="35"/>
      <c r="O96" s="35"/>
      <c r="P96" s="35"/>
      <c r="Q96" s="35"/>
      <c r="R96" s="35"/>
      <c r="S96" s="35"/>
      <c r="T96" s="35"/>
      <c r="U96" s="14"/>
      <c r="V96" s="233"/>
      <c r="W96" s="234"/>
      <c r="X96" s="234"/>
      <c r="Y96" s="234"/>
      <c r="Z96" s="234"/>
    </row>
    <row r="97" spans="2:26" ht="15.75" thickBot="1">
      <c r="B97" s="35"/>
      <c r="C97" s="35"/>
      <c r="D97" s="35"/>
      <c r="E97" s="35"/>
      <c r="F97" s="35"/>
      <c r="G97" s="35"/>
      <c r="H97" s="35"/>
      <c r="I97" s="35"/>
      <c r="J97" s="35"/>
      <c r="K97" s="35"/>
      <c r="L97" s="35"/>
      <c r="M97" s="35"/>
      <c r="N97" s="35"/>
      <c r="O97" s="35"/>
      <c r="P97" s="35"/>
      <c r="Q97" s="35"/>
      <c r="R97" s="35"/>
      <c r="S97" s="35"/>
      <c r="T97" s="35"/>
      <c r="U97" s="14"/>
      <c r="V97" s="233"/>
      <c r="W97" s="234"/>
      <c r="X97" s="234"/>
      <c r="Y97" s="234"/>
      <c r="Z97" s="234"/>
    </row>
    <row r="98" spans="2:26" ht="15.75" thickBot="1">
      <c r="B98" s="35"/>
      <c r="C98" s="35"/>
      <c r="D98" s="35"/>
      <c r="E98" s="35"/>
      <c r="F98" s="35"/>
      <c r="G98" s="35"/>
      <c r="H98" s="35"/>
      <c r="I98" s="35"/>
      <c r="J98" s="35"/>
      <c r="K98" s="35"/>
      <c r="L98" s="35"/>
      <c r="M98" s="35"/>
      <c r="N98" s="35"/>
      <c r="O98" s="35"/>
      <c r="P98" s="35"/>
      <c r="Q98" s="35"/>
      <c r="R98" s="35"/>
      <c r="S98" s="35"/>
      <c r="T98" s="35"/>
      <c r="U98" s="13"/>
      <c r="V98" s="235"/>
      <c r="W98" s="236"/>
      <c r="X98" s="236"/>
      <c r="Y98" s="236"/>
      <c r="Z98" s="236"/>
    </row>
    <row r="99" spans="2:26" ht="15.75" thickBot="1">
      <c r="B99" s="35"/>
      <c r="C99" s="35"/>
      <c r="D99" s="35"/>
      <c r="E99" s="35"/>
      <c r="F99" s="35"/>
      <c r="G99" s="35"/>
      <c r="H99" s="35"/>
      <c r="I99" s="35"/>
      <c r="J99" s="35"/>
      <c r="K99" s="35"/>
      <c r="L99" s="35"/>
      <c r="M99" s="35"/>
      <c r="N99" s="35"/>
      <c r="O99" s="35"/>
      <c r="P99" s="35"/>
      <c r="Q99" s="35"/>
      <c r="R99" s="35"/>
      <c r="S99" s="35"/>
      <c r="T99" s="35"/>
      <c r="U99" s="13"/>
      <c r="V99" s="235"/>
      <c r="W99" s="236"/>
      <c r="X99" s="236"/>
      <c r="Y99" s="236"/>
      <c r="Z99" s="236"/>
    </row>
    <row r="100" spans="2:26" ht="15.75" thickBot="1">
      <c r="B100" s="35"/>
      <c r="C100" s="35"/>
      <c r="D100" s="35"/>
      <c r="E100" s="35"/>
      <c r="F100" s="35"/>
      <c r="G100" s="35"/>
      <c r="H100" s="35"/>
      <c r="I100" s="35"/>
      <c r="J100" s="35"/>
      <c r="K100" s="35"/>
      <c r="L100" s="35"/>
      <c r="M100" s="35"/>
      <c r="N100" s="35"/>
      <c r="O100" s="35"/>
      <c r="P100" s="35"/>
      <c r="Q100" s="35"/>
      <c r="R100" s="35"/>
      <c r="S100" s="35"/>
      <c r="T100" s="35"/>
      <c r="U100" s="237"/>
      <c r="V100" s="233"/>
      <c r="W100" s="234"/>
      <c r="X100" s="234"/>
      <c r="Y100" s="234"/>
      <c r="Z100" s="234"/>
    </row>
    <row r="101" spans="2:26" ht="15.75" thickBot="1">
      <c r="B101" s="35"/>
      <c r="C101" s="35"/>
      <c r="D101" s="35"/>
      <c r="E101" s="35"/>
      <c r="F101" s="35"/>
      <c r="G101" s="35"/>
      <c r="H101" s="35"/>
      <c r="I101" s="35"/>
      <c r="J101" s="35"/>
      <c r="K101" s="35"/>
      <c r="L101" s="35"/>
      <c r="M101" s="35"/>
      <c r="N101" s="35"/>
      <c r="O101" s="35"/>
      <c r="P101" s="35"/>
      <c r="Q101" s="35"/>
      <c r="R101" s="35"/>
      <c r="S101" s="35"/>
      <c r="T101" s="35"/>
      <c r="U101" s="12"/>
      <c r="V101" s="238"/>
      <c r="W101" s="239"/>
      <c r="X101" s="239"/>
      <c r="Y101" s="239"/>
      <c r="Z101" s="239"/>
    </row>
    <row r="102" spans="2:26" ht="15">
      <c r="B102" s="35"/>
      <c r="C102" s="35"/>
      <c r="D102" s="35"/>
      <c r="E102" s="35"/>
      <c r="F102" s="35"/>
      <c r="G102" s="35"/>
      <c r="H102" s="35"/>
      <c r="I102" s="35"/>
      <c r="J102" s="35"/>
      <c r="K102" s="35"/>
      <c r="L102" s="35"/>
      <c r="M102" s="35"/>
      <c r="N102" s="35"/>
      <c r="O102" s="35"/>
      <c r="P102" s="35"/>
      <c r="Q102" s="35"/>
      <c r="R102" s="35"/>
      <c r="S102" s="35"/>
      <c r="T102" s="35"/>
      <c r="U102" s="10"/>
      <c r="V102" s="23" t="s">
        <v>295</v>
      </c>
      <c r="W102" s="11"/>
      <c r="X102" s="11"/>
      <c r="Y102" s="11"/>
      <c r="Z102" s="11"/>
    </row>
    <row r="103" spans="2:26">
      <c r="B103" s="35"/>
      <c r="C103" s="35"/>
      <c r="D103" s="35"/>
      <c r="E103" s="35"/>
      <c r="F103" s="35"/>
      <c r="G103" s="35"/>
      <c r="H103" s="35"/>
      <c r="I103" s="35"/>
      <c r="J103" s="35"/>
      <c r="K103" s="35"/>
      <c r="L103" s="35"/>
      <c r="M103" s="35"/>
      <c r="N103" s="35"/>
      <c r="O103" s="35"/>
      <c r="P103" s="35"/>
      <c r="Q103" s="35"/>
      <c r="R103" s="35"/>
      <c r="S103" s="35"/>
      <c r="T103" s="35"/>
      <c r="U103" s="10"/>
      <c r="V103" s="10"/>
      <c r="W103" s="10"/>
      <c r="X103" s="10"/>
      <c r="Y103" s="10"/>
      <c r="Z103" s="10"/>
    </row>
    <row r="104" spans="2:26">
      <c r="B104" s="35"/>
      <c r="C104" s="35"/>
      <c r="D104" s="35"/>
      <c r="E104" s="35"/>
      <c r="F104" s="35"/>
      <c r="G104" s="35"/>
      <c r="H104" s="35"/>
      <c r="I104" s="35"/>
      <c r="J104" s="35"/>
      <c r="K104" s="35"/>
      <c r="L104" s="35"/>
      <c r="M104" s="35"/>
      <c r="N104" s="35"/>
      <c r="O104" s="35"/>
      <c r="P104" s="35"/>
      <c r="Q104" s="35"/>
      <c r="R104" s="35"/>
      <c r="S104" s="35"/>
      <c r="T104" s="35"/>
    </row>
    <row r="105" spans="2:26">
      <c r="B105" s="35"/>
      <c r="C105" s="35"/>
      <c r="D105" s="35"/>
      <c r="E105" s="35"/>
      <c r="F105" s="35"/>
      <c r="G105" s="35"/>
      <c r="H105" s="35"/>
      <c r="I105" s="35"/>
      <c r="J105" s="35"/>
      <c r="K105" s="35"/>
      <c r="L105" s="35"/>
      <c r="M105" s="35"/>
      <c r="N105" s="35"/>
      <c r="O105" s="35"/>
      <c r="P105" s="35"/>
      <c r="Q105" s="35"/>
      <c r="R105" s="35"/>
      <c r="S105" s="35"/>
      <c r="T105" s="35"/>
    </row>
    <row r="106" spans="2:26">
      <c r="B106" s="35"/>
      <c r="C106" s="35"/>
      <c r="D106" s="35"/>
      <c r="E106" s="35"/>
      <c r="F106" s="35"/>
      <c r="G106" s="35"/>
      <c r="H106" s="35"/>
      <c r="I106" s="35"/>
      <c r="J106" s="35"/>
      <c r="K106" s="35"/>
      <c r="L106" s="35"/>
      <c r="M106" s="35"/>
      <c r="N106" s="35"/>
      <c r="O106" s="35"/>
      <c r="P106" s="35"/>
      <c r="Q106" s="35"/>
      <c r="R106" s="35"/>
      <c r="S106" s="35"/>
      <c r="T106" s="35"/>
    </row>
    <row r="107" spans="2:26">
      <c r="B107" s="35"/>
      <c r="C107" s="35"/>
      <c r="D107" s="35"/>
      <c r="E107" s="35"/>
      <c r="F107" s="35"/>
      <c r="G107" s="35"/>
      <c r="H107" s="35"/>
      <c r="I107" s="35"/>
      <c r="J107" s="35"/>
      <c r="K107" s="35"/>
      <c r="L107" s="35"/>
      <c r="M107" s="35"/>
      <c r="N107" s="35"/>
      <c r="O107" s="35"/>
      <c r="P107" s="35"/>
      <c r="Q107" s="35"/>
      <c r="R107" s="35"/>
      <c r="S107" s="35"/>
      <c r="T107" s="35"/>
    </row>
    <row r="108" spans="2:26">
      <c r="C108" s="35"/>
      <c r="D108" s="35"/>
      <c r="E108" s="35"/>
      <c r="F108" s="35"/>
      <c r="G108" s="35"/>
      <c r="H108" s="35"/>
      <c r="I108" s="35"/>
      <c r="J108" s="35"/>
      <c r="K108" s="35"/>
      <c r="L108" s="35"/>
      <c r="M108" s="35"/>
      <c r="N108" s="35"/>
      <c r="O108" s="35"/>
      <c r="P108" s="35"/>
      <c r="Q108" s="35"/>
      <c r="R108" s="35"/>
      <c r="S108" s="35"/>
      <c r="T108" s="35"/>
    </row>
  </sheetData>
  <mergeCells count="13">
    <mergeCell ref="E1:F1"/>
    <mergeCell ref="B57:K57"/>
    <mergeCell ref="C60:F60"/>
    <mergeCell ref="H56:I56"/>
    <mergeCell ref="B31:K31"/>
    <mergeCell ref="B11:K11"/>
    <mergeCell ref="B19:K19"/>
    <mergeCell ref="C17:D17"/>
    <mergeCell ref="C4:D5"/>
    <mergeCell ref="C13:D13"/>
    <mergeCell ref="C14:D14"/>
    <mergeCell ref="C15:D15"/>
    <mergeCell ref="C16:D16"/>
  </mergeCells>
  <conditionalFormatting sqref="E17:F17">
    <cfRule type="expression" dxfId="15" priority="1">
      <formula>$E$17&gt;$E$16</formula>
    </cfRule>
  </conditionalFormatting>
  <pageMargins left="0.70866141732283472" right="0.70866141732283472" top="0.74803149606299213" bottom="0.74803149606299213" header="0.31496062992125984" footer="0.31496062992125984"/>
  <pageSetup paperSize="9" scale="39" orientation="portrait"/>
  <drawing r:id="rId1"/>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4" tint="-0.249977111117893"/>
  </sheetPr>
  <dimension ref="A1:BW79"/>
  <sheetViews>
    <sheetView showGridLines="0" zoomScale="75" zoomScaleNormal="75" zoomScaleSheetLayoutView="100" zoomScalePageLayoutView="75" workbookViewId="0">
      <pane ySplit="1" topLeftCell="A2" activePane="bottomLeft" state="frozen"/>
      <selection activeCell="C3" sqref="C3"/>
      <selection pane="bottomLeft" activeCell="J1" sqref="J1"/>
    </sheetView>
  </sheetViews>
  <sheetFormatPr defaultColWidth="8.7109375" defaultRowHeight="14.25" outlineLevelCol="1"/>
  <cols>
    <col min="1" max="1" width="56.140625" style="38" hidden="1" customWidth="1" outlineLevel="1"/>
    <col min="2" max="2" width="15.7109375" style="284" customWidth="1" collapsed="1"/>
    <col min="3" max="3" width="46.85546875" style="38" customWidth="1"/>
    <col min="4" max="4" width="17.42578125" style="38" customWidth="1"/>
    <col min="5" max="9" width="15.7109375" style="38" customWidth="1"/>
    <col min="10" max="10" width="42.28515625" style="285" bestFit="1" customWidth="1"/>
    <col min="11" max="11" width="17" style="285" customWidth="1"/>
    <col min="12" max="12" width="15.7109375" style="38" customWidth="1"/>
    <col min="13" max="13" width="6.42578125" style="38" customWidth="1"/>
    <col min="14" max="16384" width="8.7109375" style="38"/>
  </cols>
  <sheetData>
    <row r="1" spans="1:75" s="51"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2"/>
      <c r="H1" s="2311" t="str">
        <f>HYPERLINK("[.\]outputs_by_channel!A1", "To Intervention data outputs by channel")</f>
        <v>To Intervention data outputs by channel</v>
      </c>
      <c r="I1" s="2312"/>
      <c r="J1" s="1762"/>
      <c r="K1" s="1078"/>
      <c r="L1" s="1078"/>
      <c r="O1" s="52"/>
      <c r="Q1" s="52"/>
      <c r="R1" s="52"/>
      <c r="S1" s="52"/>
      <c r="T1" s="52"/>
      <c r="V1" s="52"/>
      <c r="W1" s="52"/>
      <c r="X1" s="52"/>
      <c r="Y1" s="52"/>
      <c r="AA1" s="52"/>
      <c r="AB1" s="52"/>
      <c r="AC1" s="52"/>
      <c r="AD1" s="52"/>
      <c r="AF1" s="52"/>
      <c r="AG1" s="52"/>
      <c r="AH1" s="52"/>
      <c r="AI1" s="52"/>
      <c r="AK1" s="52"/>
      <c r="AL1" s="52"/>
      <c r="AM1" s="52"/>
      <c r="AN1" s="52"/>
      <c r="AP1" s="52"/>
      <c r="AQ1" s="52"/>
      <c r="AR1" s="52"/>
      <c r="AS1" s="52"/>
      <c r="AU1" s="52"/>
      <c r="AV1" s="52"/>
      <c r="AW1" s="52"/>
      <c r="AX1" s="52"/>
      <c r="AZ1" s="52"/>
      <c r="BA1" s="52"/>
      <c r="BB1" s="52"/>
      <c r="BC1" s="52"/>
      <c r="BE1" s="52"/>
      <c r="BF1" s="52"/>
      <c r="BG1" s="52"/>
      <c r="BH1" s="52"/>
      <c r="BJ1" s="52"/>
      <c r="BK1" s="52"/>
      <c r="BL1" s="52"/>
      <c r="BM1" s="52"/>
      <c r="BO1" s="52"/>
      <c r="BP1" s="52"/>
      <c r="BQ1" s="52"/>
      <c r="BR1" s="52"/>
      <c r="BT1" s="52"/>
      <c r="BU1" s="52"/>
      <c r="BV1" s="52"/>
      <c r="BW1" s="52"/>
    </row>
    <row r="2" spans="1:75" s="42" customFormat="1" ht="15">
      <c r="A2" s="39"/>
      <c r="B2" s="2189"/>
      <c r="C2" s="1474"/>
      <c r="D2" s="1474"/>
      <c r="E2" s="2091"/>
      <c r="F2" s="2091"/>
      <c r="G2" s="2091"/>
      <c r="H2" s="2091"/>
      <c r="I2" s="2091"/>
      <c r="J2" s="2113"/>
      <c r="K2" s="2113"/>
      <c r="L2" s="2114"/>
      <c r="M2" s="97"/>
      <c r="O2" s="39"/>
      <c r="P2" s="39"/>
      <c r="Q2" s="39"/>
    </row>
    <row r="3" spans="1:75" s="42" customFormat="1" ht="15.75" thickBot="1">
      <c r="A3" s="39"/>
      <c r="B3" s="646"/>
      <c r="C3" s="580"/>
      <c r="D3" s="496"/>
      <c r="E3" s="496"/>
      <c r="F3" s="496"/>
      <c r="G3" s="496"/>
      <c r="H3" s="496"/>
      <c r="I3" s="580"/>
      <c r="J3" s="2070"/>
      <c r="K3" s="2074"/>
      <c r="L3" s="2083"/>
      <c r="M3" s="97"/>
      <c r="O3" s="39"/>
      <c r="P3" s="39"/>
      <c r="Q3" s="39"/>
    </row>
    <row r="4" spans="1:75" s="42" customFormat="1" ht="15" customHeight="1">
      <c r="A4" s="39"/>
      <c r="B4" s="194"/>
      <c r="C4" s="2452" t="str">
        <f>Menu!$B28</f>
        <v xml:space="preserve">Summary care record: Use for IP drug reconciliation </v>
      </c>
      <c r="D4" s="2398"/>
      <c r="E4" s="496"/>
      <c r="F4" s="496"/>
      <c r="G4" s="496"/>
      <c r="H4" s="496"/>
      <c r="I4" s="580"/>
      <c r="J4" s="2070"/>
      <c r="K4" s="2074"/>
      <c r="L4" s="2083"/>
      <c r="M4" s="97"/>
      <c r="N4" s="39"/>
      <c r="O4" s="39"/>
      <c r="P4" s="39"/>
      <c r="Q4" s="39"/>
    </row>
    <row r="5" spans="1:75" s="42" customFormat="1" ht="15.75" thickBot="1">
      <c r="A5" s="39"/>
      <c r="B5" s="1210"/>
      <c r="C5" s="2440"/>
      <c r="D5" s="2399"/>
      <c r="E5" s="496"/>
      <c r="F5" s="496"/>
      <c r="G5" s="496"/>
      <c r="H5" s="496"/>
      <c r="I5" s="580"/>
      <c r="J5" s="2070"/>
      <c r="K5" s="2075"/>
      <c r="L5" s="2084"/>
      <c r="M5" s="97"/>
      <c r="N5" s="39"/>
      <c r="O5" s="39"/>
      <c r="P5" s="39"/>
      <c r="Q5" s="39"/>
    </row>
    <row r="6" spans="1:75" s="42" customFormat="1" ht="15.75" thickBot="1">
      <c r="A6" s="39"/>
      <c r="B6" s="649"/>
      <c r="C6" s="580"/>
      <c r="D6" s="580"/>
      <c r="E6" s="594"/>
      <c r="F6" s="580"/>
      <c r="G6" s="580"/>
      <c r="H6" s="580"/>
      <c r="I6" s="580"/>
      <c r="J6" s="2070"/>
      <c r="K6" s="2077"/>
      <c r="L6" s="2085"/>
      <c r="M6" s="97"/>
      <c r="N6" s="39"/>
      <c r="O6" s="39"/>
      <c r="P6" s="39"/>
      <c r="Q6" s="39"/>
    </row>
    <row r="7" spans="1:75" s="42" customFormat="1" ht="15.75" thickBot="1">
      <c r="A7" s="39"/>
      <c r="B7" s="649"/>
      <c r="C7" s="2136" t="s">
        <v>582</v>
      </c>
      <c r="D7" s="2190">
        <v>813405</v>
      </c>
      <c r="E7" s="594"/>
      <c r="F7" s="580"/>
      <c r="G7" s="580"/>
      <c r="H7" s="580"/>
      <c r="I7" s="580"/>
      <c r="J7" s="2070"/>
      <c r="K7" s="2078"/>
      <c r="L7" s="2083"/>
      <c r="M7" s="97"/>
      <c r="N7" s="39"/>
      <c r="O7" s="39"/>
      <c r="P7" s="39"/>
      <c r="Q7" s="39"/>
    </row>
    <row r="8" spans="1:75" s="42" customFormat="1" ht="15">
      <c r="A8" s="39"/>
      <c r="B8" s="1156"/>
      <c r="C8" s="683"/>
      <c r="D8" s="683"/>
      <c r="E8" s="580"/>
      <c r="F8" s="580"/>
      <c r="G8" s="580"/>
      <c r="H8" s="580"/>
      <c r="I8" s="580"/>
      <c r="J8" s="2070"/>
      <c r="K8" s="2075"/>
      <c r="L8" s="2084"/>
      <c r="M8" s="97"/>
      <c r="N8" s="39"/>
      <c r="O8" s="39"/>
      <c r="P8" s="39"/>
      <c r="Q8" s="39"/>
    </row>
    <row r="9" spans="1:75" s="223" customFormat="1" ht="15">
      <c r="B9" s="1213"/>
      <c r="C9" s="1777" t="str">
        <f>HYPERLINK("[.\]E_SCR!A2","To Evidence")</f>
        <v>To Evidence</v>
      </c>
      <c r="D9" s="1214"/>
      <c r="E9" s="600"/>
      <c r="F9" s="600"/>
      <c r="G9" s="600"/>
      <c r="H9" s="600"/>
      <c r="I9" s="600"/>
      <c r="J9" s="357"/>
      <c r="K9" s="357"/>
      <c r="L9" s="1780"/>
      <c r="M9" s="123"/>
    </row>
    <row r="10" spans="1:75" s="223" customFormat="1" ht="15">
      <c r="B10" s="1213"/>
      <c r="C10" s="1214"/>
      <c r="D10" s="1214"/>
      <c r="E10" s="600"/>
      <c r="F10" s="600"/>
      <c r="G10" s="600"/>
      <c r="H10" s="600"/>
      <c r="I10" s="600"/>
      <c r="J10" s="357"/>
      <c r="K10" s="357"/>
      <c r="L10" s="1780"/>
      <c r="M10" s="600"/>
    </row>
    <row r="11" spans="1:75" s="42" customFormat="1" ht="15">
      <c r="A11" s="2007" t="s">
        <v>103</v>
      </c>
      <c r="B11" s="2395" t="s">
        <v>119</v>
      </c>
      <c r="C11" s="2392"/>
      <c r="D11" s="2392"/>
      <c r="E11" s="2392"/>
      <c r="F11" s="2392"/>
      <c r="G11" s="2392"/>
      <c r="H11" s="2392"/>
      <c r="I11" s="2392"/>
      <c r="J11" s="2392"/>
      <c r="K11" s="2392"/>
      <c r="L11" s="2396"/>
      <c r="M11" s="44"/>
      <c r="N11" s="39"/>
      <c r="O11" s="39"/>
      <c r="P11" s="39"/>
      <c r="Q11" s="39"/>
      <c r="R11" s="39"/>
    </row>
    <row r="12" spans="1:75" s="39" customFormat="1" ht="15">
      <c r="B12" s="649"/>
      <c r="C12" s="2127"/>
      <c r="D12" s="2127"/>
      <c r="E12" s="525"/>
      <c r="F12" s="2127"/>
      <c r="G12" s="2127"/>
      <c r="H12" s="2127"/>
      <c r="I12" s="525"/>
      <c r="J12" s="2127"/>
      <c r="K12" s="2127"/>
      <c r="L12" s="591"/>
      <c r="M12" s="44"/>
    </row>
    <row r="13" spans="1:75" s="39" customFormat="1" ht="15">
      <c r="B13" s="649"/>
      <c r="C13" s="2387" t="s">
        <v>558</v>
      </c>
      <c r="D13" s="2261"/>
      <c r="E13" s="573">
        <v>69000</v>
      </c>
      <c r="F13" s="40"/>
      <c r="G13" s="40"/>
      <c r="H13" s="40"/>
      <c r="I13" s="40"/>
      <c r="J13" s="40"/>
      <c r="K13" s="551"/>
      <c r="L13" s="552" t="s">
        <v>141</v>
      </c>
      <c r="M13" s="44"/>
    </row>
    <row r="14" spans="1:75" s="39" customFormat="1" ht="15">
      <c r="B14" s="649"/>
      <c r="C14" s="2387" t="s">
        <v>358</v>
      </c>
      <c r="D14" s="2261"/>
      <c r="E14" s="573">
        <v>5</v>
      </c>
      <c r="F14" s="40"/>
      <c r="G14" s="40"/>
      <c r="H14" s="40"/>
      <c r="I14" s="40"/>
      <c r="J14" s="40"/>
      <c r="K14" s="63"/>
      <c r="L14" s="552" t="s">
        <v>143</v>
      </c>
      <c r="M14" s="44"/>
    </row>
    <row r="15" spans="1:75" s="39" customFormat="1" ht="15">
      <c r="B15" s="649"/>
      <c r="C15" s="2387" t="s">
        <v>357</v>
      </c>
      <c r="D15" s="2261"/>
      <c r="E15" s="253">
        <f>E13*E14</f>
        <v>345000</v>
      </c>
      <c r="F15" s="148"/>
      <c r="G15" s="40"/>
      <c r="H15" s="40"/>
      <c r="I15" s="40"/>
      <c r="J15" s="40"/>
      <c r="K15" s="554" t="s">
        <v>556</v>
      </c>
      <c r="L15" s="552" t="s">
        <v>143</v>
      </c>
      <c r="M15" s="44"/>
    </row>
    <row r="16" spans="1:75" s="39" customFormat="1" ht="42.75">
      <c r="B16" s="649"/>
      <c r="C16" s="2387" t="s">
        <v>356</v>
      </c>
      <c r="D16" s="2261"/>
      <c r="E16" s="568">
        <v>0.01</v>
      </c>
      <c r="F16" s="2447"/>
      <c r="G16" s="2447"/>
      <c r="H16" s="40"/>
      <c r="I16" s="40"/>
      <c r="J16" s="40"/>
      <c r="K16" s="2193"/>
      <c r="L16" s="507" t="s">
        <v>1299</v>
      </c>
      <c r="M16" s="44"/>
    </row>
    <row r="17" spans="2:18" s="39" customFormat="1" ht="15">
      <c r="B17" s="649"/>
      <c r="C17" s="2387" t="s">
        <v>1307</v>
      </c>
      <c r="D17" s="2261"/>
      <c r="E17" s="568">
        <v>0.9</v>
      </c>
      <c r="F17" s="40"/>
      <c r="G17" s="40"/>
      <c r="H17" s="40"/>
      <c r="I17" s="40"/>
      <c r="J17" s="40"/>
      <c r="K17" s="40"/>
      <c r="L17" s="83"/>
      <c r="M17" s="44"/>
    </row>
    <row r="18" spans="2:18" s="39" customFormat="1" ht="15">
      <c r="B18" s="649"/>
      <c r="C18" s="2387" t="s">
        <v>544</v>
      </c>
      <c r="D18" s="2261"/>
      <c r="E18" s="640">
        <f>E13*E17</f>
        <v>62100</v>
      </c>
      <c r="F18" s="259"/>
      <c r="G18" s="40"/>
      <c r="H18" s="40"/>
      <c r="I18" s="40"/>
      <c r="J18" s="40"/>
      <c r="K18" s="40"/>
      <c r="L18" s="83"/>
      <c r="M18" s="44"/>
    </row>
    <row r="19" spans="2:18" s="39" customFormat="1" ht="15">
      <c r="B19" s="649"/>
      <c r="C19" s="2387" t="s">
        <v>543</v>
      </c>
      <c r="D19" s="2261"/>
      <c r="E19" s="640">
        <f>D38</f>
        <v>62100</v>
      </c>
      <c r="F19" s="2191">
        <f>E18/E19</f>
        <v>1</v>
      </c>
      <c r="G19" s="2127"/>
      <c r="H19" s="40"/>
      <c r="I19" s="40"/>
      <c r="J19" s="40"/>
      <c r="K19" s="148"/>
      <c r="L19" s="83"/>
      <c r="M19" s="44"/>
    </row>
    <row r="20" spans="2:18" s="39" customFormat="1" ht="15">
      <c r="B20" s="649"/>
      <c r="C20" s="2127"/>
      <c r="D20" s="2127"/>
      <c r="E20" s="2127"/>
      <c r="F20" s="40"/>
      <c r="G20" s="40"/>
      <c r="H20" s="40"/>
      <c r="I20" s="2127"/>
      <c r="J20" s="2127"/>
      <c r="K20" s="2127"/>
      <c r="L20" s="591"/>
      <c r="M20" s="44"/>
    </row>
    <row r="21" spans="2:18" s="42" customFormat="1" ht="15">
      <c r="B21" s="2395" t="s">
        <v>236</v>
      </c>
      <c r="C21" s="2392"/>
      <c r="D21" s="2392"/>
      <c r="E21" s="2392"/>
      <c r="F21" s="2392"/>
      <c r="G21" s="2392"/>
      <c r="H21" s="2392"/>
      <c r="I21" s="2392"/>
      <c r="J21" s="2392"/>
      <c r="K21" s="2392"/>
      <c r="L21" s="2396"/>
      <c r="M21" s="40"/>
      <c r="N21" s="39"/>
      <c r="O21" s="39"/>
      <c r="P21" s="39"/>
      <c r="Q21" s="39"/>
      <c r="R21" s="39"/>
    </row>
    <row r="22" spans="2:18" s="42" customFormat="1">
      <c r="B22" s="277"/>
      <c r="C22" s="40"/>
      <c r="D22" s="40"/>
      <c r="E22" s="40"/>
      <c r="F22" s="40"/>
      <c r="G22" s="40"/>
      <c r="H22" s="40"/>
      <c r="I22" s="40"/>
      <c r="J22" s="40"/>
      <c r="K22" s="40"/>
      <c r="L22" s="83"/>
    </row>
    <row r="23" spans="2:18" s="42" customFormat="1" ht="15">
      <c r="B23" s="260"/>
      <c r="C23" s="1774" t="str">
        <f>HYPERLINK("[.\]Set_up_SCR!A3","To Set up costs template")</f>
        <v>To Set up costs template</v>
      </c>
      <c r="D23" s="40"/>
      <c r="E23" s="526"/>
      <c r="F23" s="40"/>
      <c r="G23" s="40"/>
      <c r="H23" s="40"/>
      <c r="I23" s="40"/>
      <c r="J23" s="40"/>
      <c r="K23" s="40"/>
      <c r="L23" s="83"/>
    </row>
    <row r="24" spans="2:18" s="42" customFormat="1" ht="15">
      <c r="B24" s="260"/>
      <c r="C24" s="528"/>
      <c r="D24" s="40"/>
      <c r="E24" s="526"/>
      <c r="F24" s="40"/>
      <c r="G24" s="40"/>
      <c r="H24" s="40"/>
      <c r="I24" s="40"/>
      <c r="J24" s="40"/>
      <c r="K24" s="40"/>
      <c r="L24" s="83"/>
    </row>
    <row r="25" spans="2:18" s="42" customFormat="1" ht="15">
      <c r="B25" s="260"/>
      <c r="C25" s="2415" t="s">
        <v>1070</v>
      </c>
      <c r="D25" s="2413"/>
      <c r="E25" s="1208">
        <f>Set_up_SCR!D16</f>
        <v>10700</v>
      </c>
      <c r="F25" s="2112"/>
      <c r="G25" s="181"/>
      <c r="H25" s="181"/>
      <c r="I25" s="40"/>
      <c r="J25" s="40"/>
      <c r="K25" s="40"/>
      <c r="L25" s="83"/>
    </row>
    <row r="26" spans="2:18" s="42" customFormat="1" ht="15">
      <c r="B26" s="260"/>
      <c r="C26" s="526"/>
      <c r="D26" s="526"/>
      <c r="E26" s="40"/>
      <c r="F26" s="40"/>
      <c r="G26" s="40"/>
      <c r="H26" s="40"/>
      <c r="I26" s="40"/>
      <c r="J26" s="40"/>
      <c r="K26" s="40"/>
      <c r="L26" s="83"/>
    </row>
    <row r="27" spans="2:18" s="42" customFormat="1" ht="30">
      <c r="B27" s="260"/>
      <c r="C27" s="684" t="s">
        <v>73</v>
      </c>
      <c r="D27" s="684" t="s">
        <v>132</v>
      </c>
      <c r="E27" s="2121" t="s">
        <v>131</v>
      </c>
      <c r="F27" s="2112"/>
      <c r="G27" s="2111"/>
      <c r="H27" s="2111"/>
      <c r="I27" s="40"/>
      <c r="J27" s="684" t="s">
        <v>73</v>
      </c>
      <c r="K27" s="2121"/>
      <c r="L27" s="106"/>
      <c r="N27" s="39"/>
      <c r="O27" s="39"/>
      <c r="P27" s="39"/>
      <c r="Q27" s="39"/>
    </row>
    <row r="28" spans="2:18" s="42" customFormat="1" ht="15">
      <c r="B28" s="260"/>
      <c r="C28" s="565" t="s">
        <v>128</v>
      </c>
      <c r="D28" s="570">
        <v>30</v>
      </c>
      <c r="E28" s="1208">
        <v>100</v>
      </c>
      <c r="F28" s="2112"/>
      <c r="G28" s="660"/>
      <c r="H28" s="660"/>
      <c r="I28" s="40"/>
      <c r="J28" s="1040" t="str">
        <f>IF(C28&gt;"",C28,"")</f>
        <v>Training</v>
      </c>
      <c r="K28" s="1133">
        <f>E28*D28</f>
        <v>3000</v>
      </c>
      <c r="L28" s="106"/>
      <c r="N28" s="39"/>
      <c r="O28" s="39"/>
      <c r="P28" s="39"/>
      <c r="Q28" s="39"/>
    </row>
    <row r="29" spans="2:18" s="42" customFormat="1" ht="15">
      <c r="B29" s="260"/>
      <c r="C29" s="565" t="s">
        <v>1028</v>
      </c>
      <c r="D29" s="570">
        <v>4</v>
      </c>
      <c r="E29" s="1208">
        <v>1000</v>
      </c>
      <c r="F29" s="2112"/>
      <c r="G29" s="660"/>
      <c r="H29" s="660"/>
      <c r="I29" s="40"/>
      <c r="J29" s="1040" t="str">
        <f>IF(C29&gt;"",C29,"")</f>
        <v>Smart card management</v>
      </c>
      <c r="K29" s="1133">
        <f>E29*D29</f>
        <v>4000</v>
      </c>
      <c r="L29" s="106"/>
      <c r="N29" s="39"/>
      <c r="O29" s="39"/>
      <c r="P29" s="39"/>
      <c r="Q29" s="39"/>
    </row>
    <row r="30" spans="2:18" s="42" customFormat="1" ht="15">
      <c r="B30" s="260"/>
      <c r="C30" s="565" t="s">
        <v>1029</v>
      </c>
      <c r="D30" s="573">
        <v>4</v>
      </c>
      <c r="E30" s="1208">
        <v>700</v>
      </c>
      <c r="F30" s="2112"/>
      <c r="G30" s="660"/>
      <c r="H30" s="660"/>
      <c r="I30" s="40"/>
      <c r="J30" s="1040" t="str">
        <f>IF(C30&gt;"",C30,"")</f>
        <v>Privacy officer role</v>
      </c>
      <c r="K30" s="1133">
        <f>E30*D30</f>
        <v>2800</v>
      </c>
      <c r="L30" s="106"/>
      <c r="N30" s="39"/>
      <c r="O30" s="39"/>
      <c r="P30" s="39"/>
      <c r="Q30" s="39"/>
    </row>
    <row r="31" spans="2:18" s="42" customFormat="1" ht="15">
      <c r="B31" s="260"/>
      <c r="C31" s="565"/>
      <c r="D31" s="573"/>
      <c r="E31" s="1208"/>
      <c r="F31" s="2112"/>
      <c r="G31" s="660"/>
      <c r="H31" s="660"/>
      <c r="I31" s="40"/>
      <c r="J31" s="1040" t="str">
        <f>IF(C31&gt;"",C31,"")</f>
        <v/>
      </c>
      <c r="K31" s="1133">
        <f>E31*D31</f>
        <v>0</v>
      </c>
      <c r="L31" s="106"/>
      <c r="N31" s="39"/>
      <c r="O31" s="39"/>
      <c r="P31" s="39"/>
      <c r="Q31" s="39"/>
    </row>
    <row r="32" spans="2:18" s="42" customFormat="1" ht="15">
      <c r="B32" s="260"/>
      <c r="C32" s="40"/>
      <c r="D32" s="40"/>
      <c r="E32" s="40"/>
      <c r="F32" s="40"/>
      <c r="G32" s="40"/>
      <c r="H32" s="40"/>
      <c r="I32" s="40"/>
      <c r="J32" s="1040" t="s">
        <v>1077</v>
      </c>
      <c r="K32" s="1133">
        <f>SUM(K28:K31)</f>
        <v>9800</v>
      </c>
      <c r="L32" s="106"/>
      <c r="N32" s="39"/>
      <c r="O32" s="39"/>
      <c r="P32" s="39"/>
      <c r="Q32" s="39"/>
    </row>
    <row r="33" spans="2:18" s="42" customFormat="1" ht="15">
      <c r="B33" s="260"/>
      <c r="C33" s="51"/>
      <c r="D33" s="40"/>
      <c r="E33" s="40"/>
      <c r="F33" s="2117"/>
      <c r="G33" s="2117"/>
      <c r="H33" s="2117"/>
      <c r="I33" s="40"/>
      <c r="J33" s="560"/>
      <c r="K33" s="560"/>
      <c r="L33" s="83"/>
      <c r="N33" s="39"/>
      <c r="O33" s="39"/>
      <c r="P33" s="39"/>
      <c r="Q33" s="39"/>
    </row>
    <row r="34" spans="2:18" s="42" customFormat="1" ht="15">
      <c r="B34" s="2395" t="s">
        <v>102</v>
      </c>
      <c r="C34" s="2392"/>
      <c r="D34" s="2392"/>
      <c r="E34" s="2392"/>
      <c r="F34" s="2392"/>
      <c r="G34" s="2392"/>
      <c r="H34" s="2392"/>
      <c r="I34" s="2392"/>
      <c r="J34" s="2392"/>
      <c r="K34" s="2392"/>
      <c r="L34" s="2396"/>
      <c r="M34" s="44"/>
      <c r="N34" s="39"/>
      <c r="O34" s="39"/>
      <c r="P34" s="39"/>
      <c r="Q34" s="39"/>
      <c r="R34" s="39"/>
    </row>
    <row r="35" spans="2:18" s="42" customFormat="1" ht="15">
      <c r="B35" s="260"/>
      <c r="C35" s="2112"/>
      <c r="D35" s="262"/>
      <c r="E35" s="262"/>
      <c r="F35" s="40"/>
      <c r="G35" s="40"/>
      <c r="H35" s="40"/>
      <c r="I35" s="262"/>
      <c r="J35" s="262"/>
      <c r="K35" s="262"/>
      <c r="L35" s="264"/>
      <c r="M35" s="39"/>
    </row>
    <row r="36" spans="2:18" s="42" customFormat="1" ht="15">
      <c r="B36" s="261"/>
      <c r="C36" s="163" t="s">
        <v>354</v>
      </c>
      <c r="D36" s="1337">
        <f>E13</f>
        <v>69000</v>
      </c>
      <c r="E36" s="262"/>
      <c r="F36" s="2112"/>
      <c r="G36" s="263"/>
      <c r="H36" s="263"/>
      <c r="I36" s="262"/>
      <c r="J36" s="262"/>
      <c r="K36" s="262"/>
      <c r="L36" s="264"/>
      <c r="M36" s="39"/>
    </row>
    <row r="37" spans="2:18" s="42" customFormat="1" ht="45">
      <c r="B37" s="261"/>
      <c r="C37" s="163" t="s">
        <v>353</v>
      </c>
      <c r="D37" s="265">
        <f>E17</f>
        <v>0.9</v>
      </c>
      <c r="E37" s="266"/>
      <c r="F37" s="2112"/>
      <c r="G37" s="267"/>
      <c r="H37" s="2112"/>
      <c r="I37" s="2112"/>
      <c r="J37" s="564" t="s">
        <v>1001</v>
      </c>
      <c r="K37" s="2121" t="s">
        <v>121</v>
      </c>
      <c r="L37" s="1134" t="s">
        <v>148</v>
      </c>
      <c r="M37" s="39"/>
    </row>
    <row r="38" spans="2:18" s="42" customFormat="1" ht="30">
      <c r="B38" s="261"/>
      <c r="C38" s="163" t="s">
        <v>1030</v>
      </c>
      <c r="D38" s="771">
        <f>D36*D37</f>
        <v>62100</v>
      </c>
      <c r="E38" s="268"/>
      <c r="F38" s="2112"/>
      <c r="G38" s="263"/>
      <c r="H38" s="2112"/>
      <c r="I38" s="2112"/>
      <c r="J38" s="1040" t="str">
        <f>C46</f>
        <v>Emergency bed days</v>
      </c>
      <c r="K38" s="771">
        <f>F46*D38</f>
        <v>2990.0000000000014</v>
      </c>
      <c r="L38" s="1338">
        <f>INT(K38/E51)*E51</f>
        <v>2190</v>
      </c>
      <c r="M38" s="39"/>
    </row>
    <row r="39" spans="2:18" s="42" customFormat="1" ht="15">
      <c r="B39" s="261"/>
      <c r="C39" s="574"/>
      <c r="D39" s="262"/>
      <c r="E39" s="262"/>
      <c r="F39" s="263"/>
      <c r="G39" s="263"/>
      <c r="H39" s="263"/>
      <c r="I39" s="262"/>
      <c r="J39" s="269"/>
      <c r="K39" s="270"/>
      <c r="L39" s="271"/>
      <c r="M39" s="39"/>
    </row>
    <row r="40" spans="2:18" s="42" customFormat="1" ht="30">
      <c r="B40" s="261"/>
      <c r="C40" s="2121" t="s">
        <v>1031</v>
      </c>
      <c r="D40" s="684" t="s">
        <v>122</v>
      </c>
      <c r="E40" s="684" t="s">
        <v>100</v>
      </c>
      <c r="F40" s="684" t="s">
        <v>199</v>
      </c>
      <c r="G40" s="2117"/>
      <c r="H40" s="2112"/>
      <c r="I40" s="2112"/>
      <c r="J40" s="564" t="s">
        <v>1032</v>
      </c>
      <c r="K40" s="691" t="s">
        <v>661</v>
      </c>
      <c r="L40" s="1173" t="s">
        <v>120</v>
      </c>
      <c r="M40" s="39"/>
    </row>
    <row r="41" spans="2:18" s="42" customFormat="1" ht="45">
      <c r="B41" s="261"/>
      <c r="C41" s="163" t="s">
        <v>352</v>
      </c>
      <c r="D41" s="102">
        <v>0.50000000000000022</v>
      </c>
      <c r="E41" s="102">
        <v>0.50000000000000022</v>
      </c>
      <c r="F41" s="604">
        <f>2.2-1.7</f>
        <v>0.50000000000000022</v>
      </c>
      <c r="G41" s="664"/>
      <c r="H41" s="2112"/>
      <c r="I41" s="2112"/>
      <c r="J41" s="585" t="str">
        <f>J38</f>
        <v>Emergency bed days</v>
      </c>
      <c r="K41" s="1133">
        <f>K38*D51</f>
        <v>1409948.9332435227</v>
      </c>
      <c r="L41" s="1135">
        <f>(K38-L38)*F51+(L38*G51)</f>
        <v>228399.54351034516</v>
      </c>
      <c r="M41" s="39"/>
    </row>
    <row r="42" spans="2:18" s="42" customFormat="1" ht="30">
      <c r="B42" s="261"/>
      <c r="C42" s="163" t="s">
        <v>351</v>
      </c>
      <c r="D42" s="102">
        <v>4.8099999999999997E-2</v>
      </c>
      <c r="E42" s="102">
        <v>4.8099999999999997E-2</v>
      </c>
      <c r="F42" s="1496">
        <f>65/1350</f>
        <v>4.8148148148148148E-2</v>
      </c>
      <c r="G42" s="664"/>
      <c r="H42" s="664"/>
      <c r="I42" s="272"/>
      <c r="J42" s="2112"/>
      <c r="K42" s="2112"/>
      <c r="L42" s="106"/>
      <c r="M42" s="39"/>
    </row>
    <row r="43" spans="2:18" s="42" customFormat="1" ht="45">
      <c r="B43" s="261"/>
      <c r="C43" s="163" t="s">
        <v>350</v>
      </c>
      <c r="D43" s="273">
        <v>2</v>
      </c>
      <c r="E43" s="273">
        <v>4</v>
      </c>
      <c r="F43" s="579">
        <v>2</v>
      </c>
      <c r="G43" s="274"/>
      <c r="H43" s="2112"/>
      <c r="I43" s="2112"/>
      <c r="J43" s="2116"/>
      <c r="K43" s="477"/>
      <c r="L43" s="2148"/>
      <c r="M43" s="39"/>
    </row>
    <row r="44" spans="2:18" s="42" customFormat="1" ht="15">
      <c r="B44" s="649"/>
      <c r="C44" s="526"/>
      <c r="D44" s="526"/>
      <c r="E44" s="526"/>
      <c r="F44" s="526"/>
      <c r="G44" s="526"/>
      <c r="H44" s="526"/>
      <c r="I44" s="272"/>
      <c r="J44" s="2112"/>
      <c r="K44" s="2112"/>
      <c r="L44" s="106"/>
      <c r="M44" s="39"/>
    </row>
    <row r="45" spans="2:18" s="42" customFormat="1" ht="15">
      <c r="B45" s="649"/>
      <c r="C45" s="2411" t="s">
        <v>349</v>
      </c>
      <c r="D45" s="2412"/>
      <c r="E45" s="2413"/>
      <c r="F45" s="684" t="s">
        <v>199</v>
      </c>
      <c r="G45" s="560"/>
      <c r="H45" s="560"/>
      <c r="I45" s="272"/>
      <c r="J45" s="2112"/>
      <c r="K45" s="2112"/>
      <c r="L45" s="106"/>
      <c r="M45" s="39"/>
    </row>
    <row r="46" spans="2:18" s="42" customFormat="1" ht="15">
      <c r="B46" s="649"/>
      <c r="C46" s="2387" t="s">
        <v>69</v>
      </c>
      <c r="D46" s="2416"/>
      <c r="E46" s="2261"/>
      <c r="F46" s="102">
        <f>F41*F42*F43</f>
        <v>4.8148148148148169E-2</v>
      </c>
      <c r="G46" s="276"/>
      <c r="H46" s="276"/>
      <c r="I46" s="272"/>
      <c r="J46" s="2112"/>
      <c r="K46" s="2112"/>
      <c r="L46" s="106"/>
      <c r="M46" s="39"/>
    </row>
    <row r="47" spans="2:18" s="42" customFormat="1" ht="15">
      <c r="B47" s="649"/>
      <c r="C47" s="526"/>
      <c r="D47" s="526"/>
      <c r="E47" s="526"/>
      <c r="F47" s="526"/>
      <c r="G47" s="526"/>
      <c r="H47" s="526"/>
      <c r="I47" s="272"/>
      <c r="J47" s="2112"/>
      <c r="K47" s="2112"/>
      <c r="L47" s="106"/>
      <c r="M47" s="39"/>
    </row>
    <row r="48" spans="2:18" s="42" customFormat="1" ht="15">
      <c r="B48" s="260"/>
      <c r="C48" s="526"/>
      <c r="D48" s="40"/>
      <c r="E48" s="40"/>
      <c r="F48" s="40"/>
      <c r="G48" s="40"/>
      <c r="H48" s="40"/>
      <c r="I48" s="262"/>
      <c r="J48" s="2112"/>
      <c r="K48" s="2112"/>
      <c r="L48" s="106"/>
    </row>
    <row r="49" spans="2:13" s="42" customFormat="1" ht="15">
      <c r="B49" s="260"/>
      <c r="C49" s="562" t="s">
        <v>662</v>
      </c>
      <c r="D49" s="40"/>
      <c r="E49" s="40"/>
      <c r="F49" s="40"/>
      <c r="G49" s="40"/>
      <c r="H49" s="40"/>
      <c r="I49" s="262"/>
      <c r="J49" s="262"/>
      <c r="K49" s="262"/>
      <c r="L49" s="264"/>
      <c r="M49" s="39"/>
    </row>
    <row r="50" spans="2:13" s="42" customFormat="1" ht="75">
      <c r="B50" s="277"/>
      <c r="C50" s="582" t="s">
        <v>1214</v>
      </c>
      <c r="D50" s="2121" t="s">
        <v>660</v>
      </c>
      <c r="E50" s="2121" t="s">
        <v>145</v>
      </c>
      <c r="F50" s="2121" t="s">
        <v>144</v>
      </c>
      <c r="G50" s="2121" t="s">
        <v>561</v>
      </c>
      <c r="H50" s="2112"/>
      <c r="I50" s="2112"/>
      <c r="J50" s="2112"/>
      <c r="K50" s="2112"/>
      <c r="L50" s="106"/>
      <c r="M50" s="39"/>
    </row>
    <row r="51" spans="2:13" s="42" customFormat="1" ht="15">
      <c r="B51" s="277"/>
      <c r="C51" s="578" t="s">
        <v>69</v>
      </c>
      <c r="D51" s="1194">
        <f>VLOOKUP($C51,local_data_input!$B$4:$K$20,2,FALSE)</f>
        <v>471.55482717174652</v>
      </c>
      <c r="E51" s="771">
        <f>VLOOKUP($C51,local_data_input!$B$4:$K$20,7,FALSE)</f>
        <v>2190</v>
      </c>
      <c r="F51" s="1194">
        <f>VLOOKUP($C51,local_data_input!$B$4:$K$20,8,FALSE)</f>
        <v>76.38780719409533</v>
      </c>
      <c r="G51" s="1194">
        <f>VLOOKUP($C51,local_data_input!$B$4:$K$20,9,FALSE)</f>
        <v>76.38780719409533</v>
      </c>
      <c r="H51" s="2112"/>
      <c r="I51" s="2112"/>
      <c r="J51" s="2112"/>
      <c r="K51" s="2112"/>
      <c r="L51" s="106"/>
      <c r="M51" s="39"/>
    </row>
    <row r="52" spans="2:13" s="42" customFormat="1" ht="15">
      <c r="B52" s="649"/>
      <c r="C52" s="2112"/>
      <c r="D52" s="2112"/>
      <c r="E52" s="2112"/>
      <c r="F52" s="2112"/>
      <c r="G52" s="2112"/>
      <c r="H52" s="2112"/>
      <c r="I52" s="2112"/>
      <c r="J52" s="2112"/>
      <c r="K52" s="2112"/>
      <c r="L52" s="278"/>
      <c r="M52" s="39"/>
    </row>
    <row r="53" spans="2:13" s="42" customFormat="1" ht="15">
      <c r="B53" s="649"/>
      <c r="C53" s="2112"/>
      <c r="D53" s="2112"/>
      <c r="E53" s="2112"/>
      <c r="F53" s="2112"/>
      <c r="G53" s="2112"/>
      <c r="H53" s="2112"/>
      <c r="I53" s="2112"/>
      <c r="J53" s="2112"/>
      <c r="K53" s="2112"/>
      <c r="L53" s="278"/>
      <c r="M53" s="39"/>
    </row>
    <row r="54" spans="2:13" s="42" customFormat="1" ht="15">
      <c r="B54" s="649"/>
      <c r="C54" s="279" t="s">
        <v>926</v>
      </c>
      <c r="D54" s="2112"/>
      <c r="E54" s="2112"/>
      <c r="F54" s="2112"/>
      <c r="G54" s="2112"/>
      <c r="H54" s="2112"/>
      <c r="I54" s="2112"/>
      <c r="J54" s="2112"/>
      <c r="K54" s="2112"/>
      <c r="L54" s="278"/>
      <c r="M54" s="39"/>
    </row>
    <row r="55" spans="2:13" s="42" customFormat="1" ht="15">
      <c r="B55" s="649"/>
      <c r="C55" s="279"/>
      <c r="D55" s="2112"/>
      <c r="E55" s="2112"/>
      <c r="F55" s="2112"/>
      <c r="G55" s="2112"/>
      <c r="H55" s="2112"/>
      <c r="I55" s="2112"/>
      <c r="J55" s="279" t="s">
        <v>140</v>
      </c>
      <c r="K55" s="2112"/>
      <c r="L55" s="278"/>
      <c r="M55" s="39"/>
    </row>
    <row r="56" spans="2:13" s="42" customFormat="1" ht="15">
      <c r="B56" s="649"/>
      <c r="C56" s="2394" t="s">
        <v>1033</v>
      </c>
      <c r="D56" s="2416"/>
      <c r="E56" s="2261"/>
      <c r="F56" s="684" t="s">
        <v>199</v>
      </c>
      <c r="G56" s="2112"/>
      <c r="H56" s="2112"/>
      <c r="I56" s="2112"/>
      <c r="J56" s="2112"/>
      <c r="K56" s="2112"/>
      <c r="L56" s="278"/>
      <c r="M56" s="39"/>
    </row>
    <row r="57" spans="2:13" s="42" customFormat="1" ht="51" customHeight="1">
      <c r="B57" s="649"/>
      <c r="C57" s="2417" t="s">
        <v>927</v>
      </c>
      <c r="D57" s="2416"/>
      <c r="E57" s="2261"/>
      <c r="F57" s="280">
        <v>29</v>
      </c>
      <c r="G57" s="2112"/>
      <c r="H57" s="2112"/>
      <c r="I57" s="2112"/>
      <c r="J57" s="163" t="s">
        <v>928</v>
      </c>
      <c r="K57" s="1337">
        <f>D38*F57/60</f>
        <v>30015</v>
      </c>
      <c r="L57" s="106"/>
      <c r="M57" s="39"/>
    </row>
    <row r="58" spans="2:13" s="42" customFormat="1" ht="15">
      <c r="B58" s="649"/>
      <c r="C58" s="2394" t="s">
        <v>929</v>
      </c>
      <c r="D58" s="2416"/>
      <c r="E58" s="2261"/>
      <c r="F58" s="587">
        <v>0.56000000000000005</v>
      </c>
      <c r="G58" s="2112"/>
      <c r="H58" s="2112"/>
      <c r="I58" s="2112"/>
      <c r="J58" s="163" t="s">
        <v>930</v>
      </c>
      <c r="K58" s="281">
        <f>K57/F62/F63</f>
        <v>19.057142857142857</v>
      </c>
      <c r="L58" s="278"/>
      <c r="M58" s="39"/>
    </row>
    <row r="59" spans="2:13" s="42" customFormat="1" ht="15">
      <c r="B59" s="649"/>
      <c r="C59" s="2417" t="s">
        <v>931</v>
      </c>
      <c r="D59" s="2416"/>
      <c r="E59" s="2261"/>
      <c r="F59" s="587">
        <v>0.43999999999999995</v>
      </c>
      <c r="G59" s="2112"/>
      <c r="H59" s="2112"/>
      <c r="I59" s="2112"/>
      <c r="J59" s="163" t="s">
        <v>932</v>
      </c>
      <c r="K59" s="1133">
        <f>(K57*F58*F65)+(K57*F59*F66)</f>
        <v>620612.47497142851</v>
      </c>
      <c r="L59" s="278"/>
      <c r="M59" s="39"/>
    </row>
    <row r="60" spans="2:13" s="42" customFormat="1" ht="15">
      <c r="B60" s="649"/>
      <c r="C60" s="2112"/>
      <c r="D60" s="2112"/>
      <c r="E60" s="2112"/>
      <c r="F60" s="2112"/>
      <c r="G60" s="2112"/>
      <c r="H60" s="2112"/>
      <c r="I60" s="2112"/>
      <c r="J60" s="2112"/>
      <c r="K60" s="2112"/>
      <c r="L60" s="278"/>
      <c r="M60" s="39"/>
    </row>
    <row r="61" spans="2:13" s="42" customFormat="1" ht="15">
      <c r="B61" s="649"/>
      <c r="C61" s="2415" t="s">
        <v>108</v>
      </c>
      <c r="D61" s="2412"/>
      <c r="E61" s="2412"/>
      <c r="F61" s="2413"/>
      <c r="G61" s="2112"/>
      <c r="H61" s="2112"/>
      <c r="I61" s="2112"/>
      <c r="J61" s="2112"/>
      <c r="K61" s="2112"/>
      <c r="L61" s="278"/>
      <c r="M61" s="39"/>
    </row>
    <row r="62" spans="2:13" s="42" customFormat="1" ht="15">
      <c r="B62" s="649"/>
      <c r="C62" s="2451" t="s">
        <v>106</v>
      </c>
      <c r="D62" s="2449"/>
      <c r="E62" s="2450"/>
      <c r="F62" s="167">
        <v>42</v>
      </c>
      <c r="G62" s="2112"/>
      <c r="H62" s="2112"/>
      <c r="I62" s="2112"/>
      <c r="J62" s="2112"/>
      <c r="K62" s="2112"/>
      <c r="L62" s="278"/>
      <c r="M62" s="39"/>
    </row>
    <row r="63" spans="2:13" s="42" customFormat="1" ht="15">
      <c r="B63" s="649"/>
      <c r="C63" s="2448" t="s">
        <v>250</v>
      </c>
      <c r="D63" s="2449"/>
      <c r="E63" s="2450"/>
      <c r="F63" s="167">
        <v>37.5</v>
      </c>
      <c r="G63" s="2112"/>
      <c r="H63" s="2112"/>
      <c r="I63" s="2112"/>
      <c r="J63" s="2112"/>
      <c r="K63" s="2112"/>
      <c r="L63" s="278"/>
      <c r="M63" s="39"/>
    </row>
    <row r="64" spans="2:13" s="42" customFormat="1" ht="15">
      <c r="B64" s="649"/>
      <c r="C64" s="2112"/>
      <c r="D64" s="2112"/>
      <c r="E64" s="2112"/>
      <c r="F64" s="2112"/>
      <c r="G64" s="2112"/>
      <c r="H64" s="2112"/>
      <c r="I64" s="2112"/>
      <c r="J64" s="2112"/>
      <c r="K64" s="2112"/>
      <c r="L64" s="278"/>
      <c r="M64" s="39"/>
    </row>
    <row r="65" spans="2:21" s="42" customFormat="1" ht="15">
      <c r="B65" s="649"/>
      <c r="C65" s="2394" t="s">
        <v>933</v>
      </c>
      <c r="D65" s="2416"/>
      <c r="E65" s="2261"/>
      <c r="F65" s="1440">
        <f>staff_costs!G10</f>
        <v>23.900114285714285</v>
      </c>
      <c r="G65" s="2112"/>
      <c r="H65" s="2112"/>
      <c r="I65" s="2112"/>
      <c r="J65" s="2112"/>
      <c r="K65" s="2112"/>
      <c r="L65" s="278"/>
      <c r="M65" s="39"/>
    </row>
    <row r="66" spans="2:21" s="42" customFormat="1" ht="15">
      <c r="B66" s="649"/>
      <c r="C66" s="2394" t="s">
        <v>934</v>
      </c>
      <c r="D66" s="2416"/>
      <c r="E66" s="2261"/>
      <c r="F66" s="1440">
        <f>staff_costs!G8</f>
        <v>16.574273015873015</v>
      </c>
      <c r="G66" s="2112"/>
      <c r="H66" s="526"/>
      <c r="I66" s="272"/>
      <c r="J66" s="272"/>
      <c r="K66" s="272"/>
      <c r="L66" s="278"/>
      <c r="M66" s="39"/>
    </row>
    <row r="67" spans="2:21" s="42" customFormat="1">
      <c r="B67" s="260"/>
      <c r="C67" s="2112"/>
      <c r="D67" s="2112"/>
      <c r="E67" s="40"/>
      <c r="F67" s="40"/>
      <c r="G67" s="40"/>
      <c r="H67" s="40"/>
      <c r="I67" s="40"/>
      <c r="J67" s="40"/>
      <c r="K67" s="40"/>
      <c r="L67" s="83"/>
      <c r="M67" s="39"/>
    </row>
    <row r="68" spans="2:21" s="42" customFormat="1" ht="15">
      <c r="B68" s="2395" t="s">
        <v>327</v>
      </c>
      <c r="C68" s="2392"/>
      <c r="D68" s="2392"/>
      <c r="E68" s="2392"/>
      <c r="F68" s="2392"/>
      <c r="G68" s="2392"/>
      <c r="H68" s="2392"/>
      <c r="I68" s="2392"/>
      <c r="J68" s="2392"/>
      <c r="K68" s="2392"/>
      <c r="L68" s="2396"/>
      <c r="M68" s="44"/>
      <c r="N68" s="39"/>
      <c r="O68" s="39"/>
      <c r="P68" s="39"/>
      <c r="Q68" s="39"/>
      <c r="R68" s="39"/>
    </row>
    <row r="69" spans="2:21" s="42" customFormat="1">
      <c r="B69" s="2192"/>
      <c r="C69" s="2033"/>
      <c r="D69" s="2033"/>
      <c r="E69" s="2033"/>
      <c r="F69" s="2033"/>
      <c r="G69" s="2033"/>
      <c r="H69" s="2033"/>
      <c r="I69" s="2033"/>
      <c r="J69" s="2033"/>
      <c r="K69" s="2033"/>
      <c r="L69" s="2165"/>
      <c r="M69" s="40"/>
      <c r="N69" s="39"/>
      <c r="O69" s="39"/>
      <c r="P69" s="2"/>
      <c r="Q69" s="2"/>
      <c r="R69" s="2"/>
      <c r="S69" s="3"/>
      <c r="T69" s="3"/>
      <c r="U69" s="3"/>
    </row>
    <row r="70" spans="2:21" s="42" customFormat="1" ht="15">
      <c r="B70" s="649"/>
      <c r="C70" s="526" t="s">
        <v>348</v>
      </c>
      <c r="D70" s="40"/>
      <c r="E70" s="40"/>
      <c r="F70" s="40"/>
      <c r="G70" s="40"/>
      <c r="H70" s="40"/>
      <c r="I70" s="40"/>
      <c r="J70" s="40"/>
      <c r="K70" s="40"/>
      <c r="L70" s="83"/>
      <c r="M70" s="40"/>
      <c r="N70" s="39"/>
      <c r="O70" s="39"/>
      <c r="P70" s="2"/>
      <c r="Q70" s="2"/>
      <c r="R70" s="2"/>
      <c r="S70" s="3"/>
      <c r="T70" s="3"/>
      <c r="U70" s="3"/>
    </row>
    <row r="71" spans="2:21" s="42" customFormat="1" ht="15" thickBot="1">
      <c r="B71" s="282"/>
      <c r="C71" s="2167"/>
      <c r="D71" s="2167"/>
      <c r="E71" s="2167"/>
      <c r="F71" s="2167"/>
      <c r="G71" s="2167"/>
      <c r="H71" s="2167"/>
      <c r="I71" s="2167"/>
      <c r="J71" s="2167"/>
      <c r="K71" s="2167"/>
      <c r="L71" s="110"/>
      <c r="M71" s="40"/>
      <c r="N71" s="39"/>
      <c r="O71" s="39"/>
      <c r="P71" s="2"/>
      <c r="Q71" s="2"/>
      <c r="R71" s="2"/>
      <c r="S71" s="3"/>
      <c r="T71" s="3"/>
      <c r="U71" s="3"/>
    </row>
    <row r="72" spans="2:21" ht="15">
      <c r="B72" s="136"/>
      <c r="C72" s="36"/>
      <c r="D72" s="36"/>
      <c r="E72" s="62"/>
      <c r="F72" s="62"/>
      <c r="G72" s="62"/>
      <c r="H72" s="62"/>
      <c r="I72" s="62"/>
      <c r="J72" s="62"/>
      <c r="K72" s="62"/>
      <c r="L72" s="62"/>
      <c r="M72" s="62"/>
      <c r="N72" s="35"/>
      <c r="O72" s="35"/>
      <c r="P72" s="4"/>
      <c r="Q72" s="4"/>
      <c r="R72" s="4"/>
      <c r="S72" s="5"/>
      <c r="T72" s="5"/>
      <c r="U72" s="5"/>
    </row>
    <row r="73" spans="2:21" ht="15">
      <c r="B73" s="136"/>
      <c r="C73" s="35"/>
      <c r="D73" s="35"/>
      <c r="E73" s="62"/>
      <c r="F73" s="62"/>
      <c r="G73" s="62"/>
      <c r="H73" s="62"/>
      <c r="I73" s="62"/>
      <c r="J73" s="62"/>
      <c r="K73" s="62"/>
      <c r="L73" s="62"/>
      <c r="M73" s="62"/>
      <c r="N73" s="35"/>
      <c r="O73" s="35"/>
      <c r="P73" s="4"/>
      <c r="Q73" s="4"/>
      <c r="R73" s="4"/>
      <c r="S73" s="5"/>
      <c r="T73" s="5"/>
      <c r="U73" s="5"/>
    </row>
    <row r="74" spans="2:21" ht="15">
      <c r="B74" s="136"/>
      <c r="C74" s="56"/>
      <c r="D74" s="56"/>
      <c r="E74" s="62"/>
      <c r="F74" s="62"/>
      <c r="G74" s="62"/>
      <c r="H74" s="62"/>
      <c r="I74" s="62"/>
      <c r="J74" s="62"/>
      <c r="K74" s="62"/>
      <c r="L74" s="62"/>
      <c r="M74" s="62"/>
      <c r="N74" s="35"/>
      <c r="O74" s="35"/>
      <c r="P74" s="4"/>
      <c r="Q74" s="4"/>
      <c r="R74" s="4"/>
      <c r="S74" s="5"/>
      <c r="T74" s="5"/>
      <c r="U74" s="5"/>
    </row>
    <row r="75" spans="2:21" ht="15">
      <c r="B75" s="136"/>
      <c r="C75" s="56"/>
      <c r="D75" s="56"/>
      <c r="E75" s="62"/>
      <c r="F75" s="62"/>
      <c r="G75" s="62"/>
      <c r="H75" s="62"/>
      <c r="I75" s="62"/>
      <c r="J75" s="62"/>
      <c r="K75" s="62"/>
      <c r="L75" s="62"/>
      <c r="M75" s="62"/>
      <c r="N75" s="35"/>
      <c r="O75" s="35"/>
      <c r="P75" s="4"/>
      <c r="Q75" s="4"/>
      <c r="R75" s="4"/>
      <c r="S75" s="5"/>
      <c r="T75" s="5"/>
      <c r="U75" s="5"/>
    </row>
    <row r="76" spans="2:21">
      <c r="B76" s="283"/>
      <c r="C76" s="36"/>
      <c r="D76" s="36"/>
      <c r="E76" s="111"/>
      <c r="F76" s="111"/>
      <c r="G76" s="111"/>
      <c r="H76" s="111"/>
      <c r="I76" s="111"/>
      <c r="J76" s="111"/>
      <c r="K76" s="111"/>
      <c r="L76" s="111"/>
      <c r="M76" s="111"/>
      <c r="N76" s="35"/>
      <c r="O76" s="35"/>
      <c r="P76" s="4"/>
      <c r="Q76" s="4"/>
      <c r="R76" s="4"/>
      <c r="S76" s="5"/>
      <c r="T76" s="5"/>
      <c r="U76" s="5"/>
    </row>
    <row r="79" spans="2:21">
      <c r="J79" s="38"/>
      <c r="K79" s="38"/>
    </row>
  </sheetData>
  <sheetProtection selectLockedCells="1"/>
  <mergeCells count="27">
    <mergeCell ref="C45:E45"/>
    <mergeCell ref="C4:D5"/>
    <mergeCell ref="C13:D13"/>
    <mergeCell ref="C14:D14"/>
    <mergeCell ref="C15:D15"/>
    <mergeCell ref="C16:D16"/>
    <mergeCell ref="C66:E66"/>
    <mergeCell ref="C57:E57"/>
    <mergeCell ref="C58:E58"/>
    <mergeCell ref="C59:E59"/>
    <mergeCell ref="C46:E46"/>
    <mergeCell ref="E1:F1"/>
    <mergeCell ref="H1:I1"/>
    <mergeCell ref="B68:L68"/>
    <mergeCell ref="F16:G16"/>
    <mergeCell ref="B11:L11"/>
    <mergeCell ref="B21:L21"/>
    <mergeCell ref="B34:L34"/>
    <mergeCell ref="C17:D17"/>
    <mergeCell ref="C18:D18"/>
    <mergeCell ref="C19:D19"/>
    <mergeCell ref="C63:E63"/>
    <mergeCell ref="C61:F61"/>
    <mergeCell ref="C25:D25"/>
    <mergeCell ref="C56:E56"/>
    <mergeCell ref="C62:E62"/>
    <mergeCell ref="C65:E65"/>
  </mergeCells>
  <pageMargins left="0.7" right="0.7" top="0.75" bottom="0.75" header="0.3" footer="0.3"/>
  <pageSetup paperSize="9" scale="35" orientation="portrait"/>
  <drawing r:id="rId1"/>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4" tint="-0.249977111117893"/>
  </sheetPr>
  <dimension ref="A1:BW79"/>
  <sheetViews>
    <sheetView showGridLines="0" zoomScale="75" zoomScaleNormal="75" zoomScaleSheetLayoutView="115" zoomScalePageLayoutView="75" workbookViewId="0">
      <pane ySplit="1" topLeftCell="A2" activePane="bottomLeft" state="frozen"/>
      <selection activeCell="C3" sqref="C3"/>
      <selection pane="bottomLeft" activeCell="H41" sqref="H41"/>
    </sheetView>
  </sheetViews>
  <sheetFormatPr defaultColWidth="8.7109375" defaultRowHeight="14.25" outlineLevelCol="1"/>
  <cols>
    <col min="1" max="1" width="56.140625" style="38" hidden="1" customWidth="1" outlineLevel="1"/>
    <col min="2" max="2" width="15.7109375" style="38" customWidth="1" collapsed="1"/>
    <col min="3" max="3" width="46.85546875" style="38" customWidth="1"/>
    <col min="4" max="4" width="17.42578125" style="38" customWidth="1"/>
    <col min="5" max="9" width="15.7109375" style="38" customWidth="1"/>
    <col min="10" max="10" width="45.7109375" style="285" customWidth="1"/>
    <col min="11" max="11" width="16.85546875" style="38" customWidth="1"/>
    <col min="12" max="12" width="15.7109375" style="38" customWidth="1"/>
    <col min="13" max="13" width="6.42578125" style="38" customWidth="1"/>
    <col min="14" max="16384" width="8.7109375" style="38"/>
  </cols>
  <sheetData>
    <row r="1" spans="1:75" s="51"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2"/>
      <c r="H1" s="2311" t="str">
        <f>HYPERLINK("[.\]outputs_by_channel!A1", "To Intervention data outputs by channel")</f>
        <v>To Intervention data outputs by channel</v>
      </c>
      <c r="I1" s="2272"/>
      <c r="J1" s="1762"/>
      <c r="K1" s="1762"/>
      <c r="L1" s="1762"/>
      <c r="O1" s="52"/>
      <c r="Q1" s="52"/>
      <c r="R1" s="52"/>
      <c r="S1" s="52"/>
      <c r="T1" s="52"/>
      <c r="V1" s="52"/>
      <c r="W1" s="52"/>
      <c r="X1" s="52"/>
      <c r="Y1" s="52"/>
      <c r="AA1" s="52"/>
      <c r="AB1" s="52"/>
      <c r="AC1" s="52"/>
      <c r="AD1" s="52"/>
      <c r="AF1" s="52"/>
      <c r="AG1" s="52"/>
      <c r="AH1" s="52"/>
      <c r="AI1" s="52"/>
      <c r="AK1" s="52"/>
      <c r="AL1" s="52"/>
      <c r="AM1" s="52"/>
      <c r="AN1" s="52"/>
      <c r="AP1" s="52"/>
      <c r="AQ1" s="52"/>
      <c r="AR1" s="52"/>
      <c r="AS1" s="52"/>
      <c r="AU1" s="52"/>
      <c r="AV1" s="52"/>
      <c r="AW1" s="52"/>
      <c r="AX1" s="52"/>
      <c r="AZ1" s="52"/>
      <c r="BA1" s="52"/>
      <c r="BB1" s="52"/>
      <c r="BC1" s="52"/>
      <c r="BE1" s="52"/>
      <c r="BF1" s="52"/>
      <c r="BG1" s="52"/>
      <c r="BH1" s="52"/>
      <c r="BJ1" s="52"/>
      <c r="BK1" s="52"/>
      <c r="BL1" s="52"/>
      <c r="BM1" s="52"/>
      <c r="BO1" s="52"/>
      <c r="BP1" s="52"/>
      <c r="BQ1" s="52"/>
      <c r="BR1" s="52"/>
      <c r="BT1" s="52"/>
      <c r="BU1" s="52"/>
      <c r="BV1" s="52"/>
      <c r="BW1" s="52"/>
    </row>
    <row r="2" spans="1:75" s="42" customFormat="1" ht="15">
      <c r="A2" s="84"/>
      <c r="B2" s="1473"/>
      <c r="C2" s="1505"/>
      <c r="D2" s="1505"/>
      <c r="E2" s="1505"/>
      <c r="F2" s="1506"/>
      <c r="G2" s="1506"/>
      <c r="H2" s="1505"/>
      <c r="I2" s="1505"/>
      <c r="J2" s="2072"/>
      <c r="K2" s="2072"/>
      <c r="L2" s="2071"/>
      <c r="M2" s="97"/>
      <c r="N2" s="39"/>
      <c r="O2" s="39"/>
      <c r="P2" s="39"/>
      <c r="Q2" s="39"/>
    </row>
    <row r="3" spans="1:75" s="42" customFormat="1" ht="15.75" thickBot="1">
      <c r="A3" s="84"/>
      <c r="B3" s="84"/>
      <c r="C3" s="40"/>
      <c r="D3" s="40"/>
      <c r="E3" s="40"/>
      <c r="F3" s="126"/>
      <c r="G3" s="126"/>
      <c r="H3" s="40"/>
      <c r="I3" s="40"/>
      <c r="J3" s="2070"/>
      <c r="K3" s="2074"/>
      <c r="L3" s="2083"/>
      <c r="M3" s="97"/>
      <c r="N3" s="39"/>
      <c r="O3" s="39"/>
      <c r="P3" s="39"/>
      <c r="Q3" s="39"/>
    </row>
    <row r="4" spans="1:75" s="42" customFormat="1" ht="15" customHeight="1">
      <c r="A4" s="84"/>
      <c r="B4" s="84"/>
      <c r="C4" s="2438" t="str">
        <f>Menu!$B29</f>
        <v>Summary care record: Use in  ED</v>
      </c>
      <c r="D4" s="2439"/>
      <c r="E4" s="1211"/>
      <c r="F4" s="126"/>
      <c r="G4" s="950"/>
      <c r="H4" s="39"/>
      <c r="I4" s="40"/>
      <c r="J4" s="2070"/>
      <c r="K4" s="2074"/>
      <c r="L4" s="2083"/>
      <c r="M4" s="97"/>
      <c r="N4" s="39"/>
      <c r="O4" s="39"/>
      <c r="P4" s="39"/>
      <c r="Q4" s="39"/>
    </row>
    <row r="5" spans="1:75" s="42" customFormat="1" ht="15.75" thickBot="1">
      <c r="A5" s="84"/>
      <c r="B5" s="84"/>
      <c r="C5" s="2440"/>
      <c r="D5" s="2399"/>
      <c r="E5" s="1211"/>
      <c r="F5" s="951"/>
      <c r="G5" s="126"/>
      <c r="H5" s="39"/>
      <c r="I5" s="40"/>
      <c r="J5" s="2070"/>
      <c r="K5" s="2075"/>
      <c r="L5" s="2084"/>
      <c r="M5" s="97"/>
      <c r="N5" s="39"/>
      <c r="O5" s="39"/>
      <c r="P5" s="39"/>
      <c r="Q5" s="39"/>
    </row>
    <row r="6" spans="1:75" s="42" customFormat="1" ht="15.75" thickBot="1">
      <c r="A6" s="84"/>
      <c r="B6" s="84"/>
      <c r="C6" s="40"/>
      <c r="D6" s="1212"/>
      <c r="E6" s="40"/>
      <c r="F6" s="126"/>
      <c r="G6" s="126"/>
      <c r="H6" s="40"/>
      <c r="I6" s="40"/>
      <c r="J6" s="2070"/>
      <c r="K6" s="2077"/>
      <c r="L6" s="2085"/>
      <c r="M6" s="97"/>
      <c r="N6" s="39"/>
      <c r="O6" s="39"/>
      <c r="P6" s="39"/>
      <c r="Q6" s="39"/>
    </row>
    <row r="7" spans="1:75" s="42" customFormat="1" ht="15.75" thickBot="1">
      <c r="A7" s="84"/>
      <c r="B7" s="84"/>
      <c r="C7" s="474" t="s">
        <v>582</v>
      </c>
      <c r="D7" s="806">
        <v>813405</v>
      </c>
      <c r="E7" s="40"/>
      <c r="F7" s="40"/>
      <c r="G7" s="40"/>
      <c r="H7" s="40"/>
      <c r="I7" s="40"/>
      <c r="J7" s="2070"/>
      <c r="K7" s="2078"/>
      <c r="L7" s="2083"/>
      <c r="M7" s="97"/>
      <c r="N7" s="39"/>
      <c r="O7" s="39"/>
      <c r="P7" s="39"/>
      <c r="Q7" s="39"/>
    </row>
    <row r="8" spans="1:75" s="42" customFormat="1" ht="15">
      <c r="A8" s="84"/>
      <c r="B8" s="84"/>
      <c r="C8" s="40"/>
      <c r="D8" s="40"/>
      <c r="E8" s="40"/>
      <c r="F8" s="40"/>
      <c r="G8" s="40"/>
      <c r="H8" s="40"/>
      <c r="I8" s="40"/>
      <c r="J8" s="2070"/>
      <c r="K8" s="2075"/>
      <c r="L8" s="2084"/>
      <c r="M8" s="97"/>
      <c r="N8" s="39"/>
      <c r="O8" s="39"/>
      <c r="P8" s="39"/>
      <c r="Q8" s="39"/>
    </row>
    <row r="9" spans="1:75" s="42" customFormat="1">
      <c r="A9" s="2049"/>
      <c r="B9" s="84"/>
      <c r="C9" s="1777" t="str">
        <f>HYPERLINK("[.\]E_SCR!A2","To Evidence")</f>
        <v>To Evidence</v>
      </c>
      <c r="D9" s="40"/>
      <c r="E9" s="40"/>
      <c r="F9" s="40"/>
      <c r="G9" s="40"/>
      <c r="H9" s="40"/>
      <c r="I9" s="40"/>
      <c r="J9" s="40"/>
      <c r="K9" s="40"/>
      <c r="L9" s="83"/>
    </row>
    <row r="10" spans="1:75" s="42" customFormat="1">
      <c r="A10" s="1715"/>
      <c r="B10" s="84"/>
      <c r="C10" s="40"/>
      <c r="D10" s="40"/>
      <c r="E10" s="40"/>
      <c r="F10" s="40"/>
      <c r="G10" s="40"/>
      <c r="H10" s="40"/>
      <c r="I10" s="40"/>
      <c r="J10" s="40"/>
      <c r="K10" s="40"/>
      <c r="L10" s="83"/>
    </row>
    <row r="11" spans="1:75" s="42" customFormat="1" ht="15">
      <c r="A11" s="2007" t="s">
        <v>103</v>
      </c>
      <c r="B11" s="2343" t="s">
        <v>119</v>
      </c>
      <c r="C11" s="2344"/>
      <c r="D11" s="2344"/>
      <c r="E11" s="2344"/>
      <c r="F11" s="2344"/>
      <c r="G11" s="2344"/>
      <c r="H11" s="2344"/>
      <c r="I11" s="2344"/>
      <c r="J11" s="2344"/>
      <c r="K11" s="2344"/>
      <c r="L11" s="2345"/>
      <c r="M11" s="44"/>
      <c r="N11" s="39"/>
      <c r="O11" s="39"/>
      <c r="P11" s="39"/>
      <c r="Q11" s="39"/>
      <c r="R11" s="39"/>
    </row>
    <row r="12" spans="1:75" s="39" customFormat="1" ht="15">
      <c r="A12" s="84"/>
      <c r="B12" s="1151"/>
      <c r="C12" s="1145"/>
      <c r="D12" s="1145"/>
      <c r="E12" s="1145"/>
      <c r="F12" s="525"/>
      <c r="G12" s="1145"/>
      <c r="H12" s="40"/>
      <c r="I12" s="40"/>
      <c r="J12" s="1145"/>
      <c r="K12" s="1145"/>
      <c r="L12" s="591"/>
      <c r="M12" s="44"/>
    </row>
    <row r="13" spans="1:75" s="39" customFormat="1" ht="15">
      <c r="A13" s="84"/>
      <c r="B13" s="1151"/>
      <c r="C13" s="2323" t="s">
        <v>1257</v>
      </c>
      <c r="D13" s="2377"/>
      <c r="E13" s="286">
        <v>200000</v>
      </c>
      <c r="F13" s="45"/>
      <c r="G13" s="41"/>
      <c r="K13" s="77"/>
      <c r="L13" s="78" t="s">
        <v>141</v>
      </c>
      <c r="M13" s="44"/>
    </row>
    <row r="14" spans="1:75" s="39" customFormat="1" ht="15">
      <c r="A14" s="84"/>
      <c r="B14" s="1151"/>
      <c r="C14" s="2323" t="s">
        <v>1258</v>
      </c>
      <c r="D14" s="2377"/>
      <c r="E14" s="287">
        <v>0.05</v>
      </c>
      <c r="F14" s="45"/>
      <c r="G14" s="41"/>
      <c r="K14" s="63"/>
      <c r="L14" s="78" t="s">
        <v>143</v>
      </c>
      <c r="M14" s="44"/>
    </row>
    <row r="15" spans="1:75" s="39" customFormat="1" ht="15">
      <c r="A15" s="84"/>
      <c r="B15" s="1151"/>
      <c r="C15" s="2323" t="s">
        <v>544</v>
      </c>
      <c r="D15" s="2377"/>
      <c r="E15" s="178">
        <f>E13*E14</f>
        <v>10000</v>
      </c>
      <c r="F15" s="40"/>
      <c r="G15" s="41"/>
      <c r="K15" s="80" t="s">
        <v>556</v>
      </c>
      <c r="L15" s="78" t="s">
        <v>143</v>
      </c>
      <c r="M15" s="44"/>
    </row>
    <row r="16" spans="1:75" s="39" customFormat="1" ht="42.75">
      <c r="A16" s="84"/>
      <c r="B16" s="1151"/>
      <c r="C16" s="2323" t="s">
        <v>543</v>
      </c>
      <c r="D16" s="2377"/>
      <c r="E16" s="178">
        <f>F34</f>
        <v>10000</v>
      </c>
      <c r="F16" s="179">
        <f>E15/E16</f>
        <v>1</v>
      </c>
      <c r="G16" s="41"/>
      <c r="K16" s="2193"/>
      <c r="L16" s="507" t="s">
        <v>1299</v>
      </c>
      <c r="M16" s="44"/>
    </row>
    <row r="17" spans="1:18" s="39" customFormat="1" ht="15">
      <c r="A17" s="84"/>
      <c r="B17" s="1151"/>
      <c r="C17" s="1145"/>
      <c r="D17" s="1145"/>
      <c r="E17" s="1145"/>
      <c r="F17" s="1145"/>
      <c r="G17" s="40"/>
      <c r="H17" s="41"/>
      <c r="I17" s="41"/>
      <c r="J17" s="45"/>
      <c r="K17" s="45"/>
      <c r="L17" s="107"/>
      <c r="M17" s="44"/>
    </row>
    <row r="18" spans="1:18" s="42" customFormat="1" ht="15">
      <c r="B18" s="2343" t="s">
        <v>355</v>
      </c>
      <c r="C18" s="2344"/>
      <c r="D18" s="2344"/>
      <c r="E18" s="2344"/>
      <c r="F18" s="2344"/>
      <c r="G18" s="2344"/>
      <c r="H18" s="2344"/>
      <c r="I18" s="2344"/>
      <c r="J18" s="2344"/>
      <c r="K18" s="2344"/>
      <c r="L18" s="2345"/>
      <c r="M18" s="40"/>
      <c r="N18" s="39"/>
      <c r="O18" s="39"/>
      <c r="P18" s="39"/>
      <c r="Q18" s="39"/>
      <c r="R18" s="39"/>
    </row>
    <row r="19" spans="1:18" s="42" customFormat="1">
      <c r="B19" s="194"/>
      <c r="C19" s="73"/>
      <c r="D19" s="40"/>
      <c r="E19" s="40"/>
      <c r="F19" s="40"/>
      <c r="G19" s="40"/>
      <c r="H19" s="40"/>
      <c r="I19" s="40"/>
      <c r="J19" s="40"/>
      <c r="K19" s="40"/>
      <c r="L19" s="83"/>
    </row>
    <row r="20" spans="1:18" s="42" customFormat="1" ht="15">
      <c r="B20" s="194"/>
      <c r="C20" s="1774" t="str">
        <f>HYPERLINK("[.\]Set_up_SCR!A3","To Set up costs template")</f>
        <v>To Set up costs template</v>
      </c>
      <c r="D20" s="46"/>
      <c r="E20" s="40"/>
      <c r="F20" s="44"/>
      <c r="G20" s="40"/>
      <c r="H20" s="85"/>
      <c r="I20" s="85"/>
      <c r="J20" s="40"/>
      <c r="K20" s="40"/>
      <c r="L20" s="83"/>
    </row>
    <row r="21" spans="1:18" s="42" customFormat="1" ht="15">
      <c r="B21" s="194"/>
      <c r="C21" s="40"/>
      <c r="D21" s="528"/>
      <c r="E21" s="40"/>
      <c r="F21" s="526"/>
      <c r="G21" s="40"/>
      <c r="H21" s="560"/>
      <c r="I21" s="560"/>
      <c r="J21" s="40"/>
      <c r="K21" s="40"/>
      <c r="L21" s="83"/>
    </row>
    <row r="22" spans="1:18" s="42" customFormat="1" ht="15">
      <c r="B22" s="194"/>
      <c r="C22" s="639" t="s">
        <v>1070</v>
      </c>
      <c r="D22" s="1208">
        <f>Set_up_SCR!D16</f>
        <v>10700</v>
      </c>
      <c r="E22" s="126"/>
      <c r="F22" s="126"/>
      <c r="H22" s="40"/>
      <c r="I22" s="40"/>
      <c r="J22" s="40"/>
      <c r="K22" s="40"/>
      <c r="L22" s="83"/>
    </row>
    <row r="23" spans="1:18" s="42" customFormat="1" ht="15">
      <c r="B23" s="194"/>
      <c r="C23" s="40"/>
      <c r="D23" s="44"/>
      <c r="E23" s="44"/>
      <c r="F23" s="40"/>
      <c r="G23" s="40"/>
      <c r="H23" s="40"/>
      <c r="I23" s="40"/>
      <c r="J23" s="40"/>
      <c r="K23" s="40"/>
      <c r="L23" s="83"/>
    </row>
    <row r="24" spans="1:18" s="42" customFormat="1" ht="30">
      <c r="B24" s="194"/>
      <c r="C24" s="684" t="s">
        <v>73</v>
      </c>
      <c r="D24" s="684" t="s">
        <v>132</v>
      </c>
      <c r="E24" s="1298" t="s">
        <v>131</v>
      </c>
      <c r="G24" s="47"/>
      <c r="H24" s="73"/>
      <c r="I24" s="73"/>
      <c r="J24" s="684" t="s">
        <v>73</v>
      </c>
      <c r="K24" s="1298" t="s">
        <v>110</v>
      </c>
      <c r="L24" s="106"/>
      <c r="N24" s="39"/>
      <c r="O24" s="39"/>
      <c r="P24" s="39"/>
      <c r="Q24" s="39"/>
    </row>
    <row r="25" spans="1:18" s="42" customFormat="1" ht="15">
      <c r="B25" s="194"/>
      <c r="C25" s="88" t="s">
        <v>128</v>
      </c>
      <c r="D25" s="570">
        <v>80</v>
      </c>
      <c r="E25" s="1208">
        <v>100</v>
      </c>
      <c r="H25" s="73"/>
      <c r="I25" s="73"/>
      <c r="J25" s="105" t="str">
        <f>IF(C25&gt;"",C25,"")</f>
        <v>Training</v>
      </c>
      <c r="K25" s="1133">
        <f>E25*D25</f>
        <v>8000</v>
      </c>
      <c r="L25" s="106"/>
      <c r="N25" s="39"/>
      <c r="O25" s="39"/>
      <c r="P25" s="39"/>
      <c r="Q25" s="39"/>
    </row>
    <row r="26" spans="1:18" s="42" customFormat="1" ht="15">
      <c r="B26" s="194"/>
      <c r="C26" s="565" t="s">
        <v>1144</v>
      </c>
      <c r="D26" s="570"/>
      <c r="E26" s="1208"/>
      <c r="F26" s="40"/>
      <c r="G26" s="40"/>
      <c r="H26" s="40"/>
      <c r="I26" s="40"/>
      <c r="J26" s="1492" t="str">
        <f>IF(C26&gt;"",C26,"")</f>
        <v>Other non staff cost</v>
      </c>
      <c r="K26" s="1133">
        <f>E26*D26</f>
        <v>0</v>
      </c>
      <c r="L26" s="106"/>
      <c r="N26" s="39"/>
      <c r="O26" s="39"/>
      <c r="P26" s="39"/>
      <c r="Q26" s="39"/>
    </row>
    <row r="27" spans="1:18" s="42" customFormat="1" ht="15">
      <c r="B27" s="194"/>
      <c r="C27" s="40"/>
      <c r="D27" s="51"/>
      <c r="E27" s="40"/>
      <c r="F27" s="40"/>
      <c r="G27" s="43"/>
      <c r="H27" s="40"/>
      <c r="I27" s="40"/>
      <c r="J27" s="99" t="s">
        <v>98</v>
      </c>
      <c r="K27" s="1133">
        <f>SUM(K25:K26)</f>
        <v>8000</v>
      </c>
      <c r="L27" s="288"/>
      <c r="N27" s="39"/>
      <c r="O27" s="39"/>
      <c r="P27" s="39"/>
      <c r="Q27" s="39"/>
    </row>
    <row r="28" spans="1:18" s="42" customFormat="1">
      <c r="B28" s="194"/>
      <c r="C28" s="73"/>
      <c r="D28" s="40"/>
      <c r="E28" s="40"/>
      <c r="F28" s="40"/>
      <c r="G28" s="40"/>
      <c r="H28" s="40"/>
      <c r="I28" s="40"/>
      <c r="J28" s="40"/>
      <c r="K28" s="40"/>
      <c r="L28" s="83"/>
      <c r="M28" s="39"/>
    </row>
    <row r="29" spans="1:18" s="42" customFormat="1" ht="15">
      <c r="B29" s="2343" t="s">
        <v>102</v>
      </c>
      <c r="C29" s="2344"/>
      <c r="D29" s="2344"/>
      <c r="E29" s="2344"/>
      <c r="F29" s="2344"/>
      <c r="G29" s="2344"/>
      <c r="H29" s="2344"/>
      <c r="I29" s="2344"/>
      <c r="J29" s="2344"/>
      <c r="K29" s="2344"/>
      <c r="L29" s="2345"/>
      <c r="M29" s="44"/>
      <c r="N29" s="39"/>
      <c r="O29" s="39"/>
      <c r="P29" s="39"/>
      <c r="Q29" s="39"/>
      <c r="R29" s="39"/>
    </row>
    <row r="30" spans="1:18" s="42" customFormat="1" ht="15">
      <c r="B30" s="813"/>
      <c r="C30" s="685"/>
      <c r="D30" s="685"/>
      <c r="E30" s="685"/>
      <c r="F30" s="685"/>
      <c r="G30" s="685"/>
      <c r="H30" s="685"/>
      <c r="I30" s="685"/>
      <c r="J30" s="685"/>
      <c r="K30" s="685"/>
      <c r="L30" s="686"/>
      <c r="M30" s="44"/>
      <c r="N30" s="39"/>
      <c r="O30" s="39"/>
      <c r="P30" s="39"/>
      <c r="Q30" s="39"/>
      <c r="R30" s="39"/>
    </row>
    <row r="31" spans="1:18" s="42" customFormat="1" ht="15">
      <c r="B31" s="84"/>
      <c r="C31" s="73"/>
      <c r="D31" s="684" t="s">
        <v>122</v>
      </c>
      <c r="E31" s="684" t="s">
        <v>100</v>
      </c>
      <c r="F31" s="684" t="s">
        <v>199</v>
      </c>
      <c r="H31" s="43"/>
      <c r="I31" s="43"/>
      <c r="J31" s="262"/>
      <c r="K31" s="262"/>
      <c r="L31" s="289"/>
      <c r="M31" s="39"/>
    </row>
    <row r="32" spans="1:18" s="42" customFormat="1" ht="15">
      <c r="B32" s="84"/>
      <c r="C32" s="163" t="s">
        <v>1259</v>
      </c>
      <c r="D32" s="1497"/>
      <c r="E32" s="1498"/>
      <c r="F32" s="595">
        <f>E13</f>
        <v>200000</v>
      </c>
      <c r="H32" s="43"/>
      <c r="I32" s="43"/>
      <c r="J32" s="262"/>
      <c r="K32" s="262"/>
      <c r="L32" s="289"/>
      <c r="M32" s="39"/>
    </row>
    <row r="33" spans="2:13" s="42" customFormat="1" ht="15">
      <c r="B33" s="84"/>
      <c r="C33" s="163" t="s">
        <v>1260</v>
      </c>
      <c r="D33" s="1499">
        <v>0</v>
      </c>
      <c r="E33" s="1109">
        <v>0.1</v>
      </c>
      <c r="F33" s="604">
        <f>E14</f>
        <v>0.05</v>
      </c>
      <c r="H33" s="262"/>
      <c r="I33" s="262"/>
      <c r="J33" s="262"/>
      <c r="K33" s="262"/>
      <c r="L33" s="289"/>
      <c r="M33" s="39"/>
    </row>
    <row r="34" spans="2:13" s="42" customFormat="1" ht="18" customHeight="1">
      <c r="B34" s="84"/>
      <c r="C34" s="163" t="s">
        <v>1261</v>
      </c>
      <c r="D34" s="1500"/>
      <c r="E34" s="1501"/>
      <c r="F34" s="595">
        <f>F33*F32</f>
        <v>10000</v>
      </c>
      <c r="H34" s="262"/>
      <c r="I34" s="262"/>
      <c r="J34" s="262"/>
      <c r="K34" s="262"/>
      <c r="L34" s="291" t="s">
        <v>367</v>
      </c>
      <c r="M34" s="39"/>
    </row>
    <row r="35" spans="2:13" s="42" customFormat="1" ht="15">
      <c r="B35" s="84"/>
      <c r="C35" s="124"/>
      <c r="D35" s="292"/>
      <c r="E35" s="952"/>
      <c r="F35" s="952"/>
      <c r="G35" s="953"/>
      <c r="H35" s="262"/>
      <c r="I35" s="262"/>
      <c r="J35" s="262"/>
      <c r="K35" s="262"/>
      <c r="L35" s="289"/>
      <c r="M35" s="39"/>
    </row>
    <row r="36" spans="2:13" s="42" customFormat="1" ht="15">
      <c r="B36" s="84"/>
      <c r="C36" s="124"/>
      <c r="D36" s="684" t="s">
        <v>122</v>
      </c>
      <c r="E36" s="684" t="s">
        <v>100</v>
      </c>
      <c r="F36" s="684" t="s">
        <v>199</v>
      </c>
      <c r="G36" s="953"/>
      <c r="H36" s="262"/>
      <c r="I36" s="262"/>
      <c r="J36" s="262"/>
      <c r="K36" s="262"/>
      <c r="L36" s="289"/>
      <c r="M36" s="39"/>
    </row>
    <row r="37" spans="2:13" s="42" customFormat="1" ht="30">
      <c r="B37" s="84"/>
      <c r="C37" s="163" t="s">
        <v>540</v>
      </c>
      <c r="D37" s="1499">
        <v>0.5</v>
      </c>
      <c r="E37" s="1109">
        <v>0.85</v>
      </c>
      <c r="F37" s="587">
        <v>0.41</v>
      </c>
      <c r="H37" s="262"/>
      <c r="I37" s="262"/>
      <c r="J37" s="262"/>
      <c r="K37" s="262"/>
      <c r="L37" s="293"/>
      <c r="M37" s="39"/>
    </row>
    <row r="38" spans="2:13" s="42" customFormat="1" ht="30">
      <c r="B38" s="84"/>
      <c r="C38" s="163" t="s">
        <v>351</v>
      </c>
      <c r="D38" s="1502">
        <v>4.8099999999999997E-2</v>
      </c>
      <c r="E38" s="604">
        <v>4.8099999999999997E-2</v>
      </c>
      <c r="F38" s="587">
        <f>65/1350</f>
        <v>4.8148148148148148E-2</v>
      </c>
      <c r="H38" s="262"/>
      <c r="I38" s="262"/>
      <c r="J38" s="262"/>
      <c r="K38" s="262"/>
      <c r="L38" s="289"/>
      <c r="M38" s="39"/>
    </row>
    <row r="39" spans="2:13" s="42" customFormat="1" ht="45">
      <c r="B39" s="294"/>
      <c r="C39" s="295" t="s">
        <v>350</v>
      </c>
      <c r="D39" s="1503">
        <v>2</v>
      </c>
      <c r="E39" s="1504">
        <v>4</v>
      </c>
      <c r="F39" s="2129">
        <v>2</v>
      </c>
      <c r="H39" s="275"/>
      <c r="I39" s="275"/>
      <c r="J39" s="275"/>
      <c r="K39" s="275"/>
      <c r="L39" s="271"/>
      <c r="M39" s="39"/>
    </row>
    <row r="40" spans="2:13" s="42" customFormat="1" ht="15">
      <c r="B40" s="294"/>
      <c r="C40" s="296"/>
      <c r="D40" s="296"/>
      <c r="E40" s="954"/>
      <c r="F40" s="954"/>
      <c r="G40" s="954"/>
      <c r="H40" s="296"/>
      <c r="I40" s="296"/>
      <c r="J40" s="269"/>
      <c r="K40" s="269"/>
      <c r="L40" s="271"/>
      <c r="M40" s="39"/>
    </row>
    <row r="41" spans="2:13" s="42" customFormat="1" ht="45">
      <c r="B41" s="294"/>
      <c r="C41" s="564" t="s">
        <v>366</v>
      </c>
      <c r="D41" s="684" t="s">
        <v>199</v>
      </c>
      <c r="E41" s="955"/>
      <c r="F41" s="757"/>
      <c r="H41" s="269"/>
      <c r="I41" s="269"/>
      <c r="J41" s="808" t="s">
        <v>1001</v>
      </c>
      <c r="K41" s="563" t="s">
        <v>121</v>
      </c>
      <c r="L41" s="1134" t="s">
        <v>148</v>
      </c>
      <c r="M41" s="39"/>
    </row>
    <row r="42" spans="2:13" s="42" customFormat="1" ht="15">
      <c r="B42" s="294"/>
      <c r="C42" s="105" t="s">
        <v>69</v>
      </c>
      <c r="D42" s="166">
        <f>F37*F38*F39</f>
        <v>3.9481481481481479E-2</v>
      </c>
      <c r="E42" s="97"/>
      <c r="H42" s="269"/>
      <c r="I42" s="269"/>
      <c r="J42" s="105" t="str">
        <f>C42</f>
        <v>Emergency bed days</v>
      </c>
      <c r="K42" s="811">
        <f>D42*F34</f>
        <v>394.81481481481478</v>
      </c>
      <c r="L42" s="298">
        <f>INT(K42/E50)*E50</f>
        <v>0</v>
      </c>
      <c r="M42" s="39"/>
    </row>
    <row r="43" spans="2:13" s="42" customFormat="1" ht="15">
      <c r="B43" s="294"/>
      <c r="C43" s="97"/>
      <c r="D43" s="97"/>
      <c r="E43" s="97"/>
      <c r="F43" s="97"/>
      <c r="G43" s="97"/>
      <c r="H43" s="269"/>
      <c r="I43" s="269"/>
      <c r="J43" s="299"/>
      <c r="K43" s="300"/>
      <c r="L43" s="301"/>
      <c r="M43" s="39"/>
    </row>
    <row r="44" spans="2:13" s="42" customFormat="1" ht="15">
      <c r="B44" s="294"/>
      <c r="C44" s="97"/>
      <c r="D44" s="97"/>
      <c r="E44" s="97"/>
      <c r="F44" s="97"/>
      <c r="G44" s="97"/>
      <c r="H44" s="269"/>
      <c r="I44" s="269"/>
      <c r="J44" s="299"/>
      <c r="K44" s="300"/>
      <c r="L44" s="301"/>
      <c r="M44" s="39"/>
    </row>
    <row r="45" spans="2:13" s="42" customFormat="1" ht="30">
      <c r="B45" s="294"/>
      <c r="C45" s="97"/>
      <c r="D45" s="97"/>
      <c r="E45" s="97"/>
      <c r="F45" s="97"/>
      <c r="G45" s="97"/>
      <c r="H45" s="269"/>
      <c r="I45" s="269"/>
      <c r="J45" s="808" t="s">
        <v>1032</v>
      </c>
      <c r="K45" s="691" t="s">
        <v>661</v>
      </c>
      <c r="L45" s="1173" t="s">
        <v>120</v>
      </c>
      <c r="M45" s="39"/>
    </row>
    <row r="46" spans="2:13" s="42" customFormat="1" ht="15">
      <c r="B46" s="294"/>
      <c r="C46" s="97"/>
      <c r="D46" s="97"/>
      <c r="E46" s="97"/>
      <c r="F46" s="97"/>
      <c r="G46" s="97"/>
      <c r="H46" s="269"/>
      <c r="I46" s="269"/>
      <c r="J46" s="295" t="str">
        <f>J42</f>
        <v>Emergency bed days</v>
      </c>
      <c r="K46" s="1133">
        <f>K42*D50</f>
        <v>186176.83176484509</v>
      </c>
      <c r="L46" s="1135">
        <f>(K42-L42)*F50+(L42*G50)</f>
        <v>30159.037951446524</v>
      </c>
      <c r="M46" s="39"/>
    </row>
    <row r="47" spans="2:13" s="42" customFormat="1" ht="15">
      <c r="B47" s="294"/>
      <c r="C47" s="100"/>
      <c r="D47" s="97"/>
      <c r="E47" s="100"/>
      <c r="F47" s="100"/>
      <c r="G47" s="100"/>
      <c r="H47" s="275"/>
      <c r="I47" s="275"/>
      <c r="J47" s="302"/>
      <c r="K47" s="302"/>
      <c r="L47" s="301"/>
      <c r="M47" s="39"/>
    </row>
    <row r="48" spans="2:13" s="42" customFormat="1" ht="15">
      <c r="B48" s="294"/>
      <c r="C48" s="562" t="s">
        <v>662</v>
      </c>
      <c r="D48" s="40"/>
      <c r="E48" s="40"/>
      <c r="F48" s="40"/>
      <c r="G48" s="40"/>
      <c r="H48" s="275"/>
      <c r="I48" s="275"/>
      <c r="J48" s="275"/>
      <c r="K48" s="275"/>
      <c r="L48" s="271"/>
      <c r="M48" s="39"/>
    </row>
    <row r="49" spans="2:21" s="42" customFormat="1" ht="75">
      <c r="B49" s="294"/>
      <c r="C49" s="582" t="s">
        <v>1214</v>
      </c>
      <c r="D49" s="563" t="s">
        <v>660</v>
      </c>
      <c r="E49" s="563" t="s">
        <v>145</v>
      </c>
      <c r="F49" s="563" t="s">
        <v>144</v>
      </c>
      <c r="G49" s="563" t="s">
        <v>561</v>
      </c>
      <c r="K49" s="303"/>
      <c r="L49" s="304"/>
      <c r="M49" s="39"/>
    </row>
    <row r="50" spans="2:21" s="42" customFormat="1" ht="15">
      <c r="B50" s="294"/>
      <c r="C50" s="988" t="s">
        <v>69</v>
      </c>
      <c r="D50" s="1194">
        <f>VLOOKUP($C50,local_data_input!$B$4:$K$20,2,FALSE)</f>
        <v>471.55482717174652</v>
      </c>
      <c r="E50" s="771">
        <f>VLOOKUP($C50,local_data_input!$B$4:$K$20,7,FALSE)</f>
        <v>2190</v>
      </c>
      <c r="F50" s="1194">
        <f>VLOOKUP($C50,local_data_input!$B$4:$K$20,8,FALSE)</f>
        <v>76.38780719409533</v>
      </c>
      <c r="G50" s="1194">
        <f>VLOOKUP($C50,local_data_input!$B$4:$K$20,9,FALSE)</f>
        <v>76.38780719409533</v>
      </c>
      <c r="K50" s="303"/>
      <c r="L50" s="304"/>
      <c r="M50" s="39"/>
    </row>
    <row r="51" spans="2:21" s="42" customFormat="1">
      <c r="B51" s="294"/>
      <c r="C51" s="100"/>
      <c r="D51" s="100"/>
      <c r="E51" s="100"/>
      <c r="F51" s="100"/>
      <c r="G51" s="100"/>
      <c r="H51" s="100"/>
      <c r="I51" s="100"/>
      <c r="J51" s="100"/>
      <c r="K51" s="100"/>
      <c r="L51" s="82"/>
      <c r="M51" s="39"/>
    </row>
    <row r="52" spans="2:21" s="42" customFormat="1" ht="15">
      <c r="B52" s="294"/>
      <c r="C52" s="97"/>
      <c r="D52" s="100"/>
      <c r="E52" s="100"/>
      <c r="F52" s="100"/>
      <c r="G52" s="100"/>
      <c r="H52" s="100"/>
      <c r="I52" s="100"/>
      <c r="J52" s="100"/>
      <c r="K52" s="100"/>
      <c r="L52" s="82"/>
      <c r="M52" s="39"/>
    </row>
    <row r="53" spans="2:21" s="42" customFormat="1">
      <c r="B53" s="294"/>
      <c r="C53" s="584"/>
      <c r="D53" s="692"/>
      <c r="E53" s="692"/>
      <c r="F53" s="584"/>
      <c r="G53" s="584"/>
      <c r="H53" s="584"/>
      <c r="I53" s="584"/>
      <c r="J53" s="584"/>
      <c r="K53" s="584"/>
      <c r="L53" s="555"/>
      <c r="M53" s="39"/>
    </row>
    <row r="54" spans="2:21" s="42" customFormat="1" ht="15">
      <c r="B54" s="2455" t="s">
        <v>327</v>
      </c>
      <c r="C54" s="2456"/>
      <c r="D54" s="2456"/>
      <c r="E54" s="2456"/>
      <c r="F54" s="2456"/>
      <c r="G54" s="2456"/>
      <c r="H54" s="2456"/>
      <c r="I54" s="2456"/>
      <c r="J54" s="2456"/>
      <c r="K54" s="2456"/>
      <c r="L54" s="2457"/>
      <c r="M54" s="44"/>
      <c r="N54" s="39"/>
      <c r="O54" s="39"/>
      <c r="P54" s="39"/>
      <c r="Q54" s="39"/>
      <c r="R54" s="39"/>
    </row>
    <row r="55" spans="2:21" s="42" customFormat="1">
      <c r="B55" s="294"/>
      <c r="C55" s="692"/>
      <c r="D55" s="584"/>
      <c r="E55" s="584"/>
      <c r="F55" s="584"/>
      <c r="G55" s="584"/>
      <c r="H55" s="584"/>
      <c r="I55" s="584"/>
      <c r="J55" s="584"/>
      <c r="K55" s="584"/>
      <c r="L55" s="555"/>
      <c r="M55" s="40"/>
      <c r="N55" s="39"/>
      <c r="O55" s="39"/>
      <c r="P55" s="2"/>
      <c r="Q55" s="2"/>
      <c r="R55" s="2"/>
      <c r="S55" s="3"/>
      <c r="T55" s="3"/>
      <c r="U55" s="3"/>
    </row>
    <row r="56" spans="2:21" s="42" customFormat="1" ht="15">
      <c r="B56" s="294"/>
      <c r="C56" s="97"/>
      <c r="D56" s="97" t="s">
        <v>348</v>
      </c>
      <c r="E56" s="100"/>
      <c r="F56" s="100"/>
      <c r="G56" s="100"/>
      <c r="H56" s="100"/>
      <c r="I56" s="100"/>
      <c r="J56" s="100"/>
      <c r="K56" s="100"/>
      <c r="L56" s="82"/>
      <c r="M56" s="40"/>
      <c r="N56" s="39"/>
      <c r="O56" s="39"/>
      <c r="P56" s="2"/>
      <c r="Q56" s="2"/>
      <c r="R56" s="2"/>
      <c r="S56" s="3"/>
      <c r="T56" s="3"/>
      <c r="U56" s="3"/>
    </row>
    <row r="57" spans="2:21" s="42" customFormat="1" ht="15.75" thickBot="1">
      <c r="B57" s="305"/>
      <c r="C57" s="118"/>
      <c r="D57" s="118"/>
      <c r="E57" s="306"/>
      <c r="F57" s="306"/>
      <c r="G57" s="306"/>
      <c r="H57" s="306"/>
      <c r="I57" s="306"/>
      <c r="J57" s="306"/>
      <c r="K57" s="306"/>
      <c r="L57" s="307"/>
      <c r="M57" s="40"/>
      <c r="N57" s="39"/>
      <c r="O57" s="39"/>
      <c r="P57" s="2"/>
      <c r="Q57" s="2"/>
      <c r="R57" s="2"/>
      <c r="S57" s="3"/>
      <c r="T57" s="3"/>
      <c r="U57" s="3"/>
    </row>
    <row r="58" spans="2:21" s="42" customFormat="1" ht="15">
      <c r="B58" s="114"/>
      <c r="C58" s="44"/>
      <c r="D58" s="44"/>
      <c r="E58" s="40"/>
      <c r="F58" s="40"/>
      <c r="G58" s="40"/>
      <c r="H58" s="40"/>
      <c r="I58" s="40"/>
      <c r="J58" s="40"/>
      <c r="K58" s="40"/>
      <c r="L58" s="40"/>
      <c r="M58" s="40"/>
      <c r="N58" s="39"/>
      <c r="O58" s="39"/>
      <c r="P58" s="2"/>
      <c r="Q58" s="2"/>
      <c r="R58" s="2"/>
      <c r="S58" s="3"/>
      <c r="T58" s="3"/>
      <c r="U58" s="3"/>
    </row>
    <row r="59" spans="2:21" s="42" customFormat="1" ht="15">
      <c r="B59" s="114"/>
      <c r="C59" s="44"/>
      <c r="D59" s="44"/>
      <c r="E59" s="40"/>
      <c r="F59" s="40"/>
      <c r="G59" s="40"/>
      <c r="H59" s="40"/>
      <c r="I59" s="40"/>
      <c r="J59" s="40"/>
      <c r="K59" s="40"/>
      <c r="L59" s="40"/>
      <c r="M59" s="40"/>
      <c r="N59" s="39"/>
      <c r="O59" s="39"/>
      <c r="P59" s="2"/>
      <c r="Q59" s="2"/>
      <c r="R59" s="2"/>
      <c r="S59" s="3"/>
      <c r="T59" s="3"/>
      <c r="U59" s="3"/>
    </row>
    <row r="60" spans="2:21" s="42" customFormat="1" ht="15">
      <c r="B60" s="114"/>
      <c r="C60" s="44"/>
      <c r="D60" s="44"/>
      <c r="E60" s="40"/>
      <c r="F60" s="40"/>
      <c r="G60" s="40"/>
      <c r="H60" s="40"/>
      <c r="I60" s="40"/>
      <c r="J60" s="40"/>
      <c r="K60" s="40"/>
      <c r="L60" s="40"/>
      <c r="M60" s="40"/>
      <c r="N60" s="39"/>
      <c r="O60" s="39"/>
      <c r="P60" s="2"/>
      <c r="Q60" s="2"/>
      <c r="R60" s="2"/>
      <c r="S60" s="3"/>
      <c r="T60" s="3"/>
      <c r="U60" s="3"/>
    </row>
    <row r="61" spans="2:21" s="42" customFormat="1" ht="15">
      <c r="B61" s="114"/>
      <c r="C61" s="44"/>
      <c r="D61" s="44"/>
      <c r="E61" s="40"/>
      <c r="F61" s="40"/>
      <c r="G61" s="40"/>
      <c r="H61" s="40"/>
      <c r="I61" s="40"/>
      <c r="J61" s="40"/>
      <c r="K61" s="40"/>
      <c r="L61" s="40"/>
      <c r="M61" s="40"/>
      <c r="N61" s="39"/>
      <c r="O61" s="39"/>
      <c r="P61" s="2"/>
      <c r="Q61" s="2"/>
      <c r="R61" s="2"/>
      <c r="S61" s="3"/>
      <c r="T61" s="3"/>
      <c r="U61" s="3"/>
    </row>
    <row r="62" spans="2:21" s="42" customFormat="1" ht="15">
      <c r="B62" s="114"/>
      <c r="C62" s="44"/>
      <c r="D62" s="44"/>
      <c r="E62" s="40"/>
      <c r="F62" s="40"/>
      <c r="G62" s="40"/>
      <c r="H62" s="40"/>
      <c r="I62" s="40"/>
      <c r="J62" s="40"/>
      <c r="K62" s="40"/>
      <c r="L62" s="40"/>
      <c r="M62" s="40"/>
      <c r="N62" s="39"/>
      <c r="O62" s="39"/>
      <c r="P62" s="2"/>
      <c r="Q62" s="2"/>
      <c r="R62" s="2"/>
      <c r="S62" s="3"/>
      <c r="T62" s="3"/>
      <c r="U62" s="3"/>
    </row>
    <row r="63" spans="2:21" s="42" customFormat="1" ht="15">
      <c r="B63" s="114"/>
      <c r="C63" s="44"/>
      <c r="D63" s="44"/>
      <c r="E63" s="40"/>
      <c r="F63" s="40"/>
      <c r="G63" s="40"/>
      <c r="H63" s="40"/>
      <c r="I63" s="40"/>
      <c r="J63" s="40"/>
      <c r="K63" s="40"/>
      <c r="L63" s="40"/>
      <c r="M63" s="40"/>
      <c r="N63" s="39"/>
      <c r="O63" s="39"/>
      <c r="P63" s="2"/>
      <c r="Q63" s="2"/>
      <c r="R63" s="2"/>
      <c r="S63" s="3"/>
      <c r="T63" s="3"/>
      <c r="U63" s="3"/>
    </row>
    <row r="64" spans="2:21" s="42" customFormat="1" ht="15">
      <c r="B64" s="114"/>
      <c r="C64" s="44"/>
      <c r="D64" s="44"/>
      <c r="E64" s="40"/>
      <c r="F64" s="40"/>
      <c r="G64" s="40"/>
      <c r="H64" s="40"/>
      <c r="I64" s="40"/>
      <c r="J64" s="40"/>
      <c r="K64" s="40"/>
      <c r="L64" s="40"/>
      <c r="M64" s="40"/>
      <c r="N64" s="39"/>
      <c r="O64" s="39"/>
      <c r="P64" s="2"/>
      <c r="Q64" s="2"/>
      <c r="R64" s="2"/>
      <c r="S64" s="3"/>
      <c r="T64" s="3"/>
      <c r="U64" s="3"/>
    </row>
    <row r="65" spans="2:21" s="42" customFormat="1" ht="15">
      <c r="B65" s="114"/>
      <c r="C65" s="44"/>
      <c r="D65" s="44"/>
      <c r="E65" s="40"/>
      <c r="F65" s="40"/>
      <c r="G65" s="40"/>
      <c r="H65" s="40"/>
      <c r="I65" s="40"/>
      <c r="J65" s="40"/>
      <c r="K65" s="40"/>
      <c r="L65" s="40"/>
      <c r="M65" s="40"/>
      <c r="N65" s="39"/>
      <c r="O65" s="39"/>
      <c r="P65" s="2"/>
      <c r="Q65" s="2"/>
      <c r="R65" s="2"/>
      <c r="S65" s="3"/>
      <c r="T65" s="3"/>
      <c r="U65" s="3"/>
    </row>
    <row r="66" spans="2:21">
      <c r="B66" s="190"/>
      <c r="C66" s="62"/>
      <c r="D66" s="36"/>
      <c r="E66" s="36"/>
      <c r="F66" s="62"/>
      <c r="G66" s="62"/>
      <c r="H66" s="36"/>
      <c r="I66" s="36"/>
      <c r="J66" s="36"/>
      <c r="K66" s="36"/>
      <c r="L66" s="36"/>
      <c r="M66" s="36"/>
      <c r="N66" s="35"/>
      <c r="O66" s="35"/>
      <c r="P66" s="4"/>
      <c r="Q66" s="4"/>
      <c r="R66" s="4"/>
      <c r="S66" s="5"/>
      <c r="T66" s="5"/>
      <c r="U66" s="5"/>
    </row>
    <row r="67" spans="2:21">
      <c r="B67" s="190"/>
      <c r="C67" s="62"/>
      <c r="D67" s="36"/>
      <c r="E67" s="36"/>
      <c r="F67" s="62"/>
      <c r="G67" s="62"/>
      <c r="H67" s="36"/>
      <c r="I67" s="36"/>
      <c r="J67" s="36"/>
      <c r="K67" s="36"/>
      <c r="L67" s="36"/>
      <c r="M67" s="36"/>
      <c r="N67" s="35"/>
      <c r="O67" s="35"/>
      <c r="P67" s="4"/>
      <c r="Q67" s="4"/>
      <c r="R67" s="4"/>
      <c r="S67" s="5"/>
      <c r="T67" s="5"/>
      <c r="U67" s="5"/>
    </row>
    <row r="68" spans="2:21">
      <c r="B68" s="190"/>
      <c r="C68" s="62"/>
      <c r="D68" s="36"/>
      <c r="E68" s="36"/>
      <c r="F68" s="62"/>
      <c r="G68" s="62"/>
      <c r="H68" s="36"/>
      <c r="I68" s="36"/>
      <c r="J68" s="36"/>
      <c r="K68" s="36"/>
      <c r="L68" s="36"/>
      <c r="M68" s="36"/>
      <c r="N68" s="35"/>
      <c r="O68" s="35"/>
      <c r="P68" s="4"/>
      <c r="Q68" s="4"/>
      <c r="R68" s="4"/>
      <c r="S68" s="5"/>
      <c r="T68" s="5"/>
      <c r="U68" s="5"/>
    </row>
    <row r="69" spans="2:21">
      <c r="B69" s="190"/>
      <c r="C69" s="62"/>
      <c r="D69" s="36"/>
      <c r="E69" s="36"/>
      <c r="F69" s="62"/>
      <c r="G69" s="62"/>
      <c r="H69" s="36"/>
      <c r="I69" s="36"/>
      <c r="J69" s="36"/>
      <c r="K69" s="36"/>
      <c r="L69" s="36"/>
      <c r="M69" s="36"/>
      <c r="N69" s="35"/>
      <c r="O69" s="35"/>
      <c r="P69" s="4"/>
      <c r="Q69" s="4"/>
      <c r="R69" s="4"/>
      <c r="S69" s="5"/>
      <c r="T69" s="5"/>
      <c r="U69" s="5"/>
    </row>
    <row r="70" spans="2:21">
      <c r="B70" s="190"/>
      <c r="C70" s="62"/>
      <c r="D70" s="36"/>
      <c r="E70" s="36"/>
      <c r="F70" s="62"/>
      <c r="G70" s="62"/>
      <c r="H70" s="36"/>
      <c r="I70" s="36"/>
      <c r="J70" s="36"/>
      <c r="K70" s="36"/>
      <c r="L70" s="36"/>
      <c r="M70" s="36"/>
      <c r="N70" s="35"/>
      <c r="O70" s="35"/>
      <c r="P70" s="4"/>
      <c r="Q70" s="4"/>
      <c r="R70" s="4"/>
      <c r="S70" s="5"/>
      <c r="T70" s="5"/>
      <c r="U70" s="5"/>
    </row>
    <row r="71" spans="2:21">
      <c r="B71" s="190"/>
      <c r="C71" s="62"/>
      <c r="D71" s="36"/>
      <c r="E71" s="36"/>
      <c r="F71" s="62"/>
      <c r="G71" s="62"/>
      <c r="H71" s="36"/>
      <c r="I71" s="36"/>
      <c r="J71" s="36"/>
      <c r="K71" s="36"/>
      <c r="L71" s="36"/>
      <c r="M71" s="36"/>
      <c r="N71" s="35"/>
      <c r="O71" s="35"/>
      <c r="P71" s="4"/>
      <c r="Q71" s="4"/>
      <c r="R71" s="4"/>
      <c r="S71" s="5"/>
      <c r="T71" s="5"/>
      <c r="U71" s="5"/>
    </row>
    <row r="72" spans="2:21" ht="15">
      <c r="B72" s="190"/>
      <c r="C72" s="62"/>
      <c r="D72" s="36"/>
      <c r="E72" s="36"/>
      <c r="F72" s="62"/>
      <c r="G72" s="62"/>
      <c r="H72" s="36"/>
      <c r="I72" s="36"/>
      <c r="J72" s="36"/>
      <c r="K72" s="36"/>
      <c r="L72" s="2453"/>
      <c r="M72" s="56"/>
      <c r="N72" s="35"/>
      <c r="O72" s="35"/>
      <c r="P72" s="35"/>
      <c r="Q72" s="35"/>
      <c r="R72" s="35"/>
    </row>
    <row r="73" spans="2:21" ht="15">
      <c r="B73" s="190"/>
      <c r="C73" s="56"/>
      <c r="D73" s="36"/>
      <c r="E73" s="36"/>
      <c r="F73" s="62"/>
      <c r="G73" s="62"/>
      <c r="H73" s="36"/>
      <c r="I73" s="36"/>
      <c r="J73" s="36"/>
      <c r="K73" s="36"/>
      <c r="L73" s="2453"/>
      <c r="M73" s="56"/>
      <c r="N73" s="35"/>
      <c r="O73" s="35"/>
      <c r="P73" s="35"/>
      <c r="Q73" s="35"/>
      <c r="R73" s="35"/>
    </row>
    <row r="74" spans="2:21" ht="15">
      <c r="B74" s="308"/>
      <c r="C74" s="309"/>
      <c r="D74" s="58"/>
      <c r="E74" s="58"/>
      <c r="F74" s="59"/>
      <c r="G74" s="59"/>
      <c r="H74" s="59"/>
      <c r="I74" s="59"/>
      <c r="J74" s="59"/>
      <c r="K74" s="59"/>
      <c r="L74" s="2454"/>
      <c r="M74" s="56"/>
      <c r="N74" s="35"/>
      <c r="O74" s="35"/>
      <c r="P74" s="35"/>
      <c r="Q74" s="35"/>
      <c r="R74" s="35"/>
    </row>
    <row r="75" spans="2:21" ht="15">
      <c r="B75" s="35"/>
      <c r="C75" s="56"/>
      <c r="D75" s="36"/>
      <c r="E75" s="36"/>
      <c r="F75" s="62"/>
      <c r="G75" s="62"/>
      <c r="H75" s="62"/>
      <c r="I75" s="62"/>
      <c r="J75" s="62"/>
      <c r="K75" s="62"/>
      <c r="L75" s="62"/>
      <c r="M75" s="62"/>
      <c r="N75" s="35"/>
      <c r="O75" s="35"/>
      <c r="P75" s="4"/>
      <c r="Q75" s="4"/>
      <c r="R75" s="4"/>
      <c r="S75" s="5"/>
      <c r="T75" s="5"/>
      <c r="U75" s="5"/>
    </row>
    <row r="76" spans="2:21" ht="15">
      <c r="B76" s="35"/>
      <c r="C76" s="56"/>
      <c r="D76" s="35"/>
      <c r="E76" s="35"/>
      <c r="F76" s="62"/>
      <c r="G76" s="62"/>
      <c r="H76" s="62"/>
      <c r="I76" s="62"/>
      <c r="J76" s="62"/>
      <c r="K76" s="62"/>
      <c r="L76" s="62"/>
      <c r="M76" s="62"/>
      <c r="N76" s="35"/>
      <c r="O76" s="35"/>
      <c r="P76" s="4"/>
      <c r="Q76" s="4"/>
      <c r="R76" s="4"/>
      <c r="S76" s="5"/>
      <c r="T76" s="5"/>
      <c r="U76" s="5"/>
    </row>
    <row r="77" spans="2:21" ht="15">
      <c r="B77" s="35"/>
      <c r="C77" s="56"/>
      <c r="D77" s="56"/>
      <c r="E77" s="56"/>
      <c r="F77" s="62"/>
      <c r="G77" s="62"/>
      <c r="H77" s="62"/>
      <c r="I77" s="62"/>
      <c r="J77" s="62"/>
      <c r="K77" s="62"/>
      <c r="L77" s="62"/>
      <c r="M77" s="62"/>
      <c r="N77" s="35"/>
      <c r="O77" s="35"/>
      <c r="P77" s="4"/>
      <c r="Q77" s="4"/>
      <c r="R77" s="4"/>
      <c r="S77" s="5"/>
      <c r="T77" s="5"/>
      <c r="U77" s="5"/>
    </row>
    <row r="78" spans="2:21" ht="15">
      <c r="B78" s="35"/>
      <c r="C78" s="56"/>
      <c r="D78" s="56"/>
      <c r="E78" s="56"/>
      <c r="F78" s="62"/>
      <c r="G78" s="62"/>
      <c r="H78" s="62"/>
      <c r="I78" s="62"/>
      <c r="J78" s="62"/>
      <c r="K78" s="62"/>
      <c r="L78" s="62"/>
      <c r="M78" s="62"/>
      <c r="N78" s="35"/>
      <c r="O78" s="35"/>
      <c r="P78" s="4"/>
      <c r="Q78" s="4"/>
      <c r="R78" s="4"/>
      <c r="S78" s="5"/>
      <c r="T78" s="5"/>
      <c r="U78" s="5"/>
    </row>
    <row r="79" spans="2:21">
      <c r="B79" s="35"/>
      <c r="C79" s="62"/>
      <c r="D79" s="36"/>
      <c r="E79" s="36"/>
      <c r="F79" s="111"/>
      <c r="G79" s="111"/>
      <c r="H79" s="111"/>
      <c r="I79" s="111"/>
      <c r="J79" s="111"/>
      <c r="K79" s="111"/>
      <c r="L79" s="111"/>
      <c r="M79" s="111"/>
      <c r="N79" s="35"/>
      <c r="O79" s="35"/>
      <c r="P79" s="4"/>
      <c r="Q79" s="4"/>
      <c r="R79" s="4"/>
      <c r="S79" s="5"/>
      <c r="T79" s="5"/>
      <c r="U79" s="5"/>
    </row>
  </sheetData>
  <sheetProtection selectLockedCells="1"/>
  <mergeCells count="12">
    <mergeCell ref="E1:F1"/>
    <mergeCell ref="H1:I1"/>
    <mergeCell ref="L72:L74"/>
    <mergeCell ref="B29:L29"/>
    <mergeCell ref="B11:L11"/>
    <mergeCell ref="B18:L18"/>
    <mergeCell ref="B54:L54"/>
    <mergeCell ref="C4:D5"/>
    <mergeCell ref="C13:D13"/>
    <mergeCell ref="C14:D14"/>
    <mergeCell ref="C15:D15"/>
    <mergeCell ref="C16:D16"/>
  </mergeCells>
  <pageMargins left="0.7" right="0.7" top="0.75" bottom="0.75" header="0.3" footer="0.3"/>
  <pageSetup paperSize="9" scale="39" orientation="portrait"/>
  <colBreaks count="1" manualBreakCount="1">
    <brk id="12" max="1048575" man="1"/>
  </colBreaks>
  <drawing r:id="rId1"/>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4" tint="-0.249977111117893"/>
    <pageSetUpPr fitToPage="1"/>
  </sheetPr>
  <dimension ref="A1:BT118"/>
  <sheetViews>
    <sheetView showGridLines="0" topLeftCell="B1" zoomScale="75" zoomScaleNormal="75" zoomScaleSheetLayoutView="70" zoomScalePageLayoutView="75" workbookViewId="0">
      <pane ySplit="1" topLeftCell="A2" activePane="bottomLeft" state="frozen"/>
      <selection activeCell="C3" sqref="C3"/>
      <selection pane="bottomLeft" activeCell="C9" sqref="C9"/>
    </sheetView>
  </sheetViews>
  <sheetFormatPr defaultColWidth="8.85546875" defaultRowHeight="14.25" outlineLevelCol="1"/>
  <cols>
    <col min="1" max="1" width="56.140625" style="315" hidden="1" customWidth="1" outlineLevel="1"/>
    <col min="2" max="2" width="15.7109375" style="315" customWidth="1" collapsed="1"/>
    <col min="3" max="3" width="45.7109375" style="315" customWidth="1"/>
    <col min="4" max="4" width="27.42578125" style="315" customWidth="1"/>
    <col min="5" max="6" width="15.7109375" style="315" customWidth="1"/>
    <col min="7" max="7" width="27.140625" style="315" customWidth="1"/>
    <col min="8" max="9" width="15.7109375" style="315" customWidth="1"/>
    <col min="10" max="10" width="45.7109375" style="315" customWidth="1"/>
    <col min="11" max="11" width="17.85546875" style="315" customWidth="1"/>
    <col min="12" max="12" width="15.7109375" style="315" customWidth="1"/>
    <col min="13" max="13" width="78.28515625" style="313" customWidth="1"/>
    <col min="14" max="14" width="7.42578125" style="315" customWidth="1"/>
    <col min="15" max="15" width="19.140625" style="315" customWidth="1"/>
    <col min="16" max="16" width="23.42578125" style="315" customWidth="1"/>
    <col min="17" max="17" width="24.42578125" style="315" bestFit="1" customWidth="1"/>
    <col min="18" max="19" width="8.85546875" style="315"/>
    <col min="20" max="23" width="6.42578125" style="315" customWidth="1"/>
    <col min="24" max="25" width="34.7109375" style="315" customWidth="1"/>
    <col min="26" max="26" width="14.7109375" style="315" customWidth="1"/>
    <col min="27" max="27" width="17.7109375" style="315" customWidth="1"/>
    <col min="28" max="28" width="15.42578125" style="315" customWidth="1"/>
    <col min="29" max="16384" width="8.85546875" style="315"/>
  </cols>
  <sheetData>
    <row r="1" spans="1:72" s="310" customFormat="1" ht="42.75" customHeight="1" thickBot="1">
      <c r="B1" s="528"/>
      <c r="C1" s="1843" t="str">
        <f>HYPERLINK("[.\]Menu!A1", "To Menu")</f>
        <v>To Menu</v>
      </c>
      <c r="D1" s="528"/>
      <c r="E1" s="2311" t="str">
        <f>HYPERLINK("[.\]control_sheet_and_graphs!A1", "To Control sheet and graphical results")</f>
        <v>To Control sheet and graphical results</v>
      </c>
      <c r="F1" s="2312"/>
      <c r="G1" s="794"/>
      <c r="H1" s="2311" t="str">
        <f>HYPERLINK("[.\]outputs_by_channel!A1", "To Intervention data outputs by channel")</f>
        <v>To Intervention data outputs by channel</v>
      </c>
      <c r="I1" s="2312"/>
      <c r="J1" s="1762"/>
      <c r="K1" s="1762"/>
      <c r="L1" s="1762"/>
      <c r="N1" s="311"/>
      <c r="O1" s="311"/>
      <c r="P1" s="311"/>
      <c r="Q1" s="311"/>
      <c r="S1" s="311"/>
      <c r="T1" s="311"/>
      <c r="U1" s="311"/>
      <c r="V1" s="311"/>
      <c r="X1" s="311"/>
      <c r="Y1" s="311"/>
      <c r="Z1" s="311"/>
      <c r="AA1" s="311"/>
      <c r="AC1" s="311"/>
      <c r="AD1" s="311"/>
      <c r="AE1" s="311"/>
      <c r="AF1" s="311"/>
      <c r="AH1" s="311"/>
      <c r="AI1" s="311"/>
      <c r="AJ1" s="311"/>
      <c r="AK1" s="311"/>
      <c r="AM1" s="311"/>
      <c r="AN1" s="311"/>
      <c r="AO1" s="311"/>
      <c r="AP1" s="311"/>
      <c r="AR1" s="311"/>
      <c r="AS1" s="311"/>
      <c r="AT1" s="311"/>
      <c r="AU1" s="311"/>
      <c r="AW1" s="311"/>
      <c r="AX1" s="311"/>
      <c r="AY1" s="311"/>
      <c r="AZ1" s="311"/>
      <c r="BB1" s="311"/>
      <c r="BC1" s="311"/>
      <c r="BD1" s="311"/>
      <c r="BE1" s="311"/>
      <c r="BG1" s="311"/>
      <c r="BH1" s="311"/>
      <c r="BI1" s="311"/>
      <c r="BJ1" s="311"/>
      <c r="BL1" s="311"/>
      <c r="BM1" s="311"/>
      <c r="BN1" s="311"/>
      <c r="BO1" s="311"/>
      <c r="BQ1" s="311"/>
      <c r="BR1" s="311"/>
      <c r="BS1" s="311"/>
      <c r="BT1" s="311"/>
    </row>
    <row r="2" spans="1:72" ht="15">
      <c r="A2" s="312"/>
      <c r="B2" s="1328"/>
      <c r="C2" s="1507"/>
      <c r="D2" s="1508"/>
      <c r="E2" s="1508"/>
      <c r="F2" s="1508"/>
      <c r="G2" s="1508"/>
      <c r="H2" s="1508"/>
      <c r="I2" s="2092"/>
      <c r="J2" s="2113"/>
      <c r="K2" s="2113"/>
      <c r="L2" s="2114"/>
      <c r="M2" s="2462"/>
      <c r="N2" s="2462"/>
      <c r="O2" s="314"/>
      <c r="P2" s="314"/>
      <c r="Q2" s="313"/>
      <c r="R2" s="313"/>
      <c r="T2" s="313"/>
      <c r="U2" s="316"/>
      <c r="V2" s="313"/>
      <c r="W2" s="313"/>
    </row>
    <row r="3" spans="1:72" ht="15" customHeight="1" thickBot="1">
      <c r="A3" s="312"/>
      <c r="B3" s="482"/>
      <c r="C3" s="958"/>
      <c r="D3" s="959"/>
      <c r="E3" s="2119"/>
      <c r="F3" s="959"/>
      <c r="G3" s="2119"/>
      <c r="H3" s="2119"/>
      <c r="I3" s="712"/>
      <c r="J3" s="2070"/>
      <c r="K3" s="2074"/>
      <c r="L3" s="2083"/>
      <c r="M3" s="2462"/>
      <c r="N3" s="2462"/>
      <c r="O3" s="317"/>
      <c r="P3" s="317"/>
      <c r="Q3" s="313"/>
      <c r="R3" s="313"/>
      <c r="T3" s="313"/>
      <c r="U3" s="316"/>
      <c r="V3" s="313"/>
      <c r="W3" s="313"/>
    </row>
    <row r="4" spans="1:72" ht="15" customHeight="1">
      <c r="B4" s="1219"/>
      <c r="C4" s="2452" t="str">
        <f>Menu!$B30</f>
        <v>Improved Referral processes - In Ambulance Service</v>
      </c>
      <c r="D4" s="2398"/>
      <c r="E4" s="956"/>
      <c r="F4" s="712"/>
      <c r="G4" s="695"/>
      <c r="H4" s="695"/>
      <c r="I4" s="712"/>
      <c r="J4" s="2070"/>
      <c r="K4" s="2074"/>
      <c r="L4" s="2083"/>
      <c r="M4" s="2462"/>
      <c r="N4" s="2462"/>
      <c r="O4" s="317"/>
      <c r="P4" s="317"/>
      <c r="Q4" s="313"/>
      <c r="R4" s="313"/>
      <c r="T4" s="313"/>
      <c r="U4" s="316"/>
      <c r="V4" s="313"/>
      <c r="W4" s="313"/>
    </row>
    <row r="5" spans="1:72" ht="15" customHeight="1" thickBot="1">
      <c r="B5" s="1219"/>
      <c r="C5" s="2440"/>
      <c r="D5" s="2399"/>
      <c r="E5" s="2461"/>
      <c r="F5" s="2461"/>
      <c r="G5" s="696"/>
      <c r="H5" s="2119"/>
      <c r="I5" s="712"/>
      <c r="J5" s="2070"/>
      <c r="K5" s="2076"/>
      <c r="L5" s="2084"/>
      <c r="M5" s="2462"/>
      <c r="N5" s="2462"/>
      <c r="O5" s="318"/>
      <c r="P5" s="319"/>
      <c r="Q5" s="313"/>
      <c r="R5" s="313"/>
      <c r="T5" s="313"/>
      <c r="U5" s="316"/>
      <c r="V5" s="313"/>
      <c r="W5" s="313"/>
    </row>
    <row r="6" spans="1:72" ht="15" customHeight="1" thickBot="1">
      <c r="B6" s="1219"/>
      <c r="C6" s="712"/>
      <c r="D6" s="712"/>
      <c r="E6" s="697"/>
      <c r="F6" s="695"/>
      <c r="G6" s="695"/>
      <c r="H6" s="695"/>
      <c r="I6" s="712"/>
      <c r="J6" s="2070"/>
      <c r="K6" s="2077"/>
      <c r="L6" s="2085"/>
      <c r="M6" s="2462"/>
      <c r="N6" s="2462"/>
      <c r="O6" s="317"/>
      <c r="P6" s="317"/>
      <c r="Q6" s="313"/>
      <c r="R6" s="313"/>
      <c r="T6" s="313"/>
      <c r="U6" s="316"/>
      <c r="V6" s="313"/>
      <c r="W6" s="313"/>
    </row>
    <row r="7" spans="1:72" ht="15" customHeight="1" thickBot="1">
      <c r="B7" s="1219"/>
      <c r="C7" s="2170" t="s">
        <v>582</v>
      </c>
      <c r="D7" s="2171">
        <v>813405</v>
      </c>
      <c r="E7" s="695"/>
      <c r="F7" s="712"/>
      <c r="G7" s="695"/>
      <c r="H7" s="695"/>
      <c r="I7" s="712"/>
      <c r="J7" s="2070"/>
      <c r="K7" s="2074"/>
      <c r="L7" s="2083"/>
      <c r="M7" s="2462"/>
      <c r="N7" s="2462"/>
      <c r="O7" s="320"/>
      <c r="P7" s="320"/>
      <c r="Q7" s="313"/>
      <c r="R7" s="313"/>
      <c r="T7" s="313"/>
      <c r="U7" s="316"/>
      <c r="V7" s="313"/>
      <c r="W7" s="313"/>
    </row>
    <row r="8" spans="1:72" ht="15" customHeight="1">
      <c r="B8" s="1219"/>
      <c r="C8" s="698"/>
      <c r="D8" s="698"/>
      <c r="E8" s="698"/>
      <c r="F8" s="698"/>
      <c r="G8" s="695"/>
      <c r="H8" s="695"/>
      <c r="I8" s="712"/>
      <c r="J8" s="2070"/>
      <c r="K8" s="2076"/>
      <c r="L8" s="2084"/>
      <c r="M8" s="2462"/>
      <c r="N8" s="2462"/>
      <c r="O8" s="318"/>
      <c r="P8" s="318"/>
      <c r="Q8" s="313"/>
      <c r="R8" s="313"/>
      <c r="T8" s="313"/>
      <c r="U8" s="316"/>
      <c r="V8" s="313"/>
      <c r="W8" s="313"/>
    </row>
    <row r="9" spans="1:72" ht="15" customHeight="1">
      <c r="B9" s="1219"/>
      <c r="C9" s="1777" t="str">
        <f>HYPERLINK("[.\]E_IR!A2","To Evidence")</f>
        <v>To Evidence</v>
      </c>
      <c r="D9" s="698"/>
      <c r="E9" s="698"/>
      <c r="F9" s="698"/>
      <c r="G9" s="695"/>
      <c r="H9" s="695"/>
      <c r="I9" s="712"/>
      <c r="J9" s="2120"/>
      <c r="K9" s="1532"/>
      <c r="L9" s="1791"/>
      <c r="M9" s="1716"/>
      <c r="N9" s="1716"/>
      <c r="O9" s="318"/>
      <c r="P9" s="318"/>
      <c r="Q9" s="313"/>
      <c r="R9" s="313"/>
      <c r="T9" s="313"/>
      <c r="U9" s="316"/>
      <c r="V9" s="313"/>
      <c r="W9" s="313"/>
    </row>
    <row r="10" spans="1:72" ht="15" customHeight="1">
      <c r="B10" s="1220"/>
      <c r="C10" s="698"/>
      <c r="D10" s="698"/>
      <c r="E10" s="698"/>
      <c r="F10" s="698"/>
      <c r="G10" s="695"/>
      <c r="H10" s="695"/>
      <c r="I10" s="712"/>
      <c r="J10" s="1783"/>
      <c r="K10" s="1781"/>
      <c r="L10" s="1782"/>
      <c r="M10" s="1716"/>
      <c r="N10" s="1716"/>
      <c r="O10" s="318"/>
      <c r="P10" s="318"/>
      <c r="Q10" s="313"/>
      <c r="R10" s="313"/>
      <c r="T10" s="313"/>
      <c r="U10" s="316"/>
      <c r="V10" s="313"/>
      <c r="W10" s="313"/>
    </row>
    <row r="11" spans="1:72" ht="15">
      <c r="A11" s="321" t="s">
        <v>103</v>
      </c>
      <c r="B11" s="2458" t="s">
        <v>119</v>
      </c>
      <c r="C11" s="2459"/>
      <c r="D11" s="2459"/>
      <c r="E11" s="2459"/>
      <c r="F11" s="2459"/>
      <c r="G11" s="2459"/>
      <c r="H11" s="2459"/>
      <c r="I11" s="2459"/>
      <c r="J11" s="2459"/>
      <c r="K11" s="2459"/>
      <c r="L11" s="2460"/>
      <c r="N11" s="322"/>
      <c r="O11" s="322"/>
      <c r="P11" s="313"/>
      <c r="Q11" s="313"/>
      <c r="S11" s="313"/>
      <c r="T11" s="316"/>
      <c r="U11" s="313"/>
      <c r="V11" s="313"/>
      <c r="W11" s="313"/>
    </row>
    <row r="12" spans="1:72" s="313" customFormat="1" ht="15">
      <c r="B12" s="1233"/>
      <c r="C12" s="699"/>
      <c r="D12" s="699"/>
      <c r="E12" s="699"/>
      <c r="F12" s="699"/>
      <c r="G12" s="699"/>
      <c r="H12" s="699"/>
      <c r="I12" s="699"/>
      <c r="J12" s="700"/>
      <c r="K12" s="700"/>
      <c r="L12" s="2172"/>
      <c r="T12" s="316"/>
    </row>
    <row r="13" spans="1:72" s="313" customFormat="1" ht="15">
      <c r="A13" s="323"/>
      <c r="B13" s="1234"/>
      <c r="C13" s="701"/>
      <c r="D13" s="701"/>
      <c r="E13" s="701"/>
      <c r="F13" s="701"/>
      <c r="G13" s="699"/>
      <c r="H13" s="701"/>
      <c r="I13" s="701"/>
      <c r="J13" s="701"/>
      <c r="K13" s="702"/>
      <c r="L13" s="1215" t="s">
        <v>141</v>
      </c>
      <c r="M13" s="324"/>
      <c r="T13" s="316"/>
    </row>
    <row r="14" spans="1:72" s="313" customFormat="1" ht="15">
      <c r="A14" s="323"/>
      <c r="B14" s="1234"/>
      <c r="C14" s="701"/>
      <c r="D14" s="701"/>
      <c r="E14" s="701"/>
      <c r="F14" s="701"/>
      <c r="G14" s="699"/>
      <c r="H14" s="701"/>
      <c r="I14" s="701"/>
      <c r="J14" s="701"/>
      <c r="K14" s="703"/>
      <c r="L14" s="1215" t="s">
        <v>143</v>
      </c>
      <c r="T14" s="316"/>
    </row>
    <row r="15" spans="1:72" s="313" customFormat="1" ht="15">
      <c r="A15" s="323"/>
      <c r="B15" s="1234"/>
      <c r="C15" s="701"/>
      <c r="D15" s="701"/>
      <c r="E15" s="701"/>
      <c r="F15" s="701"/>
      <c r="G15" s="699"/>
      <c r="H15" s="701"/>
      <c r="I15" s="701"/>
      <c r="J15" s="701"/>
      <c r="K15" s="2173" t="s">
        <v>556</v>
      </c>
      <c r="L15" s="552" t="s">
        <v>143</v>
      </c>
      <c r="T15" s="316"/>
    </row>
    <row r="16" spans="1:72" s="313" customFormat="1" ht="42.75">
      <c r="A16" s="323"/>
      <c r="B16" s="1234"/>
      <c r="C16" s="2174" t="s">
        <v>1262</v>
      </c>
      <c r="D16" s="704">
        <v>70721</v>
      </c>
      <c r="E16" s="699"/>
      <c r="F16" s="701"/>
      <c r="G16" s="699"/>
      <c r="H16" s="701"/>
      <c r="I16" s="699"/>
      <c r="J16" s="701"/>
      <c r="K16" s="2193"/>
      <c r="L16" s="507" t="s">
        <v>1299</v>
      </c>
    </row>
    <row r="17" spans="1:24" s="313" customFormat="1" ht="15">
      <c r="A17" s="323"/>
      <c r="B17" s="1234"/>
      <c r="C17" s="2174" t="s">
        <v>1034</v>
      </c>
      <c r="D17" s="705">
        <v>0.05</v>
      </c>
      <c r="E17" s="699"/>
      <c r="F17" s="701"/>
      <c r="G17" s="699"/>
      <c r="H17" s="701"/>
      <c r="I17" s="699"/>
      <c r="J17" s="701"/>
      <c r="K17" s="700"/>
      <c r="L17" s="1217"/>
    </row>
    <row r="18" spans="1:24" s="313" customFormat="1" ht="15">
      <c r="A18" s="323"/>
      <c r="B18" s="1234"/>
      <c r="C18" s="2174" t="s">
        <v>1035</v>
      </c>
      <c r="D18" s="706">
        <f>D16*D17</f>
        <v>3536.05</v>
      </c>
      <c r="E18" s="699"/>
      <c r="F18" s="701"/>
      <c r="G18" s="699"/>
      <c r="H18" s="701"/>
      <c r="I18" s="699"/>
      <c r="J18" s="701"/>
      <c r="K18" s="700"/>
      <c r="L18" s="1217"/>
    </row>
    <row r="19" spans="1:24" s="313" customFormat="1" ht="15">
      <c r="A19" s="323"/>
      <c r="B19" s="1234"/>
      <c r="C19" s="694"/>
      <c r="D19" s="694"/>
      <c r="E19" s="694"/>
      <c r="F19" s="694"/>
      <c r="G19" s="699"/>
      <c r="H19" s="701"/>
      <c r="I19" s="700"/>
      <c r="J19" s="701"/>
      <c r="K19" s="700"/>
      <c r="L19" s="1217"/>
    </row>
    <row r="20" spans="1:24" s="313" customFormat="1" ht="15">
      <c r="A20" s="323"/>
      <c r="B20" s="1235"/>
      <c r="C20" s="694"/>
      <c r="D20" s="694"/>
      <c r="E20" s="694"/>
      <c r="F20" s="694"/>
      <c r="G20" s="700"/>
      <c r="H20" s="700"/>
      <c r="I20" s="700"/>
      <c r="J20" s="700"/>
      <c r="K20" s="700"/>
      <c r="L20" s="2175"/>
    </row>
    <row r="21" spans="1:24" ht="15">
      <c r="B21" s="2458" t="s">
        <v>117</v>
      </c>
      <c r="C21" s="2459"/>
      <c r="D21" s="2459"/>
      <c r="E21" s="2459"/>
      <c r="F21" s="2459"/>
      <c r="G21" s="2459"/>
      <c r="H21" s="2459"/>
      <c r="I21" s="2459"/>
      <c r="J21" s="2459"/>
      <c r="K21" s="2459"/>
      <c r="L21" s="2460"/>
      <c r="M21" s="322"/>
      <c r="N21" s="322"/>
      <c r="O21" s="322"/>
      <c r="P21" s="313"/>
      <c r="Q21" s="313"/>
      <c r="S21" s="313"/>
      <c r="T21" s="316"/>
      <c r="U21" s="313"/>
      <c r="V21" s="313"/>
      <c r="W21" s="313"/>
    </row>
    <row r="22" spans="1:24" ht="15">
      <c r="B22" s="1218"/>
      <c r="C22" s="707"/>
      <c r="D22" s="699"/>
      <c r="E22" s="699"/>
      <c r="F22" s="699"/>
      <c r="G22" s="712"/>
      <c r="H22" s="707"/>
      <c r="I22" s="708"/>
      <c r="J22" s="709"/>
      <c r="K22" s="700"/>
      <c r="L22" s="2169"/>
      <c r="M22" s="322"/>
      <c r="N22" s="322"/>
      <c r="O22" s="322"/>
      <c r="P22" s="325"/>
      <c r="Q22" s="313"/>
      <c r="S22" s="313"/>
      <c r="T22" s="313"/>
      <c r="U22" s="313"/>
      <c r="V22" s="313"/>
      <c r="W22" s="313"/>
    </row>
    <row r="23" spans="1:24" ht="15">
      <c r="B23" s="1219"/>
      <c r="C23" s="1775" t="str">
        <f>HYPERLINK("[.\]Set_up_IR!B8","To Set up costs template")</f>
        <v>To Set up costs template</v>
      </c>
      <c r="D23" s="699"/>
      <c r="E23" s="699"/>
      <c r="F23" s="699"/>
      <c r="G23" s="712"/>
      <c r="H23" s="707"/>
      <c r="I23" s="708"/>
      <c r="J23" s="709"/>
      <c r="K23" s="700"/>
      <c r="L23" s="1228"/>
      <c r="M23" s="699"/>
      <c r="N23" s="699"/>
      <c r="O23" s="699"/>
      <c r="P23" s="707"/>
      <c r="Q23" s="313"/>
      <c r="S23" s="313"/>
      <c r="T23" s="313"/>
      <c r="U23" s="313"/>
      <c r="V23" s="313"/>
      <c r="W23" s="313"/>
    </row>
    <row r="24" spans="1:24" ht="15">
      <c r="B24" s="1219"/>
      <c r="C24" s="707"/>
      <c r="D24" s="699"/>
      <c r="E24" s="699"/>
      <c r="F24" s="699"/>
      <c r="G24" s="712"/>
      <c r="H24" s="707"/>
      <c r="I24" s="708"/>
      <c r="J24" s="709"/>
      <c r="K24" s="700"/>
      <c r="L24" s="1228"/>
      <c r="M24" s="699"/>
      <c r="N24" s="699"/>
      <c r="O24" s="699"/>
      <c r="P24" s="707"/>
      <c r="Q24" s="313"/>
      <c r="S24" s="313"/>
      <c r="T24" s="313"/>
      <c r="U24" s="313"/>
      <c r="V24" s="313"/>
      <c r="W24" s="313"/>
    </row>
    <row r="25" spans="1:24" ht="15">
      <c r="B25" s="1219"/>
      <c r="C25" s="639" t="s">
        <v>63</v>
      </c>
      <c r="D25" s="707"/>
      <c r="E25" s="707"/>
      <c r="F25" s="707"/>
      <c r="G25" s="712"/>
      <c r="H25" s="710"/>
      <c r="I25" s="699"/>
      <c r="J25" s="707"/>
      <c r="K25" s="709"/>
      <c r="L25" s="1217"/>
      <c r="M25" s="322"/>
      <c r="N25" s="322"/>
      <c r="O25" s="322"/>
      <c r="P25" s="322"/>
      <c r="Q25" s="325"/>
      <c r="R25" s="313"/>
      <c r="S25" s="313"/>
      <c r="T25" s="313"/>
      <c r="U25" s="313"/>
      <c r="V25" s="313"/>
      <c r="W25" s="313"/>
      <c r="X25" s="313"/>
    </row>
    <row r="26" spans="1:24" ht="15">
      <c r="B26" s="1219"/>
      <c r="C26" s="711" t="s">
        <v>759</v>
      </c>
      <c r="D26" s="1208">
        <f>Set_up_IR!B13</f>
        <v>159620</v>
      </c>
      <c r="E26" s="712"/>
      <c r="F26" s="713"/>
      <c r="G26" s="712"/>
      <c r="H26" s="712"/>
      <c r="I26" s="712"/>
      <c r="J26" s="707"/>
      <c r="K26" s="709"/>
      <c r="L26" s="1217"/>
      <c r="M26" s="322"/>
      <c r="N26" s="322"/>
      <c r="O26" s="322"/>
      <c r="P26" s="322"/>
      <c r="Q26" s="325"/>
      <c r="R26" s="313"/>
      <c r="S26" s="313"/>
      <c r="T26" s="313"/>
      <c r="U26" s="313"/>
      <c r="V26" s="313"/>
      <c r="W26" s="313"/>
      <c r="X26" s="313"/>
    </row>
    <row r="27" spans="1:24" ht="15">
      <c r="B27" s="1219"/>
      <c r="C27" s="707"/>
      <c r="D27" s="714"/>
      <c r="E27" s="699"/>
      <c r="F27" s="699"/>
      <c r="G27" s="712"/>
      <c r="H27" s="709"/>
      <c r="I27" s="707"/>
      <c r="J27" s="709"/>
      <c r="K27" s="712"/>
      <c r="L27" s="1217"/>
      <c r="M27" s="322"/>
      <c r="N27" s="322"/>
      <c r="O27" s="322"/>
      <c r="P27" s="325"/>
      <c r="Q27" s="313"/>
      <c r="R27" s="313"/>
      <c r="S27" s="313"/>
      <c r="T27" s="313"/>
      <c r="U27" s="313"/>
      <c r="V27" s="313"/>
      <c r="W27" s="313"/>
    </row>
    <row r="28" spans="1:24" ht="15">
      <c r="B28" s="1219"/>
      <c r="C28" s="711" t="s">
        <v>73</v>
      </c>
      <c r="D28" s="1208">
        <f>Set_up_IR!B19</f>
        <v>19924</v>
      </c>
      <c r="E28" s="712"/>
      <c r="F28" s="713"/>
      <c r="G28" s="712"/>
      <c r="H28" s="709"/>
      <c r="I28" s="712"/>
      <c r="J28" s="709"/>
      <c r="K28" s="712"/>
      <c r="L28" s="1217"/>
      <c r="M28" s="322"/>
      <c r="N28" s="322"/>
      <c r="O28" s="322"/>
      <c r="P28" s="325"/>
      <c r="Q28" s="313"/>
      <c r="R28" s="313"/>
      <c r="S28" s="313"/>
      <c r="T28" s="313"/>
      <c r="U28" s="313"/>
      <c r="V28" s="313"/>
      <c r="W28" s="313"/>
    </row>
    <row r="29" spans="1:24" ht="15">
      <c r="B29" s="1219"/>
      <c r="C29" s="707"/>
      <c r="D29" s="714"/>
      <c r="E29" s="699"/>
      <c r="F29" s="699"/>
      <c r="G29" s="712"/>
      <c r="H29" s="709"/>
      <c r="I29" s="708"/>
      <c r="J29" s="709"/>
      <c r="K29" s="712"/>
      <c r="L29" s="1217"/>
      <c r="M29" s="322"/>
      <c r="N29" s="322"/>
      <c r="O29" s="322"/>
      <c r="P29" s="325"/>
      <c r="Q29" s="313"/>
      <c r="R29" s="313"/>
      <c r="S29" s="313"/>
      <c r="T29" s="313"/>
      <c r="U29" s="313"/>
      <c r="V29" s="313"/>
      <c r="W29" s="313"/>
    </row>
    <row r="30" spans="1:24" ht="15">
      <c r="B30" s="1219"/>
      <c r="C30" s="707"/>
      <c r="D30" s="714"/>
      <c r="E30" s="699"/>
      <c r="F30" s="699"/>
      <c r="G30" s="708"/>
      <c r="H30" s="709"/>
      <c r="I30" s="709"/>
      <c r="J30" s="709"/>
      <c r="K30" s="712"/>
      <c r="L30" s="1217"/>
      <c r="M30" s="322"/>
      <c r="N30" s="322"/>
      <c r="O30" s="322"/>
      <c r="P30" s="325"/>
      <c r="Q30" s="313"/>
      <c r="R30" s="313"/>
      <c r="S30" s="313"/>
      <c r="T30" s="313"/>
      <c r="U30" s="313"/>
      <c r="V30" s="313"/>
      <c r="W30" s="313"/>
    </row>
    <row r="31" spans="1:24">
      <c r="B31" s="1220"/>
      <c r="C31" s="2176"/>
      <c r="D31" s="2177"/>
      <c r="E31" s="2177"/>
      <c r="F31" s="2177"/>
      <c r="G31" s="2176"/>
      <c r="H31" s="2176"/>
      <c r="I31" s="2176"/>
      <c r="J31" s="2176"/>
      <c r="K31" s="699"/>
      <c r="L31" s="2178"/>
      <c r="N31" s="313"/>
      <c r="O31" s="313"/>
      <c r="P31" s="313"/>
      <c r="Q31" s="313"/>
      <c r="R31" s="313"/>
      <c r="S31" s="313"/>
      <c r="T31" s="313"/>
      <c r="U31" s="313"/>
      <c r="V31" s="313"/>
      <c r="W31" s="313"/>
    </row>
    <row r="32" spans="1:24" ht="15">
      <c r="B32" s="2458" t="s">
        <v>102</v>
      </c>
      <c r="C32" s="2459"/>
      <c r="D32" s="2459"/>
      <c r="E32" s="2459"/>
      <c r="F32" s="2459"/>
      <c r="G32" s="2459"/>
      <c r="H32" s="2459"/>
      <c r="I32" s="2459"/>
      <c r="J32" s="2459"/>
      <c r="K32" s="2459"/>
      <c r="L32" s="2460"/>
      <c r="M32" s="322"/>
      <c r="N32" s="322"/>
      <c r="O32" s="322"/>
      <c r="P32" s="313"/>
      <c r="Q32" s="313"/>
      <c r="S32" s="313"/>
      <c r="T32" s="316"/>
      <c r="U32" s="313"/>
      <c r="V32" s="313"/>
      <c r="W32" s="313"/>
    </row>
    <row r="33" spans="2:24" ht="15" customHeight="1">
      <c r="B33" s="1218"/>
      <c r="C33" s="715"/>
      <c r="D33" s="715"/>
      <c r="E33" s="716"/>
      <c r="F33" s="716"/>
      <c r="G33" s="717"/>
      <c r="H33" s="716"/>
      <c r="I33" s="717"/>
      <c r="J33" s="717"/>
      <c r="K33" s="716"/>
      <c r="L33" s="2179"/>
      <c r="M33" s="327"/>
      <c r="N33" s="313"/>
      <c r="O33" s="313"/>
      <c r="P33" s="313"/>
      <c r="Q33" s="313"/>
      <c r="R33" s="313"/>
      <c r="S33" s="313"/>
      <c r="T33" s="313"/>
      <c r="U33" s="313"/>
      <c r="V33" s="313"/>
      <c r="W33" s="313"/>
      <c r="X33" s="313"/>
    </row>
    <row r="34" spans="2:24" ht="15" customHeight="1">
      <c r="B34" s="1219"/>
      <c r="C34" s="1224" t="s">
        <v>758</v>
      </c>
      <c r="D34" s="1225" t="s">
        <v>757</v>
      </c>
      <c r="E34" s="716"/>
      <c r="F34" s="716"/>
      <c r="G34" s="717"/>
      <c r="H34" s="716"/>
      <c r="I34" s="717"/>
      <c r="J34" s="717"/>
      <c r="K34" s="716"/>
      <c r="L34" s="1222"/>
      <c r="M34" s="716"/>
      <c r="N34" s="313"/>
      <c r="O34" s="313"/>
      <c r="P34" s="313"/>
      <c r="Q34" s="313"/>
      <c r="R34" s="313"/>
      <c r="S34" s="313"/>
      <c r="T34" s="313"/>
      <c r="U34" s="313"/>
      <c r="V34" s="313"/>
      <c r="W34" s="313"/>
      <c r="X34" s="313"/>
    </row>
    <row r="35" spans="2:24" ht="15" customHeight="1">
      <c r="B35" s="1219"/>
      <c r="C35" s="711" t="str">
        <f>C26</f>
        <v xml:space="preserve">Ambulance service </v>
      </c>
      <c r="D35" s="1510">
        <v>99571</v>
      </c>
      <c r="E35" s="716"/>
      <c r="F35" s="716"/>
      <c r="G35" s="717"/>
      <c r="H35" s="716"/>
      <c r="I35" s="717"/>
      <c r="J35" s="717"/>
      <c r="K35" s="716"/>
      <c r="L35" s="1222"/>
      <c r="M35" s="716"/>
      <c r="N35" s="313"/>
      <c r="O35" s="313"/>
      <c r="P35" s="313"/>
      <c r="Q35" s="313"/>
      <c r="R35" s="313"/>
      <c r="S35" s="313"/>
      <c r="T35" s="313"/>
      <c r="U35" s="313"/>
      <c r="V35" s="313"/>
      <c r="W35" s="313"/>
      <c r="X35" s="313"/>
    </row>
    <row r="36" spans="2:24" ht="29.25" customHeight="1">
      <c r="B36" s="1219"/>
      <c r="C36" s="711" t="s">
        <v>937</v>
      </c>
      <c r="D36" s="1511">
        <v>0.05</v>
      </c>
      <c r="E36" s="716"/>
      <c r="F36" s="716"/>
      <c r="G36" s="717"/>
      <c r="H36" s="716"/>
      <c r="I36" s="717"/>
      <c r="J36" s="717"/>
      <c r="K36" s="716"/>
      <c r="L36" s="1222"/>
      <c r="M36" s="716"/>
      <c r="N36" s="313"/>
      <c r="O36" s="313"/>
      <c r="P36" s="313"/>
      <c r="Q36" s="313"/>
      <c r="R36" s="313"/>
      <c r="S36" s="313"/>
      <c r="T36" s="313"/>
      <c r="U36" s="313"/>
      <c r="V36" s="313"/>
      <c r="W36" s="313"/>
      <c r="X36" s="313"/>
    </row>
    <row r="37" spans="2:24" ht="30.75" customHeight="1">
      <c r="B37" s="1219"/>
      <c r="C37" s="711" t="s">
        <v>938</v>
      </c>
      <c r="D37" s="1512">
        <f>D36*D35</f>
        <v>4978.55</v>
      </c>
      <c r="E37" s="716"/>
      <c r="F37" s="716"/>
      <c r="G37" s="717"/>
      <c r="H37" s="716"/>
      <c r="I37" s="717"/>
      <c r="J37" s="717"/>
      <c r="K37" s="716"/>
      <c r="L37" s="1222"/>
      <c r="M37" s="716"/>
      <c r="N37" s="313"/>
      <c r="O37" s="313"/>
      <c r="P37" s="313"/>
      <c r="Q37" s="313"/>
      <c r="R37" s="313"/>
      <c r="S37" s="313"/>
      <c r="T37" s="313"/>
      <c r="U37" s="313"/>
      <c r="V37" s="313"/>
      <c r="W37" s="313"/>
      <c r="X37" s="313"/>
    </row>
    <row r="38" spans="2:24" ht="30.75" customHeight="1">
      <c r="B38" s="1219"/>
      <c r="C38" s="1513"/>
      <c r="D38" s="1514"/>
      <c r="E38" s="716"/>
      <c r="F38" s="716"/>
      <c r="G38" s="717"/>
      <c r="H38" s="716"/>
      <c r="I38" s="717"/>
      <c r="J38" s="717"/>
      <c r="K38" s="716"/>
      <c r="L38" s="1509"/>
      <c r="M38" s="716"/>
      <c r="N38" s="313"/>
      <c r="O38" s="313"/>
      <c r="P38" s="313"/>
      <c r="Q38" s="313"/>
      <c r="R38" s="313"/>
      <c r="S38" s="313"/>
      <c r="T38" s="313"/>
      <c r="U38" s="313"/>
      <c r="V38" s="313"/>
      <c r="W38" s="313"/>
      <c r="X38" s="313"/>
    </row>
    <row r="39" spans="2:24" s="328" customFormat="1" ht="45">
      <c r="B39" s="1236"/>
      <c r="C39" s="1515" t="s">
        <v>940</v>
      </c>
      <c r="D39" s="1225" t="s">
        <v>941</v>
      </c>
      <c r="E39" s="718"/>
      <c r="F39" s="718"/>
      <c r="G39" s="718"/>
      <c r="H39" s="718"/>
      <c r="I39" s="718"/>
      <c r="J39" s="2147" t="s">
        <v>1001</v>
      </c>
      <c r="K39" s="2121" t="s">
        <v>121</v>
      </c>
      <c r="L39" s="1134" t="s">
        <v>148</v>
      </c>
    </row>
    <row r="40" spans="2:24" s="328" customFormat="1" ht="15" customHeight="1">
      <c r="B40" s="1236"/>
      <c r="C40" s="722" t="s">
        <v>69</v>
      </c>
      <c r="D40" s="1516">
        <v>0.01</v>
      </c>
      <c r="E40" s="718"/>
      <c r="F40" s="718"/>
      <c r="G40" s="718"/>
      <c r="H40" s="718"/>
      <c r="I40" s="718"/>
      <c r="J40" s="2180" t="str">
        <f t="shared" ref="J40:J55" si="0">C40</f>
        <v>Emergency bed days</v>
      </c>
      <c r="K40" s="960">
        <f t="shared" ref="K40:K55" si="1">D40*$D$37</f>
        <v>49.785500000000006</v>
      </c>
      <c r="L40" s="1226">
        <f>SIGN(K40)*INT(ABS(K40)/E71)*E71</f>
        <v>0</v>
      </c>
    </row>
    <row r="41" spans="2:24" ht="15" customHeight="1">
      <c r="B41" s="1219"/>
      <c r="C41" s="722" t="s">
        <v>43</v>
      </c>
      <c r="D41" s="1516">
        <v>0</v>
      </c>
      <c r="E41" s="712"/>
      <c r="F41" s="719"/>
      <c r="G41" s="712"/>
      <c r="H41" s="712"/>
      <c r="I41" s="712"/>
      <c r="J41" s="961" t="str">
        <f t="shared" si="0"/>
        <v>ED attends</v>
      </c>
      <c r="K41" s="960">
        <f t="shared" si="1"/>
        <v>0</v>
      </c>
      <c r="L41" s="1227">
        <f>SIGN(K41)*INT(ABS(K41)/E72)*E72</f>
        <v>0</v>
      </c>
      <c r="M41" s="327"/>
      <c r="N41" s="313"/>
      <c r="O41" s="313"/>
      <c r="P41" s="313"/>
      <c r="Q41" s="313"/>
      <c r="R41" s="313"/>
      <c r="S41" s="313"/>
      <c r="T41" s="313"/>
      <c r="U41" s="313"/>
      <c r="V41" s="313"/>
      <c r="W41" s="313"/>
      <c r="X41" s="313"/>
    </row>
    <row r="42" spans="2:24" ht="15" customHeight="1">
      <c r="B42" s="1219"/>
      <c r="C42" s="722" t="s">
        <v>49</v>
      </c>
      <c r="D42" s="1517">
        <f>D50</f>
        <v>0.7</v>
      </c>
      <c r="E42" s="712"/>
      <c r="F42" s="719"/>
      <c r="G42" s="712"/>
      <c r="H42" s="712"/>
      <c r="I42" s="712"/>
      <c r="J42" s="2180" t="str">
        <f t="shared" si="0"/>
        <v>ED Minor attends</v>
      </c>
      <c r="K42" s="960">
        <f t="shared" si="1"/>
        <v>3484.9850000000001</v>
      </c>
      <c r="L42" s="1227">
        <f t="shared" ref="L42:L55" si="2">SIGN(K42)*INT(ABS(K42)/E73)*E73</f>
        <v>0</v>
      </c>
      <c r="M42" s="327"/>
      <c r="N42" s="313"/>
      <c r="O42" s="313"/>
      <c r="P42" s="313"/>
      <c r="Q42" s="313"/>
      <c r="R42" s="313"/>
      <c r="S42" s="313"/>
      <c r="T42" s="313"/>
      <c r="U42" s="313"/>
      <c r="V42" s="313"/>
      <c r="W42" s="313"/>
      <c r="X42" s="313"/>
    </row>
    <row r="43" spans="2:24" ht="15" customHeight="1">
      <c r="B43" s="1237"/>
      <c r="C43" s="722" t="s">
        <v>67</v>
      </c>
      <c r="D43" s="1516">
        <v>0.2</v>
      </c>
      <c r="E43" s="712"/>
      <c r="F43" s="707"/>
      <c r="G43" s="712"/>
      <c r="H43" s="712"/>
      <c r="I43" s="712"/>
      <c r="J43" s="2180" t="str">
        <f t="shared" si="0"/>
        <v>UCC attends</v>
      </c>
      <c r="K43" s="960">
        <f t="shared" si="1"/>
        <v>995.71</v>
      </c>
      <c r="L43" s="1227">
        <f t="shared" si="2"/>
        <v>0</v>
      </c>
      <c r="M43" s="699"/>
      <c r="N43" s="313"/>
      <c r="O43" s="313"/>
      <c r="P43" s="313"/>
      <c r="Q43" s="313"/>
      <c r="R43" s="313"/>
      <c r="S43" s="313"/>
      <c r="T43" s="313"/>
      <c r="U43" s="313"/>
      <c r="V43" s="313"/>
    </row>
    <row r="44" spans="2:24" s="328" customFormat="1" ht="15" customHeight="1">
      <c r="B44" s="1238"/>
      <c r="C44" s="722" t="s">
        <v>44</v>
      </c>
      <c r="D44" s="1516">
        <v>0</v>
      </c>
      <c r="E44" s="718"/>
      <c r="F44" s="721"/>
      <c r="G44" s="718"/>
      <c r="H44" s="718"/>
      <c r="I44" s="718"/>
      <c r="J44" s="2180" t="str">
        <f t="shared" si="0"/>
        <v>OOH clinic visits</v>
      </c>
      <c r="K44" s="960">
        <f t="shared" si="1"/>
        <v>0</v>
      </c>
      <c r="L44" s="1227">
        <f t="shared" si="2"/>
        <v>0</v>
      </c>
      <c r="M44" s="962"/>
      <c r="N44" s="329"/>
      <c r="O44" s="329"/>
      <c r="P44" s="329"/>
      <c r="Q44" s="329"/>
      <c r="R44" s="329"/>
      <c r="S44" s="313"/>
      <c r="T44" s="329"/>
      <c r="U44" s="329"/>
      <c r="V44" s="329"/>
    </row>
    <row r="45" spans="2:24" ht="15" customHeight="1">
      <c r="B45" s="1219"/>
      <c r="C45" s="722" t="s">
        <v>45</v>
      </c>
      <c r="D45" s="1516">
        <v>0.05</v>
      </c>
      <c r="E45" s="712"/>
      <c r="F45" s="717"/>
      <c r="G45" s="712"/>
      <c r="H45" s="712"/>
      <c r="I45" s="712"/>
      <c r="J45" s="2180" t="str">
        <f t="shared" si="0"/>
        <v>OOH home visits</v>
      </c>
      <c r="K45" s="960">
        <f t="shared" si="1"/>
        <v>248.92750000000001</v>
      </c>
      <c r="L45" s="1227">
        <f t="shared" si="2"/>
        <v>0</v>
      </c>
      <c r="M45" s="699"/>
      <c r="N45" s="313"/>
      <c r="O45" s="313"/>
      <c r="P45" s="313"/>
      <c r="Q45" s="313"/>
      <c r="R45" s="313"/>
      <c r="S45" s="313"/>
      <c r="T45" s="313"/>
      <c r="U45" s="313"/>
      <c r="V45" s="313"/>
      <c r="W45" s="313"/>
    </row>
    <row r="46" spans="2:24" ht="15" customHeight="1">
      <c r="B46" s="1219"/>
      <c r="C46" s="1230" t="s">
        <v>50</v>
      </c>
      <c r="D46" s="1518">
        <v>0</v>
      </c>
      <c r="E46" s="712"/>
      <c r="F46" s="717"/>
      <c r="G46" s="712"/>
      <c r="H46" s="712"/>
      <c r="I46" s="712"/>
      <c r="J46" s="2180" t="str">
        <f t="shared" si="0"/>
        <v>111 calls (call handler)</v>
      </c>
      <c r="K46" s="960">
        <f t="shared" si="1"/>
        <v>0</v>
      </c>
      <c r="L46" s="1227">
        <f t="shared" si="2"/>
        <v>0</v>
      </c>
      <c r="M46" s="699"/>
      <c r="N46" s="313"/>
      <c r="O46" s="313"/>
      <c r="P46" s="313"/>
      <c r="Q46" s="313"/>
      <c r="R46" s="313"/>
      <c r="S46" s="313"/>
      <c r="T46" s="313"/>
      <c r="U46" s="313"/>
      <c r="V46" s="313"/>
      <c r="W46" s="313"/>
    </row>
    <row r="47" spans="2:24" ht="15" customHeight="1">
      <c r="B47" s="1219"/>
      <c r="C47" s="722" t="s">
        <v>51</v>
      </c>
      <c r="D47" s="1516">
        <v>0</v>
      </c>
      <c r="E47" s="712"/>
      <c r="F47" s="717"/>
      <c r="G47" s="712"/>
      <c r="H47" s="712"/>
      <c r="I47" s="712"/>
      <c r="J47" s="2180" t="str">
        <f t="shared" si="0"/>
        <v>111 calls (clinical advisor)</v>
      </c>
      <c r="K47" s="960">
        <f t="shared" si="1"/>
        <v>0</v>
      </c>
      <c r="L47" s="1227">
        <f t="shared" si="2"/>
        <v>0</v>
      </c>
      <c r="M47" s="699"/>
      <c r="N47" s="313"/>
      <c r="O47" s="313"/>
      <c r="P47" s="313"/>
      <c r="Q47" s="313"/>
      <c r="R47" s="313"/>
      <c r="S47" s="313"/>
      <c r="T47" s="313"/>
      <c r="U47" s="313"/>
      <c r="V47" s="313"/>
      <c r="W47" s="313"/>
    </row>
    <row r="48" spans="2:24" ht="15">
      <c r="B48" s="1219"/>
      <c r="C48" s="722" t="s">
        <v>41</v>
      </c>
      <c r="D48" s="1516">
        <v>0</v>
      </c>
      <c r="E48" s="712"/>
      <c r="F48" s="717"/>
      <c r="G48" s="712"/>
      <c r="H48" s="712"/>
      <c r="I48" s="712"/>
      <c r="J48" s="2181" t="str">
        <f t="shared" si="0"/>
        <v>Community pharmacy attends</v>
      </c>
      <c r="K48" s="1231">
        <f t="shared" si="1"/>
        <v>0</v>
      </c>
      <c r="L48" s="1232">
        <f t="shared" si="2"/>
        <v>0</v>
      </c>
      <c r="M48" s="699"/>
      <c r="N48" s="313"/>
      <c r="O48" s="313"/>
      <c r="P48" s="313"/>
      <c r="Q48" s="313"/>
      <c r="R48" s="313"/>
      <c r="S48" s="313"/>
      <c r="T48" s="313"/>
      <c r="U48" s="313"/>
      <c r="V48" s="313"/>
      <c r="W48" s="313"/>
    </row>
    <row r="49" spans="2:24" ht="15" customHeight="1">
      <c r="B49" s="1219"/>
      <c r="C49" s="722" t="s">
        <v>76</v>
      </c>
      <c r="D49" s="1517">
        <f>-D50</f>
        <v>-0.7</v>
      </c>
      <c r="E49" s="712"/>
      <c r="F49" s="717"/>
      <c r="G49" s="712"/>
      <c r="H49" s="712"/>
      <c r="I49" s="712"/>
      <c r="J49" s="2180" t="str">
        <f t="shared" si="0"/>
        <v>Ambulance - See and treat</v>
      </c>
      <c r="K49" s="960">
        <f t="shared" si="1"/>
        <v>-3484.9850000000001</v>
      </c>
      <c r="L49" s="1227">
        <f t="shared" si="2"/>
        <v>-3150</v>
      </c>
      <c r="M49" s="699"/>
      <c r="N49" s="313"/>
      <c r="O49" s="313"/>
      <c r="P49" s="313"/>
      <c r="Q49" s="313"/>
      <c r="R49" s="313"/>
      <c r="S49" s="313"/>
      <c r="T49" s="313"/>
      <c r="U49" s="313"/>
      <c r="V49" s="313"/>
      <c r="W49" s="313"/>
    </row>
    <row r="50" spans="2:24" ht="15" customHeight="1">
      <c r="B50" s="1219"/>
      <c r="C50" s="722" t="s">
        <v>46</v>
      </c>
      <c r="D50" s="1516">
        <v>0.7</v>
      </c>
      <c r="E50" s="712"/>
      <c r="F50" s="717"/>
      <c r="G50" s="712"/>
      <c r="H50" s="712"/>
      <c r="I50" s="712"/>
      <c r="J50" s="2180" t="str">
        <f t="shared" si="0"/>
        <v>Ambulance - see and convey to ED</v>
      </c>
      <c r="K50" s="960">
        <f t="shared" si="1"/>
        <v>3484.9850000000001</v>
      </c>
      <c r="L50" s="1227">
        <f t="shared" si="2"/>
        <v>3150</v>
      </c>
      <c r="M50" s="699"/>
      <c r="N50" s="313"/>
      <c r="O50" s="313"/>
      <c r="P50" s="313"/>
      <c r="Q50" s="313"/>
      <c r="R50" s="313"/>
      <c r="S50" s="313"/>
      <c r="T50" s="313"/>
      <c r="U50" s="313"/>
      <c r="V50" s="313"/>
      <c r="W50" s="313"/>
    </row>
    <row r="51" spans="2:24" ht="15" customHeight="1">
      <c r="B51" s="1219"/>
      <c r="C51" s="722" t="s">
        <v>30</v>
      </c>
      <c r="D51" s="1516">
        <v>0.2</v>
      </c>
      <c r="E51" s="712"/>
      <c r="F51" s="717"/>
      <c r="G51" s="712"/>
      <c r="H51" s="712"/>
      <c r="I51" s="712"/>
      <c r="J51" s="2180" t="str">
        <f t="shared" si="0"/>
        <v>Community contacts</v>
      </c>
      <c r="K51" s="960">
        <f t="shared" si="1"/>
        <v>995.71</v>
      </c>
      <c r="L51" s="1227">
        <f t="shared" si="2"/>
        <v>0</v>
      </c>
      <c r="M51" s="699"/>
      <c r="N51" s="313"/>
      <c r="O51" s="313"/>
      <c r="P51" s="313"/>
      <c r="Q51" s="313"/>
      <c r="R51" s="313"/>
      <c r="S51" s="313"/>
      <c r="T51" s="313"/>
      <c r="U51" s="313"/>
      <c r="V51" s="313"/>
      <c r="W51" s="313"/>
    </row>
    <row r="52" spans="2:24" ht="15" customHeight="1">
      <c r="B52" s="1219"/>
      <c r="C52" s="722" t="s">
        <v>48</v>
      </c>
      <c r="D52" s="1516">
        <v>0</v>
      </c>
      <c r="E52" s="712"/>
      <c r="F52" s="717"/>
      <c r="G52" s="712"/>
      <c r="H52" s="712"/>
      <c r="I52" s="712"/>
      <c r="J52" s="2180" t="str">
        <f t="shared" si="0"/>
        <v>Intermediate care bed days</v>
      </c>
      <c r="K52" s="960">
        <f t="shared" si="1"/>
        <v>0</v>
      </c>
      <c r="L52" s="1227">
        <f t="shared" si="2"/>
        <v>0</v>
      </c>
      <c r="M52" s="699"/>
      <c r="N52" s="313"/>
      <c r="O52" s="313"/>
      <c r="P52" s="313"/>
      <c r="Q52" s="313"/>
      <c r="R52" s="313"/>
      <c r="S52" s="313"/>
      <c r="T52" s="313"/>
      <c r="U52" s="313"/>
      <c r="V52" s="313"/>
      <c r="W52" s="313"/>
    </row>
    <row r="53" spans="2:24" ht="15" customHeight="1">
      <c r="B53" s="1219"/>
      <c r="C53" s="722" t="s">
        <v>225</v>
      </c>
      <c r="D53" s="1516">
        <v>0</v>
      </c>
      <c r="E53" s="712"/>
      <c r="F53" s="717"/>
      <c r="G53" s="712"/>
      <c r="H53" s="712"/>
      <c r="I53" s="712"/>
      <c r="J53" s="2180" t="str">
        <f t="shared" si="0"/>
        <v>Social services domiciliary care</v>
      </c>
      <c r="K53" s="960">
        <f t="shared" si="1"/>
        <v>0</v>
      </c>
      <c r="L53" s="1227">
        <f t="shared" si="2"/>
        <v>0</v>
      </c>
      <c r="M53" s="699"/>
      <c r="N53" s="313"/>
      <c r="O53" s="313"/>
      <c r="P53" s="313"/>
      <c r="Q53" s="313"/>
      <c r="R53" s="313"/>
      <c r="S53" s="313"/>
      <c r="T53" s="313"/>
      <c r="U53" s="313"/>
      <c r="V53" s="313"/>
      <c r="W53" s="313"/>
    </row>
    <row r="54" spans="2:24" ht="15" customHeight="1">
      <c r="B54" s="1219"/>
      <c r="C54" s="722" t="s">
        <v>32</v>
      </c>
      <c r="D54" s="1516">
        <v>-0.1</v>
      </c>
      <c r="E54" s="712"/>
      <c r="F54" s="717"/>
      <c r="G54" s="712"/>
      <c r="H54" s="712"/>
      <c r="I54" s="712"/>
      <c r="J54" s="2180" t="str">
        <f t="shared" si="0"/>
        <v>GP attends</v>
      </c>
      <c r="K54" s="960">
        <f t="shared" si="1"/>
        <v>-497.85500000000002</v>
      </c>
      <c r="L54" s="1227">
        <f t="shared" si="2"/>
        <v>-497</v>
      </c>
      <c r="M54" s="699"/>
      <c r="N54" s="313"/>
      <c r="O54" s="313"/>
      <c r="P54" s="313"/>
      <c r="Q54" s="313"/>
      <c r="R54" s="313"/>
      <c r="S54" s="313"/>
      <c r="T54" s="313"/>
      <c r="U54" s="313"/>
      <c r="V54" s="313"/>
      <c r="W54" s="313"/>
    </row>
    <row r="55" spans="2:24" ht="15" customHeight="1">
      <c r="B55" s="1219"/>
      <c r="C55" s="722" t="s">
        <v>34</v>
      </c>
      <c r="D55" s="1516">
        <v>-0.1</v>
      </c>
      <c r="E55" s="712"/>
      <c r="F55" s="717"/>
      <c r="G55" s="712"/>
      <c r="H55" s="712"/>
      <c r="I55" s="712"/>
      <c r="J55" s="2180" t="str">
        <f t="shared" si="0"/>
        <v>GP visits</v>
      </c>
      <c r="K55" s="960">
        <f t="shared" si="1"/>
        <v>-497.85500000000002</v>
      </c>
      <c r="L55" s="1227">
        <f t="shared" si="2"/>
        <v>-497</v>
      </c>
      <c r="M55" s="699"/>
      <c r="N55" s="313"/>
      <c r="O55" s="313"/>
      <c r="P55" s="313"/>
      <c r="Q55" s="313"/>
      <c r="R55" s="313"/>
      <c r="S55" s="313"/>
      <c r="T55" s="313"/>
      <c r="U55" s="313"/>
      <c r="V55" s="313"/>
      <c r="W55" s="313"/>
    </row>
    <row r="56" spans="2:24" ht="15" customHeight="1">
      <c r="B56" s="1219"/>
      <c r="C56" s="712"/>
      <c r="D56" s="712"/>
      <c r="E56" s="712"/>
      <c r="F56" s="717"/>
      <c r="G56" s="712"/>
      <c r="H56" s="712"/>
      <c r="I56" s="712"/>
      <c r="J56" s="717"/>
      <c r="K56" s="2182"/>
      <c r="L56" s="2183"/>
      <c r="M56" s="699"/>
      <c r="N56" s="313"/>
      <c r="O56" s="313"/>
      <c r="P56" s="313"/>
      <c r="Q56" s="313"/>
      <c r="R56" s="313"/>
      <c r="S56" s="313"/>
      <c r="T56" s="313"/>
      <c r="U56" s="313"/>
      <c r="V56" s="313"/>
      <c r="W56" s="313"/>
    </row>
    <row r="57" spans="2:24" ht="15" customHeight="1">
      <c r="B57" s="1219"/>
      <c r="C57" s="712"/>
      <c r="D57" s="712"/>
      <c r="E57" s="712"/>
      <c r="F57" s="717"/>
      <c r="G57" s="712"/>
      <c r="H57" s="712"/>
      <c r="I57" s="712"/>
      <c r="J57" s="712"/>
      <c r="K57" s="712"/>
      <c r="L57" s="2184"/>
      <c r="M57" s="699"/>
      <c r="N57" s="313"/>
      <c r="O57" s="313"/>
      <c r="P57" s="313"/>
      <c r="Q57" s="313"/>
      <c r="R57" s="313"/>
      <c r="S57" s="313"/>
      <c r="T57" s="313"/>
      <c r="U57" s="313"/>
      <c r="V57" s="313"/>
      <c r="W57" s="313"/>
    </row>
    <row r="58" spans="2:24" ht="39" customHeight="1">
      <c r="B58" s="1219"/>
      <c r="C58" s="712"/>
      <c r="D58" s="712"/>
      <c r="E58" s="712"/>
      <c r="F58" s="717"/>
      <c r="G58" s="712"/>
      <c r="H58" s="712"/>
      <c r="I58" s="712"/>
      <c r="J58" s="2147" t="s">
        <v>1032</v>
      </c>
      <c r="K58" s="691" t="s">
        <v>661</v>
      </c>
      <c r="L58" s="1173" t="s">
        <v>120</v>
      </c>
      <c r="M58" s="699"/>
      <c r="N58" s="313"/>
      <c r="O58" s="313"/>
      <c r="P58" s="313"/>
      <c r="Q58" s="313"/>
      <c r="R58" s="313"/>
      <c r="S58" s="313"/>
      <c r="T58" s="313"/>
      <c r="U58" s="313"/>
      <c r="V58" s="313"/>
      <c r="W58" s="313"/>
    </row>
    <row r="59" spans="2:24" ht="15" customHeight="1">
      <c r="B59" s="1219"/>
      <c r="C59" s="712"/>
      <c r="D59" s="712"/>
      <c r="E59" s="712"/>
      <c r="F59" s="717"/>
      <c r="G59" s="712"/>
      <c r="H59" s="712"/>
      <c r="I59" s="712"/>
      <c r="J59" s="711" t="str">
        <f t="shared" ref="J59:J74" si="3">C40</f>
        <v>Emergency bed days</v>
      </c>
      <c r="K59" s="1133">
        <f>K40*D71</f>
        <v>23476.592848158991</v>
      </c>
      <c r="L59" s="1135">
        <f>(K40-L40)*F71+(L40*G71)</f>
        <v>3803.0051750616335</v>
      </c>
      <c r="M59" s="699"/>
      <c r="N59" s="313"/>
      <c r="O59" s="313"/>
      <c r="P59" s="313"/>
      <c r="Q59" s="313"/>
      <c r="R59" s="313"/>
      <c r="S59" s="313"/>
      <c r="T59" s="313"/>
      <c r="U59" s="313"/>
      <c r="V59" s="313"/>
      <c r="W59" s="313"/>
    </row>
    <row r="60" spans="2:24" ht="15" customHeight="1">
      <c r="B60" s="1219"/>
      <c r="C60" s="712"/>
      <c r="D60" s="712"/>
      <c r="E60" s="712"/>
      <c r="F60" s="716"/>
      <c r="G60" s="712"/>
      <c r="H60" s="712"/>
      <c r="I60" s="712"/>
      <c r="J60" s="711" t="str">
        <f t="shared" si="3"/>
        <v>ED attends</v>
      </c>
      <c r="K60" s="1133">
        <f>K41*D72</f>
        <v>0</v>
      </c>
      <c r="L60" s="1135">
        <f>(K41-L41)*F72+(L41*G72)</f>
        <v>0</v>
      </c>
      <c r="M60" s="716"/>
      <c r="N60" s="313"/>
      <c r="O60" s="313"/>
      <c r="P60" s="313"/>
      <c r="Q60" s="313"/>
      <c r="R60" s="313"/>
      <c r="S60" s="313"/>
      <c r="T60" s="313"/>
      <c r="U60" s="313"/>
      <c r="V60" s="313"/>
      <c r="W60" s="313"/>
      <c r="X60" s="313"/>
    </row>
    <row r="61" spans="2:24" ht="15" customHeight="1">
      <c r="B61" s="1219"/>
      <c r="C61" s="712"/>
      <c r="D61" s="712"/>
      <c r="E61" s="712"/>
      <c r="F61" s="716"/>
      <c r="G61" s="712"/>
      <c r="H61" s="712"/>
      <c r="I61" s="712"/>
      <c r="J61" s="711" t="str">
        <f t="shared" si="3"/>
        <v>ED Minor attends</v>
      </c>
      <c r="K61" s="1133">
        <f t="shared" ref="K61:K74" si="4">K42*D73</f>
        <v>312021.51345197734</v>
      </c>
      <c r="L61" s="1135">
        <f t="shared" ref="L61:L74" si="5">(K42-L42)*F73+(L42*G73)</f>
        <v>38019.213143518973</v>
      </c>
      <c r="M61" s="716"/>
      <c r="N61" s="313"/>
      <c r="O61" s="313"/>
      <c r="P61" s="313"/>
      <c r="Q61" s="313"/>
      <c r="R61" s="313"/>
      <c r="S61" s="313"/>
      <c r="T61" s="313"/>
      <c r="U61" s="313"/>
      <c r="V61" s="313"/>
      <c r="W61" s="313"/>
      <c r="X61" s="313"/>
    </row>
    <row r="62" spans="2:24" ht="15" customHeight="1">
      <c r="B62" s="1219"/>
      <c r="C62" s="712"/>
      <c r="D62" s="712"/>
      <c r="E62" s="712"/>
      <c r="F62" s="712"/>
      <c r="G62" s="712"/>
      <c r="H62" s="712"/>
      <c r="I62" s="712"/>
      <c r="J62" s="711" t="str">
        <f t="shared" si="3"/>
        <v>UCC attends</v>
      </c>
      <c r="K62" s="1133">
        <f t="shared" si="4"/>
        <v>56755.47</v>
      </c>
      <c r="L62" s="1135">
        <f t="shared" si="5"/>
        <v>4341.2955999999995</v>
      </c>
      <c r="M62" s="699"/>
      <c r="N62" s="313"/>
      <c r="O62" s="313"/>
      <c r="P62" s="313"/>
      <c r="Q62" s="313"/>
      <c r="R62" s="313"/>
      <c r="S62" s="313"/>
      <c r="T62" s="313"/>
      <c r="U62" s="313"/>
      <c r="V62" s="313"/>
    </row>
    <row r="63" spans="2:24" ht="15" customHeight="1">
      <c r="B63" s="1219"/>
      <c r="C63" s="712"/>
      <c r="D63" s="712"/>
      <c r="E63" s="712"/>
      <c r="F63" s="712"/>
      <c r="G63" s="712"/>
      <c r="H63" s="712"/>
      <c r="I63" s="712"/>
      <c r="J63" s="711" t="str">
        <f t="shared" si="3"/>
        <v>OOH clinic visits</v>
      </c>
      <c r="K63" s="1133">
        <f t="shared" si="4"/>
        <v>0</v>
      </c>
      <c r="L63" s="1135">
        <f t="shared" si="5"/>
        <v>0</v>
      </c>
      <c r="M63" s="699"/>
      <c r="N63" s="313"/>
      <c r="O63" s="313"/>
      <c r="P63" s="313"/>
      <c r="Q63" s="313"/>
      <c r="R63" s="313"/>
      <c r="S63" s="313"/>
      <c r="T63" s="313"/>
      <c r="U63" s="313"/>
      <c r="V63" s="313"/>
    </row>
    <row r="64" spans="2:24" ht="15" customHeight="1">
      <c r="B64" s="1219"/>
      <c r="C64" s="712"/>
      <c r="D64" s="712"/>
      <c r="E64" s="712"/>
      <c r="F64" s="712"/>
      <c r="G64" s="712"/>
      <c r="H64" s="712"/>
      <c r="I64" s="712"/>
      <c r="J64" s="711" t="str">
        <f t="shared" si="3"/>
        <v>OOH home visits</v>
      </c>
      <c r="K64" s="1133">
        <f t="shared" si="4"/>
        <v>37339.125</v>
      </c>
      <c r="L64" s="1135">
        <f t="shared" si="5"/>
        <v>4166.5030656892341</v>
      </c>
      <c r="M64" s="699"/>
      <c r="N64" s="313"/>
      <c r="O64" s="313"/>
      <c r="P64" s="313"/>
      <c r="Q64" s="313"/>
      <c r="R64" s="313"/>
      <c r="S64" s="313"/>
      <c r="T64" s="313"/>
      <c r="U64" s="313"/>
      <c r="V64" s="313"/>
    </row>
    <row r="65" spans="2:22" ht="15" customHeight="1">
      <c r="B65" s="1219"/>
      <c r="C65" s="712"/>
      <c r="D65" s="712"/>
      <c r="E65" s="712"/>
      <c r="F65" s="712"/>
      <c r="G65" s="712"/>
      <c r="H65" s="712"/>
      <c r="I65" s="712"/>
      <c r="J65" s="711" t="str">
        <f t="shared" si="3"/>
        <v>111 calls (call handler)</v>
      </c>
      <c r="K65" s="1133">
        <f t="shared" si="4"/>
        <v>0</v>
      </c>
      <c r="L65" s="1135">
        <f t="shared" si="5"/>
        <v>0</v>
      </c>
      <c r="M65" s="699"/>
      <c r="N65" s="313"/>
      <c r="O65" s="313"/>
      <c r="P65" s="313"/>
      <c r="Q65" s="313"/>
      <c r="R65" s="313"/>
      <c r="S65" s="313"/>
      <c r="T65" s="313"/>
      <c r="U65" s="313"/>
      <c r="V65" s="313"/>
    </row>
    <row r="66" spans="2:22" ht="15" customHeight="1">
      <c r="B66" s="1219"/>
      <c r="C66" s="712"/>
      <c r="D66" s="712"/>
      <c r="E66" s="712"/>
      <c r="F66" s="712"/>
      <c r="G66" s="712"/>
      <c r="H66" s="712"/>
      <c r="I66" s="712"/>
      <c r="J66" s="711" t="str">
        <f t="shared" si="3"/>
        <v>111 calls (clinical advisor)</v>
      </c>
      <c r="K66" s="1133">
        <f t="shared" si="4"/>
        <v>0</v>
      </c>
      <c r="L66" s="1135">
        <f t="shared" si="5"/>
        <v>0</v>
      </c>
      <c r="M66" s="699"/>
      <c r="N66" s="313"/>
      <c r="O66" s="313"/>
      <c r="P66" s="313"/>
      <c r="Q66" s="313"/>
      <c r="R66" s="313"/>
      <c r="S66" s="313"/>
      <c r="T66" s="313"/>
      <c r="U66" s="313"/>
      <c r="V66" s="313"/>
    </row>
    <row r="67" spans="2:22" ht="15" customHeight="1">
      <c r="B67" s="1219"/>
      <c r="C67" s="712"/>
      <c r="D67" s="712"/>
      <c r="E67" s="712"/>
      <c r="F67" s="712"/>
      <c r="G67" s="712"/>
      <c r="H67" s="712"/>
      <c r="I67" s="712"/>
      <c r="J67" s="711" t="str">
        <f t="shared" si="3"/>
        <v>Community pharmacy attends</v>
      </c>
      <c r="K67" s="1133">
        <f t="shared" si="4"/>
        <v>0</v>
      </c>
      <c r="L67" s="1135">
        <f t="shared" si="5"/>
        <v>0</v>
      </c>
      <c r="M67" s="699"/>
      <c r="N67" s="313"/>
      <c r="O67" s="313"/>
      <c r="P67" s="313"/>
      <c r="Q67" s="313"/>
      <c r="R67" s="313"/>
      <c r="S67" s="313"/>
      <c r="T67" s="313"/>
      <c r="U67" s="313"/>
      <c r="V67" s="313"/>
    </row>
    <row r="68" spans="2:22" ht="15" customHeight="1">
      <c r="B68" s="1219"/>
      <c r="C68" s="712"/>
      <c r="D68" s="712"/>
      <c r="E68" s="712"/>
      <c r="F68" s="712"/>
      <c r="G68" s="712"/>
      <c r="H68" s="712"/>
      <c r="I68" s="712"/>
      <c r="J68" s="711" t="str">
        <f t="shared" si="3"/>
        <v>Ambulance - See and treat</v>
      </c>
      <c r="K68" s="1133">
        <f t="shared" si="4"/>
        <v>-626710.48692600091</v>
      </c>
      <c r="L68" s="1135">
        <f t="shared" si="5"/>
        <v>-56294.705197499992</v>
      </c>
      <c r="M68" s="699"/>
      <c r="N68" s="313"/>
      <c r="O68" s="313"/>
      <c r="P68" s="313"/>
      <c r="Q68" s="313"/>
      <c r="R68" s="313"/>
      <c r="S68" s="313"/>
      <c r="T68" s="313"/>
      <c r="U68" s="313"/>
      <c r="V68" s="313"/>
    </row>
    <row r="69" spans="2:22" ht="15" customHeight="1">
      <c r="B69" s="1219"/>
      <c r="C69" s="712"/>
      <c r="D69" s="712"/>
      <c r="E69" s="712"/>
      <c r="F69" s="712"/>
      <c r="G69" s="712"/>
      <c r="H69" s="712"/>
      <c r="I69" s="712"/>
      <c r="J69" s="711" t="str">
        <f t="shared" si="3"/>
        <v>Ambulance - see and convey to ED</v>
      </c>
      <c r="K69" s="1133">
        <f t="shared" si="4"/>
        <v>812071.20709477924</v>
      </c>
      <c r="L69" s="1135">
        <f t="shared" si="5"/>
        <v>89730.348284499996</v>
      </c>
      <c r="M69" s="699"/>
      <c r="N69" s="313"/>
      <c r="O69" s="313"/>
      <c r="P69" s="313"/>
      <c r="Q69" s="313"/>
      <c r="R69" s="313"/>
      <c r="S69" s="313"/>
      <c r="T69" s="313"/>
      <c r="U69" s="313"/>
      <c r="V69" s="313"/>
    </row>
    <row r="70" spans="2:22" ht="44.25" customHeight="1">
      <c r="B70" s="1219"/>
      <c r="C70" s="582" t="s">
        <v>1214</v>
      </c>
      <c r="D70" s="2121" t="s">
        <v>660</v>
      </c>
      <c r="E70" s="2121" t="s">
        <v>974</v>
      </c>
      <c r="F70" s="2121" t="s">
        <v>144</v>
      </c>
      <c r="G70" s="2121" t="s">
        <v>561</v>
      </c>
      <c r="H70" s="712"/>
      <c r="I70" s="712"/>
      <c r="J70" s="1229" t="str">
        <f t="shared" si="3"/>
        <v>Community contacts</v>
      </c>
      <c r="K70" s="1133">
        <f t="shared" si="4"/>
        <v>37104.586661428606</v>
      </c>
      <c r="L70" s="1135">
        <f t="shared" si="5"/>
        <v>3812.4864653365539</v>
      </c>
      <c r="N70" s="313"/>
      <c r="O70" s="313"/>
      <c r="P70" s="313"/>
      <c r="Q70" s="313"/>
      <c r="R70" s="313"/>
      <c r="S70" s="313"/>
      <c r="T70" s="313"/>
      <c r="U70" s="313"/>
      <c r="V70" s="313"/>
    </row>
    <row r="71" spans="2:22" ht="15" customHeight="1">
      <c r="B71" s="1219"/>
      <c r="C71" s="722" t="s">
        <v>69</v>
      </c>
      <c r="D71" s="1194">
        <f>VLOOKUP($C71,local_data_input!$B$4:$K$20,2,FALSE)</f>
        <v>471.55482717174652</v>
      </c>
      <c r="E71" s="771">
        <f>VLOOKUP($C71,local_data_input!$B$4:$K$20,7,FALSE)</f>
        <v>2190</v>
      </c>
      <c r="F71" s="1194">
        <f>VLOOKUP($C71,local_data_input!$B$4:$K$20,8,FALSE)</f>
        <v>76.38780719409533</v>
      </c>
      <c r="G71" s="1194">
        <f>VLOOKUP($C71,local_data_input!$B$4:$K$20,9,FALSE)</f>
        <v>76.38780719409533</v>
      </c>
      <c r="H71" s="712"/>
      <c r="I71" s="712"/>
      <c r="J71" s="711" t="str">
        <f t="shared" si="3"/>
        <v>Intermediate care bed days</v>
      </c>
      <c r="K71" s="1133">
        <f t="shared" si="4"/>
        <v>0</v>
      </c>
      <c r="L71" s="1135">
        <f t="shared" si="5"/>
        <v>0</v>
      </c>
      <c r="N71" s="313"/>
      <c r="O71" s="313"/>
      <c r="P71" s="313"/>
      <c r="Q71" s="313"/>
      <c r="R71" s="313"/>
      <c r="S71" s="313"/>
      <c r="T71" s="313"/>
      <c r="U71" s="313"/>
      <c r="V71" s="313"/>
    </row>
    <row r="72" spans="2:22" ht="15" customHeight="1">
      <c r="B72" s="1219"/>
      <c r="C72" s="722" t="s">
        <v>43</v>
      </c>
      <c r="D72" s="1194">
        <f>VLOOKUP($C72,local_data_input!$B$4:$K$20,2,FALSE)</f>
        <v>154.19493390737</v>
      </c>
      <c r="E72" s="771">
        <f>VLOOKUP($C72,local_data_input!$B$4:$K$20,7,FALSE)</f>
        <v>4725</v>
      </c>
      <c r="F72" s="1194">
        <f>VLOOKUP($C72,local_data_input!$B$4:$K$20,8,FALSE)</f>
        <v>13.011251318371977</v>
      </c>
      <c r="G72" s="1194">
        <f>VLOOKUP($C72,local_data_input!$B$4:$K$20,9,FALSE)</f>
        <v>13.011251318371977</v>
      </c>
      <c r="H72" s="712"/>
      <c r="I72" s="712"/>
      <c r="J72" s="711" t="str">
        <f t="shared" si="3"/>
        <v>Social services domiciliary care</v>
      </c>
      <c r="K72" s="1133">
        <f t="shared" si="4"/>
        <v>0</v>
      </c>
      <c r="L72" s="1135">
        <f t="shared" si="5"/>
        <v>0</v>
      </c>
      <c r="N72" s="313"/>
      <c r="O72" s="313"/>
      <c r="P72" s="313"/>
      <c r="Q72" s="313"/>
      <c r="R72" s="313"/>
      <c r="S72" s="313"/>
      <c r="T72" s="313"/>
      <c r="U72" s="313"/>
      <c r="V72" s="313"/>
    </row>
    <row r="73" spans="2:22" ht="15" customHeight="1">
      <c r="B73" s="1219"/>
      <c r="C73" s="722" t="s">
        <v>49</v>
      </c>
      <c r="D73" s="1194">
        <f>VLOOKUP($C73,local_data_input!$B$4:$K$20,2,FALSE)</f>
        <v>89.533100846051653</v>
      </c>
      <c r="E73" s="771">
        <f>VLOOKUP($C73,local_data_input!$B$4:$K$20,7,FALSE)</f>
        <v>6300</v>
      </c>
      <c r="F73" s="1194">
        <f>VLOOKUP($C73,local_data_input!$B$4:$K$20,8,FALSE)</f>
        <v>10.909433797711889</v>
      </c>
      <c r="G73" s="1194">
        <f>VLOOKUP($C73,local_data_input!$B$4:$K$20,9,FALSE)</f>
        <v>10.909433797711889</v>
      </c>
      <c r="H73" s="712"/>
      <c r="I73" s="712"/>
      <c r="J73" s="711" t="str">
        <f t="shared" si="3"/>
        <v>GP attends</v>
      </c>
      <c r="K73" s="1133">
        <f t="shared" si="4"/>
        <v>-18420.635000000002</v>
      </c>
      <c r="L73" s="1135">
        <f t="shared" si="5"/>
        <v>-2069.6355097541291</v>
      </c>
      <c r="N73" s="313"/>
      <c r="O73" s="313"/>
      <c r="P73" s="313"/>
      <c r="Q73" s="313"/>
      <c r="R73" s="313"/>
      <c r="S73" s="313"/>
      <c r="T73" s="313"/>
      <c r="U73" s="313"/>
      <c r="V73" s="313"/>
    </row>
    <row r="74" spans="2:22" ht="15" customHeight="1">
      <c r="B74" s="1219"/>
      <c r="C74" s="722" t="s">
        <v>67</v>
      </c>
      <c r="D74" s="1194">
        <f>VLOOKUP($C74,local_data_input!$B$4:$K$20,2,FALSE)</f>
        <v>57</v>
      </c>
      <c r="E74" s="771">
        <f>VLOOKUP($C74,local_data_input!$B$4:$K$20,7,FALSE)</f>
        <v>4725</v>
      </c>
      <c r="F74" s="1194">
        <f>VLOOKUP($C74,local_data_input!$B$4:$K$20,8,FALSE)</f>
        <v>4.3599999999999994</v>
      </c>
      <c r="G74" s="1194">
        <f>VLOOKUP($C74,local_data_input!$B$4:$K$20,9,FALSE)</f>
        <v>4.3599999999999994</v>
      </c>
      <c r="H74" s="712"/>
      <c r="I74" s="712"/>
      <c r="J74" s="711" t="str">
        <f t="shared" si="3"/>
        <v>GP visits</v>
      </c>
      <c r="K74" s="1133">
        <f t="shared" si="4"/>
        <v>-30369.155000000002</v>
      </c>
      <c r="L74" s="1135">
        <f t="shared" si="5"/>
        <v>-3322.3096340789971</v>
      </c>
      <c r="N74" s="313"/>
      <c r="O74" s="313"/>
      <c r="P74" s="313"/>
      <c r="Q74" s="313"/>
      <c r="R74" s="313"/>
      <c r="S74" s="313"/>
      <c r="T74" s="313"/>
      <c r="U74" s="313"/>
      <c r="V74" s="313"/>
    </row>
    <row r="75" spans="2:22" ht="15" customHeight="1">
      <c r="B75" s="1219"/>
      <c r="C75" s="722" t="s">
        <v>44</v>
      </c>
      <c r="D75" s="1194">
        <f>VLOOKUP($C75,local_data_input!$B$4:$K$20,2,FALSE)</f>
        <v>68.3</v>
      </c>
      <c r="E75" s="771">
        <f>VLOOKUP($C75,local_data_input!$B$4:$K$20,7,FALSE)</f>
        <v>6300</v>
      </c>
      <c r="F75" s="1194">
        <f>VLOOKUP($C75,local_data_input!$B$4:$K$20,8,FALSE)</f>
        <v>7.6578249999227763</v>
      </c>
      <c r="G75" s="1194">
        <f>VLOOKUP($C75,local_data_input!$B$4:$K$20,9,FALSE)</f>
        <v>7.6578249999227763</v>
      </c>
      <c r="H75" s="712"/>
      <c r="I75" s="712"/>
      <c r="J75" s="711" t="s">
        <v>98</v>
      </c>
      <c r="K75" s="1133">
        <f>SUM(K59:K74)</f>
        <v>603268.21813034313</v>
      </c>
      <c r="L75" s="1135">
        <f>SUM(L59:L74)</f>
        <v>82186.201392773277</v>
      </c>
      <c r="N75" s="313"/>
      <c r="O75" s="313"/>
      <c r="P75" s="313"/>
      <c r="Q75" s="313"/>
      <c r="R75" s="313"/>
      <c r="S75" s="313"/>
      <c r="T75" s="313"/>
      <c r="U75" s="313"/>
      <c r="V75" s="313"/>
    </row>
    <row r="76" spans="2:22" ht="15" customHeight="1">
      <c r="B76" s="1219"/>
      <c r="C76" s="722" t="s">
        <v>45</v>
      </c>
      <c r="D76" s="1194">
        <f>VLOOKUP($C76,local_data_input!$B$4:$K$20,2,FALSE)</f>
        <v>150</v>
      </c>
      <c r="E76" s="771">
        <f>VLOOKUP($C76,local_data_input!$B$4:$K$20,7,FALSE)</f>
        <v>1575</v>
      </c>
      <c r="F76" s="1194">
        <f>VLOOKUP($C76,local_data_input!$B$4:$K$20,8,FALSE)</f>
        <v>16.737817499831213</v>
      </c>
      <c r="G76" s="1194">
        <f>VLOOKUP($C76,local_data_input!$B$4:$K$20,9,FALSE)</f>
        <v>16.737817499831213</v>
      </c>
      <c r="H76" s="712"/>
      <c r="I76" s="712"/>
      <c r="J76" s="720"/>
      <c r="K76" s="712"/>
      <c r="L76" s="2169"/>
      <c r="N76" s="313"/>
      <c r="O76" s="313"/>
      <c r="P76" s="313"/>
      <c r="Q76" s="313"/>
      <c r="R76" s="313"/>
      <c r="S76" s="313"/>
      <c r="T76" s="313"/>
      <c r="U76" s="313"/>
      <c r="V76" s="313"/>
    </row>
    <row r="77" spans="2:22" ht="15" customHeight="1">
      <c r="B77" s="1219"/>
      <c r="C77" s="722" t="s">
        <v>50</v>
      </c>
      <c r="D77" s="1194">
        <f>VLOOKUP($C77,local_data_input!$B$4:$K$20,2,FALSE)</f>
        <v>7</v>
      </c>
      <c r="E77" s="771">
        <f>VLOOKUP($C77,local_data_input!$B$4:$K$20,7,FALSE)</f>
        <v>9450</v>
      </c>
      <c r="F77" s="1194">
        <f>VLOOKUP($C77,local_data_input!$B$4:$K$20,8,FALSE)</f>
        <v>0.35069999999999946</v>
      </c>
      <c r="G77" s="1194">
        <f>VLOOKUP($C77,local_data_input!$B$4:$K$20,9,FALSE)</f>
        <v>0.35069999999999946</v>
      </c>
      <c r="H77" s="712"/>
      <c r="I77" s="712"/>
      <c r="J77" s="2116"/>
      <c r="K77" s="477"/>
      <c r="L77" s="2148"/>
      <c r="N77" s="313"/>
      <c r="O77" s="313"/>
      <c r="P77" s="313"/>
      <c r="Q77" s="313"/>
      <c r="R77" s="313"/>
      <c r="S77" s="313"/>
      <c r="T77" s="313"/>
      <c r="U77" s="313"/>
      <c r="V77" s="313"/>
    </row>
    <row r="78" spans="2:22" ht="15">
      <c r="B78" s="1219"/>
      <c r="C78" s="722" t="s">
        <v>51</v>
      </c>
      <c r="D78" s="1194">
        <f>VLOOKUP($C78,local_data_input!$B$4:$K$20,2,FALSE)</f>
        <v>20</v>
      </c>
      <c r="E78" s="771">
        <f>VLOOKUP($C78,local_data_input!$B$4:$K$20,7,FALSE)</f>
        <v>9450</v>
      </c>
      <c r="F78" s="1194">
        <f>VLOOKUP($C78,local_data_input!$B$4:$K$20,8,FALSE)</f>
        <v>1.0019999999999984</v>
      </c>
      <c r="G78" s="1194">
        <f>VLOOKUP($C78,local_data_input!$B$4:$K$20,9,FALSE)</f>
        <v>1.0019999999999984</v>
      </c>
      <c r="H78" s="712"/>
      <c r="I78" s="709"/>
      <c r="J78" s="712"/>
      <c r="K78" s="712"/>
      <c r="L78" s="1228"/>
      <c r="N78" s="313"/>
      <c r="O78" s="313"/>
      <c r="P78" s="313"/>
      <c r="Q78" s="313"/>
      <c r="R78" s="313"/>
      <c r="S78" s="313"/>
      <c r="T78" s="313"/>
      <c r="U78" s="313"/>
      <c r="V78" s="313"/>
    </row>
    <row r="79" spans="2:22" ht="15">
      <c r="B79" s="1219"/>
      <c r="C79" s="722" t="s">
        <v>41</v>
      </c>
      <c r="D79" s="1194">
        <f>VLOOKUP($C79,local_data_input!$B$4:$K$20,2,FALSE)</f>
        <v>14</v>
      </c>
      <c r="E79" s="771">
        <f>VLOOKUP($C79,local_data_input!$B$4:$K$20,7,FALSE)</f>
        <v>1</v>
      </c>
      <c r="F79" s="1194">
        <f>VLOOKUP($C79,local_data_input!$B$4:$K$20,8,FALSE)</f>
        <v>14</v>
      </c>
      <c r="G79" s="1194">
        <f>VLOOKUP($C79,local_data_input!$B$4:$K$20,9,FALSE)</f>
        <v>14</v>
      </c>
      <c r="H79" s="712"/>
      <c r="I79" s="700"/>
      <c r="J79" s="712"/>
      <c r="K79" s="712"/>
      <c r="L79" s="1228"/>
      <c r="N79" s="313"/>
      <c r="O79" s="313"/>
      <c r="P79" s="313"/>
      <c r="Q79" s="313"/>
      <c r="R79" s="313"/>
      <c r="S79" s="313"/>
      <c r="T79" s="313"/>
      <c r="U79" s="313"/>
      <c r="V79" s="313"/>
    </row>
    <row r="80" spans="2:22" ht="15">
      <c r="B80" s="1219"/>
      <c r="C80" s="722" t="s">
        <v>77</v>
      </c>
      <c r="D80" s="1194">
        <f>VLOOKUP($C80,local_data_input!$B$4:$K$20,2,FALSE)</f>
        <v>179.83161675760465</v>
      </c>
      <c r="E80" s="771">
        <f>VLOOKUP($C80,local_data_input!$B$4:$K$20,7,FALSE)</f>
        <v>3150</v>
      </c>
      <c r="F80" s="1194">
        <f>VLOOKUP($C80,local_data_input!$B$4:$K$20,8,FALSE)</f>
        <v>16.153499999999998</v>
      </c>
      <c r="G80" s="1194">
        <f>VLOOKUP($C80,local_data_input!$B$4:$K$20,9,FALSE)</f>
        <v>16.153499999999998</v>
      </c>
      <c r="H80" s="712"/>
      <c r="I80" s="700"/>
      <c r="J80" s="712"/>
      <c r="K80" s="712"/>
      <c r="L80" s="1228"/>
      <c r="N80" s="313"/>
      <c r="O80" s="313"/>
      <c r="P80" s="313"/>
      <c r="Q80" s="313"/>
      <c r="R80" s="313"/>
      <c r="S80" s="313"/>
      <c r="T80" s="313"/>
      <c r="U80" s="313"/>
      <c r="V80" s="313"/>
    </row>
    <row r="81" spans="2:26" ht="15">
      <c r="B81" s="1219"/>
      <c r="C81" s="722" t="s">
        <v>46</v>
      </c>
      <c r="D81" s="1194">
        <f>VLOOKUP($C81,local_data_input!$B$4:$K$20,2,FALSE)</f>
        <v>233.02000068717058</v>
      </c>
      <c r="E81" s="771">
        <f>VLOOKUP($C81,local_data_input!$B$4:$K$20,7,FALSE)</f>
        <v>3150</v>
      </c>
      <c r="F81" s="1194">
        <f>VLOOKUP($C81,local_data_input!$B$4:$K$20,8,FALSE)</f>
        <v>25.747699999999998</v>
      </c>
      <c r="G81" s="1194">
        <f>VLOOKUP($C81,local_data_input!$B$4:$K$20,9,FALSE)</f>
        <v>25.747699999999998</v>
      </c>
      <c r="H81" s="712"/>
      <c r="I81" s="700"/>
      <c r="J81" s="712"/>
      <c r="K81" s="712"/>
      <c r="L81" s="1228"/>
      <c r="N81" s="313"/>
      <c r="O81" s="313"/>
      <c r="P81" s="313"/>
      <c r="Q81" s="313"/>
      <c r="R81" s="313"/>
      <c r="S81" s="313"/>
      <c r="T81" s="313"/>
      <c r="U81" s="313"/>
      <c r="V81" s="313"/>
    </row>
    <row r="82" spans="2:26" ht="15">
      <c r="B82" s="1219"/>
      <c r="C82" s="722" t="s">
        <v>30</v>
      </c>
      <c r="D82" s="1194">
        <f>VLOOKUP($C82,local_data_input!$B$4:$K$20,2,FALSE)</f>
        <v>37.264451156891667</v>
      </c>
      <c r="E82" s="771">
        <f>VLOOKUP($C82,local_data_input!$B$4:$K$20,7,FALSE)</f>
        <v>3150</v>
      </c>
      <c r="F82" s="1194">
        <f>VLOOKUP($C82,local_data_input!$B$4:$K$20,8,FALSE)</f>
        <v>3.8289124999613882</v>
      </c>
      <c r="G82" s="1194">
        <f>VLOOKUP($C82,local_data_input!$B$4:$K$20,9,FALSE)</f>
        <v>3.8289124999613882</v>
      </c>
      <c r="H82" s="712"/>
      <c r="I82" s="700"/>
      <c r="J82" s="700"/>
      <c r="K82" s="700"/>
      <c r="L82" s="1217"/>
      <c r="M82" s="322"/>
      <c r="N82" s="325"/>
      <c r="O82" s="313"/>
      <c r="P82" s="313"/>
      <c r="Q82" s="313"/>
      <c r="R82" s="313"/>
      <c r="S82" s="313"/>
      <c r="T82" s="313"/>
      <c r="U82" s="313"/>
    </row>
    <row r="83" spans="2:26" ht="15">
      <c r="B83" s="1219"/>
      <c r="C83" s="1230" t="s">
        <v>48</v>
      </c>
      <c r="D83" s="1194">
        <f>VLOOKUP($C83,local_data_input!$B$4:$K$20,2,FALSE)</f>
        <v>282.26243393069001</v>
      </c>
      <c r="E83" s="771">
        <f>VLOOKUP($C83,local_data_input!$B$4:$K$20,7,FALSE)</f>
        <v>1460</v>
      </c>
      <c r="F83" s="1194">
        <f>VLOOKUP($C83,local_data_input!$B$4:$K$20,8,FALSE)</f>
        <v>21.879499999779362</v>
      </c>
      <c r="G83" s="1194">
        <f>VLOOKUP($C83,local_data_input!$B$4:$K$20,9,FALSE)</f>
        <v>21.879499999779362</v>
      </c>
      <c r="H83" s="712"/>
      <c r="I83" s="700"/>
      <c r="J83" s="700"/>
      <c r="K83" s="700"/>
      <c r="L83" s="1217"/>
      <c r="M83" s="322"/>
      <c r="N83" s="325"/>
      <c r="O83" s="313"/>
      <c r="P83" s="313"/>
      <c r="Q83" s="313"/>
      <c r="R83" s="313"/>
      <c r="S83" s="313"/>
      <c r="T83" s="313"/>
      <c r="U83" s="313"/>
    </row>
    <row r="84" spans="2:26" ht="15">
      <c r="B84" s="1219"/>
      <c r="C84" s="722" t="s">
        <v>225</v>
      </c>
      <c r="D84" s="1194">
        <f>VLOOKUP($C84,local_data_input!$B$4:$K$20,2,FALSE)</f>
        <v>24</v>
      </c>
      <c r="E84" s="771">
        <f>VLOOKUP($C84,local_data_input!$B$4:$K$20,7,FALSE)</f>
        <v>3150</v>
      </c>
      <c r="F84" s="1194">
        <f>VLOOKUP($C84,local_data_input!$B$4:$K$20,8,FALSE)</f>
        <v>2.7349374999724203</v>
      </c>
      <c r="G84" s="1194">
        <f>VLOOKUP($C84,local_data_input!$B$4:$K$20,9,FALSE)</f>
        <v>2.7349374999724203</v>
      </c>
      <c r="H84" s="712"/>
      <c r="I84" s="700"/>
      <c r="J84" s="700"/>
      <c r="K84" s="700"/>
      <c r="L84" s="1217"/>
      <c r="M84" s="322"/>
      <c r="N84" s="325"/>
      <c r="O84" s="313"/>
      <c r="P84" s="313"/>
      <c r="Q84" s="313"/>
      <c r="R84" s="313"/>
      <c r="S84" s="313"/>
      <c r="T84" s="313"/>
      <c r="U84" s="313"/>
    </row>
    <row r="85" spans="2:26" ht="15">
      <c r="B85" s="1219"/>
      <c r="C85" s="722" t="s">
        <v>32</v>
      </c>
      <c r="D85" s="1194">
        <f>VLOOKUP($C85,local_data_input!$B$4:$K$20,2,FALSE)</f>
        <v>37</v>
      </c>
      <c r="E85" s="771">
        <f>VLOOKUP($C85,local_data_input!$B$4:$K$20,7,FALSE)</f>
        <v>1</v>
      </c>
      <c r="F85" s="1194">
        <f>VLOOKUP($C85,local_data_input!$B$4:$K$20,8,FALSE)</f>
        <v>4.1571049999580785</v>
      </c>
      <c r="G85" s="1194">
        <f>VLOOKUP($C85,local_data_input!$B$4:$K$20,9,FALSE)</f>
        <v>4.1571049999580785</v>
      </c>
      <c r="H85" s="712"/>
      <c r="I85" s="700"/>
      <c r="J85" s="700"/>
      <c r="K85" s="700"/>
      <c r="L85" s="1217"/>
      <c r="M85" s="322"/>
      <c r="N85" s="325"/>
      <c r="O85" s="313"/>
      <c r="P85" s="313"/>
      <c r="Q85" s="313"/>
      <c r="R85" s="313"/>
      <c r="S85" s="313"/>
      <c r="T85" s="313"/>
      <c r="U85" s="313"/>
    </row>
    <row r="86" spans="2:26" ht="15">
      <c r="B86" s="1219"/>
      <c r="C86" s="722" t="s">
        <v>34</v>
      </c>
      <c r="D86" s="1194">
        <f>VLOOKUP($C86,local_data_input!$B$4:$K$20,2,FALSE)</f>
        <v>61</v>
      </c>
      <c r="E86" s="771">
        <f>VLOOKUP($C86,local_data_input!$B$4:$K$20,7,FALSE)</f>
        <v>1</v>
      </c>
      <c r="F86" s="1194">
        <f>VLOOKUP($C86,local_data_input!$B$4:$K$20,8,FALSE)</f>
        <v>6.6732474999327049</v>
      </c>
      <c r="G86" s="1194">
        <f>VLOOKUP($C86,local_data_input!$B$4:$K$20,9,FALSE)</f>
        <v>6.6732474999327049</v>
      </c>
      <c r="H86" s="712"/>
      <c r="I86" s="700"/>
      <c r="J86" s="700"/>
      <c r="K86" s="700"/>
      <c r="L86" s="1217"/>
      <c r="M86" s="322"/>
      <c r="N86" s="325"/>
      <c r="O86" s="313"/>
      <c r="P86" s="313"/>
      <c r="Q86" s="313"/>
      <c r="R86" s="313"/>
      <c r="S86" s="313"/>
      <c r="T86" s="313"/>
      <c r="U86" s="313"/>
    </row>
    <row r="87" spans="2:26" ht="15">
      <c r="B87" s="1219"/>
      <c r="C87" s="712"/>
      <c r="D87" s="712"/>
      <c r="E87" s="712"/>
      <c r="F87" s="712"/>
      <c r="G87" s="712"/>
      <c r="H87" s="712"/>
      <c r="I87" s="700"/>
      <c r="J87" s="700"/>
      <c r="K87" s="700"/>
      <c r="L87" s="1217"/>
      <c r="M87" s="322"/>
      <c r="N87" s="325"/>
      <c r="O87" s="313"/>
      <c r="P87" s="313"/>
      <c r="Q87" s="313"/>
      <c r="R87" s="313"/>
      <c r="S87" s="313"/>
      <c r="T87" s="313"/>
      <c r="U87" s="313"/>
    </row>
    <row r="88" spans="2:26" ht="15">
      <c r="B88" s="1219"/>
      <c r="C88" s="712"/>
      <c r="D88" s="712"/>
      <c r="E88" s="712"/>
      <c r="F88" s="712"/>
      <c r="G88" s="712"/>
      <c r="H88" s="712"/>
      <c r="I88" s="700"/>
      <c r="J88" s="700"/>
      <c r="K88" s="723"/>
      <c r="L88" s="1217"/>
      <c r="M88" s="322"/>
      <c r="N88" s="325"/>
      <c r="O88" s="313"/>
      <c r="P88" s="313"/>
      <c r="Q88" s="313"/>
      <c r="R88" s="313"/>
      <c r="S88" s="313"/>
      <c r="T88" s="313"/>
      <c r="U88" s="313"/>
    </row>
    <row r="89" spans="2:26" ht="15">
      <c r="B89" s="1220"/>
      <c r="C89" s="715"/>
      <c r="D89" s="716"/>
      <c r="E89" s="716"/>
      <c r="F89" s="716"/>
      <c r="G89" s="717"/>
      <c r="H89" s="716"/>
      <c r="I89" s="717"/>
      <c r="J89" s="717"/>
      <c r="K89" s="716"/>
      <c r="L89" s="1509"/>
      <c r="M89" s="327"/>
      <c r="N89" s="313"/>
      <c r="O89" s="313"/>
      <c r="P89" s="313"/>
      <c r="Q89" s="313"/>
      <c r="R89" s="313"/>
      <c r="S89" s="313"/>
      <c r="T89" s="313"/>
      <c r="U89" s="313"/>
      <c r="V89" s="313"/>
      <c r="W89" s="313"/>
      <c r="X89" s="313"/>
    </row>
    <row r="90" spans="2:26" ht="15">
      <c r="B90" s="2458" t="s">
        <v>97</v>
      </c>
      <c r="C90" s="2459"/>
      <c r="D90" s="2459"/>
      <c r="E90" s="2459"/>
      <c r="F90" s="2459"/>
      <c r="G90" s="2459"/>
      <c r="H90" s="2459"/>
      <c r="I90" s="2459"/>
      <c r="J90" s="2459"/>
      <c r="K90" s="2459"/>
      <c r="L90" s="2460"/>
      <c r="M90" s="322"/>
      <c r="N90" s="322"/>
      <c r="O90" s="322"/>
      <c r="P90" s="313"/>
      <c r="Q90" s="313"/>
      <c r="S90" s="313"/>
      <c r="T90" s="316"/>
      <c r="U90" s="313"/>
      <c r="V90" s="313"/>
      <c r="W90" s="313"/>
    </row>
    <row r="91" spans="2:26">
      <c r="B91" s="1218"/>
      <c r="C91" s="712"/>
      <c r="D91" s="699"/>
      <c r="E91" s="699"/>
      <c r="F91" s="699"/>
      <c r="G91" s="716"/>
      <c r="H91" s="699"/>
      <c r="I91" s="699"/>
      <c r="J91" s="699"/>
      <c r="K91" s="699"/>
      <c r="L91" s="2185"/>
      <c r="N91" s="313"/>
      <c r="O91" s="313"/>
      <c r="P91" s="313"/>
      <c r="Q91" s="313"/>
      <c r="R91" s="313"/>
      <c r="S91" s="313"/>
      <c r="T91" s="313"/>
      <c r="U91" s="330"/>
      <c r="V91" s="330"/>
      <c r="W91" s="330"/>
      <c r="X91" s="331"/>
      <c r="Y91" s="331"/>
      <c r="Z91" s="331"/>
    </row>
    <row r="92" spans="2:26">
      <c r="B92" s="1219"/>
      <c r="C92" s="716"/>
      <c r="D92" s="699"/>
      <c r="E92" s="699"/>
      <c r="F92" s="699"/>
      <c r="G92" s="716"/>
      <c r="H92" s="699"/>
      <c r="I92" s="699"/>
      <c r="J92" s="699"/>
      <c r="K92" s="699"/>
      <c r="L92" s="1216"/>
      <c r="N92" s="313"/>
      <c r="O92" s="313"/>
      <c r="P92" s="313"/>
      <c r="Q92" s="313"/>
      <c r="R92" s="313"/>
      <c r="S92" s="313"/>
      <c r="T92" s="313"/>
      <c r="U92" s="330"/>
      <c r="V92" s="330"/>
      <c r="W92" s="330"/>
      <c r="X92" s="331"/>
      <c r="Y92" s="331"/>
      <c r="Z92" s="331"/>
    </row>
    <row r="93" spans="2:26">
      <c r="B93" s="1219"/>
      <c r="C93" s="716"/>
      <c r="D93" s="699"/>
      <c r="E93" s="699"/>
      <c r="F93" s="699"/>
      <c r="G93" s="716"/>
      <c r="H93" s="699"/>
      <c r="I93" s="699"/>
      <c r="J93" s="699"/>
      <c r="K93" s="699"/>
      <c r="L93" s="1216"/>
      <c r="N93" s="313"/>
      <c r="O93" s="313"/>
      <c r="P93" s="313"/>
      <c r="Q93" s="313"/>
      <c r="R93" s="313"/>
      <c r="S93" s="313"/>
      <c r="T93" s="313"/>
      <c r="U93" s="330"/>
      <c r="V93" s="330"/>
      <c r="W93" s="330"/>
      <c r="X93" s="331"/>
      <c r="Y93" s="331"/>
      <c r="Z93" s="331"/>
    </row>
    <row r="94" spans="2:26">
      <c r="B94" s="1219"/>
      <c r="C94" s="716"/>
      <c r="D94" s="699"/>
      <c r="E94" s="699"/>
      <c r="F94" s="699"/>
      <c r="G94" s="716"/>
      <c r="H94" s="699"/>
      <c r="I94" s="699"/>
      <c r="J94" s="699"/>
      <c r="K94" s="699"/>
      <c r="L94" s="1216"/>
      <c r="N94" s="313"/>
      <c r="O94" s="313"/>
      <c r="P94" s="313"/>
      <c r="Q94" s="313"/>
      <c r="R94" s="313"/>
      <c r="S94" s="313"/>
      <c r="T94" s="313"/>
      <c r="U94" s="330"/>
      <c r="V94" s="330"/>
      <c r="W94" s="330"/>
      <c r="X94" s="331"/>
      <c r="Y94" s="331"/>
      <c r="Z94" s="331"/>
    </row>
    <row r="95" spans="2:26" ht="15">
      <c r="B95" s="1219"/>
      <c r="C95" s="710"/>
      <c r="D95" s="699"/>
      <c r="E95" s="699"/>
      <c r="F95" s="699"/>
      <c r="G95" s="716"/>
      <c r="H95" s="699"/>
      <c r="I95" s="699"/>
      <c r="J95" s="699"/>
      <c r="K95" s="699"/>
      <c r="L95" s="1216"/>
      <c r="N95" s="313"/>
      <c r="O95" s="313"/>
      <c r="P95" s="313"/>
      <c r="Q95" s="313"/>
      <c r="R95" s="313"/>
      <c r="S95" s="313"/>
      <c r="T95" s="313"/>
      <c r="U95" s="330"/>
      <c r="V95" s="330"/>
      <c r="W95" s="330"/>
      <c r="X95" s="331"/>
      <c r="Y95" s="331"/>
      <c r="Z95" s="331"/>
    </row>
    <row r="96" spans="2:26">
      <c r="B96" s="1219"/>
      <c r="C96" s="716"/>
      <c r="D96" s="699"/>
      <c r="E96" s="699"/>
      <c r="F96" s="699"/>
      <c r="G96" s="716"/>
      <c r="H96" s="699"/>
      <c r="I96" s="699"/>
      <c r="J96" s="699"/>
      <c r="K96" s="699"/>
      <c r="L96" s="1216"/>
      <c r="N96" s="313"/>
      <c r="O96" s="313"/>
      <c r="P96" s="313"/>
      <c r="Q96" s="313"/>
      <c r="R96" s="313"/>
      <c r="S96" s="313"/>
      <c r="T96" s="313"/>
      <c r="U96" s="330"/>
      <c r="V96" s="330"/>
      <c r="W96" s="330"/>
      <c r="X96" s="331"/>
      <c r="Y96" s="331"/>
      <c r="Z96" s="331"/>
    </row>
    <row r="97" spans="2:26">
      <c r="B97" s="1219"/>
      <c r="C97" s="716"/>
      <c r="D97" s="699"/>
      <c r="E97" s="699"/>
      <c r="F97" s="699"/>
      <c r="G97" s="716"/>
      <c r="H97" s="699"/>
      <c r="I97" s="699"/>
      <c r="J97" s="699"/>
      <c r="K97" s="699"/>
      <c r="L97" s="1216"/>
      <c r="N97" s="313"/>
      <c r="O97" s="313"/>
      <c r="P97" s="313"/>
      <c r="Q97" s="313"/>
      <c r="R97" s="313"/>
      <c r="S97" s="313"/>
      <c r="T97" s="313"/>
      <c r="U97" s="330"/>
      <c r="V97" s="330"/>
      <c r="W97" s="330"/>
      <c r="X97" s="331"/>
      <c r="Y97" s="331"/>
      <c r="Z97" s="331"/>
    </row>
    <row r="98" spans="2:26">
      <c r="B98" s="1219"/>
      <c r="C98" s="716"/>
      <c r="D98" s="699"/>
      <c r="E98" s="699"/>
      <c r="F98" s="699"/>
      <c r="G98" s="716"/>
      <c r="H98" s="699"/>
      <c r="I98" s="699"/>
      <c r="J98" s="699"/>
      <c r="K98" s="699"/>
      <c r="L98" s="1216"/>
      <c r="N98" s="313"/>
      <c r="O98" s="313"/>
      <c r="P98" s="313"/>
      <c r="Q98" s="313"/>
      <c r="R98" s="313"/>
      <c r="S98" s="313"/>
      <c r="T98" s="313"/>
      <c r="U98" s="330"/>
      <c r="V98" s="330"/>
      <c r="W98" s="330"/>
      <c r="X98" s="331"/>
      <c r="Y98" s="331"/>
      <c r="Z98" s="331"/>
    </row>
    <row r="99" spans="2:26">
      <c r="B99" s="1219"/>
      <c r="C99" s="716"/>
      <c r="D99" s="699"/>
      <c r="E99" s="699"/>
      <c r="F99" s="699"/>
      <c r="G99" s="716"/>
      <c r="H99" s="699"/>
      <c r="I99" s="699"/>
      <c r="J99" s="699"/>
      <c r="K99" s="699"/>
      <c r="L99" s="1216"/>
      <c r="N99" s="313"/>
      <c r="O99" s="313"/>
      <c r="P99" s="313"/>
      <c r="Q99" s="313"/>
      <c r="R99" s="313"/>
      <c r="S99" s="313"/>
      <c r="T99" s="313"/>
      <c r="U99" s="330"/>
      <c r="V99" s="330"/>
      <c r="W99" s="330"/>
      <c r="X99" s="331"/>
      <c r="Y99" s="331"/>
      <c r="Z99" s="331"/>
    </row>
    <row r="100" spans="2:26">
      <c r="B100" s="1219"/>
      <c r="C100" s="716"/>
      <c r="D100" s="699"/>
      <c r="E100" s="699"/>
      <c r="F100" s="699"/>
      <c r="G100" s="716"/>
      <c r="H100" s="699"/>
      <c r="I100" s="699"/>
      <c r="J100" s="699"/>
      <c r="K100" s="699"/>
      <c r="L100" s="1216"/>
      <c r="N100" s="313"/>
      <c r="O100" s="313"/>
      <c r="P100" s="313"/>
      <c r="Q100" s="313"/>
      <c r="R100" s="313"/>
      <c r="S100" s="313"/>
      <c r="T100" s="313"/>
      <c r="U100" s="330"/>
      <c r="V100" s="330"/>
      <c r="W100" s="330"/>
      <c r="X100" s="331"/>
      <c r="Y100" s="331"/>
      <c r="Z100" s="331"/>
    </row>
    <row r="101" spans="2:26" ht="15">
      <c r="B101" s="1219"/>
      <c r="C101" s="716"/>
      <c r="D101" s="699"/>
      <c r="E101" s="699"/>
      <c r="F101" s="699"/>
      <c r="G101" s="716"/>
      <c r="H101" s="699"/>
      <c r="I101" s="699"/>
      <c r="J101" s="699"/>
      <c r="K101" s="699"/>
      <c r="L101" s="1222"/>
      <c r="N101" s="313"/>
      <c r="O101" s="313"/>
      <c r="P101" s="313"/>
      <c r="Q101" s="313"/>
      <c r="R101" s="313"/>
      <c r="S101" s="313"/>
      <c r="T101" s="313"/>
      <c r="U101" s="313"/>
      <c r="V101" s="313"/>
      <c r="W101" s="313"/>
    </row>
    <row r="102" spans="2:26" ht="15">
      <c r="B102" s="1219"/>
      <c r="C102" s="707"/>
      <c r="D102" s="699"/>
      <c r="E102" s="699"/>
      <c r="F102" s="699"/>
      <c r="G102" s="716"/>
      <c r="H102" s="699"/>
      <c r="I102" s="699"/>
      <c r="J102" s="699"/>
      <c r="K102" s="699"/>
      <c r="L102" s="1222"/>
      <c r="N102" s="313"/>
      <c r="O102" s="313"/>
      <c r="P102" s="313"/>
      <c r="Q102" s="313"/>
      <c r="R102" s="313"/>
      <c r="S102" s="313"/>
      <c r="T102" s="313"/>
      <c r="U102" s="313"/>
      <c r="V102" s="313"/>
      <c r="W102" s="313"/>
    </row>
    <row r="103" spans="2:26" ht="15.75" thickBot="1">
      <c r="B103" s="1221"/>
      <c r="C103" s="2186"/>
      <c r="D103" s="2187"/>
      <c r="E103" s="2187"/>
      <c r="F103" s="2187"/>
      <c r="G103" s="2188"/>
      <c r="H103" s="2188"/>
      <c r="I103" s="2188"/>
      <c r="J103" s="2188"/>
      <c r="K103" s="2188"/>
      <c r="L103" s="1223"/>
      <c r="N103" s="313"/>
      <c r="O103" s="313"/>
      <c r="P103" s="313"/>
      <c r="Q103" s="313"/>
      <c r="R103" s="313"/>
      <c r="S103" s="313"/>
      <c r="T103" s="313"/>
      <c r="U103" s="313"/>
      <c r="V103" s="313"/>
      <c r="W103" s="313"/>
    </row>
    <row r="104" spans="2:26" ht="15">
      <c r="B104" s="313"/>
      <c r="C104" s="325"/>
      <c r="D104" s="322"/>
      <c r="E104" s="322"/>
      <c r="F104" s="322"/>
      <c r="G104" s="327"/>
      <c r="H104" s="327"/>
      <c r="I104" s="327"/>
      <c r="J104" s="327"/>
      <c r="K104" s="327"/>
      <c r="L104" s="327"/>
      <c r="N104" s="313"/>
      <c r="O104" s="313"/>
      <c r="P104" s="313"/>
      <c r="Q104" s="313"/>
      <c r="R104" s="313"/>
      <c r="S104" s="313"/>
      <c r="T104" s="313"/>
      <c r="U104" s="330"/>
      <c r="V104" s="330"/>
      <c r="W104" s="330"/>
      <c r="X104" s="331"/>
      <c r="Y104" s="331"/>
      <c r="Z104" s="331"/>
    </row>
    <row r="105" spans="2:26" ht="15">
      <c r="B105" s="313"/>
      <c r="C105" s="325"/>
      <c r="D105" s="313"/>
      <c r="E105" s="313"/>
      <c r="F105" s="313"/>
      <c r="G105" s="327"/>
      <c r="H105" s="327"/>
      <c r="I105" s="327"/>
      <c r="J105" s="327"/>
      <c r="K105" s="327"/>
      <c r="L105" s="327"/>
      <c r="N105" s="313"/>
      <c r="O105" s="313"/>
      <c r="P105" s="313"/>
      <c r="Q105" s="313"/>
      <c r="R105" s="313"/>
      <c r="S105" s="313"/>
      <c r="T105" s="313"/>
      <c r="U105" s="330"/>
      <c r="V105" s="330"/>
      <c r="W105" s="330"/>
      <c r="X105" s="331"/>
      <c r="Y105" s="331"/>
      <c r="Z105" s="331"/>
    </row>
    <row r="106" spans="2:26" ht="15">
      <c r="B106" s="313"/>
      <c r="C106" s="325"/>
      <c r="D106" s="325"/>
      <c r="E106" s="325"/>
      <c r="F106" s="325"/>
      <c r="G106" s="327"/>
      <c r="H106" s="327"/>
      <c r="I106" s="327"/>
      <c r="J106" s="327"/>
      <c r="K106" s="327"/>
      <c r="L106" s="327"/>
      <c r="N106" s="313"/>
      <c r="O106" s="313"/>
      <c r="P106" s="313"/>
      <c r="Q106" s="313"/>
      <c r="R106" s="313"/>
      <c r="S106" s="313"/>
      <c r="T106" s="313"/>
      <c r="U106" s="330"/>
      <c r="V106" s="330"/>
      <c r="W106" s="330"/>
      <c r="X106" s="331"/>
      <c r="Y106" s="331"/>
      <c r="Z106" s="331"/>
    </row>
    <row r="107" spans="2:26" ht="15">
      <c r="B107" s="313"/>
      <c r="C107" s="325"/>
      <c r="D107" s="325"/>
      <c r="E107" s="325"/>
      <c r="F107" s="325"/>
      <c r="G107" s="327"/>
      <c r="H107" s="327"/>
      <c r="I107" s="327"/>
      <c r="J107" s="327"/>
      <c r="K107" s="327"/>
      <c r="L107" s="327"/>
      <c r="N107" s="313"/>
      <c r="O107" s="313"/>
      <c r="P107" s="313"/>
      <c r="Q107" s="313"/>
      <c r="R107" s="313"/>
      <c r="S107" s="313"/>
      <c r="T107" s="313"/>
      <c r="U107" s="330"/>
      <c r="V107" s="330"/>
      <c r="W107" s="330"/>
      <c r="X107" s="331"/>
      <c r="Y107" s="331"/>
      <c r="Z107" s="331"/>
    </row>
    <row r="108" spans="2:26">
      <c r="B108" s="313"/>
      <c r="C108" s="327"/>
      <c r="D108" s="322"/>
      <c r="E108" s="322"/>
      <c r="F108" s="322"/>
      <c r="G108" s="332"/>
      <c r="H108" s="332"/>
      <c r="I108" s="332"/>
      <c r="J108" s="332"/>
      <c r="K108" s="332"/>
      <c r="L108" s="332"/>
      <c r="N108" s="313"/>
      <c r="O108" s="313"/>
      <c r="P108" s="313"/>
      <c r="Q108" s="313"/>
      <c r="R108" s="313"/>
      <c r="S108" s="313"/>
      <c r="T108" s="313"/>
      <c r="U108" s="330"/>
      <c r="V108" s="330"/>
      <c r="W108" s="330"/>
      <c r="X108" s="331"/>
      <c r="Y108" s="331"/>
      <c r="Z108" s="331"/>
    </row>
    <row r="109" spans="2:26">
      <c r="B109" s="313"/>
      <c r="C109" s="327"/>
      <c r="D109" s="322"/>
      <c r="E109" s="322"/>
      <c r="F109" s="322"/>
      <c r="G109" s="327"/>
      <c r="H109" s="327"/>
      <c r="I109" s="327"/>
      <c r="J109" s="327"/>
      <c r="K109" s="327"/>
      <c r="L109" s="327"/>
      <c r="N109" s="313"/>
      <c r="O109" s="313"/>
      <c r="P109" s="313"/>
      <c r="Q109" s="313"/>
      <c r="R109" s="313"/>
      <c r="S109" s="313"/>
      <c r="T109" s="313"/>
      <c r="U109" s="330"/>
      <c r="V109" s="330"/>
      <c r="W109" s="330"/>
      <c r="X109" s="331"/>
      <c r="Y109" s="331"/>
      <c r="Z109" s="331"/>
    </row>
    <row r="110" spans="2:26">
      <c r="B110" s="313"/>
      <c r="C110" s="333"/>
      <c r="D110" s="322"/>
      <c r="E110" s="322"/>
      <c r="F110" s="322"/>
      <c r="G110" s="326"/>
      <c r="H110" s="327"/>
      <c r="I110" s="327"/>
      <c r="J110" s="327"/>
      <c r="K110" s="327"/>
      <c r="L110" s="327"/>
      <c r="N110" s="313"/>
      <c r="O110" s="313"/>
      <c r="P110" s="313"/>
      <c r="Q110" s="313"/>
      <c r="R110" s="313"/>
      <c r="S110" s="313"/>
      <c r="T110" s="313"/>
      <c r="U110" s="330"/>
      <c r="V110" s="330"/>
      <c r="W110" s="330"/>
      <c r="X110" s="331"/>
      <c r="Y110" s="331"/>
      <c r="Z110" s="331"/>
    </row>
    <row r="111" spans="2:26">
      <c r="B111" s="313"/>
      <c r="C111" s="322"/>
      <c r="D111" s="322"/>
      <c r="E111" s="322"/>
      <c r="F111" s="322"/>
      <c r="G111" s="322"/>
      <c r="H111" s="322"/>
      <c r="I111" s="322"/>
      <c r="J111" s="322"/>
      <c r="K111" s="322"/>
      <c r="L111" s="322"/>
      <c r="N111" s="313"/>
      <c r="O111" s="313"/>
      <c r="P111" s="313"/>
      <c r="Q111" s="313"/>
      <c r="R111" s="313"/>
      <c r="S111" s="313"/>
      <c r="T111" s="313"/>
      <c r="U111" s="330"/>
      <c r="V111" s="330"/>
      <c r="W111" s="330"/>
      <c r="X111" s="331"/>
      <c r="Y111" s="331"/>
      <c r="Z111" s="331"/>
    </row>
    <row r="112" spans="2:26">
      <c r="B112" s="313"/>
      <c r="C112" s="327"/>
      <c r="D112" s="322"/>
      <c r="E112" s="322"/>
      <c r="F112" s="322"/>
      <c r="G112" s="334"/>
      <c r="H112" s="334"/>
      <c r="I112" s="334"/>
      <c r="J112" s="334"/>
      <c r="K112" s="334"/>
      <c r="L112" s="334"/>
      <c r="N112" s="313"/>
      <c r="O112" s="313"/>
      <c r="P112" s="313"/>
      <c r="Q112" s="313"/>
      <c r="R112" s="313"/>
      <c r="S112" s="313"/>
      <c r="T112" s="313"/>
      <c r="U112" s="330"/>
      <c r="V112" s="330"/>
      <c r="W112" s="330"/>
      <c r="X112" s="331"/>
      <c r="Y112" s="331"/>
      <c r="Z112" s="331"/>
    </row>
    <row r="113" spans="2:28">
      <c r="B113" s="313"/>
      <c r="C113" s="327"/>
      <c r="D113" s="322"/>
      <c r="E113" s="322"/>
      <c r="F113" s="322"/>
      <c r="G113" s="327"/>
      <c r="H113" s="327"/>
      <c r="I113" s="327"/>
      <c r="J113" s="327"/>
      <c r="K113" s="327"/>
      <c r="L113" s="327"/>
      <c r="N113" s="313"/>
      <c r="O113" s="313"/>
      <c r="P113" s="313"/>
      <c r="Q113" s="313"/>
      <c r="R113" s="313"/>
      <c r="S113" s="313"/>
      <c r="T113" s="313"/>
      <c r="U113" s="330"/>
      <c r="V113" s="330"/>
      <c r="W113" s="330"/>
      <c r="X113" s="331"/>
      <c r="Y113" s="331"/>
      <c r="Z113" s="331"/>
    </row>
    <row r="114" spans="2:28">
      <c r="B114" s="313"/>
      <c r="C114" s="327"/>
      <c r="D114" s="322"/>
      <c r="E114" s="322"/>
      <c r="F114" s="322"/>
      <c r="G114" s="327"/>
      <c r="H114" s="327"/>
      <c r="I114" s="327"/>
      <c r="J114" s="327"/>
      <c r="K114" s="327"/>
      <c r="L114" s="327"/>
      <c r="N114" s="313"/>
      <c r="O114" s="313"/>
      <c r="P114" s="313"/>
      <c r="Q114" s="313"/>
      <c r="R114" s="313"/>
      <c r="S114" s="313"/>
      <c r="T114" s="313"/>
      <c r="U114" s="330"/>
      <c r="V114" s="330"/>
      <c r="W114" s="330"/>
      <c r="X114" s="331"/>
      <c r="Y114" s="331"/>
      <c r="Z114" s="331"/>
    </row>
    <row r="115" spans="2:28" ht="15">
      <c r="B115" s="313"/>
      <c r="C115" s="325"/>
      <c r="D115" s="322"/>
      <c r="E115" s="322"/>
      <c r="F115" s="322"/>
      <c r="G115" s="327"/>
      <c r="H115" s="327"/>
      <c r="I115" s="327"/>
      <c r="J115" s="327"/>
      <c r="K115" s="327"/>
      <c r="L115" s="327"/>
      <c r="M115" s="327"/>
      <c r="N115" s="327"/>
      <c r="O115" s="313"/>
      <c r="P115" s="313"/>
      <c r="Q115" s="313"/>
      <c r="R115" s="313"/>
      <c r="S115" s="313"/>
      <c r="T115" s="313"/>
      <c r="U115" s="313"/>
      <c r="V115" s="313"/>
      <c r="W115" s="330"/>
      <c r="X115" s="330"/>
      <c r="Y115" s="330"/>
      <c r="Z115" s="331"/>
      <c r="AA115" s="331"/>
      <c r="AB115" s="331"/>
    </row>
    <row r="116" spans="2:28">
      <c r="B116" s="313"/>
      <c r="C116" s="327"/>
      <c r="D116" s="322"/>
      <c r="E116" s="322"/>
      <c r="F116" s="322"/>
      <c r="G116" s="334"/>
      <c r="H116" s="334"/>
      <c r="I116" s="334"/>
      <c r="J116" s="334"/>
      <c r="K116" s="334"/>
      <c r="L116" s="334"/>
      <c r="M116" s="334"/>
      <c r="N116" s="334"/>
      <c r="O116" s="313"/>
      <c r="P116" s="313"/>
      <c r="Q116" s="313"/>
      <c r="R116" s="313"/>
      <c r="S116" s="313"/>
      <c r="T116" s="313"/>
      <c r="U116" s="313"/>
      <c r="V116" s="313"/>
      <c r="W116" s="330"/>
      <c r="X116" s="330"/>
      <c r="Y116" s="330"/>
      <c r="Z116" s="331"/>
      <c r="AA116" s="331"/>
      <c r="AB116" s="331"/>
    </row>
    <row r="117" spans="2:28">
      <c r="B117" s="313"/>
      <c r="C117" s="327"/>
      <c r="D117" s="322"/>
      <c r="E117" s="322"/>
      <c r="F117" s="322"/>
      <c r="G117" s="327"/>
      <c r="H117" s="327"/>
      <c r="I117" s="327"/>
      <c r="J117" s="327"/>
      <c r="K117" s="327"/>
      <c r="L117" s="327"/>
      <c r="M117" s="327"/>
      <c r="N117" s="327"/>
      <c r="O117" s="313"/>
      <c r="P117" s="313"/>
      <c r="Q117" s="313"/>
      <c r="R117" s="313"/>
      <c r="S117" s="313"/>
      <c r="T117" s="313"/>
      <c r="U117" s="313"/>
      <c r="V117" s="313"/>
      <c r="W117" s="330"/>
      <c r="X117" s="330"/>
      <c r="Y117" s="330"/>
      <c r="Z117" s="331"/>
      <c r="AA117" s="331"/>
      <c r="AB117" s="331"/>
    </row>
    <row r="118" spans="2:28">
      <c r="C118" s="313"/>
      <c r="D118" s="313"/>
      <c r="E118" s="313"/>
      <c r="F118" s="313"/>
      <c r="G118" s="313"/>
      <c r="H118" s="313"/>
      <c r="I118" s="313"/>
      <c r="J118" s="313"/>
      <c r="K118" s="313"/>
      <c r="L118" s="313"/>
      <c r="N118" s="313"/>
      <c r="O118" s="313"/>
      <c r="P118" s="313"/>
      <c r="Q118" s="313"/>
      <c r="R118" s="313"/>
      <c r="S118" s="313"/>
      <c r="T118" s="313"/>
      <c r="U118" s="313"/>
      <c r="V118" s="313"/>
    </row>
  </sheetData>
  <mergeCells count="15">
    <mergeCell ref="M8:N8"/>
    <mergeCell ref="M6:N6"/>
    <mergeCell ref="M2:N2"/>
    <mergeCell ref="M3:N3"/>
    <mergeCell ref="M4:N4"/>
    <mergeCell ref="M5:N5"/>
    <mergeCell ref="M7:N7"/>
    <mergeCell ref="E1:F1"/>
    <mergeCell ref="H1:I1"/>
    <mergeCell ref="C4:D5"/>
    <mergeCell ref="B90:L90"/>
    <mergeCell ref="B11:L11"/>
    <mergeCell ref="B21:L21"/>
    <mergeCell ref="B32:L32"/>
    <mergeCell ref="E5:F5"/>
  </mergeCells>
  <pageMargins left="0.70866141732283472" right="0.70866141732283472" top="0.74803149606299213" bottom="0.74803149606299213" header="0.31496062992125984" footer="0.31496062992125984"/>
  <pageSetup paperSize="9" scale="33" orientation="portrait"/>
  <drawing r:id="rId1"/>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4" tint="-0.249977111117893"/>
    <pageSetUpPr fitToPage="1"/>
  </sheetPr>
  <dimension ref="A1:BV124"/>
  <sheetViews>
    <sheetView showGridLines="0" topLeftCell="B1" zoomScale="75" zoomScaleNormal="75" zoomScaleSheetLayoutView="100" zoomScalePageLayoutView="75" workbookViewId="0">
      <pane ySplit="1" topLeftCell="A2" activePane="bottomLeft" state="frozen"/>
      <selection activeCell="C3" sqref="C3"/>
      <selection pane="bottomLeft" activeCell="B2" sqref="B2"/>
    </sheetView>
  </sheetViews>
  <sheetFormatPr defaultColWidth="8.85546875" defaultRowHeight="14.25" outlineLevelCol="1"/>
  <cols>
    <col min="1" max="1" width="56.140625" style="38" customWidth="1" outlineLevel="1"/>
    <col min="2" max="2" width="15.7109375" style="38" customWidth="1"/>
    <col min="3" max="3" width="42.85546875" style="38" customWidth="1"/>
    <col min="4" max="4" width="27.7109375" style="38" customWidth="1"/>
    <col min="5" max="5" width="15.7109375" style="38" customWidth="1"/>
    <col min="6" max="6" width="18.7109375" style="38" customWidth="1"/>
    <col min="7" max="9" width="15.7109375" style="38" customWidth="1"/>
    <col min="10" max="10" width="45.7109375" style="38" customWidth="1"/>
    <col min="11" max="11" width="17.85546875" style="38" customWidth="1"/>
    <col min="12" max="14" width="15.7109375" style="38" customWidth="1"/>
    <col min="15" max="15" width="78.28515625" style="35" customWidth="1"/>
    <col min="16" max="16" width="7.42578125" style="38" customWidth="1"/>
    <col min="17" max="17" width="19.140625" style="38" customWidth="1"/>
    <col min="18" max="18" width="23.42578125" style="38" customWidth="1"/>
    <col min="19" max="19" width="24.42578125" style="38" bestFit="1" customWidth="1"/>
    <col min="20" max="21" width="8.85546875" style="38"/>
    <col min="22" max="25" width="6.42578125" style="38" customWidth="1"/>
    <col min="26" max="27" width="34.7109375" style="38" customWidth="1"/>
    <col min="28" max="28" width="14.7109375" style="38" customWidth="1"/>
    <col min="29" max="29" width="17.7109375" style="38" customWidth="1"/>
    <col min="30" max="30" width="15.42578125" style="38" customWidth="1"/>
    <col min="31" max="16384" width="8.85546875" style="38"/>
  </cols>
  <sheetData>
    <row r="1" spans="1:74" s="51"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2"/>
      <c r="H1" s="2311" t="str">
        <f>HYPERLINK("[.\]outputs_by_channel!A1", "To Intervention data outputs by channel")</f>
        <v>To Intervention data outputs by channel</v>
      </c>
      <c r="I1" s="2272"/>
      <c r="J1" s="1078"/>
      <c r="K1" s="1762"/>
      <c r="L1" s="1762"/>
      <c r="N1" s="1269"/>
      <c r="P1" s="52"/>
      <c r="Q1" s="52"/>
      <c r="R1" s="52"/>
      <c r="S1" s="52"/>
      <c r="U1" s="52"/>
      <c r="V1" s="52"/>
      <c r="W1" s="52"/>
      <c r="X1" s="52"/>
      <c r="Z1" s="52"/>
      <c r="AA1" s="52"/>
      <c r="AB1" s="52"/>
      <c r="AC1" s="52"/>
      <c r="AE1" s="52"/>
      <c r="AF1" s="52"/>
      <c r="AG1" s="52"/>
      <c r="AH1" s="52"/>
      <c r="AJ1" s="52"/>
      <c r="AK1" s="52"/>
      <c r="AL1" s="52"/>
      <c r="AM1" s="52"/>
      <c r="AO1" s="52"/>
      <c r="AP1" s="52"/>
      <c r="AQ1" s="52"/>
      <c r="AR1" s="52"/>
      <c r="AT1" s="52"/>
      <c r="AU1" s="52"/>
      <c r="AV1" s="52"/>
      <c r="AW1" s="52"/>
      <c r="AY1" s="52"/>
      <c r="AZ1" s="52"/>
      <c r="BA1" s="52"/>
      <c r="BB1" s="52"/>
      <c r="BD1" s="52"/>
      <c r="BE1" s="52"/>
      <c r="BF1" s="52"/>
      <c r="BG1" s="52"/>
      <c r="BI1" s="52"/>
      <c r="BJ1" s="52"/>
      <c r="BK1" s="52"/>
      <c r="BL1" s="52"/>
      <c r="BN1" s="52"/>
      <c r="BO1" s="52"/>
      <c r="BP1" s="52"/>
      <c r="BQ1" s="52"/>
      <c r="BS1" s="52"/>
      <c r="BT1" s="52"/>
      <c r="BU1" s="52"/>
      <c r="BV1" s="52"/>
    </row>
    <row r="2" spans="1:74" ht="15">
      <c r="A2" s="136"/>
      <c r="B2" s="138"/>
      <c r="C2" s="613"/>
      <c r="D2" s="613"/>
      <c r="E2" s="1268"/>
      <c r="F2" s="1268"/>
      <c r="G2" s="1268"/>
      <c r="H2" s="1268"/>
      <c r="I2" s="2093"/>
      <c r="J2" s="2087"/>
      <c r="K2" s="2087"/>
      <c r="L2" s="2088"/>
      <c r="M2" s="2469"/>
      <c r="N2" s="2469"/>
      <c r="O2" s="335"/>
      <c r="P2" s="64"/>
      <c r="Q2" s="335"/>
      <c r="R2" s="336"/>
      <c r="S2" s="35"/>
      <c r="U2" s="35"/>
      <c r="V2" s="137"/>
      <c r="W2" s="35"/>
      <c r="X2" s="35"/>
    </row>
    <row r="3" spans="1:74" ht="15" customHeight="1" thickBot="1">
      <c r="A3" s="136"/>
      <c r="B3" s="138"/>
      <c r="C3" s="613"/>
      <c r="D3" s="613"/>
      <c r="E3" s="1267"/>
      <c r="F3" s="1267"/>
      <c r="G3" s="1188"/>
      <c r="H3" s="542"/>
      <c r="I3" s="2067"/>
      <c r="J3" s="2070"/>
      <c r="K3" s="2074"/>
      <c r="L3" s="2083"/>
      <c r="M3" s="2469"/>
      <c r="N3" s="2469"/>
      <c r="O3" s="337"/>
      <c r="P3" s="336"/>
      <c r="Q3" s="337"/>
      <c r="R3" s="336"/>
      <c r="S3" s="35"/>
      <c r="U3" s="35"/>
      <c r="V3" s="137"/>
      <c r="W3" s="35"/>
      <c r="X3" s="35"/>
    </row>
    <row r="4" spans="1:74" ht="15">
      <c r="B4" s="138"/>
      <c r="C4" s="2438" t="str">
        <f>Menu!$B31</f>
        <v>Improved Referral processes - In ED</v>
      </c>
      <c r="D4" s="2439"/>
      <c r="E4" s="1267"/>
      <c r="F4" s="1267"/>
      <c r="G4" s="613"/>
      <c r="H4" s="613"/>
      <c r="I4" s="613"/>
      <c r="J4" s="2070"/>
      <c r="K4" s="2074"/>
      <c r="L4" s="2083"/>
      <c r="M4" s="2469"/>
      <c r="N4" s="2469"/>
      <c r="O4" s="337"/>
      <c r="P4" s="336"/>
      <c r="Q4" s="337"/>
      <c r="R4" s="336"/>
      <c r="S4" s="35"/>
      <c r="U4" s="35"/>
      <c r="V4" s="137"/>
      <c r="W4" s="35"/>
      <c r="X4" s="35"/>
    </row>
    <row r="5" spans="1:74" ht="15.75" thickBot="1">
      <c r="B5" s="138"/>
      <c r="C5" s="2440"/>
      <c r="D5" s="2399"/>
      <c r="E5" s="613"/>
      <c r="F5" s="1268"/>
      <c r="G5" s="1268"/>
      <c r="H5" s="542"/>
      <c r="I5" s="2067"/>
      <c r="J5" s="2070"/>
      <c r="K5" s="2075"/>
      <c r="L5" s="2084"/>
      <c r="M5" s="2469"/>
      <c r="N5" s="2469"/>
      <c r="O5" s="338"/>
      <c r="P5" s="339"/>
      <c r="Q5" s="340"/>
      <c r="R5" s="336"/>
      <c r="S5" s="35"/>
      <c r="U5" s="35"/>
      <c r="V5" s="137"/>
      <c r="W5" s="35"/>
      <c r="X5" s="35"/>
    </row>
    <row r="6" spans="1:74" ht="15" customHeight="1" thickBot="1">
      <c r="B6" s="138"/>
      <c r="C6" s="539"/>
      <c r="D6" s="539"/>
      <c r="E6" s="613"/>
      <c r="F6" s="614"/>
      <c r="G6" s="613"/>
      <c r="H6" s="613"/>
      <c r="I6" s="613"/>
      <c r="J6" s="2070"/>
      <c r="K6" s="2077"/>
      <c r="L6" s="2085"/>
      <c r="M6" s="2469"/>
      <c r="N6" s="2469"/>
      <c r="O6" s="337"/>
      <c r="P6" s="336"/>
      <c r="Q6" s="337"/>
      <c r="R6" s="336"/>
      <c r="S6" s="35"/>
      <c r="U6" s="35"/>
      <c r="V6" s="137"/>
      <c r="W6" s="35"/>
      <c r="X6" s="35"/>
    </row>
    <row r="7" spans="1:74" ht="15" customHeight="1" thickBot="1">
      <c r="B7" s="138"/>
      <c r="C7" s="957" t="s">
        <v>582</v>
      </c>
      <c r="D7" s="1329">
        <v>813405</v>
      </c>
      <c r="E7" s="613"/>
      <c r="F7" s="614"/>
      <c r="G7" s="613"/>
      <c r="H7" s="613"/>
      <c r="I7" s="613"/>
      <c r="J7" s="2070"/>
      <c r="K7" s="2078"/>
      <c r="L7" s="2083"/>
      <c r="M7" s="2469"/>
      <c r="N7" s="2469"/>
      <c r="O7" s="341"/>
      <c r="P7" s="342"/>
      <c r="Q7" s="341"/>
      <c r="R7" s="336"/>
      <c r="S7" s="35"/>
      <c r="U7" s="35"/>
      <c r="V7" s="137"/>
      <c r="W7" s="35"/>
      <c r="X7" s="35"/>
    </row>
    <row r="8" spans="1:74" ht="15">
      <c r="B8" s="138"/>
      <c r="C8" s="535"/>
      <c r="D8" s="535"/>
      <c r="E8" s="535"/>
      <c r="F8" s="535"/>
      <c r="G8" s="535"/>
      <c r="H8" s="613"/>
      <c r="I8" s="613"/>
      <c r="J8" s="2070"/>
      <c r="K8" s="2075"/>
      <c r="L8" s="2084"/>
      <c r="M8" s="2469"/>
      <c r="N8" s="2469"/>
      <c r="O8" s="338"/>
      <c r="P8" s="336"/>
      <c r="Q8" s="338"/>
      <c r="R8" s="336"/>
      <c r="S8" s="35"/>
      <c r="U8" s="35"/>
      <c r="V8" s="137"/>
      <c r="W8" s="35"/>
      <c r="X8" s="35"/>
    </row>
    <row r="9" spans="1:74" ht="15">
      <c r="B9" s="1703"/>
      <c r="C9" s="1777" t="str">
        <f>HYPERLINK("[.\]E_IR!A2","To Evidence")</f>
        <v>To Evidence</v>
      </c>
      <c r="D9" s="1788"/>
      <c r="E9" s="1788"/>
      <c r="F9" s="1788"/>
      <c r="G9" s="1788"/>
      <c r="H9" s="1789"/>
      <c r="I9" s="1789"/>
      <c r="J9" s="1717"/>
      <c r="K9" s="1790"/>
      <c r="L9" s="1791"/>
      <c r="M9" s="1717"/>
      <c r="N9" s="1717"/>
      <c r="O9" s="338"/>
      <c r="P9" s="336"/>
      <c r="Q9" s="338"/>
      <c r="R9" s="336"/>
      <c r="S9" s="35"/>
      <c r="U9" s="35"/>
      <c r="V9" s="137"/>
      <c r="W9" s="35"/>
      <c r="X9" s="35"/>
    </row>
    <row r="10" spans="1:74" ht="15">
      <c r="B10" s="1784"/>
      <c r="C10" s="1785"/>
      <c r="D10" s="1785"/>
      <c r="E10" s="1785"/>
      <c r="F10" s="1785"/>
      <c r="G10" s="1785"/>
      <c r="H10" s="1786"/>
      <c r="I10" s="1786"/>
      <c r="J10" s="1783"/>
      <c r="K10" s="1787"/>
      <c r="L10" s="1782"/>
      <c r="M10" s="1717"/>
      <c r="N10" s="1717"/>
      <c r="O10" s="338"/>
      <c r="P10" s="336"/>
      <c r="Q10" s="338"/>
      <c r="R10" s="336"/>
      <c r="S10" s="35"/>
      <c r="U10" s="35"/>
      <c r="V10" s="137"/>
      <c r="W10" s="35"/>
      <c r="X10" s="35"/>
    </row>
    <row r="11" spans="1:74" ht="15">
      <c r="A11" s="726" t="s">
        <v>103</v>
      </c>
      <c r="B11" s="2374" t="s">
        <v>119</v>
      </c>
      <c r="C11" s="2463"/>
      <c r="D11" s="2463"/>
      <c r="E11" s="2463"/>
      <c r="F11" s="2463"/>
      <c r="G11" s="2463"/>
      <c r="H11" s="2463"/>
      <c r="I11" s="2463"/>
      <c r="J11" s="2463"/>
      <c r="K11" s="2464"/>
      <c r="L11" s="2465"/>
      <c r="M11" s="1270"/>
      <c r="N11" s="1187"/>
      <c r="O11" s="36"/>
      <c r="P11" s="36"/>
      <c r="Q11" s="36"/>
      <c r="R11" s="35"/>
      <c r="S11" s="35"/>
      <c r="U11" s="35"/>
      <c r="V11" s="137"/>
      <c r="W11" s="35"/>
      <c r="X11" s="35"/>
      <c r="Y11" s="35"/>
    </row>
    <row r="12" spans="1:74" s="35" customFormat="1" ht="15">
      <c r="B12" s="1289"/>
      <c r="C12" s="36"/>
      <c r="D12" s="36"/>
      <c r="E12" s="36"/>
      <c r="F12" s="36"/>
      <c r="G12" s="36"/>
      <c r="H12" s="36"/>
      <c r="I12" s="36"/>
      <c r="J12" s="36"/>
      <c r="K12" s="53"/>
      <c r="L12" s="1271"/>
      <c r="N12" s="533"/>
      <c r="O12" s="36"/>
      <c r="P12" s="36"/>
      <c r="V12" s="137"/>
    </row>
    <row r="13" spans="1:74" s="35" customFormat="1" ht="15">
      <c r="A13" s="154"/>
      <c r="B13" s="1290"/>
      <c r="C13" s="344"/>
      <c r="D13" s="344"/>
      <c r="E13" s="344"/>
      <c r="F13" s="344"/>
      <c r="G13" s="344"/>
      <c r="H13" s="344"/>
      <c r="I13" s="344"/>
      <c r="J13" s="344"/>
      <c r="K13" s="77"/>
      <c r="L13" s="552" t="s">
        <v>141</v>
      </c>
      <c r="N13" s="36"/>
      <c r="O13" s="964"/>
      <c r="P13" s="36"/>
      <c r="V13" s="137"/>
    </row>
    <row r="14" spans="1:74" s="35" customFormat="1" ht="15">
      <c r="A14" s="154"/>
      <c r="B14" s="1290"/>
      <c r="C14" s="344"/>
      <c r="D14" s="344"/>
      <c r="E14" s="344"/>
      <c r="F14" s="344"/>
      <c r="G14" s="344"/>
      <c r="H14" s="344"/>
      <c r="I14" s="344"/>
      <c r="J14" s="344"/>
      <c r="K14" s="63"/>
      <c r="L14" s="552" t="s">
        <v>143</v>
      </c>
      <c r="N14" s="36"/>
      <c r="O14" s="36"/>
      <c r="P14" s="36"/>
      <c r="V14" s="137"/>
    </row>
    <row r="15" spans="1:74" s="35" customFormat="1" ht="15">
      <c r="A15" s="154"/>
      <c r="B15" s="1290"/>
      <c r="C15" s="344"/>
      <c r="D15" s="344"/>
      <c r="E15" s="344"/>
      <c r="F15" s="344"/>
      <c r="G15" s="344"/>
      <c r="H15" s="344"/>
      <c r="I15" s="344"/>
      <c r="J15" s="344"/>
      <c r="K15" s="345" t="s">
        <v>556</v>
      </c>
      <c r="L15" s="552" t="s">
        <v>143</v>
      </c>
      <c r="N15" s="36"/>
      <c r="O15" s="36"/>
      <c r="P15" s="36"/>
      <c r="V15" s="137"/>
    </row>
    <row r="16" spans="1:74" s="35" customFormat="1" ht="15" customHeight="1">
      <c r="A16" s="154"/>
      <c r="B16" s="1290"/>
      <c r="C16" s="2323" t="s">
        <v>761</v>
      </c>
      <c r="D16" s="2377"/>
      <c r="E16" s="346">
        <v>30000</v>
      </c>
      <c r="F16" s="344" t="s">
        <v>980</v>
      </c>
      <c r="I16" s="344"/>
      <c r="K16" s="2193"/>
      <c r="L16" s="507" t="s">
        <v>1299</v>
      </c>
      <c r="M16" s="53"/>
      <c r="N16" s="533"/>
      <c r="O16" s="36"/>
      <c r="P16" s="36"/>
    </row>
    <row r="17" spans="1:26" s="35" customFormat="1" ht="15" customHeight="1">
      <c r="A17" s="154"/>
      <c r="B17" s="1290"/>
      <c r="C17" s="2323" t="s">
        <v>1044</v>
      </c>
      <c r="D17" s="2377"/>
      <c r="E17" s="158">
        <v>0.05</v>
      </c>
      <c r="F17" s="344"/>
      <c r="I17" s="344"/>
      <c r="J17" s="344"/>
      <c r="K17" s="344"/>
      <c r="L17" s="1272"/>
      <c r="M17" s="53"/>
      <c r="N17" s="533"/>
      <c r="O17" s="36"/>
      <c r="P17" s="36"/>
    </row>
    <row r="18" spans="1:26" s="35" customFormat="1" ht="15" customHeight="1">
      <c r="A18" s="154"/>
      <c r="B18" s="1290"/>
      <c r="C18" s="2323" t="s">
        <v>1045</v>
      </c>
      <c r="D18" s="2377"/>
      <c r="E18" s="198">
        <f>E16*E17</f>
        <v>1500</v>
      </c>
      <c r="F18" s="344"/>
      <c r="I18" s="344"/>
      <c r="J18" s="344"/>
      <c r="K18" s="344"/>
      <c r="L18" s="1272"/>
      <c r="M18" s="53"/>
      <c r="N18" s="533"/>
      <c r="O18" s="36"/>
      <c r="P18" s="36"/>
    </row>
    <row r="19" spans="1:26" s="35" customFormat="1" ht="15">
      <c r="A19" s="154"/>
      <c r="B19" s="1290"/>
      <c r="C19" s="136"/>
      <c r="D19" s="136"/>
      <c r="E19" s="136"/>
      <c r="F19" s="136"/>
      <c r="G19" s="136"/>
      <c r="H19" s="53"/>
      <c r="I19" s="344"/>
      <c r="J19" s="344"/>
      <c r="K19" s="344"/>
      <c r="L19" s="1272"/>
      <c r="M19" s="53"/>
      <c r="N19" s="533"/>
      <c r="O19" s="36"/>
      <c r="P19" s="36"/>
    </row>
    <row r="20" spans="1:26" s="35" customFormat="1" ht="15">
      <c r="A20" s="154"/>
      <c r="B20" s="1291"/>
      <c r="C20" s="136"/>
      <c r="D20" s="136"/>
      <c r="E20" s="136"/>
      <c r="F20" s="136"/>
      <c r="G20" s="136"/>
      <c r="H20" s="53"/>
      <c r="I20" s="53"/>
      <c r="J20" s="53"/>
      <c r="K20" s="53"/>
      <c r="L20" s="1273"/>
      <c r="M20" s="53"/>
      <c r="N20" s="533"/>
      <c r="O20" s="36"/>
      <c r="P20" s="36"/>
    </row>
    <row r="21" spans="1:26" ht="15">
      <c r="B21" s="2374" t="s">
        <v>117</v>
      </c>
      <c r="C21" s="2463"/>
      <c r="D21" s="2463"/>
      <c r="E21" s="2463"/>
      <c r="F21" s="2463"/>
      <c r="G21" s="2463"/>
      <c r="H21" s="2463"/>
      <c r="I21" s="2463"/>
      <c r="J21" s="2463"/>
      <c r="K21" s="2463"/>
      <c r="L21" s="2468"/>
      <c r="M21" s="1270"/>
      <c r="N21" s="1187"/>
      <c r="O21" s="36"/>
      <c r="P21" s="36"/>
      <c r="Q21" s="36"/>
      <c r="R21" s="35"/>
      <c r="S21" s="35"/>
      <c r="U21" s="35"/>
      <c r="V21" s="137"/>
      <c r="W21" s="35"/>
      <c r="X21" s="35"/>
      <c r="Y21" s="35"/>
    </row>
    <row r="22" spans="1:26" ht="15">
      <c r="B22" s="965"/>
      <c r="C22" s="56"/>
      <c r="D22" s="36"/>
      <c r="E22" s="36"/>
      <c r="F22" s="36"/>
      <c r="G22" s="36"/>
      <c r="H22" s="197"/>
      <c r="I22" s="56"/>
      <c r="J22" s="56"/>
      <c r="K22" s="61"/>
      <c r="L22" s="1271"/>
      <c r="M22" s="35"/>
      <c r="N22" s="533"/>
      <c r="O22" s="36"/>
      <c r="P22" s="36"/>
      <c r="Q22" s="36"/>
      <c r="R22" s="56"/>
      <c r="S22" s="35"/>
      <c r="U22" s="35"/>
      <c r="V22" s="35"/>
      <c r="W22" s="35"/>
      <c r="X22" s="35"/>
      <c r="Y22" s="35"/>
    </row>
    <row r="23" spans="1:26" ht="15">
      <c r="B23" s="138"/>
      <c r="C23" s="1775" t="str">
        <f>HYPERLINK("[.\]Set_up_IR!C8","To Set up costs template")</f>
        <v>To Set up costs template</v>
      </c>
      <c r="D23" s="36"/>
      <c r="E23" s="36"/>
      <c r="F23" s="36"/>
      <c r="G23" s="36"/>
      <c r="H23" s="658"/>
      <c r="I23" s="537"/>
      <c r="J23" s="537"/>
      <c r="K23" s="1184"/>
      <c r="L23" s="1272"/>
      <c r="M23" s="35"/>
      <c r="N23" s="533"/>
      <c r="O23" s="36"/>
      <c r="P23" s="36"/>
      <c r="Q23" s="36"/>
      <c r="R23" s="537"/>
      <c r="S23" s="35"/>
      <c r="U23" s="35"/>
      <c r="V23" s="35"/>
      <c r="W23" s="35"/>
      <c r="X23" s="35"/>
      <c r="Y23" s="35"/>
    </row>
    <row r="24" spans="1:26" ht="15">
      <c r="B24" s="138"/>
      <c r="C24" s="537"/>
      <c r="D24" s="36"/>
      <c r="E24" s="36"/>
      <c r="F24" s="36"/>
      <c r="G24" s="36"/>
      <c r="H24" s="658"/>
      <c r="I24" s="537"/>
      <c r="J24" s="537"/>
      <c r="K24" s="1184"/>
      <c r="L24" s="1272"/>
      <c r="M24" s="35"/>
      <c r="N24" s="533"/>
      <c r="O24" s="36"/>
      <c r="P24" s="36"/>
      <c r="Q24" s="36"/>
      <c r="R24" s="537"/>
      <c r="S24" s="35"/>
      <c r="U24" s="35"/>
      <c r="V24" s="35"/>
      <c r="W24" s="35"/>
      <c r="X24" s="35"/>
      <c r="Y24" s="35"/>
    </row>
    <row r="25" spans="1:26" ht="15">
      <c r="B25" s="138"/>
      <c r="C25" s="639" t="s">
        <v>63</v>
      </c>
      <c r="D25" s="56"/>
      <c r="E25" s="56"/>
      <c r="F25" s="56"/>
      <c r="G25" s="56"/>
      <c r="H25" s="36"/>
      <c r="I25" s="164"/>
      <c r="J25" s="56"/>
      <c r="K25" s="56"/>
      <c r="L25" s="1274"/>
      <c r="M25" s="53"/>
      <c r="N25" s="533"/>
      <c r="O25" s="36"/>
      <c r="P25" s="36"/>
      <c r="Q25" s="36"/>
      <c r="R25" s="36"/>
      <c r="S25" s="56"/>
      <c r="T25" s="35"/>
      <c r="U25" s="35"/>
      <c r="V25" s="35"/>
      <c r="W25" s="35"/>
      <c r="X25" s="35"/>
      <c r="Y25" s="35"/>
      <c r="Z25" s="35"/>
    </row>
    <row r="26" spans="1:26" ht="15">
      <c r="B26" s="138"/>
      <c r="C26" s="159" t="s">
        <v>760</v>
      </c>
      <c r="D26" s="1208">
        <f>Set_up_IR!C13</f>
        <v>53206.666666666672</v>
      </c>
      <c r="E26" s="36"/>
      <c r="F26" s="193"/>
      <c r="I26" s="67"/>
      <c r="J26" s="56"/>
      <c r="K26" s="56"/>
      <c r="L26" s="1274"/>
      <c r="M26" s="53"/>
      <c r="N26" s="533"/>
      <c r="O26" s="36"/>
      <c r="P26" s="36"/>
      <c r="Q26" s="36"/>
      <c r="R26" s="36"/>
      <c r="S26" s="56"/>
      <c r="T26" s="35"/>
      <c r="U26" s="35"/>
      <c r="V26" s="35"/>
      <c r="W26" s="35"/>
      <c r="X26" s="35"/>
      <c r="Y26" s="35"/>
      <c r="Z26" s="35"/>
    </row>
    <row r="27" spans="1:26" ht="15">
      <c r="B27" s="138"/>
      <c r="C27" s="347"/>
      <c r="D27" s="348"/>
      <c r="E27" s="348"/>
      <c r="F27" s="36"/>
      <c r="G27" s="36"/>
      <c r="H27" s="56"/>
      <c r="I27" s="61"/>
      <c r="J27" s="61"/>
      <c r="K27" s="61"/>
      <c r="L27" s="1275"/>
      <c r="M27" s="61"/>
      <c r="N27" s="533"/>
      <c r="O27" s="36"/>
      <c r="P27" s="36"/>
      <c r="Q27" s="36"/>
      <c r="R27" s="56"/>
      <c r="S27" s="35"/>
      <c r="T27" s="35"/>
      <c r="U27" s="35"/>
      <c r="V27" s="35"/>
      <c r="W27" s="35"/>
      <c r="X27" s="35"/>
      <c r="Y27" s="35"/>
    </row>
    <row r="28" spans="1:26" ht="15">
      <c r="B28" s="138"/>
      <c r="C28" s="711" t="s">
        <v>73</v>
      </c>
      <c r="D28" s="1208">
        <f>Set_up_IR!C19</f>
        <v>6641.3333333333339</v>
      </c>
      <c r="E28" s="36"/>
      <c r="F28" s="193"/>
      <c r="I28" s="61"/>
      <c r="J28" s="61"/>
      <c r="K28" s="61"/>
      <c r="L28" s="1275"/>
      <c r="M28" s="61"/>
      <c r="N28" s="533"/>
      <c r="O28" s="36"/>
      <c r="P28" s="36"/>
      <c r="Q28" s="36"/>
      <c r="R28" s="56"/>
      <c r="S28" s="35"/>
      <c r="T28" s="35"/>
      <c r="U28" s="35"/>
      <c r="V28" s="35"/>
      <c r="W28" s="35"/>
      <c r="X28" s="35"/>
      <c r="Y28" s="35"/>
    </row>
    <row r="29" spans="1:26" ht="15">
      <c r="B29" s="138"/>
      <c r="C29" s="56"/>
      <c r="D29" s="348"/>
      <c r="E29" s="348"/>
      <c r="F29" s="36"/>
      <c r="G29" s="36"/>
      <c r="H29" s="197"/>
      <c r="I29" s="61"/>
      <c r="J29" s="61"/>
      <c r="K29" s="61"/>
      <c r="L29" s="1275"/>
      <c r="M29" s="61"/>
      <c r="N29" s="533"/>
      <c r="O29" s="36"/>
      <c r="P29" s="36"/>
      <c r="Q29" s="36"/>
      <c r="R29" s="56"/>
      <c r="S29" s="35"/>
      <c r="T29" s="35"/>
      <c r="U29" s="35"/>
      <c r="V29" s="35"/>
      <c r="W29" s="35"/>
      <c r="X29" s="35"/>
      <c r="Y29" s="35"/>
    </row>
    <row r="30" spans="1:26" ht="15">
      <c r="B30" s="138"/>
      <c r="C30" s="56"/>
      <c r="D30" s="348"/>
      <c r="E30" s="348"/>
      <c r="F30" s="36"/>
      <c r="G30" s="36"/>
      <c r="H30" s="197"/>
      <c r="I30" s="61"/>
      <c r="J30" s="61"/>
      <c r="K30" s="61"/>
      <c r="L30" s="1275"/>
      <c r="M30" s="61"/>
      <c r="N30" s="533"/>
      <c r="O30" s="36"/>
      <c r="P30" s="36"/>
      <c r="Q30" s="36"/>
      <c r="R30" s="56"/>
      <c r="S30" s="35"/>
      <c r="T30" s="35"/>
      <c r="U30" s="35"/>
      <c r="V30" s="35"/>
      <c r="W30" s="35"/>
      <c r="X30" s="35"/>
      <c r="Y30" s="35"/>
    </row>
    <row r="31" spans="1:26">
      <c r="B31" s="169"/>
      <c r="C31" s="59"/>
      <c r="D31" s="59"/>
      <c r="E31" s="58"/>
      <c r="F31" s="58"/>
      <c r="G31" s="58"/>
      <c r="H31" s="59"/>
      <c r="I31" s="59"/>
      <c r="J31" s="59"/>
      <c r="K31" s="59"/>
      <c r="L31" s="1276"/>
      <c r="M31" s="62"/>
      <c r="N31" s="62"/>
      <c r="O31" s="36"/>
      <c r="P31" s="36"/>
      <c r="Q31" s="35"/>
      <c r="R31" s="35"/>
      <c r="S31" s="35"/>
      <c r="T31" s="35"/>
      <c r="U31" s="35"/>
      <c r="V31" s="35"/>
      <c r="W31" s="35"/>
      <c r="X31" s="35"/>
      <c r="Y31" s="35"/>
    </row>
    <row r="32" spans="1:26" ht="15">
      <c r="B32" s="2374" t="s">
        <v>102</v>
      </c>
      <c r="C32" s="2463"/>
      <c r="D32" s="2463"/>
      <c r="E32" s="2463"/>
      <c r="F32" s="2463"/>
      <c r="G32" s="2463"/>
      <c r="H32" s="2463"/>
      <c r="I32" s="2463"/>
      <c r="J32" s="2463"/>
      <c r="K32" s="2463"/>
      <c r="L32" s="2468"/>
      <c r="M32" s="1184"/>
      <c r="N32" s="533"/>
      <c r="O32" s="36"/>
      <c r="P32" s="36"/>
      <c r="Q32" s="36"/>
      <c r="R32" s="35"/>
      <c r="S32" s="35"/>
      <c r="U32" s="35"/>
      <c r="V32" s="137"/>
      <c r="W32" s="35"/>
      <c r="X32" s="35"/>
      <c r="Y32" s="35"/>
    </row>
    <row r="33" spans="2:26" ht="15">
      <c r="B33" s="965"/>
      <c r="C33" s="349"/>
      <c r="D33" s="349"/>
      <c r="E33" s="349"/>
      <c r="F33" s="62"/>
      <c r="G33" s="62"/>
      <c r="H33" s="170"/>
      <c r="I33" s="62"/>
      <c r="J33" s="170"/>
      <c r="K33" s="170"/>
      <c r="L33" s="1277"/>
      <c r="M33" s="350"/>
      <c r="N33" s="1183"/>
      <c r="O33" s="62"/>
      <c r="P33" s="36"/>
      <c r="Q33" s="35"/>
      <c r="R33" s="35"/>
      <c r="S33" s="35"/>
      <c r="T33" s="35"/>
      <c r="U33" s="35"/>
      <c r="V33" s="35"/>
      <c r="W33" s="35"/>
      <c r="X33" s="35"/>
      <c r="Y33" s="35"/>
      <c r="Z33" s="35"/>
    </row>
    <row r="34" spans="2:26" s="70" customFormat="1" ht="15">
      <c r="B34" s="1287"/>
      <c r="C34" s="563" t="s">
        <v>758</v>
      </c>
      <c r="D34" s="563" t="s">
        <v>288</v>
      </c>
      <c r="E34" s="69"/>
      <c r="G34" s="69"/>
      <c r="H34" s="69"/>
      <c r="I34" s="69"/>
      <c r="J34" s="69"/>
      <c r="K34" s="69"/>
      <c r="L34" s="1278"/>
      <c r="M34" s="69"/>
      <c r="N34" s="1183"/>
      <c r="O34" s="69"/>
      <c r="P34" s="69"/>
    </row>
    <row r="35" spans="2:26" s="70" customFormat="1" ht="15">
      <c r="B35" s="1287"/>
      <c r="C35" s="159" t="str">
        <f>C26</f>
        <v>Emergency department</v>
      </c>
      <c r="D35" s="1519">
        <v>202682</v>
      </c>
      <c r="E35" s="69"/>
      <c r="G35" s="69"/>
      <c r="H35" s="69"/>
      <c r="I35" s="69"/>
      <c r="J35" s="69"/>
      <c r="K35" s="69"/>
      <c r="L35" s="1278"/>
      <c r="M35" s="69"/>
      <c r="N35" s="1183"/>
      <c r="O35" s="69"/>
      <c r="P35" s="69"/>
    </row>
    <row r="36" spans="2:26" ht="30">
      <c r="B36" s="138"/>
      <c r="C36" s="159" t="s">
        <v>939</v>
      </c>
      <c r="D36" s="568">
        <v>0.04</v>
      </c>
      <c r="E36" s="195"/>
      <c r="G36" s="195"/>
      <c r="H36" s="351"/>
      <c r="I36" s="170"/>
      <c r="J36" s="170"/>
      <c r="K36" s="1184"/>
      <c r="L36" s="1274"/>
      <c r="M36" s="1184"/>
      <c r="N36" s="1183"/>
      <c r="O36" s="62"/>
      <c r="P36" s="36"/>
      <c r="Q36" s="35"/>
      <c r="R36" s="35"/>
      <c r="S36" s="35"/>
      <c r="T36" s="35"/>
      <c r="U36" s="35"/>
      <c r="V36" s="35"/>
      <c r="W36" s="35"/>
      <c r="X36" s="35"/>
      <c r="Y36" s="35"/>
      <c r="Z36" s="35"/>
    </row>
    <row r="37" spans="2:26" ht="30">
      <c r="B37" s="138"/>
      <c r="C37" s="159" t="s">
        <v>938</v>
      </c>
      <c r="D37" s="1493">
        <f>D36*D35</f>
        <v>8107.28</v>
      </c>
      <c r="E37" s="195"/>
      <c r="G37" s="195"/>
      <c r="H37"/>
      <c r="I37" s="170"/>
      <c r="J37" s="170"/>
      <c r="K37" s="61"/>
      <c r="L37" s="1274"/>
      <c r="M37" s="61"/>
      <c r="N37" s="1183"/>
      <c r="O37" s="62"/>
      <c r="P37" s="36"/>
      <c r="Q37" s="35"/>
      <c r="R37" s="35"/>
      <c r="S37" s="35"/>
      <c r="T37" s="35"/>
      <c r="U37" s="35"/>
      <c r="V37" s="35"/>
      <c r="W37" s="35"/>
      <c r="X37" s="35"/>
      <c r="Y37" s="35"/>
      <c r="Z37" s="35"/>
    </row>
    <row r="38" spans="2:26" ht="15">
      <c r="B38" s="191"/>
      <c r="C38" s="347"/>
      <c r="D38" s="56"/>
      <c r="E38" s="56"/>
      <c r="F38" s="67"/>
      <c r="G38" s="56"/>
      <c r="H38"/>
      <c r="I38" s="67"/>
      <c r="J38" s="67"/>
      <c r="K38" s="170"/>
      <c r="L38" s="1279"/>
      <c r="M38" s="170"/>
      <c r="N38" s="1183"/>
      <c r="O38" s="36"/>
      <c r="P38" s="36"/>
      <c r="Q38" s="35"/>
      <c r="R38" s="35"/>
      <c r="S38" s="35"/>
      <c r="T38" s="35"/>
      <c r="U38" s="35"/>
      <c r="V38" s="35"/>
      <c r="W38" s="35"/>
      <c r="X38" s="35"/>
    </row>
    <row r="39" spans="2:26" s="70" customFormat="1" ht="45">
      <c r="B39" s="1288"/>
      <c r="C39" s="639" t="s">
        <v>940</v>
      </c>
      <c r="D39" s="563" t="s">
        <v>941</v>
      </c>
      <c r="E39" s="56"/>
      <c r="G39" s="37"/>
      <c r="H39"/>
      <c r="I39" s="37"/>
      <c r="J39" s="1181" t="s">
        <v>1001</v>
      </c>
      <c r="K39" s="563" t="s">
        <v>121</v>
      </c>
      <c r="L39" s="1134" t="s">
        <v>148</v>
      </c>
      <c r="N39" s="69"/>
      <c r="O39" s="1191"/>
      <c r="P39" s="72"/>
      <c r="Q39" s="68"/>
      <c r="R39" s="68"/>
      <c r="S39" s="68"/>
      <c r="T39" s="68"/>
      <c r="U39" s="35"/>
      <c r="V39" s="68"/>
      <c r="W39" s="68"/>
      <c r="X39" s="68"/>
    </row>
    <row r="40" spans="2:26" ht="15">
      <c r="B40" s="138"/>
      <c r="C40" s="160" t="s">
        <v>69</v>
      </c>
      <c r="D40" s="354">
        <v>0.1</v>
      </c>
      <c r="E40" s="56"/>
      <c r="G40" s="170"/>
      <c r="H40"/>
      <c r="I40" s="64"/>
      <c r="J40" s="355" t="str">
        <f t="shared" ref="J40:J55" si="0">C40</f>
        <v>Emergency bed days</v>
      </c>
      <c r="K40" s="352">
        <f t="shared" ref="K40:K55" si="1">D40*$D$37</f>
        <v>810.72800000000007</v>
      </c>
      <c r="L40" s="1280">
        <f t="shared" ref="L40:L55" si="2">SIGN(K40)*INT(ABS(K40)/E78)*E78</f>
        <v>0</v>
      </c>
      <c r="N40" s="67"/>
      <c r="O40" s="36"/>
      <c r="P40" s="36"/>
      <c r="Q40" s="35"/>
      <c r="R40" s="35"/>
      <c r="S40" s="35"/>
      <c r="T40" s="35"/>
      <c r="U40" s="35"/>
      <c r="V40" s="35"/>
      <c r="W40" s="35"/>
      <c r="X40" s="35"/>
      <c r="Y40" s="35"/>
    </row>
    <row r="41" spans="2:26" ht="15">
      <c r="B41" s="138"/>
      <c r="C41" s="160" t="s">
        <v>43</v>
      </c>
      <c r="D41" s="354">
        <v>0</v>
      </c>
      <c r="E41" s="56"/>
      <c r="G41" s="170"/>
      <c r="H41"/>
      <c r="I41" s="64"/>
      <c r="J41" s="355" t="str">
        <f t="shared" si="0"/>
        <v>ED attends</v>
      </c>
      <c r="K41" s="352">
        <f t="shared" si="1"/>
        <v>0</v>
      </c>
      <c r="L41" s="1280">
        <f t="shared" si="2"/>
        <v>0</v>
      </c>
      <c r="N41" s="67"/>
      <c r="O41" s="36"/>
      <c r="P41" s="36"/>
      <c r="Q41" s="35"/>
      <c r="R41" s="35"/>
      <c r="S41" s="35"/>
      <c r="T41" s="35"/>
      <c r="U41" s="35"/>
      <c r="V41" s="35"/>
      <c r="W41" s="35"/>
      <c r="X41" s="35"/>
      <c r="Y41" s="35"/>
    </row>
    <row r="42" spans="2:26" ht="15">
      <c r="B42" s="138"/>
      <c r="C42" s="160" t="s">
        <v>49</v>
      </c>
      <c r="D42" s="354">
        <v>0</v>
      </c>
      <c r="E42" s="56"/>
      <c r="G42" s="170"/>
      <c r="H42"/>
      <c r="I42" s="64"/>
      <c r="J42" s="355" t="str">
        <f t="shared" si="0"/>
        <v>ED Minor attends</v>
      </c>
      <c r="K42" s="352">
        <f t="shared" si="1"/>
        <v>0</v>
      </c>
      <c r="L42" s="1280">
        <f t="shared" si="2"/>
        <v>0</v>
      </c>
      <c r="N42" s="67"/>
      <c r="O42" s="36"/>
      <c r="P42" s="36"/>
      <c r="Q42" s="35"/>
      <c r="R42" s="35"/>
      <c r="S42" s="35"/>
      <c r="T42" s="35"/>
      <c r="U42" s="35"/>
      <c r="V42" s="35"/>
      <c r="W42" s="35"/>
      <c r="X42" s="35"/>
      <c r="Y42" s="35"/>
    </row>
    <row r="43" spans="2:26" ht="15">
      <c r="B43" s="138"/>
      <c r="C43" s="160" t="s">
        <v>67</v>
      </c>
      <c r="D43" s="354">
        <v>0</v>
      </c>
      <c r="E43" s="56"/>
      <c r="G43" s="170"/>
      <c r="H43"/>
      <c r="I43" s="64"/>
      <c r="J43" s="355" t="str">
        <f t="shared" si="0"/>
        <v>UCC attends</v>
      </c>
      <c r="K43" s="352">
        <f t="shared" si="1"/>
        <v>0</v>
      </c>
      <c r="L43" s="1280">
        <f t="shared" si="2"/>
        <v>0</v>
      </c>
      <c r="N43" s="67"/>
      <c r="O43" s="36"/>
      <c r="P43" s="36"/>
      <c r="Q43" s="35"/>
      <c r="R43" s="35"/>
      <c r="S43" s="35"/>
      <c r="T43" s="35"/>
      <c r="U43" s="35"/>
      <c r="V43" s="35"/>
      <c r="W43" s="35"/>
      <c r="X43" s="35"/>
      <c r="Y43" s="35"/>
    </row>
    <row r="44" spans="2:26" ht="15">
      <c r="B44" s="138"/>
      <c r="C44" s="160" t="s">
        <v>44</v>
      </c>
      <c r="D44" s="354">
        <v>0</v>
      </c>
      <c r="E44" s="56"/>
      <c r="G44" s="170"/>
      <c r="H44"/>
      <c r="I44" s="64"/>
      <c r="J44" s="355" t="str">
        <f t="shared" si="0"/>
        <v>OOH clinic visits</v>
      </c>
      <c r="K44" s="352">
        <f t="shared" si="1"/>
        <v>0</v>
      </c>
      <c r="L44" s="1280">
        <f t="shared" si="2"/>
        <v>0</v>
      </c>
      <c r="N44" s="67"/>
      <c r="O44" s="36"/>
      <c r="P44" s="36"/>
      <c r="Q44" s="35"/>
      <c r="R44" s="35"/>
      <c r="S44" s="35"/>
      <c r="T44" s="35"/>
      <c r="U44" s="35"/>
      <c r="V44" s="35"/>
      <c r="W44" s="35"/>
      <c r="X44" s="35"/>
      <c r="Y44" s="35"/>
    </row>
    <row r="45" spans="2:26" ht="15">
      <c r="B45" s="138"/>
      <c r="C45" s="160" t="s">
        <v>45</v>
      </c>
      <c r="D45" s="354">
        <v>0</v>
      </c>
      <c r="E45" s="56"/>
      <c r="G45" s="170"/>
      <c r="H45"/>
      <c r="I45" s="64"/>
      <c r="J45" s="355" t="str">
        <f t="shared" si="0"/>
        <v>OOH home visits</v>
      </c>
      <c r="K45" s="352">
        <f t="shared" si="1"/>
        <v>0</v>
      </c>
      <c r="L45" s="1280">
        <f t="shared" si="2"/>
        <v>0</v>
      </c>
      <c r="N45" s="67"/>
      <c r="O45" s="36"/>
      <c r="P45" s="36"/>
      <c r="Q45" s="35"/>
      <c r="R45" s="35"/>
      <c r="S45" s="35"/>
      <c r="T45" s="35"/>
      <c r="U45" s="35"/>
      <c r="V45" s="35"/>
      <c r="W45" s="35"/>
      <c r="X45" s="35"/>
      <c r="Y45" s="35"/>
    </row>
    <row r="46" spans="2:26" ht="15">
      <c r="B46" s="138"/>
      <c r="C46" s="160" t="s">
        <v>50</v>
      </c>
      <c r="D46" s="354">
        <v>0</v>
      </c>
      <c r="E46" s="56"/>
      <c r="G46" s="170"/>
      <c r="H46"/>
      <c r="I46" s="64"/>
      <c r="J46" s="355" t="str">
        <f t="shared" si="0"/>
        <v>111 calls (call handler)</v>
      </c>
      <c r="K46" s="352">
        <f t="shared" si="1"/>
        <v>0</v>
      </c>
      <c r="L46" s="1280">
        <f t="shared" si="2"/>
        <v>0</v>
      </c>
      <c r="N46" s="67"/>
      <c r="O46" s="36"/>
      <c r="P46" s="36"/>
      <c r="Q46" s="35"/>
      <c r="R46" s="35"/>
      <c r="S46" s="35"/>
      <c r="T46" s="35"/>
      <c r="U46" s="35"/>
      <c r="V46" s="35"/>
      <c r="W46" s="35"/>
      <c r="X46" s="35"/>
      <c r="Y46" s="35"/>
    </row>
    <row r="47" spans="2:26" ht="15">
      <c r="B47" s="138"/>
      <c r="C47" s="160" t="s">
        <v>51</v>
      </c>
      <c r="D47" s="354">
        <v>0</v>
      </c>
      <c r="E47" s="56"/>
      <c r="G47" s="170"/>
      <c r="H47"/>
      <c r="I47" s="64"/>
      <c r="J47" s="355" t="str">
        <f t="shared" si="0"/>
        <v>111 calls (clinical advisor)</v>
      </c>
      <c r="K47" s="352">
        <f t="shared" si="1"/>
        <v>0</v>
      </c>
      <c r="L47" s="1280">
        <f t="shared" si="2"/>
        <v>0</v>
      </c>
      <c r="N47" s="67"/>
      <c r="O47" s="36"/>
      <c r="P47" s="36"/>
      <c r="Q47" s="35"/>
      <c r="R47" s="35"/>
      <c r="S47" s="35"/>
      <c r="T47" s="35"/>
      <c r="U47" s="35"/>
      <c r="V47" s="35"/>
      <c r="W47" s="35"/>
      <c r="X47" s="35"/>
      <c r="Y47" s="35"/>
    </row>
    <row r="48" spans="2:26" ht="15">
      <c r="B48" s="138"/>
      <c r="C48" s="160" t="s">
        <v>41</v>
      </c>
      <c r="D48" s="354">
        <v>-0.01</v>
      </c>
      <c r="E48" s="56"/>
      <c r="G48" s="170"/>
      <c r="H48"/>
      <c r="I48" s="64"/>
      <c r="J48" s="355" t="str">
        <f t="shared" si="0"/>
        <v>Community pharmacy attends</v>
      </c>
      <c r="K48" s="352">
        <f t="shared" si="1"/>
        <v>-81.072800000000001</v>
      </c>
      <c r="L48" s="1280">
        <f t="shared" si="2"/>
        <v>-81</v>
      </c>
      <c r="N48" s="67"/>
      <c r="O48" s="36"/>
      <c r="P48" s="36"/>
      <c r="Q48" s="35"/>
      <c r="R48" s="35"/>
      <c r="S48" s="35"/>
      <c r="T48" s="35"/>
      <c r="U48" s="35"/>
      <c r="V48" s="35"/>
      <c r="W48" s="35"/>
      <c r="X48" s="35"/>
      <c r="Y48" s="35"/>
    </row>
    <row r="49" spans="2:26" ht="15">
      <c r="B49" s="138"/>
      <c r="C49" s="160" t="s">
        <v>77</v>
      </c>
      <c r="D49" s="354">
        <v>0</v>
      </c>
      <c r="E49" s="56"/>
      <c r="G49" s="170"/>
      <c r="H49"/>
      <c r="I49" s="64"/>
      <c r="J49" s="355" t="str">
        <f t="shared" si="0"/>
        <v>Ambulance - see and treat</v>
      </c>
      <c r="K49" s="352">
        <f t="shared" si="1"/>
        <v>0</v>
      </c>
      <c r="L49" s="1280">
        <f t="shared" si="2"/>
        <v>0</v>
      </c>
      <c r="N49" s="67"/>
      <c r="O49" s="36"/>
      <c r="P49" s="36"/>
      <c r="Q49" s="35"/>
      <c r="R49" s="35"/>
      <c r="S49" s="35"/>
      <c r="T49" s="35"/>
      <c r="U49" s="35"/>
      <c r="V49" s="35"/>
      <c r="W49" s="35"/>
      <c r="X49" s="35"/>
      <c r="Y49" s="35"/>
    </row>
    <row r="50" spans="2:26" ht="15">
      <c r="B50" s="138"/>
      <c r="C50" s="160" t="s">
        <v>46</v>
      </c>
      <c r="D50" s="354">
        <v>0</v>
      </c>
      <c r="E50" s="56"/>
      <c r="G50" s="170"/>
      <c r="H50"/>
      <c r="I50" s="64"/>
      <c r="J50" s="355" t="str">
        <f t="shared" si="0"/>
        <v>Ambulance - see and convey to ED</v>
      </c>
      <c r="K50" s="352">
        <f t="shared" si="1"/>
        <v>0</v>
      </c>
      <c r="L50" s="1280">
        <f t="shared" si="2"/>
        <v>0</v>
      </c>
      <c r="N50" s="67"/>
      <c r="O50" s="36"/>
      <c r="P50" s="36"/>
      <c r="Q50" s="35"/>
      <c r="R50" s="35"/>
      <c r="S50" s="35"/>
      <c r="T50" s="35"/>
      <c r="U50" s="35"/>
      <c r="V50" s="35"/>
      <c r="W50" s="35"/>
      <c r="X50" s="35"/>
      <c r="Y50" s="35"/>
    </row>
    <row r="51" spans="2:26" ht="15">
      <c r="B51" s="138"/>
      <c r="C51" s="160" t="s">
        <v>30</v>
      </c>
      <c r="D51" s="354">
        <v>-0.5</v>
      </c>
      <c r="E51" s="56"/>
      <c r="G51" s="170"/>
      <c r="H51"/>
      <c r="I51" s="64"/>
      <c r="J51" s="355" t="str">
        <f t="shared" si="0"/>
        <v>Community contacts</v>
      </c>
      <c r="K51" s="352">
        <f t="shared" si="1"/>
        <v>-4053.64</v>
      </c>
      <c r="L51" s="1280">
        <f t="shared" si="2"/>
        <v>-3150</v>
      </c>
      <c r="N51" s="67"/>
      <c r="O51" s="36"/>
      <c r="P51" s="36"/>
      <c r="Q51" s="35"/>
      <c r="R51" s="35"/>
      <c r="S51" s="35"/>
      <c r="T51" s="35"/>
      <c r="U51" s="35"/>
      <c r="V51" s="35"/>
      <c r="W51" s="35"/>
      <c r="X51" s="35"/>
      <c r="Y51" s="35"/>
    </row>
    <row r="52" spans="2:26" ht="15">
      <c r="B52" s="138"/>
      <c r="C52" s="160" t="s">
        <v>48</v>
      </c>
      <c r="D52" s="354">
        <v>0</v>
      </c>
      <c r="E52" s="56"/>
      <c r="G52" s="170"/>
      <c r="H52"/>
      <c r="I52" s="64"/>
      <c r="J52" s="355" t="str">
        <f t="shared" si="0"/>
        <v>Intermediate care bed days</v>
      </c>
      <c r="K52" s="352">
        <f t="shared" si="1"/>
        <v>0</v>
      </c>
      <c r="L52" s="1280">
        <f t="shared" si="2"/>
        <v>0</v>
      </c>
      <c r="N52" s="67"/>
      <c r="O52" s="36"/>
      <c r="P52" s="36"/>
      <c r="Q52" s="35"/>
      <c r="R52" s="35"/>
      <c r="S52" s="35"/>
      <c r="T52" s="35"/>
      <c r="U52" s="35"/>
      <c r="V52" s="35"/>
      <c r="W52" s="35"/>
      <c r="X52" s="35"/>
      <c r="Y52" s="35"/>
    </row>
    <row r="53" spans="2:26" ht="15">
      <c r="B53" s="138"/>
      <c r="C53" s="160" t="s">
        <v>225</v>
      </c>
      <c r="D53" s="354">
        <v>0</v>
      </c>
      <c r="E53" s="56"/>
      <c r="G53" s="170"/>
      <c r="H53"/>
      <c r="I53" s="64"/>
      <c r="J53" s="355" t="str">
        <f t="shared" si="0"/>
        <v>Social services domiciliary care</v>
      </c>
      <c r="K53" s="352">
        <f t="shared" si="1"/>
        <v>0</v>
      </c>
      <c r="L53" s="1280">
        <f t="shared" si="2"/>
        <v>0</v>
      </c>
      <c r="N53" s="67"/>
      <c r="O53" s="36"/>
      <c r="P53" s="36"/>
      <c r="Q53" s="35"/>
      <c r="R53" s="35"/>
      <c r="S53" s="35"/>
      <c r="T53" s="35"/>
      <c r="U53" s="35"/>
      <c r="V53" s="35"/>
      <c r="W53" s="35"/>
      <c r="X53" s="35"/>
      <c r="Y53" s="35"/>
    </row>
    <row r="54" spans="2:26" ht="15">
      <c r="B54" s="138"/>
      <c r="C54" s="722" t="s">
        <v>32</v>
      </c>
      <c r="D54" s="354">
        <v>-0.05</v>
      </c>
      <c r="E54" s="56"/>
      <c r="G54" s="170"/>
      <c r="H54"/>
      <c r="I54" s="64"/>
      <c r="J54" s="355" t="str">
        <f t="shared" si="0"/>
        <v>GP attends</v>
      </c>
      <c r="K54" s="352">
        <f t="shared" si="1"/>
        <v>-405.36400000000003</v>
      </c>
      <c r="L54" s="1280">
        <f t="shared" si="2"/>
        <v>-405</v>
      </c>
      <c r="N54" s="67"/>
      <c r="O54" s="36"/>
      <c r="P54" s="36"/>
      <c r="Q54" s="35"/>
      <c r="R54" s="35"/>
      <c r="S54" s="35"/>
      <c r="T54" s="35"/>
      <c r="U54" s="35"/>
      <c r="V54" s="35"/>
      <c r="W54" s="35"/>
      <c r="X54" s="35"/>
      <c r="Y54" s="35"/>
    </row>
    <row r="55" spans="2:26" ht="15">
      <c r="B55" s="138"/>
      <c r="C55" s="722" t="s">
        <v>34</v>
      </c>
      <c r="D55" s="354">
        <v>0</v>
      </c>
      <c r="E55" s="56"/>
      <c r="G55" s="62"/>
      <c r="H55"/>
      <c r="I55" s="64"/>
      <c r="J55" s="355" t="str">
        <f t="shared" si="0"/>
        <v>GP visits</v>
      </c>
      <c r="K55" s="352">
        <f t="shared" si="1"/>
        <v>0</v>
      </c>
      <c r="L55" s="1280">
        <f t="shared" si="2"/>
        <v>0</v>
      </c>
      <c r="N55" s="67"/>
      <c r="O55" s="62"/>
      <c r="P55" s="36"/>
      <c r="Q55" s="35"/>
      <c r="R55" s="35"/>
      <c r="S55" s="35"/>
      <c r="T55" s="35"/>
      <c r="U55" s="35"/>
      <c r="V55" s="35"/>
      <c r="W55" s="35"/>
      <c r="X55" s="35"/>
      <c r="Y55" s="35"/>
      <c r="Z55" s="35"/>
    </row>
    <row r="56" spans="2:26" ht="15">
      <c r="B56" s="138"/>
      <c r="C56" s="67"/>
      <c r="D56" s="56"/>
      <c r="E56" s="56"/>
      <c r="F56" s="67"/>
      <c r="G56" s="62"/>
      <c r="H56"/>
      <c r="I56" s="199"/>
      <c r="J56" s="356"/>
      <c r="K56" s="350"/>
      <c r="L56" s="1281"/>
      <c r="M56" s="350"/>
      <c r="N56" s="67"/>
      <c r="O56" s="62"/>
      <c r="P56" s="36"/>
      <c r="Q56" s="35"/>
      <c r="R56" s="35"/>
      <c r="S56" s="35"/>
      <c r="T56" s="35"/>
      <c r="U56" s="35"/>
      <c r="V56" s="35"/>
      <c r="W56" s="35"/>
      <c r="X56" s="35"/>
      <c r="Y56" s="35"/>
      <c r="Z56" s="35"/>
    </row>
    <row r="57" spans="2:26" ht="30">
      <c r="B57" s="138"/>
      <c r="C57" s="67"/>
      <c r="D57" s="56"/>
      <c r="E57" s="56"/>
      <c r="F57" s="67"/>
      <c r="G57" s="67"/>
      <c r="H57"/>
      <c r="I57" s="353"/>
      <c r="J57" s="1181" t="s">
        <v>1032</v>
      </c>
      <c r="K57" s="691" t="s">
        <v>661</v>
      </c>
      <c r="L57" s="1173" t="s">
        <v>120</v>
      </c>
      <c r="N57" s="67"/>
      <c r="O57" s="36"/>
      <c r="P57" s="36"/>
      <c r="Q57" s="35"/>
      <c r="R57" s="35"/>
      <c r="S57" s="35"/>
      <c r="T57" s="35"/>
      <c r="U57" s="35"/>
      <c r="V57" s="35"/>
      <c r="W57" s="35"/>
      <c r="X57" s="35"/>
    </row>
    <row r="58" spans="2:26" ht="15">
      <c r="B58" s="138"/>
      <c r="C58" s="67"/>
      <c r="D58" s="56"/>
      <c r="E58" s="56"/>
      <c r="F58" s="67"/>
      <c r="G58" s="67"/>
      <c r="I58" s="356"/>
      <c r="J58" s="159" t="str">
        <f t="shared" ref="J58:J73" si="3">C40</f>
        <v>Emergency bed days</v>
      </c>
      <c r="K58" s="1133">
        <f t="shared" ref="K58:K73" si="4">K40*D78</f>
        <v>382302.70192329574</v>
      </c>
      <c r="L58" s="1135">
        <f t="shared" ref="L58:L73" si="5">(K40-L40)*F78+(L40*G78)</f>
        <v>61929.734150854521</v>
      </c>
      <c r="N58" s="67"/>
      <c r="O58" s="36"/>
      <c r="P58" s="36"/>
      <c r="Q58" s="35"/>
      <c r="R58" s="35"/>
      <c r="S58" s="35"/>
      <c r="T58" s="35"/>
      <c r="U58" s="35"/>
      <c r="V58" s="35"/>
      <c r="W58" s="35"/>
      <c r="X58" s="35"/>
    </row>
    <row r="59" spans="2:26" ht="15">
      <c r="B59" s="138"/>
      <c r="C59" s="67"/>
      <c r="D59" s="56"/>
      <c r="E59" s="56"/>
      <c r="F59" s="67"/>
      <c r="G59" s="67"/>
      <c r="I59" s="356"/>
      <c r="J59" s="159" t="str">
        <f t="shared" si="3"/>
        <v>ED attends</v>
      </c>
      <c r="K59" s="1133">
        <f t="shared" si="4"/>
        <v>0</v>
      </c>
      <c r="L59" s="1135">
        <f t="shared" si="5"/>
        <v>0</v>
      </c>
      <c r="N59" s="67"/>
      <c r="O59" s="36"/>
      <c r="P59" s="36"/>
      <c r="Q59" s="35"/>
      <c r="R59" s="35"/>
      <c r="S59" s="35"/>
      <c r="T59" s="35"/>
      <c r="U59" s="35"/>
      <c r="V59" s="35"/>
      <c r="W59" s="35"/>
      <c r="X59" s="35"/>
    </row>
    <row r="60" spans="2:26" ht="15">
      <c r="B60" s="138"/>
      <c r="C60" s="67"/>
      <c r="D60" s="56"/>
      <c r="E60" s="56"/>
      <c r="F60" s="67"/>
      <c r="G60" s="67"/>
      <c r="I60" s="356"/>
      <c r="J60" s="159" t="str">
        <f t="shared" si="3"/>
        <v>ED Minor attends</v>
      </c>
      <c r="K60" s="1133">
        <f t="shared" si="4"/>
        <v>0</v>
      </c>
      <c r="L60" s="1135">
        <f t="shared" si="5"/>
        <v>0</v>
      </c>
      <c r="N60" s="67"/>
      <c r="O60" s="36"/>
      <c r="P60" s="36"/>
      <c r="Q60" s="35"/>
      <c r="R60" s="35"/>
      <c r="S60" s="35"/>
      <c r="T60" s="35"/>
      <c r="U60" s="35"/>
      <c r="V60" s="35"/>
      <c r="W60" s="35"/>
      <c r="X60" s="35"/>
    </row>
    <row r="61" spans="2:26" ht="15">
      <c r="B61" s="138"/>
      <c r="C61" s="67"/>
      <c r="D61" s="56"/>
      <c r="E61" s="56"/>
      <c r="F61" s="67"/>
      <c r="G61" s="67"/>
      <c r="I61" s="356"/>
      <c r="J61" s="159" t="str">
        <f t="shared" si="3"/>
        <v>UCC attends</v>
      </c>
      <c r="K61" s="1133">
        <f t="shared" si="4"/>
        <v>0</v>
      </c>
      <c r="L61" s="1135">
        <f t="shared" si="5"/>
        <v>0</v>
      </c>
      <c r="N61" s="67"/>
      <c r="O61" s="36"/>
      <c r="P61" s="36"/>
      <c r="Q61" s="35"/>
      <c r="R61" s="35"/>
      <c r="S61" s="35"/>
      <c r="T61" s="35"/>
      <c r="U61" s="35"/>
      <c r="V61" s="35"/>
      <c r="W61" s="35"/>
      <c r="X61" s="35"/>
    </row>
    <row r="62" spans="2:26" ht="15">
      <c r="B62" s="138"/>
      <c r="C62" s="67"/>
      <c r="D62" s="56"/>
      <c r="E62" s="56"/>
      <c r="F62" s="67"/>
      <c r="G62" s="67"/>
      <c r="I62" s="356"/>
      <c r="J62" s="159" t="str">
        <f t="shared" si="3"/>
        <v>OOH clinic visits</v>
      </c>
      <c r="K62" s="1133">
        <f t="shared" si="4"/>
        <v>0</v>
      </c>
      <c r="L62" s="1135">
        <f t="shared" si="5"/>
        <v>0</v>
      </c>
      <c r="N62" s="67"/>
      <c r="O62" s="36"/>
      <c r="P62" s="36"/>
      <c r="Q62" s="35"/>
      <c r="R62" s="35"/>
      <c r="S62" s="35"/>
      <c r="T62" s="35"/>
      <c r="U62" s="35"/>
      <c r="V62" s="35"/>
      <c r="W62" s="35"/>
      <c r="X62" s="35"/>
    </row>
    <row r="63" spans="2:26" ht="15">
      <c r="B63" s="138"/>
      <c r="C63" s="67"/>
      <c r="D63" s="56"/>
      <c r="E63" s="56"/>
      <c r="F63" s="67"/>
      <c r="G63" s="67"/>
      <c r="I63" s="356"/>
      <c r="J63" s="159" t="str">
        <f t="shared" si="3"/>
        <v>OOH home visits</v>
      </c>
      <c r="K63" s="1133">
        <f t="shared" si="4"/>
        <v>0</v>
      </c>
      <c r="L63" s="1135">
        <f t="shared" si="5"/>
        <v>0</v>
      </c>
      <c r="N63" s="67"/>
      <c r="O63" s="36"/>
      <c r="P63" s="36"/>
      <c r="Q63" s="35"/>
      <c r="R63" s="35"/>
      <c r="S63" s="35"/>
      <c r="T63" s="35"/>
      <c r="U63" s="35"/>
      <c r="V63" s="35"/>
      <c r="W63" s="35"/>
      <c r="X63" s="35"/>
    </row>
    <row r="64" spans="2:26" ht="15">
      <c r="B64" s="138"/>
      <c r="C64" s="67"/>
      <c r="D64" s="56"/>
      <c r="E64" s="56"/>
      <c r="F64" s="67"/>
      <c r="G64" s="67"/>
      <c r="I64" s="356"/>
      <c r="J64" s="159" t="str">
        <f t="shared" si="3"/>
        <v>111 calls (call handler)</v>
      </c>
      <c r="K64" s="1133">
        <f t="shared" si="4"/>
        <v>0</v>
      </c>
      <c r="L64" s="1135">
        <f t="shared" si="5"/>
        <v>0</v>
      </c>
      <c r="N64" s="67"/>
      <c r="O64" s="36"/>
      <c r="P64" s="36"/>
      <c r="Q64" s="35"/>
      <c r="R64" s="35"/>
      <c r="S64" s="35"/>
      <c r="T64" s="35"/>
      <c r="U64" s="35"/>
      <c r="V64" s="35"/>
      <c r="W64" s="35"/>
      <c r="X64" s="35"/>
    </row>
    <row r="65" spans="2:24" ht="15">
      <c r="B65" s="138"/>
      <c r="C65" s="67"/>
      <c r="D65" s="56"/>
      <c r="E65" s="56"/>
      <c r="F65" s="67"/>
      <c r="G65" s="67"/>
      <c r="I65" s="356"/>
      <c r="J65" s="159" t="str">
        <f t="shared" si="3"/>
        <v>111 calls (clinical advisor)</v>
      </c>
      <c r="K65" s="1133">
        <f t="shared" si="4"/>
        <v>0</v>
      </c>
      <c r="L65" s="1135">
        <f t="shared" si="5"/>
        <v>0</v>
      </c>
      <c r="N65" s="67"/>
      <c r="O65" s="36"/>
      <c r="P65" s="36"/>
      <c r="Q65" s="35"/>
      <c r="R65" s="35"/>
      <c r="S65" s="35"/>
      <c r="T65" s="35"/>
      <c r="U65" s="35"/>
      <c r="V65" s="35"/>
      <c r="W65" s="35"/>
      <c r="X65" s="35"/>
    </row>
    <row r="66" spans="2:24" ht="15">
      <c r="B66" s="138"/>
      <c r="C66" s="67"/>
      <c r="D66" s="56"/>
      <c r="E66" s="56"/>
      <c r="F66" s="67"/>
      <c r="G66" s="67"/>
      <c r="I66" s="356"/>
      <c r="J66" s="159" t="str">
        <f t="shared" si="3"/>
        <v>Community pharmacy attends</v>
      </c>
      <c r="K66" s="1133">
        <f t="shared" si="4"/>
        <v>-1135.0192</v>
      </c>
      <c r="L66" s="1135">
        <f t="shared" si="5"/>
        <v>-1135.0192</v>
      </c>
      <c r="N66" s="67"/>
      <c r="O66" s="36"/>
      <c r="P66" s="36"/>
      <c r="Q66" s="35"/>
      <c r="R66" s="35"/>
      <c r="S66" s="35"/>
      <c r="T66" s="35"/>
      <c r="U66" s="35"/>
      <c r="V66" s="35"/>
      <c r="W66" s="35"/>
      <c r="X66" s="35"/>
    </row>
    <row r="67" spans="2:24" ht="15">
      <c r="B67" s="138"/>
      <c r="C67" s="67"/>
      <c r="D67" s="56"/>
      <c r="E67" s="56"/>
      <c r="F67" s="67"/>
      <c r="G67" s="67"/>
      <c r="I67" s="356"/>
      <c r="J67" s="159" t="str">
        <f t="shared" si="3"/>
        <v>Ambulance - see and treat</v>
      </c>
      <c r="K67" s="1133">
        <f t="shared" si="4"/>
        <v>0</v>
      </c>
      <c r="L67" s="1135">
        <f t="shared" si="5"/>
        <v>0</v>
      </c>
      <c r="N67" s="67"/>
      <c r="O67" s="36"/>
      <c r="P67" s="36"/>
      <c r="Q67" s="35"/>
      <c r="R67" s="35"/>
      <c r="S67" s="35"/>
      <c r="T67" s="35"/>
      <c r="U67" s="35"/>
      <c r="V67" s="35"/>
      <c r="W67" s="35"/>
      <c r="X67" s="35"/>
    </row>
    <row r="68" spans="2:24" ht="15">
      <c r="B68" s="138"/>
      <c r="C68" s="67"/>
      <c r="D68" s="56"/>
      <c r="E68" s="56"/>
      <c r="F68" s="67"/>
      <c r="G68" s="67"/>
      <c r="I68" s="356"/>
      <c r="J68" s="159" t="str">
        <f t="shared" si="3"/>
        <v>Ambulance - see and convey to ED</v>
      </c>
      <c r="K68" s="1133">
        <f t="shared" si="4"/>
        <v>0</v>
      </c>
      <c r="L68" s="1135">
        <f t="shared" si="5"/>
        <v>0</v>
      </c>
      <c r="N68" s="67"/>
      <c r="O68" s="36"/>
      <c r="P68" s="36"/>
      <c r="Q68" s="35"/>
      <c r="R68" s="35"/>
      <c r="S68" s="35"/>
      <c r="T68" s="35"/>
      <c r="U68" s="35"/>
      <c r="V68" s="35"/>
      <c r="W68" s="35"/>
      <c r="X68" s="35"/>
    </row>
    <row r="69" spans="2:24" ht="15">
      <c r="B69" s="138"/>
      <c r="C69" s="67"/>
      <c r="D69" s="56"/>
      <c r="E69" s="56"/>
      <c r="F69" s="67"/>
      <c r="G69" s="67"/>
      <c r="I69" s="356"/>
      <c r="J69" s="159" t="str">
        <f t="shared" si="3"/>
        <v>Community contacts</v>
      </c>
      <c r="K69" s="1133">
        <f t="shared" si="4"/>
        <v>-151056.66978762232</v>
      </c>
      <c r="L69" s="1135">
        <f t="shared" si="5"/>
        <v>-15521.032866343481</v>
      </c>
      <c r="N69" s="67"/>
      <c r="O69" s="36"/>
      <c r="P69" s="36"/>
      <c r="Q69" s="35"/>
      <c r="R69" s="35"/>
      <c r="S69" s="35"/>
      <c r="T69" s="35"/>
      <c r="U69" s="35"/>
      <c r="V69" s="35"/>
      <c r="W69" s="35"/>
      <c r="X69" s="35"/>
    </row>
    <row r="70" spans="2:24" ht="15">
      <c r="B70" s="138"/>
      <c r="C70" s="67"/>
      <c r="D70" s="56"/>
      <c r="E70" s="56"/>
      <c r="F70" s="67"/>
      <c r="G70" s="67"/>
      <c r="I70" s="356"/>
      <c r="J70" s="159" t="str">
        <f t="shared" si="3"/>
        <v>Intermediate care bed days</v>
      </c>
      <c r="K70" s="1133">
        <f t="shared" si="4"/>
        <v>0</v>
      </c>
      <c r="L70" s="1135">
        <f t="shared" si="5"/>
        <v>0</v>
      </c>
      <c r="N70" s="67"/>
      <c r="O70" s="36"/>
      <c r="P70" s="36"/>
      <c r="Q70" s="35"/>
      <c r="R70" s="35"/>
      <c r="S70" s="35"/>
      <c r="T70" s="35"/>
      <c r="U70" s="35"/>
      <c r="V70" s="35"/>
      <c r="W70" s="35"/>
      <c r="X70" s="35"/>
    </row>
    <row r="71" spans="2:24" ht="15">
      <c r="B71" s="138"/>
      <c r="C71" s="67"/>
      <c r="D71" s="56"/>
      <c r="E71" s="56"/>
      <c r="F71" s="67"/>
      <c r="G71" s="67"/>
      <c r="I71" s="356"/>
      <c r="J71" s="159" t="str">
        <f t="shared" si="3"/>
        <v>Social services domiciliary care</v>
      </c>
      <c r="K71" s="1133">
        <f t="shared" si="4"/>
        <v>0</v>
      </c>
      <c r="L71" s="1135">
        <f t="shared" si="5"/>
        <v>0</v>
      </c>
      <c r="N71" s="67"/>
      <c r="O71" s="36"/>
      <c r="P71" s="36"/>
      <c r="Q71" s="35"/>
      <c r="R71" s="35"/>
      <c r="S71" s="35"/>
      <c r="T71" s="35"/>
      <c r="U71" s="35"/>
      <c r="V71" s="35"/>
      <c r="W71" s="35"/>
      <c r="X71" s="35"/>
    </row>
    <row r="72" spans="2:24" ht="15">
      <c r="B72" s="138"/>
      <c r="C72" s="67"/>
      <c r="D72" s="56"/>
      <c r="E72" s="56"/>
      <c r="F72" s="67"/>
      <c r="G72" s="67"/>
      <c r="I72" s="356"/>
      <c r="J72" s="159" t="str">
        <f t="shared" si="3"/>
        <v>GP attends</v>
      </c>
      <c r="K72" s="1133">
        <f t="shared" si="4"/>
        <v>-14998.468000000001</v>
      </c>
      <c r="L72" s="1135">
        <f t="shared" si="5"/>
        <v>-1685.1407112030067</v>
      </c>
      <c r="N72" s="67"/>
      <c r="O72" s="36"/>
      <c r="P72" s="36"/>
      <c r="Q72" s="35"/>
      <c r="R72" s="35"/>
      <c r="S72" s="35"/>
      <c r="T72" s="35"/>
      <c r="U72" s="35"/>
      <c r="V72" s="35"/>
      <c r="W72" s="35"/>
      <c r="X72" s="35"/>
    </row>
    <row r="73" spans="2:24" ht="15">
      <c r="B73" s="138"/>
      <c r="C73" s="67"/>
      <c r="D73" s="56"/>
      <c r="E73" s="56"/>
      <c r="F73" s="67"/>
      <c r="G73" s="67"/>
      <c r="I73" s="356"/>
      <c r="J73" s="159" t="str">
        <f t="shared" si="3"/>
        <v>GP visits</v>
      </c>
      <c r="K73" s="1133">
        <f t="shared" si="4"/>
        <v>0</v>
      </c>
      <c r="L73" s="1135">
        <f t="shared" si="5"/>
        <v>0</v>
      </c>
      <c r="N73" s="67"/>
      <c r="O73" s="36"/>
      <c r="P73" s="36"/>
      <c r="Q73" s="35"/>
      <c r="R73" s="35"/>
      <c r="S73" s="35"/>
      <c r="T73" s="35"/>
      <c r="U73" s="35"/>
      <c r="V73" s="35"/>
      <c r="W73" s="35"/>
      <c r="X73" s="35"/>
    </row>
    <row r="74" spans="2:24" ht="15">
      <c r="B74" s="138"/>
      <c r="C74" s="67"/>
      <c r="D74" s="56"/>
      <c r="E74" s="56"/>
      <c r="F74" s="67"/>
      <c r="G74" s="67"/>
      <c r="I74" s="356"/>
      <c r="J74" s="159" t="s">
        <v>98</v>
      </c>
      <c r="K74" s="1133">
        <f>SUM(K58:K73)</f>
        <v>215112.54493567345</v>
      </c>
      <c r="L74" s="1135">
        <f>SUM(L58:L73)</f>
        <v>43588.541373308028</v>
      </c>
      <c r="N74" s="67"/>
      <c r="O74" s="36"/>
      <c r="P74" s="36"/>
      <c r="Q74" s="35"/>
      <c r="R74" s="35"/>
      <c r="S74" s="35"/>
      <c r="T74" s="35"/>
      <c r="U74" s="35"/>
      <c r="V74" s="35"/>
      <c r="W74" s="35"/>
      <c r="X74" s="35"/>
    </row>
    <row r="75" spans="2:24" ht="15">
      <c r="B75" s="138"/>
      <c r="C75" s="67"/>
      <c r="D75" s="56"/>
      <c r="E75" s="56"/>
      <c r="F75" s="67"/>
      <c r="G75" s="67"/>
      <c r="I75" s="356"/>
      <c r="J75" s="347"/>
      <c r="K75" s="67"/>
      <c r="L75" s="1283"/>
      <c r="M75" s="170"/>
      <c r="N75" s="67"/>
      <c r="O75" s="36"/>
      <c r="P75" s="36"/>
      <c r="Q75" s="35"/>
      <c r="R75" s="35"/>
      <c r="S75" s="35"/>
      <c r="T75" s="35"/>
      <c r="U75" s="35"/>
      <c r="V75" s="35"/>
      <c r="W75" s="35"/>
      <c r="X75" s="35"/>
    </row>
    <row r="76" spans="2:24" ht="15">
      <c r="B76" s="138"/>
      <c r="C76" s="164"/>
      <c r="D76" s="56"/>
      <c r="E76" s="56"/>
      <c r="F76" s="61"/>
      <c r="G76" s="61"/>
      <c r="H76" s="61"/>
      <c r="I76" s="61"/>
      <c r="J76" s="53"/>
      <c r="K76" s="53"/>
      <c r="L76" s="1272"/>
      <c r="M76" s="53"/>
      <c r="N76" s="533"/>
      <c r="O76" s="36"/>
      <c r="P76" s="56"/>
      <c r="Q76" s="35"/>
      <c r="R76" s="35"/>
      <c r="S76" s="35"/>
      <c r="T76" s="35"/>
      <c r="U76" s="35"/>
      <c r="V76" s="35"/>
      <c r="W76" s="35"/>
    </row>
    <row r="77" spans="2:24" ht="60" customHeight="1">
      <c r="B77" s="138"/>
      <c r="C77" s="582" t="s">
        <v>1214</v>
      </c>
      <c r="D77" s="563" t="s">
        <v>660</v>
      </c>
      <c r="E77" s="563" t="s">
        <v>974</v>
      </c>
      <c r="F77" s="563" t="s">
        <v>144</v>
      </c>
      <c r="G77" s="563" t="s">
        <v>561</v>
      </c>
      <c r="H77"/>
      <c r="K77" s="53"/>
      <c r="L77" s="1272"/>
      <c r="M77" s="53"/>
      <c r="N77" s="533"/>
      <c r="O77" s="36"/>
      <c r="P77" s="56"/>
      <c r="Q77" s="35"/>
      <c r="R77" s="35"/>
      <c r="S77" s="35"/>
      <c r="T77" s="35"/>
      <c r="U77" s="35"/>
      <c r="V77" s="35"/>
      <c r="W77" s="35"/>
    </row>
    <row r="78" spans="2:24" ht="15">
      <c r="B78" s="138"/>
      <c r="C78" s="160" t="s">
        <v>69</v>
      </c>
      <c r="D78" s="1194">
        <f>VLOOKUP($C78,local_data_input!$B$4:$K$20,2,FALSE)</f>
        <v>471.55482717174652</v>
      </c>
      <c r="E78" s="771">
        <f>VLOOKUP($C78,local_data_input!$B$4:$K$20,7,FALSE)</f>
        <v>2190</v>
      </c>
      <c r="F78" s="1194">
        <f>VLOOKUP($C78,local_data_input!$B$4:$K$20,8,FALSE)</f>
        <v>76.38780719409533</v>
      </c>
      <c r="G78" s="1194">
        <f>VLOOKUP($C78,local_data_input!$B$4:$K$20,9,FALSE)</f>
        <v>76.38780719409533</v>
      </c>
      <c r="H78" s="53"/>
      <c r="K78" s="53"/>
      <c r="L78" s="1272"/>
      <c r="M78" s="53"/>
      <c r="N78" s="533"/>
      <c r="O78" s="36"/>
      <c r="P78" s="56"/>
      <c r="Q78" s="35"/>
      <c r="R78" s="35"/>
      <c r="S78" s="35"/>
      <c r="T78" s="35"/>
      <c r="U78" s="35"/>
      <c r="V78" s="35"/>
      <c r="W78" s="35"/>
    </row>
    <row r="79" spans="2:24" ht="15">
      <c r="B79" s="138"/>
      <c r="C79" s="160" t="s">
        <v>43</v>
      </c>
      <c r="D79" s="1194">
        <f>VLOOKUP($C79,local_data_input!$B$4:$K$20,2,FALSE)</f>
        <v>154.19493390737</v>
      </c>
      <c r="E79" s="771">
        <f>VLOOKUP($C79,local_data_input!$B$4:$K$20,7,FALSE)</f>
        <v>4725</v>
      </c>
      <c r="F79" s="1194">
        <f>VLOOKUP($C79,local_data_input!$B$4:$K$20,8,FALSE)</f>
        <v>13.011251318371977</v>
      </c>
      <c r="G79" s="1194">
        <f>VLOOKUP($C79,local_data_input!$B$4:$K$20,9,FALSE)</f>
        <v>13.011251318371977</v>
      </c>
      <c r="H79" s="53"/>
      <c r="K79" s="53"/>
      <c r="L79" s="1272"/>
      <c r="M79" s="53"/>
      <c r="N79" s="533"/>
      <c r="O79" s="36"/>
      <c r="P79" s="56"/>
      <c r="Q79" s="35"/>
      <c r="R79" s="35"/>
      <c r="S79" s="35"/>
      <c r="T79" s="35"/>
      <c r="U79" s="35"/>
      <c r="V79" s="35"/>
      <c r="W79" s="35"/>
    </row>
    <row r="80" spans="2:24" ht="15">
      <c r="B80" s="138"/>
      <c r="C80" s="160" t="s">
        <v>49</v>
      </c>
      <c r="D80" s="1194">
        <f>VLOOKUP($C80,local_data_input!$B$4:$K$20,2,FALSE)</f>
        <v>89.533100846051653</v>
      </c>
      <c r="E80" s="771">
        <f>VLOOKUP($C80,local_data_input!$B$4:$K$20,7,FALSE)</f>
        <v>6300</v>
      </c>
      <c r="F80" s="1194">
        <f>VLOOKUP($C80,local_data_input!$B$4:$K$20,8,FALSE)</f>
        <v>10.909433797711889</v>
      </c>
      <c r="G80" s="1194">
        <f>VLOOKUP($C80,local_data_input!$B$4:$K$20,9,FALSE)</f>
        <v>10.909433797711889</v>
      </c>
      <c r="H80" s="53"/>
      <c r="K80" s="53"/>
      <c r="L80" s="1272"/>
      <c r="M80" s="53"/>
      <c r="N80" s="533"/>
      <c r="O80" s="36"/>
      <c r="P80" s="56"/>
      <c r="Q80" s="35"/>
      <c r="R80" s="35"/>
      <c r="S80" s="35"/>
      <c r="T80" s="35"/>
      <c r="U80" s="35"/>
      <c r="V80" s="35"/>
      <c r="W80" s="35"/>
    </row>
    <row r="81" spans="2:26" ht="15">
      <c r="B81" s="138"/>
      <c r="C81" s="160" t="s">
        <v>67</v>
      </c>
      <c r="D81" s="1194">
        <f>VLOOKUP($C81,local_data_input!$B$4:$K$20,2,FALSE)</f>
        <v>57</v>
      </c>
      <c r="E81" s="771">
        <f>VLOOKUP($C81,local_data_input!$B$4:$K$20,7,FALSE)</f>
        <v>4725</v>
      </c>
      <c r="F81" s="1194">
        <f>VLOOKUP($C81,local_data_input!$B$4:$K$20,8,FALSE)</f>
        <v>4.3599999999999994</v>
      </c>
      <c r="G81" s="1194">
        <f>VLOOKUP($C81,local_data_input!$B$4:$K$20,9,FALSE)</f>
        <v>4.3599999999999994</v>
      </c>
      <c r="H81" s="53"/>
      <c r="K81" s="53"/>
      <c r="L81" s="1272"/>
      <c r="M81" s="53"/>
      <c r="N81" s="533"/>
      <c r="O81" s="36"/>
      <c r="P81" s="56"/>
      <c r="Q81" s="35"/>
      <c r="R81" s="35"/>
      <c r="S81" s="35"/>
      <c r="T81" s="35"/>
      <c r="U81" s="35"/>
      <c r="V81" s="35"/>
      <c r="W81" s="35"/>
    </row>
    <row r="82" spans="2:26" ht="15">
      <c r="B82" s="138"/>
      <c r="C82" s="160" t="s">
        <v>44</v>
      </c>
      <c r="D82" s="1194">
        <f>VLOOKUP($C82,local_data_input!$B$4:$K$20,2,FALSE)</f>
        <v>68.3</v>
      </c>
      <c r="E82" s="771">
        <f>VLOOKUP($C82,local_data_input!$B$4:$K$20,7,FALSE)</f>
        <v>6300</v>
      </c>
      <c r="F82" s="1194">
        <f>VLOOKUP($C82,local_data_input!$B$4:$K$20,8,FALSE)</f>
        <v>7.6578249999227763</v>
      </c>
      <c r="G82" s="1194">
        <f>VLOOKUP($C82,local_data_input!$B$4:$K$20,9,FALSE)</f>
        <v>7.6578249999227763</v>
      </c>
      <c r="H82" s="53"/>
      <c r="K82" s="53"/>
      <c r="L82" s="1272"/>
      <c r="M82" s="53"/>
      <c r="N82" s="533"/>
      <c r="O82" s="36"/>
      <c r="P82" s="56"/>
      <c r="Q82" s="35"/>
      <c r="R82" s="35"/>
      <c r="S82" s="35"/>
      <c r="T82" s="35"/>
      <c r="U82" s="35"/>
      <c r="V82" s="35"/>
      <c r="W82" s="35"/>
    </row>
    <row r="83" spans="2:26" ht="15">
      <c r="B83" s="138"/>
      <c r="C83" s="160" t="s">
        <v>45</v>
      </c>
      <c r="D83" s="1194">
        <f>VLOOKUP($C83,local_data_input!$B$4:$K$20,2,FALSE)</f>
        <v>150</v>
      </c>
      <c r="E83" s="771">
        <f>VLOOKUP($C83,local_data_input!$B$4:$K$20,7,FALSE)</f>
        <v>1575</v>
      </c>
      <c r="F83" s="1194">
        <f>VLOOKUP($C83,local_data_input!$B$4:$K$20,8,FALSE)</f>
        <v>16.737817499831213</v>
      </c>
      <c r="G83" s="1194">
        <f>VLOOKUP($C83,local_data_input!$B$4:$K$20,9,FALSE)</f>
        <v>16.737817499831213</v>
      </c>
      <c r="H83" s="53"/>
      <c r="K83" s="53"/>
      <c r="L83" s="1272"/>
      <c r="M83" s="53"/>
      <c r="N83" s="533"/>
      <c r="O83" s="36"/>
      <c r="P83" s="56"/>
      <c r="Q83" s="35"/>
      <c r="R83" s="35"/>
      <c r="S83" s="35"/>
      <c r="T83" s="35"/>
      <c r="U83" s="35"/>
      <c r="V83" s="35"/>
      <c r="W83" s="35"/>
    </row>
    <row r="84" spans="2:26" ht="15">
      <c r="B84" s="138"/>
      <c r="C84" s="160" t="s">
        <v>50</v>
      </c>
      <c r="D84" s="1194">
        <f>VLOOKUP($C84,local_data_input!$B$4:$K$20,2,FALSE)</f>
        <v>7</v>
      </c>
      <c r="E84" s="771">
        <f>VLOOKUP($C84,local_data_input!$B$4:$K$20,7,FALSE)</f>
        <v>9450</v>
      </c>
      <c r="F84" s="1194">
        <f>VLOOKUP($C84,local_data_input!$B$4:$K$20,8,FALSE)</f>
        <v>0.35069999999999946</v>
      </c>
      <c r="G84" s="1194">
        <f>VLOOKUP($C84,local_data_input!$B$4:$K$20,9,FALSE)</f>
        <v>0.35069999999999946</v>
      </c>
      <c r="H84" s="53"/>
      <c r="K84" s="53"/>
      <c r="L84" s="1272"/>
      <c r="M84" s="53"/>
      <c r="N84" s="533"/>
      <c r="O84" s="36"/>
      <c r="P84" s="56"/>
      <c r="Q84" s="35"/>
      <c r="R84" s="35"/>
      <c r="S84" s="35"/>
      <c r="T84" s="35"/>
      <c r="U84" s="35"/>
      <c r="V84" s="35"/>
      <c r="W84" s="35"/>
    </row>
    <row r="85" spans="2:26" ht="15">
      <c r="B85" s="138"/>
      <c r="C85" s="160" t="s">
        <v>51</v>
      </c>
      <c r="D85" s="1194">
        <f>VLOOKUP($C85,local_data_input!$B$4:$K$20,2,FALSE)</f>
        <v>20</v>
      </c>
      <c r="E85" s="771">
        <f>VLOOKUP($C85,local_data_input!$B$4:$K$20,7,FALSE)</f>
        <v>9450</v>
      </c>
      <c r="F85" s="1194">
        <f>VLOOKUP($C85,local_data_input!$B$4:$K$20,8,FALSE)</f>
        <v>1.0019999999999984</v>
      </c>
      <c r="G85" s="1194">
        <f>VLOOKUP($C85,local_data_input!$B$4:$K$20,9,FALSE)</f>
        <v>1.0019999999999984</v>
      </c>
      <c r="H85" s="53"/>
      <c r="K85" s="53"/>
      <c r="L85" s="1272"/>
      <c r="M85" s="53"/>
      <c r="N85" s="533"/>
      <c r="O85" s="36"/>
      <c r="P85" s="56"/>
      <c r="Q85" s="35"/>
      <c r="R85" s="35"/>
      <c r="S85" s="35"/>
      <c r="T85" s="35"/>
      <c r="U85" s="35"/>
      <c r="V85" s="35"/>
      <c r="W85" s="35"/>
    </row>
    <row r="86" spans="2:26" ht="15">
      <c r="B86" s="138"/>
      <c r="C86" s="160" t="s">
        <v>41</v>
      </c>
      <c r="D86" s="1194">
        <f>VLOOKUP($C86,local_data_input!$B$4:$K$20,2,FALSE)</f>
        <v>14</v>
      </c>
      <c r="E86" s="771">
        <f>VLOOKUP($C86,local_data_input!$B$4:$K$20,7,FALSE)</f>
        <v>1</v>
      </c>
      <c r="F86" s="1194">
        <f>VLOOKUP($C86,local_data_input!$B$4:$K$20,8,FALSE)</f>
        <v>14</v>
      </c>
      <c r="G86" s="1194">
        <f>VLOOKUP($C86,local_data_input!$B$4:$K$20,9,FALSE)</f>
        <v>14</v>
      </c>
      <c r="H86" s="53"/>
      <c r="K86" s="53"/>
      <c r="L86" s="1272"/>
      <c r="M86" s="53"/>
      <c r="N86" s="533"/>
      <c r="O86" s="36"/>
      <c r="P86" s="56"/>
      <c r="Q86" s="35"/>
      <c r="R86" s="35"/>
      <c r="S86" s="35"/>
      <c r="T86" s="35"/>
      <c r="U86" s="35"/>
      <c r="V86" s="35"/>
      <c r="W86" s="35"/>
    </row>
    <row r="87" spans="2:26" ht="15">
      <c r="B87" s="138"/>
      <c r="C87" s="160" t="s">
        <v>77</v>
      </c>
      <c r="D87" s="1194">
        <f>VLOOKUP($C87,local_data_input!$B$4:$K$20,2,FALSE)</f>
        <v>179.83161675760465</v>
      </c>
      <c r="E87" s="771">
        <f>VLOOKUP($C87,local_data_input!$B$4:$K$20,7,FALSE)</f>
        <v>3150</v>
      </c>
      <c r="F87" s="1194">
        <f>VLOOKUP($C87,local_data_input!$B$4:$K$20,8,FALSE)</f>
        <v>16.153499999999998</v>
      </c>
      <c r="G87" s="1194">
        <f>VLOOKUP($C87,local_data_input!$B$4:$K$20,9,FALSE)</f>
        <v>16.153499999999998</v>
      </c>
      <c r="H87" s="53"/>
      <c r="K87" s="53"/>
      <c r="L87" s="1272"/>
      <c r="M87" s="36"/>
      <c r="N87" s="36"/>
      <c r="O87" s="36"/>
      <c r="P87" s="36"/>
      <c r="Q87" s="35"/>
      <c r="R87" s="35"/>
      <c r="S87" s="35"/>
      <c r="T87" s="35"/>
      <c r="U87" s="35"/>
      <c r="V87" s="4"/>
      <c r="W87" s="4"/>
      <c r="X87" s="5"/>
      <c r="Y87" s="5"/>
      <c r="Z87" s="5"/>
    </row>
    <row r="88" spans="2:26" ht="15">
      <c r="B88" s="138"/>
      <c r="C88" s="160" t="s">
        <v>46</v>
      </c>
      <c r="D88" s="1194">
        <f>VLOOKUP($C88,local_data_input!$B$4:$K$20,2,FALSE)</f>
        <v>233.02000068717058</v>
      </c>
      <c r="E88" s="771">
        <f>VLOOKUP($C88,local_data_input!$B$4:$K$20,7,FALSE)</f>
        <v>3150</v>
      </c>
      <c r="F88" s="1194">
        <f>VLOOKUP($C88,local_data_input!$B$4:$K$20,8,FALSE)</f>
        <v>25.747699999999998</v>
      </c>
      <c r="G88" s="1194">
        <f>VLOOKUP($C88,local_data_input!$B$4:$K$20,9,FALSE)</f>
        <v>25.747699999999998</v>
      </c>
      <c r="H88" s="53"/>
      <c r="K88" s="53"/>
      <c r="L88" s="1272"/>
      <c r="M88" s="36"/>
      <c r="N88" s="36"/>
      <c r="O88" s="36"/>
      <c r="P88" s="36"/>
      <c r="Q88" s="35"/>
      <c r="R88" s="35"/>
      <c r="S88" s="35"/>
      <c r="T88" s="35"/>
      <c r="U88" s="35"/>
      <c r="V88" s="4"/>
      <c r="W88" s="4"/>
      <c r="X88" s="5"/>
      <c r="Y88" s="5"/>
      <c r="Z88" s="5"/>
    </row>
    <row r="89" spans="2:26" ht="15">
      <c r="B89" s="138"/>
      <c r="C89" s="160" t="s">
        <v>30</v>
      </c>
      <c r="D89" s="1194">
        <f>VLOOKUP($C89,local_data_input!$B$4:$K$20,2,FALSE)</f>
        <v>37.264451156891667</v>
      </c>
      <c r="E89" s="771">
        <f>VLOOKUP($C89,local_data_input!$B$4:$K$20,7,FALSE)</f>
        <v>3150</v>
      </c>
      <c r="F89" s="1194">
        <f>VLOOKUP($C89,local_data_input!$B$4:$K$20,8,FALSE)</f>
        <v>3.8289124999613882</v>
      </c>
      <c r="G89" s="1194">
        <f>VLOOKUP($C89,local_data_input!$B$4:$K$20,9,FALSE)</f>
        <v>3.8289124999613882</v>
      </c>
      <c r="H89" s="53"/>
      <c r="K89" s="53"/>
      <c r="L89" s="1272"/>
      <c r="M89" s="36"/>
      <c r="N89" s="36"/>
      <c r="O89" s="36"/>
      <c r="P89" s="36"/>
      <c r="Q89" s="35"/>
      <c r="R89" s="35"/>
      <c r="S89" s="35"/>
      <c r="T89" s="35"/>
      <c r="U89" s="35"/>
      <c r="V89" s="4"/>
      <c r="W89" s="4"/>
      <c r="X89" s="5"/>
      <c r="Y89" s="5"/>
      <c r="Z89" s="5"/>
    </row>
    <row r="90" spans="2:26" ht="15">
      <c r="B90" s="138"/>
      <c r="C90" s="160" t="s">
        <v>48</v>
      </c>
      <c r="D90" s="1194">
        <f>VLOOKUP($C90,local_data_input!$B$4:$K$20,2,FALSE)</f>
        <v>282.26243393069001</v>
      </c>
      <c r="E90" s="771">
        <f>VLOOKUP($C90,local_data_input!$B$4:$K$20,7,FALSE)</f>
        <v>1460</v>
      </c>
      <c r="F90" s="1194">
        <f>VLOOKUP($C90,local_data_input!$B$4:$K$20,8,FALSE)</f>
        <v>21.879499999779362</v>
      </c>
      <c r="G90" s="1194">
        <f>VLOOKUP($C90,local_data_input!$B$4:$K$20,9,FALSE)</f>
        <v>21.879499999779362</v>
      </c>
      <c r="H90" s="53"/>
      <c r="K90" s="53"/>
      <c r="L90" s="1272"/>
      <c r="M90" s="36"/>
      <c r="N90" s="36"/>
      <c r="O90" s="36"/>
      <c r="P90" s="36"/>
      <c r="Q90" s="35"/>
      <c r="R90" s="35"/>
      <c r="S90" s="35"/>
      <c r="T90" s="35"/>
      <c r="U90" s="35"/>
      <c r="V90" s="4"/>
      <c r="W90" s="4"/>
      <c r="X90" s="5"/>
      <c r="Y90" s="5"/>
      <c r="Z90" s="5"/>
    </row>
    <row r="91" spans="2:26" ht="15">
      <c r="B91" s="138"/>
      <c r="C91" s="160" t="s">
        <v>225</v>
      </c>
      <c r="D91" s="1194">
        <f>VLOOKUP($C91,local_data_input!$B$4:$K$20,2,FALSE)</f>
        <v>24</v>
      </c>
      <c r="E91" s="771">
        <f>VLOOKUP($C91,local_data_input!$B$4:$K$20,7,FALSE)</f>
        <v>3150</v>
      </c>
      <c r="F91" s="1194">
        <f>VLOOKUP($C91,local_data_input!$B$4:$K$20,8,FALSE)</f>
        <v>2.7349374999724203</v>
      </c>
      <c r="G91" s="1194">
        <f>VLOOKUP($C91,local_data_input!$B$4:$K$20,9,FALSE)</f>
        <v>2.7349374999724203</v>
      </c>
      <c r="H91" s="53"/>
      <c r="K91" s="53"/>
      <c r="L91" s="1272"/>
      <c r="M91" s="36"/>
      <c r="N91" s="36"/>
      <c r="O91" s="36"/>
      <c r="P91" s="36"/>
      <c r="Q91" s="35"/>
      <c r="R91" s="35"/>
      <c r="S91" s="35"/>
      <c r="T91" s="35"/>
      <c r="U91" s="35"/>
      <c r="V91" s="4"/>
      <c r="W91" s="4"/>
      <c r="X91" s="5"/>
      <c r="Y91" s="5"/>
      <c r="Z91" s="5"/>
    </row>
    <row r="92" spans="2:26" ht="15">
      <c r="B92" s="138"/>
      <c r="C92" s="160" t="s">
        <v>32</v>
      </c>
      <c r="D92" s="1194">
        <f>VLOOKUP($C92,local_data_input!$B$4:$K$20,2,FALSE)</f>
        <v>37</v>
      </c>
      <c r="E92" s="771">
        <f>VLOOKUP($C92,local_data_input!$B$4:$K$20,7,FALSE)</f>
        <v>1</v>
      </c>
      <c r="F92" s="1194">
        <f>VLOOKUP($C92,local_data_input!$B$4:$K$20,8,FALSE)</f>
        <v>4.1571049999580785</v>
      </c>
      <c r="G92" s="1194">
        <f>VLOOKUP($C92,local_data_input!$B$4:$K$20,9,FALSE)</f>
        <v>4.1571049999580785</v>
      </c>
      <c r="H92" s="53"/>
      <c r="K92" s="53"/>
      <c r="L92" s="1272"/>
      <c r="M92" s="36"/>
      <c r="N92" s="36"/>
      <c r="O92" s="36"/>
      <c r="P92" s="36"/>
      <c r="Q92" s="35"/>
      <c r="R92" s="35"/>
      <c r="S92" s="35"/>
      <c r="T92" s="35"/>
      <c r="U92" s="35"/>
      <c r="V92" s="4"/>
      <c r="W92" s="4"/>
      <c r="X92" s="5"/>
      <c r="Y92" s="5"/>
      <c r="Z92" s="5"/>
    </row>
    <row r="93" spans="2:26" ht="15">
      <c r="B93" s="138"/>
      <c r="C93" s="160" t="s">
        <v>34</v>
      </c>
      <c r="D93" s="1194">
        <f>VLOOKUP($C93,local_data_input!$B$4:$K$20,2,FALSE)</f>
        <v>61</v>
      </c>
      <c r="E93" s="771">
        <f>VLOOKUP($C93,local_data_input!$B$4:$K$20,7,FALSE)</f>
        <v>1</v>
      </c>
      <c r="F93" s="1194">
        <f>VLOOKUP($C93,local_data_input!$B$4:$K$20,8,FALSE)</f>
        <v>6.6732474999327049</v>
      </c>
      <c r="G93" s="1194">
        <f>VLOOKUP($C93,local_data_input!$B$4:$K$20,9,FALSE)</f>
        <v>6.6732474999327049</v>
      </c>
      <c r="H93" s="53"/>
      <c r="K93" s="53"/>
      <c r="L93" s="1272"/>
      <c r="M93" s="36"/>
      <c r="N93" s="36"/>
      <c r="O93" s="36"/>
      <c r="P93" s="36"/>
      <c r="Q93" s="35"/>
      <c r="R93" s="35"/>
      <c r="S93" s="35"/>
      <c r="T93" s="35"/>
      <c r="U93" s="35"/>
      <c r="V93" s="4"/>
      <c r="W93" s="4"/>
      <c r="X93" s="5"/>
      <c r="Y93" s="5"/>
      <c r="Z93" s="5"/>
    </row>
    <row r="94" spans="2:26" ht="15">
      <c r="B94" s="138"/>
      <c r="C94" s="349"/>
      <c r="D94" s="349"/>
      <c r="E94" s="62"/>
      <c r="F94" s="62"/>
      <c r="G94" s="62"/>
      <c r="H94" s="170"/>
      <c r="I94" s="62"/>
      <c r="J94" s="170"/>
      <c r="K94" s="170"/>
      <c r="L94" s="1284"/>
      <c r="M94" s="350"/>
      <c r="N94" s="1183"/>
      <c r="O94" s="62"/>
      <c r="P94" s="36"/>
      <c r="Q94" s="35"/>
      <c r="R94" s="35"/>
      <c r="S94" s="35"/>
      <c r="T94" s="35"/>
      <c r="U94" s="35"/>
      <c r="V94" s="35"/>
      <c r="W94" s="35"/>
      <c r="X94" s="35"/>
      <c r="Y94" s="35"/>
      <c r="Z94" s="35"/>
    </row>
    <row r="95" spans="2:26" ht="15">
      <c r="B95" s="169"/>
      <c r="C95" s="349"/>
      <c r="D95" s="349"/>
      <c r="E95" s="62"/>
      <c r="F95" s="62"/>
      <c r="G95" s="62"/>
      <c r="H95" s="170"/>
      <c r="I95" s="62"/>
      <c r="J95" s="170"/>
      <c r="K95" s="170"/>
      <c r="L95" s="1285"/>
      <c r="M95" s="350"/>
      <c r="N95" s="1183"/>
      <c r="O95" s="62"/>
      <c r="P95" s="36"/>
      <c r="Q95" s="35"/>
      <c r="R95" s="35"/>
      <c r="S95" s="35"/>
      <c r="T95" s="35"/>
      <c r="U95" s="35"/>
      <c r="V95" s="35"/>
      <c r="W95" s="35"/>
      <c r="X95" s="35"/>
      <c r="Y95" s="35"/>
      <c r="Z95" s="35"/>
    </row>
    <row r="96" spans="2:26" ht="15">
      <c r="B96" s="2374" t="s">
        <v>97</v>
      </c>
      <c r="C96" s="2463"/>
      <c r="D96" s="2463"/>
      <c r="E96" s="2463"/>
      <c r="F96" s="2463"/>
      <c r="G96" s="2463"/>
      <c r="H96" s="2463"/>
      <c r="I96" s="2463"/>
      <c r="J96" s="2463"/>
      <c r="K96" s="2463"/>
      <c r="L96" s="2468"/>
      <c r="M96" s="1282"/>
      <c r="N96" s="1187"/>
      <c r="O96" s="36"/>
      <c r="P96" s="36"/>
      <c r="Q96" s="36"/>
      <c r="R96" s="35"/>
      <c r="S96" s="35"/>
      <c r="U96" s="35"/>
      <c r="V96" s="137"/>
      <c r="W96" s="35"/>
      <c r="X96" s="35"/>
      <c r="Y96" s="35"/>
    </row>
    <row r="97" spans="2:28">
      <c r="B97" s="965"/>
      <c r="C97" s="67"/>
      <c r="D97" s="67"/>
      <c r="E97" s="36"/>
      <c r="F97" s="36"/>
      <c r="G97" s="36"/>
      <c r="H97" s="62"/>
      <c r="I97" s="36"/>
      <c r="J97" s="36"/>
      <c r="K97" s="36"/>
      <c r="L97" s="1286"/>
      <c r="M97" s="36"/>
      <c r="N97" s="36"/>
      <c r="O97" s="36"/>
      <c r="P97" s="36"/>
      <c r="Q97" s="35"/>
      <c r="R97" s="35"/>
      <c r="S97" s="35"/>
      <c r="T97" s="35"/>
      <c r="U97" s="35"/>
      <c r="V97" s="35"/>
      <c r="W97" s="4"/>
      <c r="X97" s="4"/>
      <c r="Y97" s="4"/>
      <c r="Z97" s="5"/>
      <c r="AA97" s="5"/>
      <c r="AB97" s="5"/>
    </row>
    <row r="98" spans="2:28">
      <c r="B98" s="138"/>
      <c r="C98" s="62"/>
      <c r="D98" s="62"/>
      <c r="E98" s="36"/>
      <c r="F98" s="36"/>
      <c r="G98" s="36"/>
      <c r="H98" s="62"/>
      <c r="I98" s="36"/>
      <c r="J98" s="36"/>
      <c r="K98" s="36"/>
      <c r="L98" s="153"/>
      <c r="M98" s="36"/>
      <c r="N98" s="36"/>
      <c r="O98" s="36"/>
      <c r="P98" s="36"/>
      <c r="Q98" s="35"/>
      <c r="R98" s="35"/>
      <c r="S98" s="35"/>
      <c r="T98" s="35"/>
      <c r="U98" s="35"/>
      <c r="V98" s="35"/>
      <c r="W98" s="4"/>
      <c r="X98" s="4"/>
      <c r="Y98" s="4"/>
      <c r="Z98" s="5"/>
      <c r="AA98" s="5"/>
      <c r="AB98" s="5"/>
    </row>
    <row r="99" spans="2:28">
      <c r="B99" s="138"/>
      <c r="C99" s="62"/>
      <c r="D99" s="62"/>
      <c r="E99" s="36"/>
      <c r="F99" s="36"/>
      <c r="G99" s="36"/>
      <c r="H99" s="62"/>
      <c r="I99" s="36"/>
      <c r="J99" s="36"/>
      <c r="K99" s="36"/>
      <c r="L99" s="153"/>
      <c r="M99" s="36"/>
      <c r="N99" s="36"/>
      <c r="O99" s="36"/>
      <c r="P99" s="36"/>
      <c r="Q99" s="35"/>
      <c r="R99" s="35"/>
      <c r="S99" s="35"/>
      <c r="T99" s="35"/>
      <c r="U99" s="35"/>
      <c r="V99" s="35"/>
      <c r="W99" s="4"/>
      <c r="X99" s="4"/>
      <c r="Y99" s="4"/>
      <c r="Z99" s="5"/>
      <c r="AA99" s="5"/>
      <c r="AB99" s="5"/>
    </row>
    <row r="100" spans="2:28">
      <c r="B100" s="138"/>
      <c r="C100" s="62"/>
      <c r="D100" s="62"/>
      <c r="E100" s="36"/>
      <c r="F100" s="36"/>
      <c r="G100" s="36"/>
      <c r="H100" s="62"/>
      <c r="I100" s="36"/>
      <c r="J100" s="36"/>
      <c r="K100" s="36"/>
      <c r="L100" s="153"/>
      <c r="M100" s="36"/>
      <c r="N100" s="36"/>
      <c r="O100" s="36"/>
      <c r="P100" s="36"/>
      <c r="Q100" s="35"/>
      <c r="R100" s="35"/>
      <c r="S100" s="35"/>
      <c r="T100" s="35"/>
      <c r="U100" s="35"/>
      <c r="V100" s="35"/>
      <c r="W100" s="4"/>
      <c r="X100" s="4"/>
      <c r="Y100" s="4"/>
      <c r="Z100" s="5"/>
      <c r="AA100" s="5"/>
      <c r="AB100" s="5"/>
    </row>
    <row r="101" spans="2:28" ht="15">
      <c r="B101" s="138"/>
      <c r="C101" s="164"/>
      <c r="D101" s="164"/>
      <c r="E101" s="36"/>
      <c r="F101" s="36"/>
      <c r="G101" s="36"/>
      <c r="H101" s="62"/>
      <c r="I101" s="36"/>
      <c r="J101" s="36"/>
      <c r="K101" s="36"/>
      <c r="L101" s="153"/>
      <c r="M101" s="36"/>
      <c r="N101" s="36"/>
      <c r="O101" s="36"/>
      <c r="P101" s="36"/>
      <c r="Q101" s="35"/>
      <c r="R101" s="35"/>
      <c r="S101" s="35"/>
      <c r="T101" s="35"/>
      <c r="U101" s="35"/>
      <c r="V101" s="35"/>
      <c r="W101" s="4"/>
      <c r="X101" s="4"/>
      <c r="Y101" s="4"/>
      <c r="Z101" s="5"/>
      <c r="AA101" s="5"/>
      <c r="AB101" s="5"/>
    </row>
    <row r="102" spans="2:28">
      <c r="B102" s="138"/>
      <c r="C102" s="62"/>
      <c r="D102" s="62"/>
      <c r="E102" s="36"/>
      <c r="F102" s="36"/>
      <c r="G102" s="36"/>
      <c r="H102" s="62"/>
      <c r="I102" s="36"/>
      <c r="J102" s="36"/>
      <c r="K102" s="36"/>
      <c r="L102" s="153"/>
      <c r="M102" s="36"/>
      <c r="N102" s="36"/>
      <c r="O102" s="36"/>
      <c r="P102" s="36"/>
      <c r="Q102" s="35"/>
      <c r="R102" s="35"/>
      <c r="S102" s="35"/>
      <c r="T102" s="35"/>
      <c r="U102" s="35"/>
      <c r="V102" s="35"/>
      <c r="W102" s="4"/>
      <c r="X102" s="4"/>
      <c r="Y102" s="4"/>
      <c r="Z102" s="5"/>
      <c r="AA102" s="5"/>
      <c r="AB102" s="5"/>
    </row>
    <row r="103" spans="2:28">
      <c r="B103" s="138"/>
      <c r="C103" s="62"/>
      <c r="D103" s="62"/>
      <c r="E103" s="36"/>
      <c r="F103" s="36"/>
      <c r="G103" s="36"/>
      <c r="H103" s="62"/>
      <c r="I103" s="36"/>
      <c r="J103" s="36"/>
      <c r="K103" s="36"/>
      <c r="L103" s="153"/>
      <c r="M103" s="36"/>
      <c r="N103" s="36"/>
      <c r="O103" s="36"/>
      <c r="P103" s="36"/>
      <c r="Q103" s="35"/>
      <c r="R103" s="35"/>
      <c r="S103" s="35"/>
      <c r="T103" s="35"/>
      <c r="U103" s="35"/>
      <c r="V103" s="35"/>
      <c r="W103" s="4"/>
      <c r="X103" s="4"/>
      <c r="Y103" s="4"/>
      <c r="Z103" s="5"/>
      <c r="AA103" s="5"/>
      <c r="AB103" s="5"/>
    </row>
    <row r="104" spans="2:28">
      <c r="B104" s="138"/>
      <c r="C104" s="62"/>
      <c r="D104" s="62"/>
      <c r="E104" s="36"/>
      <c r="F104" s="36"/>
      <c r="G104" s="36"/>
      <c r="H104" s="62"/>
      <c r="I104" s="36"/>
      <c r="J104" s="36"/>
      <c r="K104" s="36"/>
      <c r="L104" s="153"/>
      <c r="M104" s="36"/>
      <c r="N104" s="36"/>
      <c r="O104" s="36"/>
      <c r="P104" s="36"/>
      <c r="Q104" s="35"/>
      <c r="R104" s="35"/>
      <c r="S104" s="35"/>
      <c r="T104" s="35"/>
      <c r="U104" s="35"/>
      <c r="V104" s="35"/>
      <c r="W104" s="4"/>
      <c r="X104" s="4"/>
      <c r="Y104" s="4"/>
      <c r="Z104" s="5"/>
      <c r="AA104" s="5"/>
      <c r="AB104" s="5"/>
    </row>
    <row r="105" spans="2:28">
      <c r="B105" s="138"/>
      <c r="C105" s="62"/>
      <c r="D105" s="62"/>
      <c r="E105" s="36"/>
      <c r="F105" s="36"/>
      <c r="G105" s="36"/>
      <c r="H105" s="62"/>
      <c r="I105" s="36"/>
      <c r="J105" s="36"/>
      <c r="K105" s="36"/>
      <c r="L105" s="153"/>
      <c r="M105" s="36"/>
      <c r="N105" s="36"/>
      <c r="O105" s="36"/>
      <c r="P105" s="36"/>
      <c r="Q105" s="35"/>
      <c r="R105" s="35"/>
      <c r="S105" s="35"/>
      <c r="T105" s="35"/>
      <c r="U105" s="35"/>
      <c r="V105" s="35"/>
      <c r="W105" s="4"/>
      <c r="X105" s="4"/>
      <c r="Y105" s="4"/>
      <c r="Z105" s="5"/>
      <c r="AA105" s="5"/>
      <c r="AB105" s="5"/>
    </row>
    <row r="106" spans="2:28">
      <c r="B106" s="138"/>
      <c r="C106" s="62"/>
      <c r="D106" s="62"/>
      <c r="E106" s="36"/>
      <c r="F106" s="36"/>
      <c r="G106" s="36"/>
      <c r="H106" s="62"/>
      <c r="I106" s="36"/>
      <c r="J106" s="36"/>
      <c r="K106" s="36"/>
      <c r="L106" s="153"/>
      <c r="M106" s="36"/>
      <c r="N106" s="36"/>
      <c r="O106" s="36"/>
      <c r="P106" s="36"/>
      <c r="Q106" s="35"/>
      <c r="R106" s="35"/>
      <c r="S106" s="35"/>
      <c r="T106" s="35"/>
      <c r="U106" s="35"/>
      <c r="V106" s="35"/>
      <c r="W106" s="4"/>
      <c r="X106" s="4"/>
      <c r="Y106" s="4"/>
      <c r="Z106" s="5"/>
      <c r="AA106" s="5"/>
      <c r="AB106" s="5"/>
    </row>
    <row r="107" spans="2:28" ht="15">
      <c r="B107" s="138"/>
      <c r="C107" s="62"/>
      <c r="D107" s="62"/>
      <c r="E107" s="36"/>
      <c r="F107" s="36"/>
      <c r="G107" s="36"/>
      <c r="H107" s="62"/>
      <c r="I107" s="36"/>
      <c r="J107" s="36"/>
      <c r="K107" s="36"/>
      <c r="L107" s="153"/>
      <c r="M107" s="2466"/>
      <c r="N107" s="1183"/>
      <c r="O107" s="36"/>
      <c r="P107" s="36"/>
      <c r="Q107" s="35"/>
      <c r="R107" s="35"/>
      <c r="S107" s="35"/>
      <c r="T107" s="35"/>
      <c r="U107" s="35"/>
      <c r="V107" s="35"/>
      <c r="W107" s="35"/>
      <c r="X107" s="35"/>
      <c r="Y107" s="35"/>
    </row>
    <row r="108" spans="2:28" ht="15">
      <c r="B108" s="138"/>
      <c r="C108" s="56"/>
      <c r="D108" s="56"/>
      <c r="E108" s="36"/>
      <c r="F108" s="36"/>
      <c r="G108" s="36"/>
      <c r="H108" s="62"/>
      <c r="I108" s="36"/>
      <c r="J108" s="36"/>
      <c r="K108" s="36"/>
      <c r="L108" s="153"/>
      <c r="M108" s="2466"/>
      <c r="N108" s="1183"/>
      <c r="O108" s="36"/>
      <c r="P108" s="36"/>
      <c r="Q108" s="35"/>
      <c r="R108" s="35"/>
      <c r="S108" s="35"/>
      <c r="T108" s="35"/>
      <c r="U108" s="35"/>
      <c r="V108" s="35"/>
      <c r="W108" s="35"/>
      <c r="X108" s="35"/>
      <c r="Y108" s="35"/>
    </row>
    <row r="109" spans="2:28" ht="15.75" thickBot="1">
      <c r="B109" s="142"/>
      <c r="C109" s="172"/>
      <c r="D109" s="172"/>
      <c r="E109" s="173"/>
      <c r="F109" s="173"/>
      <c r="G109" s="173"/>
      <c r="H109" s="174"/>
      <c r="I109" s="174"/>
      <c r="J109" s="174"/>
      <c r="K109" s="174"/>
      <c r="L109" s="175"/>
      <c r="M109" s="2467"/>
      <c r="N109" s="368"/>
      <c r="O109" s="36"/>
      <c r="P109" s="36"/>
      <c r="Q109" s="35"/>
      <c r="R109" s="35"/>
      <c r="S109" s="35"/>
      <c r="T109" s="35"/>
      <c r="U109" s="35"/>
      <c r="V109" s="35"/>
      <c r="W109" s="35"/>
      <c r="X109" s="35"/>
      <c r="Y109" s="35"/>
    </row>
    <row r="110" spans="2:28" ht="15">
      <c r="B110" s="35"/>
      <c r="C110" s="56"/>
      <c r="D110" s="56"/>
      <c r="E110" s="36"/>
      <c r="F110" s="36"/>
      <c r="G110" s="36"/>
      <c r="H110" s="62"/>
      <c r="I110" s="62"/>
      <c r="J110" s="62"/>
      <c r="K110" s="62"/>
      <c r="L110" s="62"/>
      <c r="M110" s="62"/>
      <c r="N110" s="62"/>
      <c r="P110" s="35"/>
      <c r="Q110" s="35"/>
      <c r="R110" s="35"/>
      <c r="S110" s="35"/>
      <c r="T110" s="35"/>
      <c r="U110" s="35"/>
      <c r="V110" s="35"/>
      <c r="W110" s="4"/>
      <c r="X110" s="4"/>
      <c r="Y110" s="4"/>
      <c r="Z110" s="5"/>
      <c r="AA110" s="5"/>
      <c r="AB110" s="5"/>
    </row>
    <row r="111" spans="2:28" ht="15">
      <c r="B111" s="35"/>
      <c r="C111" s="56"/>
      <c r="D111" s="56"/>
      <c r="E111" s="35"/>
      <c r="F111" s="35"/>
      <c r="G111" s="35"/>
      <c r="H111" s="62"/>
      <c r="I111" s="62"/>
      <c r="J111" s="62"/>
      <c r="K111" s="62"/>
      <c r="L111" s="62"/>
      <c r="M111" s="62"/>
      <c r="N111" s="62"/>
      <c r="P111" s="35"/>
      <c r="Q111" s="35"/>
      <c r="R111" s="35"/>
      <c r="S111" s="35"/>
      <c r="T111" s="35"/>
      <c r="U111" s="35"/>
      <c r="V111" s="35"/>
      <c r="W111" s="4"/>
      <c r="X111" s="4"/>
      <c r="Y111" s="4"/>
      <c r="Z111" s="5"/>
      <c r="AA111" s="5"/>
      <c r="AB111" s="5"/>
    </row>
    <row r="112" spans="2:28" ht="15">
      <c r="B112" s="35"/>
      <c r="C112" s="56"/>
      <c r="D112" s="56"/>
      <c r="E112" s="56"/>
      <c r="F112" s="56"/>
      <c r="G112" s="56"/>
      <c r="H112" s="62"/>
      <c r="I112" s="62"/>
      <c r="J112" s="62"/>
      <c r="K112" s="62"/>
      <c r="L112" s="62"/>
      <c r="M112" s="62"/>
      <c r="N112" s="62"/>
      <c r="P112" s="35"/>
      <c r="Q112" s="35"/>
      <c r="R112" s="35"/>
      <c r="S112" s="35"/>
      <c r="T112" s="35"/>
      <c r="U112" s="35"/>
      <c r="V112" s="35"/>
      <c r="W112" s="4"/>
      <c r="X112" s="4"/>
      <c r="Y112" s="4"/>
      <c r="Z112" s="5"/>
      <c r="AA112" s="5"/>
      <c r="AB112" s="5"/>
    </row>
    <row r="113" spans="2:30" ht="15">
      <c r="B113" s="35"/>
      <c r="C113" s="56"/>
      <c r="D113" s="56"/>
      <c r="E113" s="56"/>
      <c r="F113" s="56"/>
      <c r="G113" s="56"/>
      <c r="H113" s="62"/>
      <c r="I113" s="62"/>
      <c r="J113" s="62"/>
      <c r="K113" s="62"/>
      <c r="L113" s="62"/>
      <c r="M113" s="62"/>
      <c r="N113" s="62"/>
      <c r="P113" s="35"/>
      <c r="Q113" s="35"/>
      <c r="R113" s="35"/>
      <c r="S113" s="35"/>
      <c r="T113" s="35"/>
      <c r="U113" s="35"/>
      <c r="V113" s="35"/>
      <c r="W113" s="4"/>
      <c r="X113" s="4"/>
      <c r="Y113" s="4"/>
      <c r="Z113" s="5"/>
      <c r="AA113" s="5"/>
      <c r="AB113" s="5"/>
    </row>
    <row r="114" spans="2:30">
      <c r="B114" s="35"/>
      <c r="C114" s="62"/>
      <c r="D114" s="62"/>
      <c r="E114" s="36"/>
      <c r="F114" s="36"/>
      <c r="G114" s="36"/>
      <c r="H114" s="111"/>
      <c r="I114" s="111"/>
      <c r="J114" s="111"/>
      <c r="K114" s="111"/>
      <c r="L114" s="111"/>
      <c r="M114" s="111"/>
      <c r="N114" s="111"/>
      <c r="P114" s="35"/>
      <c r="Q114" s="35"/>
      <c r="R114" s="35"/>
      <c r="S114" s="35"/>
      <c r="T114" s="35"/>
      <c r="U114" s="35"/>
      <c r="V114" s="35"/>
      <c r="W114" s="4"/>
      <c r="X114" s="4"/>
      <c r="Y114" s="4"/>
      <c r="Z114" s="5"/>
      <c r="AA114" s="5"/>
      <c r="AB114" s="5"/>
    </row>
    <row r="115" spans="2:30">
      <c r="B115" s="35"/>
      <c r="C115" s="62"/>
      <c r="D115" s="62"/>
      <c r="E115" s="36"/>
      <c r="F115" s="36"/>
      <c r="G115" s="36"/>
      <c r="H115" s="62"/>
      <c r="I115" s="62"/>
      <c r="J115" s="62"/>
      <c r="K115" s="62"/>
      <c r="L115" s="62"/>
      <c r="M115" s="62"/>
      <c r="N115" s="62"/>
      <c r="P115" s="35"/>
      <c r="Q115" s="35"/>
      <c r="R115" s="35"/>
      <c r="S115" s="35"/>
      <c r="T115" s="35"/>
      <c r="U115" s="35"/>
      <c r="V115" s="35"/>
      <c r="W115" s="4"/>
      <c r="X115" s="4"/>
      <c r="Y115" s="4"/>
      <c r="Z115" s="5"/>
      <c r="AA115" s="5"/>
      <c r="AB115" s="5"/>
    </row>
    <row r="116" spans="2:30">
      <c r="B116" s="35"/>
      <c r="C116" s="112"/>
      <c r="D116" s="112"/>
      <c r="E116" s="36"/>
      <c r="F116" s="36"/>
      <c r="G116" s="36"/>
      <c r="H116" s="67"/>
      <c r="I116" s="62"/>
      <c r="J116" s="62"/>
      <c r="K116" s="62"/>
      <c r="L116" s="62"/>
      <c r="M116" s="62"/>
      <c r="N116" s="62"/>
      <c r="P116" s="35"/>
      <c r="Q116" s="35"/>
      <c r="R116" s="35"/>
      <c r="S116" s="35"/>
      <c r="T116" s="35"/>
      <c r="U116" s="35"/>
      <c r="V116" s="35"/>
      <c r="W116" s="4"/>
      <c r="X116" s="4"/>
      <c r="Y116" s="4"/>
      <c r="Z116" s="5"/>
      <c r="AA116" s="5"/>
      <c r="AB116" s="5"/>
    </row>
    <row r="117" spans="2:30">
      <c r="B117" s="35"/>
      <c r="C117" s="36"/>
      <c r="D117" s="36"/>
      <c r="E117" s="36"/>
      <c r="F117" s="36"/>
      <c r="G117" s="36"/>
      <c r="H117" s="36"/>
      <c r="I117" s="36"/>
      <c r="J117" s="36"/>
      <c r="K117" s="36"/>
      <c r="L117" s="36"/>
      <c r="M117" s="36"/>
      <c r="N117" s="36"/>
      <c r="P117" s="35"/>
      <c r="Q117" s="35"/>
      <c r="R117" s="35"/>
      <c r="S117" s="35"/>
      <c r="T117" s="35"/>
      <c r="U117" s="35"/>
      <c r="V117" s="35"/>
      <c r="W117" s="4"/>
      <c r="X117" s="4"/>
      <c r="Y117" s="4"/>
      <c r="Z117" s="5"/>
      <c r="AA117" s="5"/>
      <c r="AB117" s="5"/>
    </row>
    <row r="118" spans="2:30">
      <c r="B118" s="35"/>
      <c r="C118" s="62"/>
      <c r="D118" s="62"/>
      <c r="E118" s="36"/>
      <c r="F118" s="36"/>
      <c r="G118" s="36"/>
      <c r="H118" s="113"/>
      <c r="I118" s="113"/>
      <c r="J118" s="113"/>
      <c r="K118" s="113"/>
      <c r="L118" s="113"/>
      <c r="M118" s="113"/>
      <c r="N118" s="113"/>
      <c r="P118" s="35"/>
      <c r="Q118" s="35"/>
      <c r="R118" s="35"/>
      <c r="S118" s="35"/>
      <c r="T118" s="35"/>
      <c r="U118" s="35"/>
      <c r="V118" s="35"/>
      <c r="W118" s="4"/>
      <c r="X118" s="4"/>
      <c r="Y118" s="4"/>
      <c r="Z118" s="5"/>
      <c r="AA118" s="5"/>
      <c r="AB118" s="5"/>
    </row>
    <row r="119" spans="2:30">
      <c r="B119" s="35"/>
      <c r="C119" s="62"/>
      <c r="D119" s="62"/>
      <c r="E119" s="36"/>
      <c r="F119" s="36"/>
      <c r="G119" s="36"/>
      <c r="H119" s="62"/>
      <c r="I119" s="62"/>
      <c r="J119" s="62"/>
      <c r="K119" s="62"/>
      <c r="L119" s="62"/>
      <c r="M119" s="62"/>
      <c r="N119" s="62"/>
      <c r="P119" s="35"/>
      <c r="Q119" s="35"/>
      <c r="R119" s="35"/>
      <c r="S119" s="35"/>
      <c r="T119" s="35"/>
      <c r="U119" s="35"/>
      <c r="V119" s="35"/>
      <c r="W119" s="4"/>
      <c r="X119" s="4"/>
      <c r="Y119" s="4"/>
      <c r="Z119" s="5"/>
      <c r="AA119" s="5"/>
      <c r="AB119" s="5"/>
    </row>
    <row r="120" spans="2:30">
      <c r="B120" s="35"/>
      <c r="C120" s="62"/>
      <c r="D120" s="62"/>
      <c r="E120" s="36"/>
      <c r="F120" s="36"/>
      <c r="G120" s="36"/>
      <c r="H120" s="62"/>
      <c r="I120" s="62"/>
      <c r="J120" s="62"/>
      <c r="K120" s="62"/>
      <c r="L120" s="62"/>
      <c r="M120" s="62"/>
      <c r="N120" s="62"/>
      <c r="P120" s="35"/>
      <c r="Q120" s="35"/>
      <c r="R120" s="35"/>
      <c r="S120" s="35"/>
      <c r="T120" s="35"/>
      <c r="U120" s="35"/>
      <c r="V120" s="35"/>
      <c r="W120" s="4"/>
      <c r="X120" s="4"/>
      <c r="Y120" s="4"/>
      <c r="Z120" s="5"/>
      <c r="AA120" s="5"/>
      <c r="AB120" s="5"/>
    </row>
    <row r="121" spans="2:30" ht="15">
      <c r="B121" s="35"/>
      <c r="C121" s="56"/>
      <c r="D121" s="56"/>
      <c r="E121" s="36"/>
      <c r="F121" s="36"/>
      <c r="G121" s="36"/>
      <c r="H121" s="62"/>
      <c r="I121" s="62"/>
      <c r="J121" s="62"/>
      <c r="K121" s="62"/>
      <c r="L121" s="62"/>
      <c r="M121" s="62"/>
      <c r="N121" s="62"/>
      <c r="O121" s="62"/>
      <c r="P121" s="62"/>
      <c r="Q121" s="35"/>
      <c r="R121" s="35"/>
      <c r="S121" s="35"/>
      <c r="T121" s="35"/>
      <c r="U121" s="35"/>
      <c r="V121" s="35"/>
      <c r="W121" s="35"/>
      <c r="X121" s="35"/>
      <c r="Y121" s="4"/>
      <c r="Z121" s="4"/>
      <c r="AA121" s="4"/>
      <c r="AB121" s="5"/>
      <c r="AC121" s="5"/>
      <c r="AD121" s="5"/>
    </row>
    <row r="122" spans="2:30">
      <c r="B122" s="35"/>
      <c r="C122" s="62"/>
      <c r="D122" s="62"/>
      <c r="E122" s="36"/>
      <c r="F122" s="36"/>
      <c r="G122" s="36"/>
      <c r="H122" s="113"/>
      <c r="I122" s="113"/>
      <c r="J122" s="113"/>
      <c r="K122" s="113"/>
      <c r="L122" s="113"/>
      <c r="M122" s="113"/>
      <c r="N122" s="113"/>
      <c r="O122" s="113"/>
      <c r="P122" s="113"/>
      <c r="Q122" s="35"/>
      <c r="R122" s="35"/>
      <c r="S122" s="35"/>
      <c r="T122" s="35"/>
      <c r="U122" s="35"/>
      <c r="V122" s="35"/>
      <c r="W122" s="35"/>
      <c r="X122" s="35"/>
      <c r="Y122" s="4"/>
      <c r="Z122" s="4"/>
      <c r="AA122" s="4"/>
      <c r="AB122" s="5"/>
      <c r="AC122" s="5"/>
      <c r="AD122" s="5"/>
    </row>
    <row r="123" spans="2:30">
      <c r="B123" s="35"/>
      <c r="C123" s="62"/>
      <c r="D123" s="62"/>
      <c r="E123" s="36"/>
      <c r="F123" s="36"/>
      <c r="G123" s="36"/>
      <c r="H123" s="62"/>
      <c r="I123" s="62"/>
      <c r="J123" s="62"/>
      <c r="K123" s="62"/>
      <c r="L123" s="62"/>
      <c r="M123" s="62"/>
      <c r="N123" s="62"/>
      <c r="O123" s="62"/>
      <c r="P123" s="62"/>
      <c r="Q123" s="35"/>
      <c r="R123" s="35"/>
      <c r="S123" s="35"/>
      <c r="T123" s="35"/>
      <c r="U123" s="35"/>
      <c r="V123" s="35"/>
      <c r="W123" s="35"/>
      <c r="X123" s="35"/>
      <c r="Y123" s="4"/>
      <c r="Z123" s="4"/>
      <c r="AA123" s="4"/>
      <c r="AB123" s="5"/>
      <c r="AC123" s="5"/>
      <c r="AD123" s="5"/>
    </row>
    <row r="124" spans="2:30">
      <c r="C124" s="35"/>
      <c r="D124" s="35"/>
      <c r="E124" s="35"/>
      <c r="F124" s="35"/>
      <c r="G124" s="35"/>
      <c r="H124" s="35"/>
      <c r="I124" s="35"/>
      <c r="J124" s="35"/>
      <c r="K124" s="35"/>
      <c r="L124" s="35"/>
      <c r="M124" s="35"/>
      <c r="N124" s="35"/>
      <c r="P124" s="35"/>
      <c r="Q124" s="35"/>
      <c r="R124" s="35"/>
      <c r="S124" s="35"/>
      <c r="T124" s="35"/>
      <c r="U124" s="35"/>
      <c r="V124" s="35"/>
      <c r="W124" s="35"/>
      <c r="X124" s="35"/>
    </row>
  </sheetData>
  <mergeCells count="18">
    <mergeCell ref="M2:N2"/>
    <mergeCell ref="M3:N3"/>
    <mergeCell ref="M4:N4"/>
    <mergeCell ref="M5:N5"/>
    <mergeCell ref="M6:N6"/>
    <mergeCell ref="M107:M109"/>
    <mergeCell ref="B21:L21"/>
    <mergeCell ref="B32:L32"/>
    <mergeCell ref="B96:L96"/>
    <mergeCell ref="C4:D5"/>
    <mergeCell ref="M7:N7"/>
    <mergeCell ref="M8:N8"/>
    <mergeCell ref="E1:F1"/>
    <mergeCell ref="H1:I1"/>
    <mergeCell ref="C16:D16"/>
    <mergeCell ref="C17:D17"/>
    <mergeCell ref="C18:D18"/>
    <mergeCell ref="B11:L11"/>
  </mergeCells>
  <pageMargins left="0.70866141732283472" right="0.70866141732283472" top="0.74803149606299213" bottom="0.74803149606299213" header="0.31496062992125984" footer="0.31496062992125984"/>
  <pageSetup paperSize="9" scale="37" orientation="portrait"/>
  <drawing r:id="rId1"/>
  <legacy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4" tint="-0.249977111117893"/>
    <pageSetUpPr fitToPage="1"/>
  </sheetPr>
  <dimension ref="A1:BV122"/>
  <sheetViews>
    <sheetView showGridLines="0" topLeftCell="B1" zoomScale="75" zoomScaleNormal="75" zoomScaleSheetLayoutView="100" zoomScalePageLayoutView="75" workbookViewId="0">
      <pane ySplit="1" topLeftCell="A2" activePane="bottomLeft" state="frozen"/>
      <selection activeCell="C3" sqref="C3"/>
      <selection pane="bottomLeft" activeCell="K16" sqref="K16:L16"/>
    </sheetView>
  </sheetViews>
  <sheetFormatPr defaultColWidth="8.85546875" defaultRowHeight="14.25" outlineLevelCol="1"/>
  <cols>
    <col min="1" max="1" width="56.140625" style="38" hidden="1" customWidth="1" outlineLevel="1"/>
    <col min="2" max="2" width="15.7109375" style="38" customWidth="1" collapsed="1"/>
    <col min="3" max="3" width="42.85546875" style="38" customWidth="1"/>
    <col min="4" max="4" width="16.85546875" style="38" customWidth="1"/>
    <col min="5" max="5" width="15.7109375" style="38" customWidth="1"/>
    <col min="6" max="6" width="26.42578125" style="38" customWidth="1"/>
    <col min="7" max="9" width="15.7109375" style="38" customWidth="1"/>
    <col min="10" max="10" width="45.7109375" style="38" customWidth="1"/>
    <col min="11" max="11" width="17" style="38" customWidth="1"/>
    <col min="12" max="14" width="15.7109375" style="38" customWidth="1"/>
    <col min="15" max="15" width="78.28515625" style="35" customWidth="1"/>
    <col min="16" max="16" width="7.42578125" style="38" customWidth="1"/>
    <col min="17" max="17" width="19.140625" style="38" customWidth="1"/>
    <col min="18" max="18" width="23.42578125" style="38" customWidth="1"/>
    <col min="19" max="19" width="24.42578125" style="38" bestFit="1" customWidth="1"/>
    <col min="20" max="21" width="8.85546875" style="38"/>
    <col min="22" max="25" width="6.42578125" style="38" customWidth="1"/>
    <col min="26" max="27" width="34.7109375" style="38" customWidth="1"/>
    <col min="28" max="28" width="14.7109375" style="38" customWidth="1"/>
    <col min="29" max="29" width="17.7109375" style="38" customWidth="1"/>
    <col min="30" max="30" width="15.42578125" style="38" customWidth="1"/>
    <col min="31" max="16384" width="8.85546875" style="38"/>
  </cols>
  <sheetData>
    <row r="1" spans="1:74" s="51"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2"/>
      <c r="H1" s="2311" t="str">
        <f>HYPERLINK("[.\]outputs_by_channel!A1", "To Intervention data outputs by channel")</f>
        <v>To Intervention data outputs by channel</v>
      </c>
      <c r="I1" s="2312"/>
      <c r="J1" s="1764"/>
      <c r="K1" s="1762"/>
      <c r="L1" s="1762"/>
      <c r="P1" s="52"/>
      <c r="Q1" s="52"/>
      <c r="R1" s="52"/>
      <c r="S1" s="52"/>
      <c r="U1" s="52"/>
      <c r="V1" s="52"/>
      <c r="W1" s="52"/>
      <c r="X1" s="52"/>
      <c r="Z1" s="52"/>
      <c r="AA1" s="52"/>
      <c r="AB1" s="52"/>
      <c r="AC1" s="52"/>
      <c r="AE1" s="52"/>
      <c r="AF1" s="52"/>
      <c r="AG1" s="52"/>
      <c r="AH1" s="52"/>
      <c r="AJ1" s="52"/>
      <c r="AK1" s="52"/>
      <c r="AL1" s="52"/>
      <c r="AM1" s="52"/>
      <c r="AO1" s="52"/>
      <c r="AP1" s="52"/>
      <c r="AQ1" s="52"/>
      <c r="AR1" s="52"/>
      <c r="AT1" s="52"/>
      <c r="AU1" s="52"/>
      <c r="AV1" s="52"/>
      <c r="AW1" s="52"/>
      <c r="AY1" s="52"/>
      <c r="AZ1" s="52"/>
      <c r="BA1" s="52"/>
      <c r="BB1" s="52"/>
      <c r="BD1" s="52"/>
      <c r="BE1" s="52"/>
      <c r="BF1" s="52"/>
      <c r="BG1" s="52"/>
      <c r="BI1" s="52"/>
      <c r="BJ1" s="52"/>
      <c r="BK1" s="52"/>
      <c r="BL1" s="52"/>
      <c r="BN1" s="52"/>
      <c r="BO1" s="52"/>
      <c r="BP1" s="52"/>
      <c r="BQ1" s="52"/>
      <c r="BS1" s="52"/>
      <c r="BT1" s="52"/>
      <c r="BU1" s="52"/>
      <c r="BV1" s="52"/>
    </row>
    <row r="2" spans="1:74" ht="39.950000000000003" customHeight="1">
      <c r="A2" s="136"/>
      <c r="B2" s="138"/>
      <c r="C2" s="613"/>
      <c r="D2" s="613"/>
      <c r="E2" s="613"/>
      <c r="F2" s="1188"/>
      <c r="G2" s="1188"/>
      <c r="H2" s="2067"/>
      <c r="I2" s="2067"/>
      <c r="J2" s="2072"/>
      <c r="K2" s="2072"/>
      <c r="L2" s="2088"/>
      <c r="M2" s="2469"/>
      <c r="N2" s="2469"/>
      <c r="O2" s="335"/>
      <c r="P2" s="64"/>
      <c r="Q2" s="335"/>
      <c r="R2" s="336"/>
      <c r="S2" s="35"/>
      <c r="U2" s="35"/>
      <c r="V2" s="137"/>
      <c r="W2" s="35"/>
      <c r="X2" s="35"/>
    </row>
    <row r="3" spans="1:74" ht="15.75" thickBot="1">
      <c r="A3" s="136"/>
      <c r="B3" s="138"/>
      <c r="C3" s="613"/>
      <c r="D3" s="613"/>
      <c r="E3" s="613"/>
      <c r="F3" s="950"/>
      <c r="G3" s="950"/>
      <c r="H3" s="2067"/>
      <c r="I3" s="2067"/>
      <c r="J3" s="2070"/>
      <c r="K3" s="2074"/>
      <c r="L3" s="2083"/>
      <c r="M3" s="2469"/>
      <c r="N3" s="2469"/>
      <c r="O3" s="337"/>
      <c r="P3" s="336"/>
      <c r="Q3" s="337"/>
      <c r="R3" s="336"/>
      <c r="S3" s="35"/>
      <c r="U3" s="35"/>
      <c r="V3" s="137"/>
      <c r="W3" s="35"/>
      <c r="X3" s="35"/>
    </row>
    <row r="4" spans="1:74" ht="15">
      <c r="B4" s="138"/>
      <c r="C4" s="2438" t="str">
        <f>Menu!$B32</f>
        <v>Improved Referral processes - In Care Homes</v>
      </c>
      <c r="D4" s="2439"/>
      <c r="E4" s="613"/>
      <c r="F4" s="950"/>
      <c r="G4" s="1292"/>
      <c r="H4" s="613"/>
      <c r="I4" s="613"/>
      <c r="J4" s="2070"/>
      <c r="K4" s="2074"/>
      <c r="L4" s="2083"/>
      <c r="M4" s="2469"/>
      <c r="N4" s="2469"/>
      <c r="O4" s="337"/>
      <c r="P4" s="336"/>
      <c r="Q4" s="337"/>
      <c r="R4" s="336"/>
      <c r="S4" s="35"/>
      <c r="U4" s="35"/>
      <c r="V4" s="137"/>
      <c r="W4" s="35"/>
      <c r="X4" s="35"/>
    </row>
    <row r="5" spans="1:74" ht="15" customHeight="1" thickBot="1">
      <c r="B5" s="138"/>
      <c r="C5" s="2440"/>
      <c r="D5" s="2399"/>
      <c r="E5" s="613"/>
      <c r="F5" s="1186"/>
      <c r="G5" s="1186"/>
      <c r="H5" s="1186"/>
      <c r="I5" s="2067"/>
      <c r="J5" s="2070"/>
      <c r="K5" s="2076"/>
      <c r="L5" s="2094"/>
      <c r="M5" s="2469"/>
      <c r="N5" s="2469"/>
      <c r="O5" s="338"/>
      <c r="P5" s="339"/>
      <c r="Q5" s="340"/>
      <c r="R5" s="336"/>
      <c r="S5" s="35"/>
      <c r="U5" s="35"/>
      <c r="V5" s="137"/>
      <c r="W5" s="35"/>
      <c r="X5" s="35"/>
    </row>
    <row r="6" spans="1:74" ht="15" customHeight="1" thickBot="1">
      <c r="B6" s="138"/>
      <c r="C6" s="539"/>
      <c r="D6" s="539"/>
      <c r="E6" s="613"/>
      <c r="F6" s="614"/>
      <c r="G6" s="613"/>
      <c r="H6" s="613"/>
      <c r="I6" s="613"/>
      <c r="J6" s="2070"/>
      <c r="K6" s="2077"/>
      <c r="L6" s="2085"/>
      <c r="M6" s="2469"/>
      <c r="N6" s="2469"/>
      <c r="O6" s="337"/>
      <c r="P6" s="336"/>
      <c r="Q6" s="337"/>
      <c r="R6" s="336"/>
      <c r="S6" s="35"/>
      <c r="U6" s="35"/>
      <c r="V6" s="137"/>
      <c r="W6" s="35"/>
      <c r="X6" s="35"/>
    </row>
    <row r="7" spans="1:74" ht="15" customHeight="1" thickBot="1">
      <c r="B7" s="138"/>
      <c r="C7" s="957" t="s">
        <v>582</v>
      </c>
      <c r="D7" s="1329">
        <v>813405</v>
      </c>
      <c r="E7" s="613"/>
      <c r="F7" s="614"/>
      <c r="G7" s="613"/>
      <c r="H7" s="613"/>
      <c r="I7" s="613"/>
      <c r="J7" s="2070"/>
      <c r="K7" s="2074"/>
      <c r="L7" s="2095"/>
      <c r="M7" s="2469"/>
      <c r="N7" s="2469"/>
      <c r="O7" s="341"/>
      <c r="P7" s="342"/>
      <c r="Q7" s="341"/>
      <c r="R7" s="336"/>
      <c r="S7" s="35"/>
      <c r="U7" s="35"/>
      <c r="V7" s="137"/>
      <c r="W7" s="35"/>
      <c r="X7" s="35"/>
    </row>
    <row r="8" spans="1:74" ht="15">
      <c r="B8" s="138"/>
      <c r="C8" s="535"/>
      <c r="D8" s="535"/>
      <c r="E8" s="535"/>
      <c r="F8" s="535"/>
      <c r="G8" s="535"/>
      <c r="H8" s="613"/>
      <c r="I8" s="613"/>
      <c r="J8" s="2070"/>
      <c r="K8" s="2076"/>
      <c r="L8" s="2094"/>
      <c r="M8" s="2469"/>
      <c r="N8" s="2469"/>
      <c r="O8" s="338"/>
      <c r="P8" s="336"/>
      <c r="Q8" s="338"/>
      <c r="R8" s="336"/>
      <c r="S8" s="35"/>
      <c r="U8" s="35"/>
      <c r="V8" s="137"/>
      <c r="W8" s="35"/>
      <c r="X8" s="35"/>
    </row>
    <row r="9" spans="1:74" ht="15">
      <c r="B9" s="138"/>
      <c r="C9" s="1777" t="str">
        <f>HYPERLINK("[.\]E_IR!A2","To Evidence")</f>
        <v>To Evidence</v>
      </c>
      <c r="D9" s="535"/>
      <c r="E9" s="535"/>
      <c r="F9" s="535"/>
      <c r="G9" s="535"/>
      <c r="H9" s="613"/>
      <c r="I9" s="613"/>
      <c r="J9" s="2066"/>
      <c r="K9" s="1532"/>
      <c r="L9" s="1533"/>
      <c r="M9" s="1717"/>
      <c r="N9" s="1717"/>
      <c r="O9" s="338"/>
      <c r="P9" s="336"/>
      <c r="Q9" s="338"/>
      <c r="R9" s="336"/>
      <c r="S9" s="35"/>
      <c r="U9" s="35"/>
      <c r="V9" s="137"/>
      <c r="W9" s="35"/>
      <c r="X9" s="35"/>
    </row>
    <row r="10" spans="1:74" ht="15">
      <c r="B10" s="169"/>
      <c r="C10" s="535"/>
      <c r="D10" s="535"/>
      <c r="E10" s="535"/>
      <c r="F10" s="535"/>
      <c r="G10" s="535"/>
      <c r="H10" s="613"/>
      <c r="I10" s="613"/>
      <c r="J10" s="1783"/>
      <c r="K10" s="1781"/>
      <c r="L10" s="1792"/>
      <c r="M10" s="1717"/>
      <c r="N10" s="1717"/>
      <c r="O10" s="338"/>
      <c r="P10" s="336"/>
      <c r="Q10" s="338"/>
      <c r="R10" s="336"/>
      <c r="S10" s="35"/>
      <c r="U10" s="35"/>
      <c r="V10" s="137"/>
      <c r="W10" s="35"/>
      <c r="X10" s="35"/>
    </row>
    <row r="11" spans="1:74" ht="15">
      <c r="A11" s="726" t="s">
        <v>103</v>
      </c>
      <c r="B11" s="2374" t="s">
        <v>119</v>
      </c>
      <c r="C11" s="2463"/>
      <c r="D11" s="2463"/>
      <c r="E11" s="2463"/>
      <c r="F11" s="2463"/>
      <c r="G11" s="2463"/>
      <c r="H11" s="2463"/>
      <c r="I11" s="2463"/>
      <c r="J11" s="2463"/>
      <c r="K11" s="2464"/>
      <c r="L11" s="2465"/>
      <c r="M11" s="1282"/>
      <c r="N11" s="1187"/>
      <c r="O11" s="36"/>
      <c r="P11" s="36"/>
      <c r="Q11" s="36"/>
      <c r="R11" s="35"/>
      <c r="S11" s="35"/>
      <c r="U11" s="35"/>
      <c r="V11" s="137"/>
      <c r="W11" s="35"/>
      <c r="X11" s="35"/>
      <c r="Y11" s="35"/>
    </row>
    <row r="12" spans="1:74" s="35" customFormat="1" ht="15">
      <c r="B12" s="1289"/>
      <c r="C12" s="36"/>
      <c r="D12" s="36"/>
      <c r="E12" s="36"/>
      <c r="F12" s="36"/>
      <c r="G12" s="36"/>
      <c r="H12" s="36"/>
      <c r="I12" s="36"/>
      <c r="J12" s="36"/>
      <c r="K12" s="533"/>
      <c r="L12" s="1271"/>
      <c r="M12" s="533"/>
      <c r="N12" s="36"/>
      <c r="O12" s="36"/>
      <c r="P12" s="36"/>
      <c r="V12" s="137"/>
    </row>
    <row r="13" spans="1:74" s="35" customFormat="1" ht="15">
      <c r="A13" s="154"/>
      <c r="B13" s="1290"/>
      <c r="C13" s="727"/>
      <c r="D13" s="727"/>
      <c r="E13" s="727"/>
      <c r="F13" s="727"/>
      <c r="G13" s="727"/>
      <c r="H13" s="727"/>
      <c r="I13" s="727"/>
      <c r="J13" s="727"/>
      <c r="K13" s="551"/>
      <c r="L13" s="552" t="s">
        <v>141</v>
      </c>
      <c r="M13" s="533"/>
      <c r="O13" s="964"/>
      <c r="P13" s="36"/>
      <c r="V13" s="137"/>
    </row>
    <row r="14" spans="1:74" s="35" customFormat="1" ht="15">
      <c r="A14" s="154"/>
      <c r="B14" s="1290"/>
      <c r="C14" s="727"/>
      <c r="D14" s="727"/>
      <c r="E14" s="727"/>
      <c r="F14" s="727"/>
      <c r="G14" s="727"/>
      <c r="H14" s="727"/>
      <c r="I14" s="727"/>
      <c r="J14" s="727"/>
      <c r="K14" s="63"/>
      <c r="L14" s="552" t="s">
        <v>143</v>
      </c>
      <c r="M14" s="533"/>
      <c r="O14" s="36"/>
      <c r="P14" s="36"/>
      <c r="V14" s="137"/>
    </row>
    <row r="15" spans="1:74" s="35" customFormat="1" ht="15">
      <c r="A15" s="154"/>
      <c r="B15" s="1290"/>
      <c r="C15" s="727"/>
      <c r="D15" s="727"/>
      <c r="E15" s="727"/>
      <c r="F15" s="727"/>
      <c r="G15" s="727"/>
      <c r="H15" s="727"/>
      <c r="I15" s="727"/>
      <c r="J15" s="727"/>
      <c r="K15" s="728" t="s">
        <v>556</v>
      </c>
      <c r="L15" s="552" t="s">
        <v>143</v>
      </c>
      <c r="M15" s="533"/>
      <c r="N15" s="36"/>
      <c r="O15" s="36"/>
      <c r="P15" s="36"/>
      <c r="V15" s="137"/>
    </row>
    <row r="16" spans="1:74" s="35" customFormat="1" ht="42.75">
      <c r="A16" s="154"/>
      <c r="B16" s="1290"/>
      <c r="C16" s="2323" t="s">
        <v>763</v>
      </c>
      <c r="D16" s="2377"/>
      <c r="E16" s="738">
        <v>35680</v>
      </c>
      <c r="F16" s="727"/>
      <c r="H16" s="36"/>
      <c r="I16" s="727"/>
      <c r="J16" s="727"/>
      <c r="K16" s="2193"/>
      <c r="L16" s="507" t="s">
        <v>1299</v>
      </c>
      <c r="M16" s="533"/>
      <c r="N16" s="533"/>
      <c r="O16" s="36"/>
      <c r="P16" s="36"/>
    </row>
    <row r="17" spans="1:26" s="35" customFormat="1" ht="15">
      <c r="A17" s="154"/>
      <c r="B17" s="1290"/>
      <c r="C17" s="2323" t="s">
        <v>1034</v>
      </c>
      <c r="D17" s="2377"/>
      <c r="E17" s="622">
        <v>0.05</v>
      </c>
      <c r="F17" s="727"/>
      <c r="H17" s="36"/>
      <c r="I17" s="727"/>
      <c r="J17" s="727"/>
      <c r="K17" s="727"/>
      <c r="L17" s="1272"/>
      <c r="M17" s="533"/>
      <c r="N17" s="533"/>
      <c r="O17" s="36"/>
      <c r="P17" s="36"/>
    </row>
    <row r="18" spans="1:26" s="35" customFormat="1" ht="15">
      <c r="A18" s="154"/>
      <c r="B18" s="1290"/>
      <c r="C18" s="2323" t="s">
        <v>1035</v>
      </c>
      <c r="D18" s="2377"/>
      <c r="E18" s="659">
        <f>E16*E17</f>
        <v>1784</v>
      </c>
      <c r="F18" s="727"/>
      <c r="H18" s="36"/>
      <c r="I18" s="727"/>
      <c r="J18" s="727"/>
      <c r="K18" s="727"/>
      <c r="L18" s="1272"/>
      <c r="M18" s="533"/>
      <c r="N18" s="533"/>
      <c r="O18" s="36"/>
      <c r="P18" s="36"/>
    </row>
    <row r="19" spans="1:26" s="35" customFormat="1" ht="15">
      <c r="A19" s="154"/>
      <c r="B19" s="1290"/>
      <c r="C19" s="612"/>
      <c r="D19" s="612"/>
      <c r="E19" s="612"/>
      <c r="F19" s="612"/>
      <c r="G19" s="612"/>
      <c r="H19" s="533"/>
      <c r="I19" s="727"/>
      <c r="J19" s="727"/>
      <c r="K19" s="727"/>
      <c r="L19" s="1272"/>
      <c r="M19" s="533"/>
      <c r="N19" s="533"/>
      <c r="O19" s="36"/>
      <c r="P19" s="36"/>
    </row>
    <row r="20" spans="1:26" s="35" customFormat="1" ht="15">
      <c r="A20" s="154"/>
      <c r="B20" s="1291"/>
      <c r="C20" s="612"/>
      <c r="D20" s="612"/>
      <c r="E20" s="612"/>
      <c r="F20" s="612"/>
      <c r="G20" s="612"/>
      <c r="H20" s="533"/>
      <c r="I20" s="533"/>
      <c r="J20" s="533"/>
      <c r="K20" s="533"/>
      <c r="L20" s="1293"/>
      <c r="M20" s="533"/>
      <c r="N20" s="533"/>
      <c r="O20" s="36"/>
      <c r="P20" s="36"/>
    </row>
    <row r="21" spans="1:26" ht="15">
      <c r="B21" s="2374" t="s">
        <v>117</v>
      </c>
      <c r="C21" s="2463"/>
      <c r="D21" s="2463"/>
      <c r="E21" s="2463"/>
      <c r="F21" s="2463"/>
      <c r="G21" s="2463"/>
      <c r="H21" s="2463"/>
      <c r="I21" s="2463"/>
      <c r="J21" s="2463"/>
      <c r="K21" s="2463"/>
      <c r="L21" s="2468"/>
      <c r="M21" s="1282"/>
      <c r="N21" s="1187"/>
      <c r="O21" s="36"/>
      <c r="P21" s="36"/>
      <c r="Q21" s="36"/>
      <c r="R21" s="35"/>
      <c r="S21" s="35"/>
      <c r="U21" s="35"/>
      <c r="V21" s="137"/>
      <c r="W21" s="35"/>
      <c r="X21" s="35"/>
      <c r="Y21" s="35"/>
    </row>
    <row r="22" spans="1:26" ht="15">
      <c r="A22" s="192"/>
      <c r="B22" s="965"/>
      <c r="C22" s="537"/>
      <c r="D22" s="36"/>
      <c r="E22" s="36"/>
      <c r="F22" s="36"/>
      <c r="G22" s="36"/>
      <c r="H22" s="658"/>
      <c r="I22" s="537"/>
      <c r="J22" s="537"/>
      <c r="K22" s="540"/>
      <c r="L22" s="1271"/>
      <c r="M22" s="67"/>
      <c r="N22" s="67"/>
      <c r="O22" s="36"/>
      <c r="P22" s="36"/>
      <c r="Q22" s="36"/>
      <c r="R22" s="56"/>
      <c r="S22" s="35"/>
      <c r="U22" s="35"/>
      <c r="V22" s="35"/>
      <c r="W22" s="35"/>
      <c r="X22" s="35"/>
      <c r="Y22" s="35"/>
    </row>
    <row r="23" spans="1:26" ht="15">
      <c r="A23" s="192"/>
      <c r="B23" s="138"/>
      <c r="C23" s="1775" t="str">
        <f>HYPERLINK("[.\]Set_up_IR!D8","To Set up costs template")</f>
        <v>To Set up costs template</v>
      </c>
      <c r="D23" s="537"/>
      <c r="E23" s="533"/>
      <c r="F23" s="537"/>
      <c r="G23" s="537"/>
      <c r="H23" s="36"/>
      <c r="I23" s="628"/>
      <c r="J23" s="537"/>
      <c r="K23" s="537"/>
      <c r="L23" s="1274"/>
      <c r="M23" s="533"/>
      <c r="N23" s="533"/>
      <c r="O23" s="36"/>
      <c r="P23" s="36"/>
      <c r="Q23" s="36"/>
      <c r="R23" s="36"/>
      <c r="S23" s="56"/>
      <c r="T23" s="35"/>
      <c r="U23" s="35"/>
      <c r="V23" s="35"/>
      <c r="W23" s="35"/>
      <c r="X23" s="35"/>
      <c r="Y23" s="35"/>
      <c r="Z23" s="35"/>
    </row>
    <row r="24" spans="1:26" ht="15">
      <c r="A24" s="192"/>
      <c r="B24" s="138"/>
      <c r="C24" s="537"/>
      <c r="D24" s="537"/>
      <c r="E24" s="533"/>
      <c r="F24" s="537"/>
      <c r="G24" s="537"/>
      <c r="H24" s="36"/>
      <c r="I24" s="628"/>
      <c r="J24" s="537"/>
      <c r="K24" s="537"/>
      <c r="L24" s="1274"/>
      <c r="M24" s="533"/>
      <c r="N24" s="533"/>
      <c r="O24" s="36"/>
      <c r="P24" s="36"/>
      <c r="Q24" s="36"/>
      <c r="R24" s="36"/>
      <c r="S24" s="537"/>
      <c r="T24" s="35"/>
      <c r="U24" s="35"/>
      <c r="V24" s="35"/>
      <c r="W24" s="35"/>
      <c r="X24" s="35"/>
      <c r="Y24" s="35"/>
      <c r="Z24" s="35"/>
    </row>
    <row r="25" spans="1:26" ht="15">
      <c r="A25" s="192"/>
      <c r="B25" s="138"/>
      <c r="C25" s="639" t="s">
        <v>63</v>
      </c>
      <c r="D25" s="533"/>
      <c r="E25" s="533"/>
      <c r="F25" s="537"/>
      <c r="G25" s="537"/>
      <c r="H25" s="36"/>
      <c r="I25" s="628"/>
      <c r="J25" s="537"/>
      <c r="K25" s="537"/>
      <c r="L25" s="1274"/>
      <c r="M25" s="533"/>
      <c r="N25" s="533"/>
      <c r="O25" s="36"/>
      <c r="P25" s="36"/>
      <c r="Q25" s="36"/>
      <c r="R25" s="36"/>
      <c r="S25" s="537"/>
      <c r="T25" s="35"/>
      <c r="U25" s="35"/>
      <c r="V25" s="35"/>
      <c r="W25" s="35"/>
      <c r="X25" s="35"/>
      <c r="Y25" s="35"/>
      <c r="Z25" s="35"/>
    </row>
    <row r="26" spans="1:26" ht="15">
      <c r="A26" s="192"/>
      <c r="B26" s="138"/>
      <c r="C26" s="1312" t="s">
        <v>762</v>
      </c>
      <c r="D26" s="1208">
        <f>Set_up_IR!D13</f>
        <v>31924</v>
      </c>
      <c r="E26" s="36"/>
      <c r="F26" s="655"/>
      <c r="I26" s="67"/>
      <c r="J26" s="537"/>
      <c r="K26" s="537"/>
      <c r="L26" s="1274"/>
      <c r="M26" s="533"/>
      <c r="N26" s="533"/>
      <c r="O26" s="36"/>
      <c r="P26" s="36"/>
      <c r="Q26" s="36"/>
      <c r="R26" s="36"/>
      <c r="S26" s="56"/>
      <c r="T26" s="35"/>
      <c r="U26" s="35"/>
      <c r="V26" s="35"/>
      <c r="W26" s="35"/>
      <c r="X26" s="35"/>
      <c r="Y26" s="35"/>
      <c r="Z26" s="35"/>
    </row>
    <row r="27" spans="1:26" ht="15">
      <c r="A27" s="192"/>
      <c r="B27" s="138"/>
      <c r="C27" s="730"/>
      <c r="D27" s="64"/>
      <c r="E27" s="36"/>
      <c r="F27" s="537"/>
      <c r="I27" s="540"/>
      <c r="J27" s="540"/>
      <c r="K27" s="540"/>
      <c r="L27" s="1275"/>
      <c r="M27" s="540"/>
      <c r="N27" s="533"/>
      <c r="O27" s="36"/>
      <c r="P27" s="36"/>
      <c r="Q27" s="36"/>
      <c r="R27" s="56"/>
      <c r="S27" s="35"/>
      <c r="T27" s="35"/>
      <c r="U27" s="35"/>
      <c r="V27" s="35"/>
      <c r="W27" s="35"/>
      <c r="X27" s="35"/>
      <c r="Y27" s="35"/>
    </row>
    <row r="28" spans="1:26" ht="15">
      <c r="A28" s="192"/>
      <c r="B28" s="138"/>
      <c r="C28" s="711" t="s">
        <v>73</v>
      </c>
      <c r="D28" s="1208">
        <f>Set_up_IR!D19</f>
        <v>3984.8</v>
      </c>
      <c r="E28" s="36"/>
      <c r="F28" s="655"/>
      <c r="I28" s="540"/>
      <c r="J28" s="540"/>
      <c r="K28" s="540"/>
      <c r="L28" s="1275"/>
      <c r="M28" s="540"/>
      <c r="N28" s="533"/>
      <c r="O28" s="36"/>
      <c r="P28" s="36"/>
      <c r="Q28" s="36"/>
      <c r="R28" s="56"/>
      <c r="S28" s="35"/>
      <c r="T28" s="35"/>
      <c r="U28" s="35"/>
      <c r="V28" s="35"/>
      <c r="W28" s="35"/>
      <c r="X28" s="35"/>
      <c r="Y28" s="35"/>
    </row>
    <row r="29" spans="1:26" ht="15">
      <c r="A29" s="192"/>
      <c r="B29" s="138"/>
      <c r="C29" s="537"/>
      <c r="D29" s="731"/>
      <c r="E29" s="731"/>
      <c r="F29" s="36"/>
      <c r="G29" s="36"/>
      <c r="H29" s="658"/>
      <c r="I29" s="540"/>
      <c r="J29" s="540"/>
      <c r="K29" s="540"/>
      <c r="L29" s="1275"/>
      <c r="M29" s="540"/>
      <c r="N29" s="533"/>
      <c r="O29" s="36"/>
      <c r="P29" s="36"/>
      <c r="Q29" s="36"/>
      <c r="R29" s="56"/>
      <c r="S29" s="35"/>
      <c r="T29" s="35"/>
      <c r="U29" s="35"/>
      <c r="V29" s="35"/>
      <c r="W29" s="35"/>
      <c r="X29" s="35"/>
      <c r="Y29" s="35"/>
    </row>
    <row r="30" spans="1:26" ht="15">
      <c r="A30" s="192"/>
      <c r="B30" s="138"/>
      <c r="C30" s="537"/>
      <c r="D30" s="731"/>
      <c r="E30" s="731"/>
      <c r="F30" s="36"/>
      <c r="G30" s="36"/>
      <c r="H30" s="658"/>
      <c r="I30" s="540"/>
      <c r="J30" s="540"/>
      <c r="K30" s="540"/>
      <c r="L30" s="1275"/>
      <c r="M30" s="540"/>
      <c r="N30" s="533"/>
      <c r="O30" s="36"/>
      <c r="P30" s="36"/>
      <c r="Q30" s="36"/>
      <c r="R30" s="56"/>
      <c r="S30" s="35"/>
      <c r="T30" s="35"/>
      <c r="U30" s="35"/>
      <c r="V30" s="35"/>
      <c r="W30" s="35"/>
      <c r="X30" s="35"/>
      <c r="Y30" s="35"/>
    </row>
    <row r="31" spans="1:26">
      <c r="A31" s="192"/>
      <c r="B31" s="169"/>
      <c r="C31" s="59"/>
      <c r="D31" s="59"/>
      <c r="E31" s="58"/>
      <c r="F31" s="58"/>
      <c r="G31" s="58"/>
      <c r="H31" s="59"/>
      <c r="I31" s="59"/>
      <c r="J31" s="59"/>
      <c r="K31" s="59"/>
      <c r="L31" s="1294"/>
      <c r="M31" s="62"/>
      <c r="N31" s="62"/>
      <c r="O31" s="36"/>
      <c r="P31" s="36"/>
      <c r="Q31" s="35"/>
      <c r="R31" s="35"/>
      <c r="S31" s="35"/>
      <c r="T31" s="35"/>
      <c r="U31" s="35"/>
      <c r="V31" s="35"/>
      <c r="W31" s="35"/>
      <c r="X31" s="35"/>
      <c r="Y31" s="35"/>
    </row>
    <row r="32" spans="1:26" ht="15">
      <c r="B32" s="2374" t="s">
        <v>102</v>
      </c>
      <c r="C32" s="2463"/>
      <c r="D32" s="2463"/>
      <c r="E32" s="2463"/>
      <c r="F32" s="2463"/>
      <c r="G32" s="2463"/>
      <c r="H32" s="2463"/>
      <c r="I32" s="2463"/>
      <c r="J32" s="2463"/>
      <c r="K32" s="2463"/>
      <c r="L32" s="2468"/>
      <c r="M32" s="1282"/>
      <c r="N32" s="1187"/>
      <c r="O32" s="36"/>
      <c r="P32" s="36"/>
      <c r="Q32" s="36"/>
      <c r="R32" s="35"/>
      <c r="S32" s="35"/>
      <c r="U32" s="35"/>
      <c r="V32" s="137"/>
      <c r="W32" s="35"/>
      <c r="X32" s="35"/>
      <c r="Y32" s="35"/>
    </row>
    <row r="33" spans="1:26" ht="15">
      <c r="A33" s="192"/>
      <c r="B33" s="965"/>
      <c r="C33" s="349"/>
      <c r="D33" s="349"/>
      <c r="E33" s="349"/>
      <c r="F33" s="62"/>
      <c r="G33" s="62"/>
      <c r="H33" s="170"/>
      <c r="I33" s="62"/>
      <c r="J33" s="170"/>
      <c r="K33" s="170"/>
      <c r="L33" s="1277"/>
      <c r="M33" s="732"/>
      <c r="N33" s="1183"/>
      <c r="O33" s="62"/>
      <c r="P33" s="36"/>
      <c r="Q33" s="35"/>
      <c r="R33" s="35"/>
      <c r="S33" s="35"/>
      <c r="T33" s="35"/>
      <c r="U33" s="35"/>
      <c r="V33" s="35"/>
      <c r="W33" s="35"/>
      <c r="X33" s="35"/>
      <c r="Y33" s="35"/>
      <c r="Z33" s="35"/>
    </row>
    <row r="34" spans="1:26" s="70" customFormat="1" ht="30" customHeight="1">
      <c r="A34" s="1287"/>
      <c r="B34" s="1287"/>
      <c r="C34" s="2481" t="s">
        <v>758</v>
      </c>
      <c r="D34" s="2481"/>
      <c r="E34" s="2481"/>
      <c r="F34" s="563" t="s">
        <v>950</v>
      </c>
      <c r="G34" s="69"/>
      <c r="H34" s="69"/>
      <c r="I34" s="69"/>
      <c r="J34" s="69"/>
      <c r="K34" s="69"/>
      <c r="L34" s="1278"/>
      <c r="M34" s="69"/>
      <c r="N34" s="69"/>
      <c r="O34" s="69"/>
      <c r="P34" s="69"/>
    </row>
    <row r="35" spans="1:26" ht="15">
      <c r="A35" s="192"/>
      <c r="B35" s="138"/>
      <c r="C35" s="2478" t="s">
        <v>1263</v>
      </c>
      <c r="D35" s="2479"/>
      <c r="E35" s="2480"/>
      <c r="F35" s="487">
        <v>3000</v>
      </c>
      <c r="G35" s="656"/>
      <c r="H35" s="733"/>
      <c r="I35" s="170"/>
      <c r="J35" s="170"/>
      <c r="K35" s="540"/>
      <c r="L35" s="1274"/>
      <c r="M35" s="540"/>
      <c r="N35" s="1184"/>
      <c r="O35" s="62"/>
      <c r="P35" s="36"/>
      <c r="Q35" s="35"/>
      <c r="R35" s="35"/>
      <c r="S35" s="35"/>
      <c r="T35" s="35"/>
      <c r="U35" s="35"/>
      <c r="V35" s="35"/>
      <c r="W35" s="35"/>
      <c r="X35" s="35"/>
      <c r="Y35" s="35"/>
      <c r="Z35" s="35"/>
    </row>
    <row r="36" spans="1:26" ht="15">
      <c r="A36" s="192"/>
      <c r="B36" s="191"/>
      <c r="C36" s="730"/>
      <c r="D36" s="537"/>
      <c r="E36" s="537"/>
      <c r="F36" s="67"/>
      <c r="G36" s="537"/>
      <c r="H36" s="67"/>
      <c r="I36" s="67"/>
      <c r="J36" s="67"/>
      <c r="K36" s="170"/>
      <c r="L36" s="1295"/>
      <c r="M36" s="170"/>
      <c r="N36" s="62"/>
      <c r="O36" s="36"/>
      <c r="P36" s="36"/>
      <c r="Q36" s="35"/>
      <c r="R36" s="35"/>
      <c r="S36" s="35"/>
      <c r="T36" s="35"/>
      <c r="U36" s="35"/>
      <c r="V36" s="35"/>
      <c r="W36" s="35"/>
      <c r="X36" s="35"/>
    </row>
    <row r="37" spans="1:26" ht="15">
      <c r="A37" s="192"/>
      <c r="B37" s="191"/>
      <c r="C37" s="730"/>
      <c r="D37" s="537"/>
      <c r="E37" s="537"/>
      <c r="F37" s="67"/>
      <c r="G37" s="537"/>
      <c r="H37" s="67"/>
      <c r="I37" s="67"/>
      <c r="J37" s="67"/>
      <c r="K37" s="67"/>
      <c r="L37" s="1275"/>
      <c r="M37" s="170"/>
      <c r="N37" s="62"/>
      <c r="O37" s="36"/>
      <c r="P37" s="36"/>
      <c r="Q37" s="35"/>
      <c r="R37" s="35"/>
      <c r="S37" s="35"/>
      <c r="T37" s="35"/>
      <c r="U37" s="35"/>
      <c r="V37" s="35"/>
      <c r="W37" s="35"/>
      <c r="X37" s="35"/>
    </row>
    <row r="38" spans="1:26" s="70" customFormat="1" ht="60">
      <c r="A38" s="1287"/>
      <c r="B38" s="1288"/>
      <c r="C38" s="2357" t="s">
        <v>756</v>
      </c>
      <c r="D38" s="2482"/>
      <c r="E38" s="2483"/>
      <c r="F38" s="563" t="s">
        <v>941</v>
      </c>
      <c r="G38" s="37"/>
      <c r="H38" s="69"/>
      <c r="I38" s="69"/>
      <c r="J38" s="1181" t="s">
        <v>1001</v>
      </c>
      <c r="K38" s="563" t="s">
        <v>121</v>
      </c>
      <c r="L38" s="1134" t="s">
        <v>148</v>
      </c>
      <c r="M38" s="69"/>
      <c r="N38" s="69"/>
      <c r="O38" s="390"/>
      <c r="P38" s="72"/>
      <c r="Q38" s="68"/>
      <c r="R38" s="68"/>
      <c r="S38" s="68"/>
      <c r="T38" s="68"/>
      <c r="U38" s="35"/>
      <c r="V38" s="68"/>
      <c r="W38" s="68"/>
      <c r="X38" s="68"/>
    </row>
    <row r="39" spans="1:26" ht="15">
      <c r="A39" s="192"/>
      <c r="B39" s="138"/>
      <c r="C39" s="2472" t="s">
        <v>69</v>
      </c>
      <c r="D39" s="2473"/>
      <c r="E39" s="2474"/>
      <c r="F39" s="736">
        <v>0.1</v>
      </c>
      <c r="G39" s="170"/>
      <c r="H39" s="67"/>
      <c r="I39" s="67"/>
      <c r="J39" s="737" t="str">
        <f t="shared" ref="J39:J54" si="0">C39</f>
        <v>Emergency bed days</v>
      </c>
      <c r="K39" s="363">
        <f t="shared" ref="K39:K54" si="1">F39*F$35</f>
        <v>300</v>
      </c>
      <c r="L39" s="1310">
        <f t="shared" ref="L39:L54" si="2">SIGN(K39)*INT(ABS(K39)/E77)*E77</f>
        <v>0</v>
      </c>
      <c r="M39" s="67"/>
      <c r="N39" s="67"/>
      <c r="O39" s="36"/>
      <c r="P39" s="36"/>
      <c r="Q39" s="35"/>
      <c r="R39" s="35"/>
      <c r="S39" s="35"/>
      <c r="T39" s="35"/>
      <c r="U39" s="35"/>
      <c r="V39" s="35"/>
      <c r="W39" s="35"/>
      <c r="X39" s="35"/>
      <c r="Y39" s="35"/>
    </row>
    <row r="40" spans="1:26" ht="15">
      <c r="A40" s="192"/>
      <c r="B40" s="138"/>
      <c r="C40" s="2472" t="s">
        <v>43</v>
      </c>
      <c r="D40" s="2473"/>
      <c r="E40" s="2474"/>
      <c r="F40" s="736">
        <v>0.02</v>
      </c>
      <c r="G40" s="170"/>
      <c r="H40" s="67"/>
      <c r="I40" s="67"/>
      <c r="J40" s="737" t="str">
        <f t="shared" si="0"/>
        <v>ED attends</v>
      </c>
      <c r="K40" s="363">
        <f t="shared" si="1"/>
        <v>60</v>
      </c>
      <c r="L40" s="1310">
        <f t="shared" si="2"/>
        <v>0</v>
      </c>
      <c r="M40" s="67"/>
      <c r="N40" s="67"/>
      <c r="O40" s="36"/>
      <c r="P40" s="36"/>
      <c r="Q40" s="35"/>
      <c r="R40" s="35"/>
      <c r="S40" s="35"/>
      <c r="T40" s="35"/>
      <c r="U40" s="35"/>
      <c r="V40" s="35"/>
      <c r="W40" s="35"/>
      <c r="X40" s="35"/>
      <c r="Y40" s="35"/>
    </row>
    <row r="41" spans="1:26" ht="15">
      <c r="A41" s="192"/>
      <c r="B41" s="138"/>
      <c r="C41" s="2472" t="s">
        <v>49</v>
      </c>
      <c r="D41" s="2473"/>
      <c r="E41" s="2474"/>
      <c r="F41" s="736">
        <v>0.03</v>
      </c>
      <c r="G41" s="170"/>
      <c r="H41" s="67"/>
      <c r="I41" s="67"/>
      <c r="J41" s="737" t="str">
        <f t="shared" si="0"/>
        <v>ED Minor attends</v>
      </c>
      <c r="K41" s="363">
        <f t="shared" si="1"/>
        <v>90</v>
      </c>
      <c r="L41" s="1310">
        <f t="shared" si="2"/>
        <v>0</v>
      </c>
      <c r="M41" s="67"/>
      <c r="N41" s="67"/>
      <c r="O41" s="36"/>
      <c r="P41" s="36"/>
      <c r="Q41" s="35"/>
      <c r="R41" s="35"/>
      <c r="S41" s="35"/>
      <c r="T41" s="35"/>
      <c r="U41" s="35"/>
      <c r="V41" s="35"/>
      <c r="W41" s="35"/>
      <c r="X41" s="35"/>
      <c r="Y41" s="35"/>
    </row>
    <row r="42" spans="1:26" ht="15">
      <c r="A42" s="192"/>
      <c r="B42" s="138"/>
      <c r="C42" s="2472" t="s">
        <v>67</v>
      </c>
      <c r="D42" s="2473"/>
      <c r="E42" s="2474"/>
      <c r="F42" s="736">
        <v>-0.05</v>
      </c>
      <c r="G42" s="170"/>
      <c r="H42" s="67"/>
      <c r="I42" s="67"/>
      <c r="J42" s="737" t="str">
        <f t="shared" si="0"/>
        <v>UCC attends</v>
      </c>
      <c r="K42" s="363">
        <f t="shared" si="1"/>
        <v>-150</v>
      </c>
      <c r="L42" s="1310">
        <f t="shared" si="2"/>
        <v>0</v>
      </c>
      <c r="M42" s="67"/>
      <c r="N42" s="67"/>
      <c r="O42" s="36"/>
      <c r="P42" s="36"/>
      <c r="Q42" s="35"/>
      <c r="R42" s="35"/>
      <c r="S42" s="35"/>
      <c r="T42" s="35"/>
      <c r="U42" s="35"/>
      <c r="V42" s="35"/>
      <c r="W42" s="35"/>
      <c r="X42" s="35"/>
      <c r="Y42" s="35"/>
    </row>
    <row r="43" spans="1:26" ht="15">
      <c r="A43" s="192"/>
      <c r="B43" s="138"/>
      <c r="C43" s="2472" t="s">
        <v>44</v>
      </c>
      <c r="D43" s="2473"/>
      <c r="E43" s="2474"/>
      <c r="F43" s="736">
        <v>0</v>
      </c>
      <c r="G43" s="170"/>
      <c r="H43" s="67"/>
      <c r="I43" s="67"/>
      <c r="J43" s="737" t="str">
        <f t="shared" si="0"/>
        <v>OOH clinic visits</v>
      </c>
      <c r="K43" s="363">
        <f t="shared" si="1"/>
        <v>0</v>
      </c>
      <c r="L43" s="1310">
        <f t="shared" si="2"/>
        <v>0</v>
      </c>
      <c r="M43" s="67"/>
      <c r="N43" s="67"/>
      <c r="O43" s="36"/>
      <c r="P43" s="36"/>
      <c r="Q43" s="35"/>
      <c r="R43" s="35"/>
      <c r="S43" s="35"/>
      <c r="T43" s="35"/>
      <c r="U43" s="35"/>
      <c r="V43" s="35"/>
      <c r="W43" s="35"/>
      <c r="X43" s="35"/>
      <c r="Y43" s="35"/>
    </row>
    <row r="44" spans="1:26" ht="15">
      <c r="A44" s="192"/>
      <c r="B44" s="138"/>
      <c r="C44" s="2472" t="s">
        <v>45</v>
      </c>
      <c r="D44" s="2473"/>
      <c r="E44" s="2474"/>
      <c r="F44" s="736">
        <v>0.02</v>
      </c>
      <c r="G44" s="170"/>
      <c r="H44" s="67"/>
      <c r="I44" s="67"/>
      <c r="J44" s="737" t="str">
        <f t="shared" si="0"/>
        <v>OOH home visits</v>
      </c>
      <c r="K44" s="363">
        <f t="shared" si="1"/>
        <v>60</v>
      </c>
      <c r="L44" s="1310">
        <f t="shared" si="2"/>
        <v>0</v>
      </c>
      <c r="M44" s="67"/>
      <c r="N44" s="67"/>
      <c r="O44" s="36"/>
      <c r="P44" s="36"/>
      <c r="Q44" s="35"/>
      <c r="R44" s="35"/>
      <c r="S44" s="35"/>
      <c r="T44" s="35"/>
      <c r="U44" s="35"/>
      <c r="V44" s="35"/>
      <c r="W44" s="35"/>
      <c r="X44" s="35"/>
      <c r="Y44" s="35"/>
    </row>
    <row r="45" spans="1:26" ht="15">
      <c r="A45" s="192"/>
      <c r="B45" s="138"/>
      <c r="C45" s="2472" t="s">
        <v>50</v>
      </c>
      <c r="D45" s="2473"/>
      <c r="E45" s="2474"/>
      <c r="F45" s="736">
        <v>0</v>
      </c>
      <c r="G45" s="170"/>
      <c r="H45" s="67"/>
      <c r="I45" s="67"/>
      <c r="J45" s="737" t="str">
        <f t="shared" si="0"/>
        <v>111 calls (call handler)</v>
      </c>
      <c r="K45" s="363">
        <f t="shared" si="1"/>
        <v>0</v>
      </c>
      <c r="L45" s="1310">
        <f t="shared" si="2"/>
        <v>0</v>
      </c>
      <c r="M45" s="67"/>
      <c r="N45" s="67"/>
      <c r="O45" s="36"/>
      <c r="P45" s="36"/>
      <c r="Q45" s="35"/>
      <c r="R45" s="35"/>
      <c r="S45" s="35"/>
      <c r="T45" s="35"/>
      <c r="U45" s="35"/>
      <c r="V45" s="35"/>
      <c r="W45" s="35"/>
      <c r="X45" s="35"/>
      <c r="Y45" s="35"/>
    </row>
    <row r="46" spans="1:26" ht="15">
      <c r="A46" s="192"/>
      <c r="B46" s="138"/>
      <c r="C46" s="2472" t="s">
        <v>51</v>
      </c>
      <c r="D46" s="2473"/>
      <c r="E46" s="2474"/>
      <c r="F46" s="736">
        <v>0</v>
      </c>
      <c r="G46" s="170"/>
      <c r="H46" s="67"/>
      <c r="I46" s="67"/>
      <c r="J46" s="737" t="str">
        <f t="shared" si="0"/>
        <v>111 calls (clinical advisor)</v>
      </c>
      <c r="K46" s="363">
        <f t="shared" si="1"/>
        <v>0</v>
      </c>
      <c r="L46" s="1310">
        <f t="shared" si="2"/>
        <v>0</v>
      </c>
      <c r="M46" s="67"/>
      <c r="N46" s="67"/>
      <c r="O46" s="36"/>
      <c r="P46" s="36"/>
      <c r="Q46" s="35"/>
      <c r="R46" s="35"/>
      <c r="S46" s="35"/>
      <c r="T46" s="35"/>
      <c r="U46" s="35"/>
      <c r="V46" s="35"/>
      <c r="W46" s="35"/>
      <c r="X46" s="35"/>
      <c r="Y46" s="35"/>
    </row>
    <row r="47" spans="1:26" ht="15">
      <c r="A47" s="192"/>
      <c r="B47" s="138"/>
      <c r="C47" s="2472" t="s">
        <v>41</v>
      </c>
      <c r="D47" s="2473"/>
      <c r="E47" s="2474"/>
      <c r="F47" s="736">
        <v>0</v>
      </c>
      <c r="G47" s="170"/>
      <c r="H47" s="67"/>
      <c r="I47" s="67"/>
      <c r="J47" s="737" t="str">
        <f t="shared" si="0"/>
        <v>Community pharmacy attends</v>
      </c>
      <c r="K47" s="363">
        <f t="shared" si="1"/>
        <v>0</v>
      </c>
      <c r="L47" s="1310">
        <f t="shared" si="2"/>
        <v>0</v>
      </c>
      <c r="M47" s="67"/>
      <c r="N47" s="67"/>
      <c r="O47" s="36"/>
      <c r="P47" s="36"/>
      <c r="Q47" s="35"/>
      <c r="R47" s="35"/>
      <c r="S47" s="35"/>
      <c r="T47" s="35"/>
      <c r="U47" s="35"/>
      <c r="V47" s="35"/>
      <c r="W47" s="35"/>
      <c r="X47" s="35"/>
      <c r="Y47" s="35"/>
    </row>
    <row r="48" spans="1:26" ht="15">
      <c r="A48" s="192"/>
      <c r="B48" s="138"/>
      <c r="C48" s="2472" t="s">
        <v>77</v>
      </c>
      <c r="D48" s="2473"/>
      <c r="E48" s="2474"/>
      <c r="F48" s="736">
        <v>0.01</v>
      </c>
      <c r="G48" s="170"/>
      <c r="H48" s="67"/>
      <c r="I48" s="67"/>
      <c r="J48" s="737" t="str">
        <f t="shared" si="0"/>
        <v>Ambulance - see and treat</v>
      </c>
      <c r="K48" s="363">
        <f t="shared" si="1"/>
        <v>30</v>
      </c>
      <c r="L48" s="1310">
        <f t="shared" si="2"/>
        <v>0</v>
      </c>
      <c r="M48" s="67"/>
      <c r="N48" s="67"/>
      <c r="O48" s="36"/>
      <c r="P48" s="36"/>
      <c r="Q48" s="35"/>
      <c r="R48" s="35"/>
      <c r="S48" s="35"/>
      <c r="T48" s="35"/>
      <c r="U48" s="35"/>
      <c r="V48" s="35"/>
      <c r="W48" s="35"/>
      <c r="X48" s="35"/>
      <c r="Y48" s="35"/>
    </row>
    <row r="49" spans="1:26" ht="15">
      <c r="A49" s="192"/>
      <c r="B49" s="138"/>
      <c r="C49" s="2472" t="s">
        <v>46</v>
      </c>
      <c r="D49" s="2473"/>
      <c r="E49" s="2474"/>
      <c r="F49" s="736">
        <v>0.04</v>
      </c>
      <c r="G49" s="170"/>
      <c r="H49" s="67"/>
      <c r="I49" s="67"/>
      <c r="J49" s="737" t="str">
        <f t="shared" si="0"/>
        <v>Ambulance - see and convey to ED</v>
      </c>
      <c r="K49" s="363">
        <f t="shared" si="1"/>
        <v>120</v>
      </c>
      <c r="L49" s="1310">
        <f t="shared" si="2"/>
        <v>0</v>
      </c>
      <c r="M49" s="67"/>
      <c r="N49" s="67"/>
      <c r="O49" s="36"/>
      <c r="P49" s="36"/>
      <c r="Q49" s="35"/>
      <c r="R49" s="35"/>
      <c r="S49" s="35"/>
      <c r="T49" s="35"/>
      <c r="U49" s="35"/>
      <c r="V49" s="35"/>
      <c r="W49" s="35"/>
      <c r="X49" s="35"/>
      <c r="Y49" s="35"/>
    </row>
    <row r="50" spans="1:26" ht="15">
      <c r="A50" s="192"/>
      <c r="B50" s="138"/>
      <c r="C50" s="2472" t="s">
        <v>30</v>
      </c>
      <c r="D50" s="2473"/>
      <c r="E50" s="2474"/>
      <c r="F50" s="736">
        <v>-0.1</v>
      </c>
      <c r="G50" s="170"/>
      <c r="H50" s="67"/>
      <c r="I50" s="67"/>
      <c r="J50" s="737" t="str">
        <f t="shared" si="0"/>
        <v>Community contacts</v>
      </c>
      <c r="K50" s="363">
        <f t="shared" si="1"/>
        <v>-300</v>
      </c>
      <c r="L50" s="1310">
        <f t="shared" si="2"/>
        <v>0</v>
      </c>
      <c r="M50" s="67"/>
      <c r="N50" s="67"/>
      <c r="O50" s="36"/>
      <c r="P50" s="36"/>
      <c r="Q50" s="35"/>
      <c r="R50" s="35"/>
      <c r="S50" s="35"/>
      <c r="T50" s="35"/>
      <c r="U50" s="35"/>
      <c r="V50" s="35"/>
      <c r="W50" s="35"/>
      <c r="X50" s="35"/>
      <c r="Y50" s="35"/>
    </row>
    <row r="51" spans="1:26" ht="15">
      <c r="A51" s="192"/>
      <c r="B51" s="138"/>
      <c r="C51" s="2472" t="s">
        <v>48</v>
      </c>
      <c r="D51" s="2473"/>
      <c r="E51" s="2474"/>
      <c r="F51" s="736">
        <v>0</v>
      </c>
      <c r="G51" s="170"/>
      <c r="H51" s="67"/>
      <c r="I51" s="67"/>
      <c r="J51" s="737" t="str">
        <f t="shared" si="0"/>
        <v>Intermediate care bed days</v>
      </c>
      <c r="K51" s="363">
        <f t="shared" si="1"/>
        <v>0</v>
      </c>
      <c r="L51" s="1310">
        <f t="shared" si="2"/>
        <v>0</v>
      </c>
      <c r="M51" s="67"/>
      <c r="N51" s="67"/>
      <c r="O51" s="36"/>
      <c r="P51" s="36"/>
      <c r="Q51" s="35"/>
      <c r="R51" s="35"/>
      <c r="S51" s="35"/>
      <c r="T51" s="35"/>
      <c r="U51" s="35"/>
      <c r="V51" s="35"/>
      <c r="W51" s="35"/>
      <c r="X51" s="35"/>
      <c r="Y51" s="35"/>
    </row>
    <row r="52" spans="1:26" ht="15">
      <c r="A52" s="192"/>
      <c r="B52" s="138"/>
      <c r="C52" s="2472" t="s">
        <v>225</v>
      </c>
      <c r="D52" s="2473"/>
      <c r="E52" s="2474"/>
      <c r="F52" s="736">
        <v>0</v>
      </c>
      <c r="G52" s="170"/>
      <c r="H52" s="67"/>
      <c r="I52" s="67"/>
      <c r="J52" s="737" t="str">
        <f t="shared" si="0"/>
        <v>Social services domiciliary care</v>
      </c>
      <c r="K52" s="363">
        <f t="shared" si="1"/>
        <v>0</v>
      </c>
      <c r="L52" s="1310">
        <f t="shared" si="2"/>
        <v>0</v>
      </c>
      <c r="M52" s="67"/>
      <c r="N52" s="67"/>
      <c r="O52" s="36"/>
      <c r="P52" s="36"/>
      <c r="Q52" s="35"/>
      <c r="R52" s="35"/>
      <c r="S52" s="35"/>
      <c r="T52" s="35"/>
      <c r="U52" s="35"/>
      <c r="V52" s="35"/>
      <c r="W52" s="35"/>
      <c r="X52" s="35"/>
      <c r="Y52" s="35"/>
    </row>
    <row r="53" spans="1:26" ht="15">
      <c r="A53" s="192"/>
      <c r="B53" s="138"/>
      <c r="C53" s="2475" t="s">
        <v>32</v>
      </c>
      <c r="D53" s="2476"/>
      <c r="E53" s="2477"/>
      <c r="F53" s="736">
        <v>0</v>
      </c>
      <c r="G53" s="170"/>
      <c r="H53" s="67"/>
      <c r="I53" s="67"/>
      <c r="J53" s="737" t="str">
        <f t="shared" si="0"/>
        <v>GP attends</v>
      </c>
      <c r="K53" s="363">
        <f t="shared" si="1"/>
        <v>0</v>
      </c>
      <c r="L53" s="1310">
        <f t="shared" si="2"/>
        <v>0</v>
      </c>
      <c r="M53" s="67"/>
      <c r="N53" s="67"/>
      <c r="O53" s="36"/>
      <c r="P53" s="36"/>
      <c r="Q53" s="35"/>
      <c r="R53" s="35"/>
      <c r="S53" s="35"/>
      <c r="T53" s="35"/>
      <c r="U53" s="35"/>
      <c r="V53" s="35"/>
      <c r="W53" s="35"/>
      <c r="X53" s="35"/>
      <c r="Y53" s="35"/>
    </row>
    <row r="54" spans="1:26" ht="15">
      <c r="A54" s="192"/>
      <c r="B54" s="138"/>
      <c r="C54" s="2475" t="s">
        <v>34</v>
      </c>
      <c r="D54" s="2476"/>
      <c r="E54" s="2477"/>
      <c r="F54" s="736">
        <v>-0.04</v>
      </c>
      <c r="G54" s="62"/>
      <c r="H54" s="67"/>
      <c r="I54" s="67"/>
      <c r="J54" s="737" t="str">
        <f t="shared" si="0"/>
        <v>GP visits</v>
      </c>
      <c r="K54" s="363">
        <f t="shared" si="1"/>
        <v>-120</v>
      </c>
      <c r="L54" s="1310">
        <f t="shared" si="2"/>
        <v>-120</v>
      </c>
      <c r="M54" s="732"/>
      <c r="N54" s="67"/>
      <c r="O54" s="62"/>
      <c r="P54" s="36"/>
      <c r="Q54" s="35"/>
      <c r="R54" s="35"/>
      <c r="S54" s="35"/>
      <c r="T54" s="35"/>
      <c r="U54" s="35"/>
      <c r="V54" s="35"/>
      <c r="W54" s="35"/>
      <c r="X54" s="35"/>
      <c r="Y54" s="35"/>
      <c r="Z54" s="35"/>
    </row>
    <row r="55" spans="1:26" ht="15">
      <c r="A55" s="192"/>
      <c r="B55" s="138"/>
      <c r="C55" s="67"/>
      <c r="D55" s="628"/>
      <c r="E55" s="628"/>
      <c r="F55" s="67"/>
      <c r="G55" s="62"/>
      <c r="H55" s="67"/>
      <c r="I55" s="67"/>
      <c r="J55" s="356"/>
      <c r="K55" s="170"/>
      <c r="L55" s="1296"/>
      <c r="M55" s="732"/>
      <c r="N55" s="67"/>
      <c r="O55" s="62"/>
      <c r="P55" s="36"/>
      <c r="Q55" s="35"/>
      <c r="R55" s="35"/>
      <c r="S55" s="35"/>
      <c r="T55" s="35"/>
      <c r="U55" s="35"/>
      <c r="V55" s="35"/>
      <c r="W55" s="35"/>
      <c r="X55" s="35"/>
      <c r="Y55" s="35"/>
      <c r="Z55" s="35"/>
    </row>
    <row r="56" spans="1:26" ht="30">
      <c r="A56" s="192"/>
      <c r="B56" s="138"/>
      <c r="C56" s="67"/>
      <c r="D56" s="67"/>
      <c r="E56" s="67"/>
      <c r="F56" s="67"/>
      <c r="G56" s="67"/>
      <c r="H56" s="67"/>
      <c r="I56" s="67"/>
      <c r="J56" s="1181" t="s">
        <v>1032</v>
      </c>
      <c r="K56" s="691" t="s">
        <v>661</v>
      </c>
      <c r="L56" s="1173" t="s">
        <v>120</v>
      </c>
      <c r="M56" s="73"/>
      <c r="N56" s="67"/>
      <c r="O56" s="36"/>
      <c r="P56" s="36"/>
      <c r="Q56" s="35"/>
      <c r="R56" s="35"/>
      <c r="S56" s="35"/>
      <c r="T56" s="35"/>
      <c r="U56" s="35"/>
      <c r="V56" s="35"/>
      <c r="W56" s="35"/>
      <c r="X56" s="35"/>
    </row>
    <row r="57" spans="1:26" ht="15">
      <c r="A57" s="192"/>
      <c r="B57" s="138"/>
      <c r="C57" s="67"/>
      <c r="D57" s="67"/>
      <c r="E57" s="67"/>
      <c r="F57" s="67"/>
      <c r="G57" s="67"/>
      <c r="H57" s="67"/>
      <c r="I57" s="67"/>
      <c r="J57" s="963" t="str">
        <f t="shared" ref="J57:J72" si="3">C39</f>
        <v>Emergency bed days</v>
      </c>
      <c r="K57" s="1133">
        <f t="shared" ref="K57:K72" si="4">K39*D77</f>
        <v>141466.44815152395</v>
      </c>
      <c r="L57" s="1135">
        <f t="shared" ref="L57:L72" si="5">(K39-L39)*F77+(L39*G77)</f>
        <v>22916.342158228599</v>
      </c>
      <c r="M57" s="67"/>
      <c r="N57" s="67"/>
      <c r="O57" s="36"/>
      <c r="P57" s="36"/>
      <c r="Q57" s="35"/>
      <c r="R57" s="35"/>
      <c r="S57" s="35"/>
      <c r="T57" s="35"/>
      <c r="U57" s="35"/>
      <c r="V57" s="35"/>
      <c r="W57" s="35"/>
      <c r="X57" s="35"/>
    </row>
    <row r="58" spans="1:26" ht="15">
      <c r="A58" s="192"/>
      <c r="B58" s="138"/>
      <c r="C58" s="67"/>
      <c r="D58" s="67"/>
      <c r="E58" s="67"/>
      <c r="F58" s="67"/>
      <c r="G58" s="67"/>
      <c r="H58" s="67"/>
      <c r="I58" s="67"/>
      <c r="J58" s="623" t="str">
        <f t="shared" si="3"/>
        <v>ED attends</v>
      </c>
      <c r="K58" s="1133">
        <f t="shared" si="4"/>
        <v>9251.6960344422005</v>
      </c>
      <c r="L58" s="1135">
        <f t="shared" si="5"/>
        <v>780.67507910231859</v>
      </c>
      <c r="M58" s="67"/>
      <c r="N58" s="67"/>
      <c r="O58" s="36"/>
      <c r="P58" s="36"/>
      <c r="Q58" s="35"/>
      <c r="R58" s="35"/>
      <c r="S58" s="35"/>
      <c r="T58" s="35"/>
      <c r="U58" s="35"/>
      <c r="V58" s="35"/>
      <c r="W58" s="35"/>
      <c r="X58" s="35"/>
    </row>
    <row r="59" spans="1:26" ht="15">
      <c r="A59" s="192"/>
      <c r="B59" s="138"/>
      <c r="C59" s="67"/>
      <c r="D59" s="67"/>
      <c r="E59" s="67"/>
      <c r="F59" s="67"/>
      <c r="G59" s="67"/>
      <c r="H59" s="67"/>
      <c r="I59" s="67"/>
      <c r="J59" s="623" t="str">
        <f t="shared" si="3"/>
        <v>ED Minor attends</v>
      </c>
      <c r="K59" s="1133">
        <f t="shared" si="4"/>
        <v>8057.9790761446484</v>
      </c>
      <c r="L59" s="1135">
        <f t="shared" si="5"/>
        <v>981.84904179406999</v>
      </c>
      <c r="M59" s="67"/>
      <c r="N59" s="67"/>
      <c r="O59" s="36"/>
      <c r="P59" s="36"/>
      <c r="Q59" s="35"/>
      <c r="R59" s="35"/>
      <c r="S59" s="35"/>
      <c r="T59" s="35"/>
      <c r="U59" s="35"/>
      <c r="V59" s="35"/>
      <c r="W59" s="35"/>
      <c r="X59" s="35"/>
    </row>
    <row r="60" spans="1:26" ht="15">
      <c r="A60" s="192"/>
      <c r="B60" s="138"/>
      <c r="C60" s="67"/>
      <c r="D60" s="67"/>
      <c r="E60" s="67"/>
      <c r="F60" s="67"/>
      <c r="G60" s="67"/>
      <c r="H60" s="67"/>
      <c r="I60" s="67"/>
      <c r="J60" s="623" t="str">
        <f t="shared" si="3"/>
        <v>UCC attends</v>
      </c>
      <c r="K60" s="1133">
        <f t="shared" si="4"/>
        <v>-8550</v>
      </c>
      <c r="L60" s="1135">
        <f t="shared" si="5"/>
        <v>-653.99999999999989</v>
      </c>
      <c r="M60" s="67"/>
      <c r="N60" s="67"/>
      <c r="O60" s="36"/>
      <c r="P60" s="36"/>
      <c r="Q60" s="35"/>
      <c r="R60" s="35"/>
      <c r="S60" s="35"/>
      <c r="T60" s="35"/>
      <c r="U60" s="35"/>
      <c r="V60" s="35"/>
      <c r="W60" s="35"/>
      <c r="X60" s="35"/>
    </row>
    <row r="61" spans="1:26" ht="15">
      <c r="A61" s="192"/>
      <c r="B61" s="138"/>
      <c r="C61" s="67"/>
      <c r="D61" s="67"/>
      <c r="E61" s="67"/>
      <c r="F61" s="67"/>
      <c r="G61" s="67"/>
      <c r="H61" s="67"/>
      <c r="I61" s="67"/>
      <c r="J61" s="623" t="str">
        <f t="shared" si="3"/>
        <v>OOH clinic visits</v>
      </c>
      <c r="K61" s="1133">
        <f t="shared" si="4"/>
        <v>0</v>
      </c>
      <c r="L61" s="1135">
        <f t="shared" si="5"/>
        <v>0</v>
      </c>
      <c r="M61" s="67"/>
      <c r="N61" s="67"/>
      <c r="O61" s="36"/>
      <c r="P61" s="36"/>
      <c r="Q61" s="35"/>
      <c r="R61" s="35"/>
      <c r="S61" s="35"/>
      <c r="T61" s="35"/>
      <c r="U61" s="35"/>
      <c r="V61" s="35"/>
      <c r="W61" s="35"/>
      <c r="X61" s="35"/>
    </row>
    <row r="62" spans="1:26" ht="15">
      <c r="A62" s="192"/>
      <c r="B62" s="138"/>
      <c r="C62" s="67"/>
      <c r="D62" s="67"/>
      <c r="E62" s="67"/>
      <c r="F62" s="67"/>
      <c r="G62" s="67"/>
      <c r="H62" s="67"/>
      <c r="I62" s="67"/>
      <c r="J62" s="623" t="str">
        <f t="shared" si="3"/>
        <v>OOH home visits</v>
      </c>
      <c r="K62" s="1133">
        <f t="shared" si="4"/>
        <v>9000</v>
      </c>
      <c r="L62" s="1135">
        <f t="shared" si="5"/>
        <v>1004.2690499898728</v>
      </c>
      <c r="M62" s="67"/>
      <c r="N62" s="67"/>
      <c r="O62" s="36"/>
      <c r="P62" s="36"/>
      <c r="Q62" s="35"/>
      <c r="R62" s="35"/>
      <c r="S62" s="35"/>
      <c r="T62" s="35"/>
      <c r="U62" s="35"/>
      <c r="V62" s="35"/>
      <c r="W62" s="35"/>
      <c r="X62" s="35"/>
    </row>
    <row r="63" spans="1:26" ht="15">
      <c r="A63" s="192"/>
      <c r="B63" s="138"/>
      <c r="C63" s="67"/>
      <c r="D63" s="67"/>
      <c r="E63" s="67"/>
      <c r="F63" s="67"/>
      <c r="G63" s="67"/>
      <c r="H63" s="67"/>
      <c r="I63" s="67"/>
      <c r="J63" s="623" t="str">
        <f t="shared" si="3"/>
        <v>111 calls (call handler)</v>
      </c>
      <c r="K63" s="1133">
        <f t="shared" si="4"/>
        <v>0</v>
      </c>
      <c r="L63" s="1135">
        <f t="shared" si="5"/>
        <v>0</v>
      </c>
      <c r="M63" s="67"/>
      <c r="N63" s="67"/>
      <c r="O63" s="36"/>
      <c r="P63" s="36"/>
      <c r="Q63" s="35"/>
      <c r="R63" s="35"/>
      <c r="S63" s="35"/>
      <c r="T63" s="35"/>
      <c r="U63" s="35"/>
      <c r="V63" s="35"/>
      <c r="W63" s="35"/>
      <c r="X63" s="35"/>
    </row>
    <row r="64" spans="1:26" ht="15">
      <c r="A64" s="192"/>
      <c r="B64" s="138"/>
      <c r="C64" s="67"/>
      <c r="D64" s="67"/>
      <c r="E64" s="67"/>
      <c r="F64" s="67"/>
      <c r="G64" s="67"/>
      <c r="H64" s="67"/>
      <c r="I64" s="67"/>
      <c r="J64" s="623" t="str">
        <f t="shared" si="3"/>
        <v>111 calls (clinical advisor)</v>
      </c>
      <c r="K64" s="1133">
        <f t="shared" si="4"/>
        <v>0</v>
      </c>
      <c r="L64" s="1135">
        <f t="shared" si="5"/>
        <v>0</v>
      </c>
      <c r="M64" s="67"/>
      <c r="N64" s="67"/>
      <c r="O64" s="36"/>
      <c r="P64" s="36"/>
      <c r="Q64" s="35"/>
      <c r="R64" s="35"/>
      <c r="S64" s="35"/>
      <c r="T64" s="35"/>
      <c r="U64" s="35"/>
      <c r="V64" s="35"/>
      <c r="W64" s="35"/>
      <c r="X64" s="35"/>
    </row>
    <row r="65" spans="1:24" ht="15">
      <c r="A65" s="192"/>
      <c r="B65" s="138"/>
      <c r="C65" s="67"/>
      <c r="D65" s="67"/>
      <c r="E65" s="67"/>
      <c r="F65" s="67"/>
      <c r="G65" s="67"/>
      <c r="H65" s="67"/>
      <c r="I65" s="67"/>
      <c r="J65" s="623" t="str">
        <f t="shared" si="3"/>
        <v>Community pharmacy attends</v>
      </c>
      <c r="K65" s="1133">
        <f t="shared" si="4"/>
        <v>0</v>
      </c>
      <c r="L65" s="1135">
        <f t="shared" si="5"/>
        <v>0</v>
      </c>
      <c r="M65" s="67"/>
      <c r="N65" s="67"/>
      <c r="O65" s="36"/>
      <c r="P65" s="36"/>
      <c r="Q65" s="35"/>
      <c r="R65" s="35"/>
      <c r="S65" s="35"/>
      <c r="T65" s="35"/>
      <c r="U65" s="35"/>
      <c r="V65" s="35"/>
      <c r="W65" s="35"/>
      <c r="X65" s="35"/>
    </row>
    <row r="66" spans="1:24" ht="15">
      <c r="A66" s="192"/>
      <c r="B66" s="138"/>
      <c r="C66" s="67"/>
      <c r="D66" s="67"/>
      <c r="E66" s="67"/>
      <c r="F66" s="67"/>
      <c r="G66" s="67"/>
      <c r="H66" s="67"/>
      <c r="I66" s="67"/>
      <c r="J66" s="623" t="str">
        <f t="shared" si="3"/>
        <v>Ambulance - see and treat</v>
      </c>
      <c r="K66" s="1133">
        <f t="shared" si="4"/>
        <v>5394.9485027281398</v>
      </c>
      <c r="L66" s="1135">
        <f t="shared" si="5"/>
        <v>484.6049999999999</v>
      </c>
      <c r="M66" s="67"/>
      <c r="N66" s="67"/>
      <c r="O66" s="36"/>
      <c r="P66" s="36"/>
      <c r="Q66" s="35"/>
      <c r="R66" s="35"/>
      <c r="S66" s="35"/>
      <c r="T66" s="35"/>
      <c r="U66" s="35"/>
      <c r="V66" s="35"/>
      <c r="W66" s="35"/>
      <c r="X66" s="35"/>
    </row>
    <row r="67" spans="1:24" ht="15">
      <c r="A67" s="192"/>
      <c r="B67" s="138"/>
      <c r="C67" s="67"/>
      <c r="D67" s="67"/>
      <c r="E67" s="67"/>
      <c r="F67" s="67"/>
      <c r="G67" s="67"/>
      <c r="H67" s="67"/>
      <c r="I67" s="67"/>
      <c r="J67" s="623" t="str">
        <f t="shared" si="3"/>
        <v>Ambulance - see and convey to ED</v>
      </c>
      <c r="K67" s="1133">
        <f t="shared" si="4"/>
        <v>27962.40008246047</v>
      </c>
      <c r="L67" s="1135">
        <f t="shared" si="5"/>
        <v>3089.7239999999997</v>
      </c>
      <c r="M67" s="67"/>
      <c r="N67" s="67"/>
      <c r="O67" s="36"/>
      <c r="P67" s="36"/>
      <c r="Q67" s="35"/>
      <c r="R67" s="35"/>
      <c r="S67" s="35"/>
      <c r="T67" s="35"/>
      <c r="U67" s="35"/>
      <c r="V67" s="35"/>
      <c r="W67" s="35"/>
      <c r="X67" s="35"/>
    </row>
    <row r="68" spans="1:24" ht="15">
      <c r="A68" s="192"/>
      <c r="B68" s="138"/>
      <c r="C68" s="67"/>
      <c r="D68" s="67"/>
      <c r="E68" s="67"/>
      <c r="F68" s="67"/>
      <c r="G68" s="67"/>
      <c r="H68" s="67"/>
      <c r="I68" s="67"/>
      <c r="J68" s="623" t="str">
        <f t="shared" si="3"/>
        <v>Community contacts</v>
      </c>
      <c r="K68" s="1133">
        <f t="shared" si="4"/>
        <v>-11179.335347067499</v>
      </c>
      <c r="L68" s="1135">
        <f t="shared" si="5"/>
        <v>-1148.6737499884164</v>
      </c>
      <c r="M68" s="67"/>
      <c r="N68" s="67"/>
      <c r="O68" s="36"/>
      <c r="P68" s="36"/>
      <c r="Q68" s="35"/>
      <c r="R68" s="35"/>
      <c r="S68" s="35"/>
      <c r="T68" s="35"/>
      <c r="U68" s="35"/>
      <c r="V68" s="35"/>
      <c r="W68" s="35"/>
      <c r="X68" s="35"/>
    </row>
    <row r="69" spans="1:24" ht="15">
      <c r="A69" s="192"/>
      <c r="B69" s="138"/>
      <c r="C69" s="67"/>
      <c r="D69" s="67"/>
      <c r="E69" s="67"/>
      <c r="F69" s="67"/>
      <c r="G69" s="67"/>
      <c r="H69" s="67"/>
      <c r="I69" s="67"/>
      <c r="J69" s="623" t="str">
        <f t="shared" si="3"/>
        <v>Intermediate care bed days</v>
      </c>
      <c r="K69" s="1133">
        <f t="shared" si="4"/>
        <v>0</v>
      </c>
      <c r="L69" s="1135">
        <f t="shared" si="5"/>
        <v>0</v>
      </c>
      <c r="M69" s="67"/>
      <c r="N69" s="67"/>
      <c r="O69" s="36"/>
      <c r="P69" s="36"/>
      <c r="Q69" s="35"/>
      <c r="R69" s="35"/>
      <c r="S69" s="35"/>
      <c r="T69" s="35"/>
      <c r="U69" s="35"/>
      <c r="V69" s="35"/>
      <c r="W69" s="35"/>
      <c r="X69" s="35"/>
    </row>
    <row r="70" spans="1:24" ht="15">
      <c r="A70" s="192"/>
      <c r="B70" s="138"/>
      <c r="C70" s="67"/>
      <c r="D70" s="67"/>
      <c r="E70" s="67"/>
      <c r="F70" s="67"/>
      <c r="G70" s="67"/>
      <c r="H70" s="67"/>
      <c r="I70" s="67"/>
      <c r="J70" s="623" t="str">
        <f t="shared" si="3"/>
        <v>Social services domiciliary care</v>
      </c>
      <c r="K70" s="1133">
        <f t="shared" si="4"/>
        <v>0</v>
      </c>
      <c r="L70" s="1135">
        <f t="shared" si="5"/>
        <v>0</v>
      </c>
      <c r="M70" s="67"/>
      <c r="N70" s="67"/>
      <c r="O70" s="36"/>
      <c r="P70" s="36"/>
      <c r="Q70" s="35"/>
      <c r="R70" s="35"/>
      <c r="S70" s="35"/>
      <c r="T70" s="35"/>
      <c r="U70" s="35"/>
      <c r="V70" s="35"/>
      <c r="W70" s="35"/>
      <c r="X70" s="35"/>
    </row>
    <row r="71" spans="1:24" ht="15">
      <c r="A71" s="192"/>
      <c r="B71" s="138"/>
      <c r="C71" s="67"/>
      <c r="D71" s="67"/>
      <c r="E71" s="67"/>
      <c r="F71" s="67"/>
      <c r="G71" s="67"/>
      <c r="H71" s="67"/>
      <c r="I71" s="67"/>
      <c r="J71" s="623" t="str">
        <f t="shared" si="3"/>
        <v>GP attends</v>
      </c>
      <c r="K71" s="1133">
        <f t="shared" si="4"/>
        <v>0</v>
      </c>
      <c r="L71" s="1135">
        <f t="shared" si="5"/>
        <v>0</v>
      </c>
      <c r="M71" s="67"/>
      <c r="N71" s="67"/>
      <c r="O71" s="36"/>
      <c r="P71" s="36"/>
      <c r="Q71" s="35"/>
      <c r="R71" s="35"/>
      <c r="S71" s="35"/>
      <c r="T71" s="35"/>
      <c r="U71" s="35"/>
      <c r="V71" s="35"/>
      <c r="W71" s="35"/>
      <c r="X71" s="35"/>
    </row>
    <row r="72" spans="1:24" ht="15">
      <c r="A72" s="192"/>
      <c r="B72" s="138"/>
      <c r="C72" s="67"/>
      <c r="D72" s="67"/>
      <c r="E72" s="67"/>
      <c r="F72" s="67"/>
      <c r="G72" s="67"/>
      <c r="H72" s="67"/>
      <c r="I72" s="67"/>
      <c r="J72" s="623" t="str">
        <f t="shared" si="3"/>
        <v>GP visits</v>
      </c>
      <c r="K72" s="1133">
        <f t="shared" si="4"/>
        <v>-7320</v>
      </c>
      <c r="L72" s="1135">
        <f t="shared" si="5"/>
        <v>-800.78969999192464</v>
      </c>
      <c r="M72" s="67"/>
      <c r="N72" s="67"/>
      <c r="O72" s="36"/>
      <c r="P72" s="36"/>
      <c r="Q72" s="35"/>
      <c r="R72" s="35"/>
      <c r="S72" s="35"/>
      <c r="T72" s="35"/>
      <c r="U72" s="35"/>
      <c r="V72" s="35"/>
      <c r="W72" s="35"/>
      <c r="X72" s="35"/>
    </row>
    <row r="73" spans="1:24" ht="15">
      <c r="A73" s="192"/>
      <c r="B73" s="138"/>
      <c r="C73" s="67"/>
      <c r="D73" s="67"/>
      <c r="E73" s="67"/>
      <c r="F73" s="67"/>
      <c r="G73" s="67"/>
      <c r="H73" s="67"/>
      <c r="I73" s="67"/>
      <c r="J73" s="623" t="s">
        <v>98</v>
      </c>
      <c r="K73" s="1133">
        <f>SUM(K57:K72)</f>
        <v>174084.13650023186</v>
      </c>
      <c r="L73" s="1135">
        <f>SUM(L57:L72)</f>
        <v>26654.000879134521</v>
      </c>
      <c r="M73" s="67"/>
      <c r="N73" s="67"/>
      <c r="O73" s="36"/>
      <c r="P73" s="36"/>
      <c r="Q73" s="35"/>
      <c r="R73" s="35"/>
      <c r="S73" s="35"/>
      <c r="T73" s="35"/>
      <c r="U73" s="35"/>
      <c r="V73" s="35"/>
      <c r="W73" s="35"/>
      <c r="X73" s="35"/>
    </row>
    <row r="74" spans="1:24" ht="15">
      <c r="A74" s="192"/>
      <c r="B74" s="138"/>
      <c r="C74" s="67"/>
      <c r="D74" s="67"/>
      <c r="E74" s="67"/>
      <c r="F74" s="67"/>
      <c r="G74" s="67"/>
      <c r="H74" s="67"/>
      <c r="I74" s="67"/>
      <c r="J74" s="730"/>
      <c r="K74" s="170"/>
      <c r="L74" s="1295"/>
      <c r="M74" s="67"/>
      <c r="N74" s="67"/>
      <c r="O74" s="36"/>
      <c r="P74" s="36"/>
      <c r="Q74" s="35"/>
      <c r="R74" s="35"/>
      <c r="S74" s="35"/>
      <c r="T74" s="35"/>
      <c r="U74" s="35"/>
      <c r="V74" s="35"/>
      <c r="W74" s="35"/>
      <c r="X74" s="35"/>
    </row>
    <row r="75" spans="1:24" ht="15">
      <c r="A75" s="192"/>
      <c r="B75" s="138"/>
      <c r="C75" s="628"/>
      <c r="D75" s="62"/>
      <c r="E75" s="62"/>
      <c r="F75" s="560"/>
      <c r="G75" s="560"/>
      <c r="H75" s="560"/>
      <c r="I75" s="560"/>
      <c r="J75" s="533"/>
      <c r="K75" s="533"/>
      <c r="L75" s="1272"/>
      <c r="M75" s="533"/>
      <c r="N75" s="533"/>
      <c r="O75" s="36"/>
      <c r="P75" s="56"/>
      <c r="Q75" s="35"/>
      <c r="R75" s="35"/>
      <c r="S75" s="35"/>
      <c r="T75" s="35"/>
      <c r="U75" s="35"/>
      <c r="V75" s="35"/>
      <c r="W75" s="35"/>
    </row>
    <row r="76" spans="1:24" ht="75">
      <c r="A76" s="192"/>
      <c r="B76" s="138"/>
      <c r="C76" s="582" t="s">
        <v>1214</v>
      </c>
      <c r="D76" s="563" t="s">
        <v>660</v>
      </c>
      <c r="E76" s="563" t="s">
        <v>974</v>
      </c>
      <c r="F76" s="563" t="s">
        <v>144</v>
      </c>
      <c r="G76" s="563" t="s">
        <v>561</v>
      </c>
      <c r="J76" s="628"/>
      <c r="K76" s="533"/>
      <c r="L76" s="1272"/>
      <c r="M76" s="533"/>
      <c r="N76" s="533"/>
      <c r="O76" s="36"/>
      <c r="P76" s="56"/>
      <c r="Q76" s="35"/>
      <c r="R76" s="35"/>
      <c r="S76" s="35"/>
      <c r="T76" s="35"/>
      <c r="U76" s="35"/>
      <c r="V76" s="35"/>
      <c r="W76" s="35"/>
    </row>
    <row r="77" spans="1:24" ht="15">
      <c r="A77" s="192"/>
      <c r="B77" s="138"/>
      <c r="C77" s="624" t="s">
        <v>69</v>
      </c>
      <c r="D77" s="1194">
        <f>VLOOKUP($C77,local_data_input!$B$4:$K$20,2,FALSE)</f>
        <v>471.55482717174652</v>
      </c>
      <c r="E77" s="771">
        <f>VLOOKUP($C77,local_data_input!$B$4:$K$20,7,FALSE)</f>
        <v>2190</v>
      </c>
      <c r="F77" s="1194">
        <f>VLOOKUP($C77,local_data_input!$B$4:$K$20,8,FALSE)</f>
        <v>76.38780719409533</v>
      </c>
      <c r="G77" s="1194">
        <f>VLOOKUP($C77,local_data_input!$B$4:$K$20,9,FALSE)</f>
        <v>76.38780719409533</v>
      </c>
      <c r="J77" s="533"/>
      <c r="K77" s="533"/>
      <c r="L77" s="1272"/>
      <c r="M77" s="533"/>
      <c r="N77" s="533"/>
      <c r="O77" s="36"/>
      <c r="P77" s="56"/>
      <c r="Q77" s="35"/>
      <c r="R77" s="35"/>
      <c r="S77" s="35"/>
      <c r="T77" s="35"/>
      <c r="U77" s="35"/>
      <c r="V77" s="35"/>
      <c r="W77" s="35"/>
    </row>
    <row r="78" spans="1:24" ht="15">
      <c r="A78" s="192"/>
      <c r="B78" s="138"/>
      <c r="C78" s="624" t="s">
        <v>43</v>
      </c>
      <c r="D78" s="1194">
        <f>VLOOKUP($C78,local_data_input!$B$4:$K$20,2,FALSE)</f>
        <v>154.19493390737</v>
      </c>
      <c r="E78" s="771">
        <f>VLOOKUP($C78,local_data_input!$B$4:$K$20,7,FALSE)</f>
        <v>4725</v>
      </c>
      <c r="F78" s="1194">
        <f>VLOOKUP($C78,local_data_input!$B$4:$K$20,8,FALSE)</f>
        <v>13.011251318371977</v>
      </c>
      <c r="G78" s="1194">
        <f>VLOOKUP($C78,local_data_input!$B$4:$K$20,9,FALSE)</f>
        <v>13.011251318371977</v>
      </c>
      <c r="J78" s="533"/>
      <c r="K78" s="533"/>
      <c r="L78" s="1272"/>
      <c r="M78" s="533"/>
      <c r="N78" s="533"/>
      <c r="O78" s="36"/>
      <c r="P78" s="56"/>
      <c r="Q78" s="35"/>
      <c r="R78" s="35"/>
      <c r="S78" s="35"/>
      <c r="T78" s="35"/>
      <c r="U78" s="35"/>
      <c r="V78" s="35"/>
      <c r="W78" s="35"/>
    </row>
    <row r="79" spans="1:24" ht="15">
      <c r="A79" s="192"/>
      <c r="B79" s="138"/>
      <c r="C79" s="624" t="s">
        <v>49</v>
      </c>
      <c r="D79" s="1194">
        <f>VLOOKUP($C79,local_data_input!$B$4:$K$20,2,FALSE)</f>
        <v>89.533100846051653</v>
      </c>
      <c r="E79" s="771">
        <f>VLOOKUP($C79,local_data_input!$B$4:$K$20,7,FALSE)</f>
        <v>6300</v>
      </c>
      <c r="F79" s="1194">
        <f>VLOOKUP($C79,local_data_input!$B$4:$K$20,8,FALSE)</f>
        <v>10.909433797711889</v>
      </c>
      <c r="G79" s="1194">
        <f>VLOOKUP($C79,local_data_input!$B$4:$K$20,9,FALSE)</f>
        <v>10.909433797711889</v>
      </c>
      <c r="J79" s="533"/>
      <c r="K79" s="533"/>
      <c r="L79" s="1272"/>
      <c r="M79" s="533"/>
      <c r="N79" s="533"/>
      <c r="O79" s="36"/>
      <c r="P79" s="56"/>
      <c r="Q79" s="35"/>
      <c r="R79" s="35"/>
      <c r="S79" s="35"/>
      <c r="T79" s="35"/>
      <c r="U79" s="35"/>
      <c r="V79" s="35"/>
      <c r="W79" s="35"/>
    </row>
    <row r="80" spans="1:24" ht="15">
      <c r="A80" s="192"/>
      <c r="B80" s="138"/>
      <c r="C80" s="624" t="s">
        <v>67</v>
      </c>
      <c r="D80" s="1194">
        <f>VLOOKUP($C80,local_data_input!$B$4:$K$20,2,FALSE)</f>
        <v>57</v>
      </c>
      <c r="E80" s="771">
        <f>VLOOKUP($C80,local_data_input!$B$4:$K$20,7,FALSE)</f>
        <v>4725</v>
      </c>
      <c r="F80" s="1194">
        <f>VLOOKUP($C80,local_data_input!$B$4:$K$20,8,FALSE)</f>
        <v>4.3599999999999994</v>
      </c>
      <c r="G80" s="1194">
        <f>VLOOKUP($C80,local_data_input!$B$4:$K$20,9,FALSE)</f>
        <v>4.3599999999999994</v>
      </c>
      <c r="J80" s="533"/>
      <c r="K80" s="533"/>
      <c r="L80" s="1272"/>
      <c r="M80" s="533"/>
      <c r="N80" s="533"/>
      <c r="O80" s="36"/>
      <c r="P80" s="56"/>
      <c r="Q80" s="35"/>
      <c r="R80" s="35"/>
      <c r="S80" s="35"/>
      <c r="T80" s="35"/>
      <c r="U80" s="35"/>
      <c r="V80" s="35"/>
      <c r="W80" s="35"/>
    </row>
    <row r="81" spans="1:28" ht="15">
      <c r="A81" s="192"/>
      <c r="B81" s="138"/>
      <c r="C81" s="624" t="s">
        <v>44</v>
      </c>
      <c r="D81" s="1194">
        <f>VLOOKUP($C81,local_data_input!$B$4:$K$20,2,FALSE)</f>
        <v>68.3</v>
      </c>
      <c r="E81" s="771">
        <f>VLOOKUP($C81,local_data_input!$B$4:$K$20,7,FALSE)</f>
        <v>6300</v>
      </c>
      <c r="F81" s="1194">
        <f>VLOOKUP($C81,local_data_input!$B$4:$K$20,8,FALSE)</f>
        <v>7.6578249999227763</v>
      </c>
      <c r="G81" s="1194">
        <f>VLOOKUP($C81,local_data_input!$B$4:$K$20,9,FALSE)</f>
        <v>7.6578249999227763</v>
      </c>
      <c r="J81" s="533"/>
      <c r="K81" s="533"/>
      <c r="L81" s="1272"/>
      <c r="M81" s="533"/>
      <c r="N81" s="533"/>
      <c r="O81" s="36"/>
      <c r="P81" s="56"/>
      <c r="Q81" s="35"/>
      <c r="R81" s="35"/>
      <c r="S81" s="35"/>
      <c r="T81" s="35"/>
      <c r="U81" s="35"/>
      <c r="V81" s="35"/>
      <c r="W81" s="35"/>
    </row>
    <row r="82" spans="1:28" ht="15">
      <c r="A82" s="192"/>
      <c r="B82" s="138"/>
      <c r="C82" s="624" t="s">
        <v>45</v>
      </c>
      <c r="D82" s="1194">
        <f>VLOOKUP($C82,local_data_input!$B$4:$K$20,2,FALSE)</f>
        <v>150</v>
      </c>
      <c r="E82" s="771">
        <f>VLOOKUP($C82,local_data_input!$B$4:$K$20,7,FALSE)</f>
        <v>1575</v>
      </c>
      <c r="F82" s="1194">
        <f>VLOOKUP($C82,local_data_input!$B$4:$K$20,8,FALSE)</f>
        <v>16.737817499831213</v>
      </c>
      <c r="G82" s="1194">
        <f>VLOOKUP($C82,local_data_input!$B$4:$K$20,9,FALSE)</f>
        <v>16.737817499831213</v>
      </c>
      <c r="J82" s="533"/>
      <c r="K82" s="533"/>
      <c r="L82" s="1272"/>
      <c r="M82" s="533"/>
      <c r="N82" s="533"/>
      <c r="O82" s="36"/>
      <c r="P82" s="56"/>
      <c r="Q82" s="35"/>
      <c r="R82" s="35"/>
      <c r="S82" s="35"/>
      <c r="T82" s="35"/>
      <c r="U82" s="35"/>
      <c r="V82" s="35"/>
      <c r="W82" s="35"/>
    </row>
    <row r="83" spans="1:28" ht="15">
      <c r="A83" s="192"/>
      <c r="B83" s="138"/>
      <c r="C83" s="624" t="s">
        <v>50</v>
      </c>
      <c r="D83" s="1194">
        <f>VLOOKUP($C83,local_data_input!$B$4:$K$20,2,FALSE)</f>
        <v>7</v>
      </c>
      <c r="E83" s="771">
        <f>VLOOKUP($C83,local_data_input!$B$4:$K$20,7,FALSE)</f>
        <v>9450</v>
      </c>
      <c r="F83" s="1194">
        <f>VLOOKUP($C83,local_data_input!$B$4:$K$20,8,FALSE)</f>
        <v>0.35069999999999946</v>
      </c>
      <c r="G83" s="1194">
        <f>VLOOKUP($C83,local_data_input!$B$4:$K$20,9,FALSE)</f>
        <v>0.35069999999999946</v>
      </c>
      <c r="J83" s="533"/>
      <c r="K83" s="533"/>
      <c r="L83" s="1272"/>
      <c r="M83" s="533"/>
      <c r="N83" s="533"/>
      <c r="O83" s="36"/>
      <c r="P83" s="56"/>
      <c r="Q83" s="35"/>
      <c r="R83" s="35"/>
      <c r="S83" s="35"/>
      <c r="T83" s="35"/>
      <c r="U83" s="35"/>
      <c r="V83" s="35"/>
      <c r="W83" s="35"/>
    </row>
    <row r="84" spans="1:28" ht="15">
      <c r="A84" s="192"/>
      <c r="B84" s="138"/>
      <c r="C84" s="624" t="s">
        <v>51</v>
      </c>
      <c r="D84" s="1194">
        <f>VLOOKUP($C84,local_data_input!$B$4:$K$20,2,FALSE)</f>
        <v>20</v>
      </c>
      <c r="E84" s="771">
        <f>VLOOKUP($C84,local_data_input!$B$4:$K$20,7,FALSE)</f>
        <v>9450</v>
      </c>
      <c r="F84" s="1194">
        <f>VLOOKUP($C84,local_data_input!$B$4:$K$20,8,FALSE)</f>
        <v>1.0019999999999984</v>
      </c>
      <c r="G84" s="1194">
        <f>VLOOKUP($C84,local_data_input!$B$4:$K$20,9,FALSE)</f>
        <v>1.0019999999999984</v>
      </c>
      <c r="J84" s="533"/>
      <c r="K84" s="533"/>
      <c r="L84" s="1272"/>
      <c r="M84" s="533"/>
      <c r="N84" s="533"/>
      <c r="O84" s="36"/>
      <c r="P84" s="56"/>
      <c r="Q84" s="35"/>
      <c r="R84" s="35"/>
      <c r="S84" s="35"/>
      <c r="T84" s="35"/>
      <c r="U84" s="35"/>
      <c r="V84" s="35"/>
      <c r="W84" s="35"/>
    </row>
    <row r="85" spans="1:28" ht="15">
      <c r="A85" s="192"/>
      <c r="B85" s="138"/>
      <c r="C85" s="624" t="s">
        <v>41</v>
      </c>
      <c r="D85" s="1194">
        <f>VLOOKUP($C85,local_data_input!$B$4:$K$20,2,FALSE)</f>
        <v>14</v>
      </c>
      <c r="E85" s="771">
        <f>VLOOKUP($C85,local_data_input!$B$4:$K$20,7,FALSE)</f>
        <v>1</v>
      </c>
      <c r="F85" s="1194">
        <f>VLOOKUP($C85,local_data_input!$B$4:$K$20,8,FALSE)</f>
        <v>14</v>
      </c>
      <c r="G85" s="1194">
        <f>VLOOKUP($C85,local_data_input!$B$4:$K$20,9,FALSE)</f>
        <v>14</v>
      </c>
      <c r="J85" s="533"/>
      <c r="K85" s="533"/>
      <c r="L85" s="1272"/>
      <c r="M85" s="533"/>
      <c r="N85" s="533"/>
      <c r="O85" s="36"/>
      <c r="P85" s="56"/>
      <c r="Q85" s="35"/>
      <c r="R85" s="35"/>
      <c r="S85" s="35"/>
      <c r="T85" s="35"/>
      <c r="U85" s="35"/>
      <c r="V85" s="35"/>
      <c r="W85" s="35"/>
    </row>
    <row r="86" spans="1:28" ht="15">
      <c r="A86" s="192"/>
      <c r="B86" s="138"/>
      <c r="C86" s="624" t="s">
        <v>77</v>
      </c>
      <c r="D86" s="1194">
        <f>VLOOKUP($C86,local_data_input!$B$4:$K$20,2,FALSE)</f>
        <v>179.83161675760465</v>
      </c>
      <c r="E86" s="771">
        <f>VLOOKUP($C86,local_data_input!$B$4:$K$20,7,FALSE)</f>
        <v>3150</v>
      </c>
      <c r="F86" s="1194">
        <f>VLOOKUP($C86,local_data_input!$B$4:$K$20,8,FALSE)</f>
        <v>16.153499999999998</v>
      </c>
      <c r="G86" s="1194">
        <f>VLOOKUP($C86,local_data_input!$B$4:$K$20,9,FALSE)</f>
        <v>16.153499999999998</v>
      </c>
      <c r="J86" s="533"/>
      <c r="K86" s="533"/>
      <c r="L86" s="1272"/>
      <c r="M86" s="36"/>
      <c r="N86" s="36"/>
      <c r="O86" s="36"/>
      <c r="P86" s="36"/>
      <c r="Q86" s="35"/>
      <c r="R86" s="35"/>
      <c r="S86" s="35"/>
      <c r="T86" s="35"/>
      <c r="U86" s="35"/>
      <c r="V86" s="4"/>
      <c r="W86" s="4"/>
      <c r="X86" s="5"/>
      <c r="Y86" s="5"/>
      <c r="Z86" s="5"/>
    </row>
    <row r="87" spans="1:28" ht="15">
      <c r="A87" s="192"/>
      <c r="B87" s="138"/>
      <c r="C87" s="624" t="s">
        <v>46</v>
      </c>
      <c r="D87" s="1194">
        <f>VLOOKUP($C87,local_data_input!$B$4:$K$20,2,FALSE)</f>
        <v>233.02000068717058</v>
      </c>
      <c r="E87" s="771">
        <f>VLOOKUP($C87,local_data_input!$B$4:$K$20,7,FALSE)</f>
        <v>3150</v>
      </c>
      <c r="F87" s="1194">
        <f>VLOOKUP($C87,local_data_input!$B$4:$K$20,8,FALSE)</f>
        <v>25.747699999999998</v>
      </c>
      <c r="G87" s="1194">
        <f>VLOOKUP($C87,local_data_input!$B$4:$K$20,9,FALSE)</f>
        <v>25.747699999999998</v>
      </c>
      <c r="J87" s="533"/>
      <c r="K87" s="533"/>
      <c r="L87" s="1272"/>
      <c r="M87" s="36"/>
      <c r="N87" s="36"/>
      <c r="O87" s="36"/>
      <c r="P87" s="36"/>
      <c r="Q87" s="35"/>
      <c r="R87" s="35"/>
      <c r="S87" s="35"/>
      <c r="T87" s="35"/>
      <c r="U87" s="35"/>
      <c r="V87" s="4"/>
      <c r="W87" s="4"/>
      <c r="X87" s="5"/>
      <c r="Y87" s="5"/>
      <c r="Z87" s="5"/>
    </row>
    <row r="88" spans="1:28" ht="15">
      <c r="A88" s="192"/>
      <c r="B88" s="138"/>
      <c r="C88" s="624" t="s">
        <v>30</v>
      </c>
      <c r="D88" s="1194">
        <f>VLOOKUP($C88,local_data_input!$B$4:$K$20,2,FALSE)</f>
        <v>37.264451156891667</v>
      </c>
      <c r="E88" s="771">
        <f>VLOOKUP($C88,local_data_input!$B$4:$K$20,7,FALSE)</f>
        <v>3150</v>
      </c>
      <c r="F88" s="1194">
        <f>VLOOKUP($C88,local_data_input!$B$4:$K$20,8,FALSE)</f>
        <v>3.8289124999613882</v>
      </c>
      <c r="G88" s="1194">
        <f>VLOOKUP($C88,local_data_input!$B$4:$K$20,9,FALSE)</f>
        <v>3.8289124999613882</v>
      </c>
      <c r="J88" s="533"/>
      <c r="K88" s="533"/>
      <c r="L88" s="1272"/>
      <c r="M88" s="36"/>
      <c r="N88" s="36"/>
      <c r="O88" s="36"/>
      <c r="P88" s="36"/>
      <c r="Q88" s="35"/>
      <c r="R88" s="35"/>
      <c r="S88" s="35"/>
      <c r="T88" s="35"/>
      <c r="U88" s="35"/>
      <c r="V88" s="4"/>
      <c r="W88" s="4"/>
      <c r="X88" s="5"/>
      <c r="Y88" s="5"/>
      <c r="Z88" s="5"/>
    </row>
    <row r="89" spans="1:28" ht="15">
      <c r="A89" s="192"/>
      <c r="B89" s="138"/>
      <c r="C89" s="624" t="s">
        <v>48</v>
      </c>
      <c r="D89" s="1194">
        <f>VLOOKUP($C89,local_data_input!$B$4:$K$20,2,FALSE)</f>
        <v>282.26243393069001</v>
      </c>
      <c r="E89" s="771">
        <f>VLOOKUP($C89,local_data_input!$B$4:$K$20,7,FALSE)</f>
        <v>1460</v>
      </c>
      <c r="F89" s="1194">
        <f>VLOOKUP($C89,local_data_input!$B$4:$K$20,8,FALSE)</f>
        <v>21.879499999779362</v>
      </c>
      <c r="G89" s="1194">
        <f>VLOOKUP($C89,local_data_input!$B$4:$K$20,9,FALSE)</f>
        <v>21.879499999779362</v>
      </c>
      <c r="J89" s="533"/>
      <c r="K89" s="533"/>
      <c r="L89" s="1272"/>
      <c r="M89" s="36"/>
      <c r="N89" s="36"/>
      <c r="O89" s="36"/>
      <c r="P89" s="36"/>
      <c r="Q89" s="35"/>
      <c r="R89" s="35"/>
      <c r="S89" s="35"/>
      <c r="T89" s="35"/>
      <c r="U89" s="35"/>
      <c r="V89" s="4"/>
      <c r="W89" s="4"/>
      <c r="X89" s="5"/>
      <c r="Y89" s="5"/>
      <c r="Z89" s="5"/>
    </row>
    <row r="90" spans="1:28" ht="15">
      <c r="A90" s="192"/>
      <c r="B90" s="138"/>
      <c r="C90" s="624" t="s">
        <v>225</v>
      </c>
      <c r="D90" s="1194">
        <f>VLOOKUP($C90,local_data_input!$B$4:$K$20,2,FALSE)</f>
        <v>24</v>
      </c>
      <c r="E90" s="771">
        <f>VLOOKUP($C90,local_data_input!$B$4:$K$20,7,FALSE)</f>
        <v>3150</v>
      </c>
      <c r="F90" s="1194">
        <f>VLOOKUP($C90,local_data_input!$B$4:$K$20,8,FALSE)</f>
        <v>2.7349374999724203</v>
      </c>
      <c r="G90" s="1194">
        <f>VLOOKUP($C90,local_data_input!$B$4:$K$20,9,FALSE)</f>
        <v>2.7349374999724203</v>
      </c>
      <c r="J90" s="533"/>
      <c r="K90" s="533"/>
      <c r="L90" s="1272"/>
      <c r="M90" s="36"/>
      <c r="N90" s="36"/>
      <c r="O90" s="36"/>
      <c r="P90" s="36"/>
      <c r="Q90" s="35"/>
      <c r="R90" s="35"/>
      <c r="S90" s="35"/>
      <c r="T90" s="35"/>
      <c r="U90" s="35"/>
      <c r="V90" s="4"/>
      <c r="W90" s="4"/>
      <c r="X90" s="5"/>
      <c r="Y90" s="5"/>
      <c r="Z90" s="5"/>
    </row>
    <row r="91" spans="1:28" ht="15">
      <c r="A91" s="192"/>
      <c r="B91" s="138"/>
      <c r="C91" s="624" t="s">
        <v>32</v>
      </c>
      <c r="D91" s="1194">
        <f>VLOOKUP($C91,local_data_input!$B$4:$K$20,2,FALSE)</f>
        <v>37</v>
      </c>
      <c r="E91" s="771">
        <f>VLOOKUP($C91,local_data_input!$B$4:$K$20,7,FALSE)</f>
        <v>1</v>
      </c>
      <c r="F91" s="1194">
        <f>VLOOKUP($C91,local_data_input!$B$4:$K$20,8,FALSE)</f>
        <v>4.1571049999580785</v>
      </c>
      <c r="G91" s="1194">
        <f>VLOOKUP($C91,local_data_input!$B$4:$K$20,9,FALSE)</f>
        <v>4.1571049999580785</v>
      </c>
      <c r="J91" s="533"/>
      <c r="K91" s="533"/>
      <c r="L91" s="1272"/>
      <c r="M91" s="36"/>
      <c r="N91" s="36"/>
      <c r="O91" s="36"/>
      <c r="P91" s="36"/>
      <c r="Q91" s="35"/>
      <c r="R91" s="35"/>
      <c r="S91" s="35"/>
      <c r="T91" s="35"/>
      <c r="U91" s="35"/>
      <c r="V91" s="4"/>
      <c r="W91" s="4"/>
      <c r="X91" s="5"/>
      <c r="Y91" s="5"/>
      <c r="Z91" s="5"/>
    </row>
    <row r="92" spans="1:28" ht="15">
      <c r="A92" s="192"/>
      <c r="B92" s="138"/>
      <c r="C92" s="624" t="s">
        <v>34</v>
      </c>
      <c r="D92" s="1194">
        <f>VLOOKUP($C92,local_data_input!$B$4:$K$20,2,FALSE)</f>
        <v>61</v>
      </c>
      <c r="E92" s="771">
        <f>VLOOKUP($C92,local_data_input!$B$4:$K$20,7,FALSE)</f>
        <v>1</v>
      </c>
      <c r="F92" s="1194">
        <f>VLOOKUP($C92,local_data_input!$B$4:$K$20,8,FALSE)</f>
        <v>6.6732474999327049</v>
      </c>
      <c r="G92" s="1194">
        <f>VLOOKUP($C92,local_data_input!$B$4:$K$20,9,FALSE)</f>
        <v>6.6732474999327049</v>
      </c>
      <c r="J92" s="533"/>
      <c r="K92" s="533"/>
      <c r="L92" s="1272"/>
      <c r="M92" s="36"/>
      <c r="N92" s="36"/>
      <c r="O92" s="36"/>
      <c r="P92" s="36"/>
      <c r="Q92" s="35"/>
      <c r="R92" s="35"/>
      <c r="S92" s="35"/>
      <c r="T92" s="35"/>
      <c r="U92" s="35"/>
      <c r="V92" s="4"/>
      <c r="W92" s="4"/>
      <c r="X92" s="5"/>
      <c r="Y92" s="5"/>
      <c r="Z92" s="5"/>
    </row>
    <row r="93" spans="1:28" ht="15">
      <c r="A93" s="192"/>
      <c r="B93" s="191"/>
      <c r="C93" s="537"/>
      <c r="D93" s="537"/>
      <c r="E93" s="537"/>
      <c r="F93" s="67"/>
      <c r="G93" s="537"/>
      <c r="H93" s="67"/>
      <c r="I93" s="67"/>
      <c r="J93" s="67"/>
      <c r="K93" s="170"/>
      <c r="L93" s="1295"/>
      <c r="M93" s="170"/>
      <c r="N93" s="62"/>
      <c r="O93" s="36"/>
      <c r="P93" s="36"/>
      <c r="Q93" s="35"/>
      <c r="R93" s="35"/>
      <c r="S93" s="35"/>
      <c r="T93" s="35"/>
      <c r="U93" s="35"/>
      <c r="V93" s="35"/>
      <c r="W93" s="35"/>
      <c r="X93" s="35"/>
    </row>
    <row r="94" spans="1:28" ht="15">
      <c r="A94" s="192"/>
      <c r="B94" s="2050"/>
      <c r="C94" s="537"/>
      <c r="D94" s="537"/>
      <c r="E94" s="537"/>
      <c r="F94" s="67"/>
      <c r="G94" s="537"/>
      <c r="H94" s="67"/>
      <c r="I94" s="67"/>
      <c r="J94" s="67"/>
      <c r="K94" s="170"/>
      <c r="L94" s="1295"/>
      <c r="M94" s="170"/>
      <c r="N94" s="62"/>
      <c r="O94" s="36"/>
      <c r="P94" s="36"/>
      <c r="Q94" s="35"/>
      <c r="R94" s="35"/>
      <c r="S94" s="35"/>
      <c r="T94" s="35"/>
      <c r="U94" s="35"/>
      <c r="V94" s="35"/>
      <c r="W94" s="35"/>
      <c r="X94" s="35"/>
    </row>
    <row r="95" spans="1:28" ht="15">
      <c r="A95" s="2051"/>
      <c r="B95" s="2374" t="s">
        <v>97</v>
      </c>
      <c r="C95" s="2470"/>
      <c r="D95" s="2470"/>
      <c r="E95" s="2470"/>
      <c r="F95" s="2470"/>
      <c r="G95" s="2470"/>
      <c r="H95" s="2470"/>
      <c r="I95" s="2470"/>
      <c r="J95" s="2470"/>
      <c r="K95" s="2470"/>
      <c r="L95" s="2471"/>
      <c r="M95" s="1282"/>
      <c r="N95" s="1187"/>
      <c r="O95" s="36"/>
      <c r="P95" s="36"/>
      <c r="Q95" s="36"/>
      <c r="R95" s="35"/>
      <c r="S95" s="35"/>
      <c r="U95" s="35"/>
      <c r="V95" s="137"/>
      <c r="W95" s="35"/>
      <c r="X95" s="35"/>
      <c r="Y95" s="35"/>
    </row>
    <row r="96" spans="1:28">
      <c r="B96" s="965"/>
      <c r="C96" s="62"/>
      <c r="D96" s="62"/>
      <c r="E96" s="36"/>
      <c r="F96" s="36"/>
      <c r="G96" s="36"/>
      <c r="H96" s="62"/>
      <c r="I96" s="36"/>
      <c r="J96" s="36"/>
      <c r="K96" s="36"/>
      <c r="L96" s="1286"/>
      <c r="M96" s="36"/>
      <c r="N96" s="36"/>
      <c r="O96" s="36"/>
      <c r="P96" s="36"/>
      <c r="Q96" s="35"/>
      <c r="R96" s="35"/>
      <c r="S96" s="35"/>
      <c r="T96" s="35"/>
      <c r="U96" s="35"/>
      <c r="V96" s="35"/>
      <c r="W96" s="4"/>
      <c r="X96" s="4"/>
      <c r="Y96" s="4"/>
      <c r="Z96" s="5"/>
      <c r="AA96" s="5"/>
      <c r="AB96" s="5"/>
    </row>
    <row r="97" spans="1:28">
      <c r="B97" s="138"/>
      <c r="C97" s="62"/>
      <c r="D97" s="62"/>
      <c r="E97" s="36"/>
      <c r="F97" s="36"/>
      <c r="G97" s="36"/>
      <c r="H97" s="62"/>
      <c r="I97" s="36"/>
      <c r="J97" s="36"/>
      <c r="K97" s="36"/>
      <c r="L97" s="153"/>
      <c r="M97" s="36"/>
      <c r="N97" s="36"/>
      <c r="O97" s="36"/>
      <c r="P97" s="36"/>
      <c r="Q97" s="35"/>
      <c r="R97" s="35"/>
      <c r="S97" s="35"/>
      <c r="T97" s="35"/>
      <c r="U97" s="35"/>
      <c r="V97" s="35"/>
      <c r="W97" s="4"/>
      <c r="X97" s="4"/>
      <c r="Y97" s="4"/>
      <c r="Z97" s="5"/>
      <c r="AA97" s="5"/>
      <c r="AB97" s="5"/>
    </row>
    <row r="98" spans="1:28">
      <c r="B98" s="138"/>
      <c r="C98" s="62"/>
      <c r="D98" s="62"/>
      <c r="E98" s="36"/>
      <c r="F98" s="36"/>
      <c r="G98" s="36"/>
      <c r="H98" s="62"/>
      <c r="I98" s="36"/>
      <c r="J98" s="36"/>
      <c r="K98" s="36"/>
      <c r="L98" s="153"/>
      <c r="M98" s="36"/>
      <c r="N98" s="36"/>
      <c r="O98" s="36"/>
      <c r="P98" s="36"/>
      <c r="Q98" s="35"/>
      <c r="R98" s="35"/>
      <c r="S98" s="35"/>
      <c r="T98" s="35"/>
      <c r="U98" s="35"/>
      <c r="V98" s="35"/>
      <c r="W98" s="4"/>
      <c r="X98" s="4"/>
      <c r="Y98" s="4"/>
      <c r="Z98" s="5"/>
      <c r="AA98" s="5"/>
      <c r="AB98" s="5"/>
    </row>
    <row r="99" spans="1:28" ht="15">
      <c r="B99" s="138"/>
      <c r="C99" s="628"/>
      <c r="D99" s="628"/>
      <c r="E99" s="36"/>
      <c r="F99" s="36"/>
      <c r="G99" s="36"/>
      <c r="H99" s="62"/>
      <c r="I99" s="36"/>
      <c r="J99" s="36"/>
      <c r="K99" s="36"/>
      <c r="L99" s="153"/>
      <c r="M99" s="36"/>
      <c r="N99" s="36"/>
      <c r="O99" s="36"/>
      <c r="P99" s="36"/>
      <c r="Q99" s="35"/>
      <c r="R99" s="35"/>
      <c r="S99" s="35"/>
      <c r="T99" s="35"/>
      <c r="U99" s="35"/>
      <c r="V99" s="35"/>
      <c r="W99" s="4"/>
      <c r="X99" s="4"/>
      <c r="Y99" s="4"/>
      <c r="Z99" s="5"/>
      <c r="AA99" s="5"/>
      <c r="AB99" s="5"/>
    </row>
    <row r="100" spans="1:28">
      <c r="B100" s="138"/>
      <c r="C100" s="62"/>
      <c r="D100" s="62"/>
      <c r="E100" s="36"/>
      <c r="F100" s="36"/>
      <c r="G100" s="36"/>
      <c r="H100" s="62"/>
      <c r="I100" s="36"/>
      <c r="J100" s="36"/>
      <c r="K100" s="36"/>
      <c r="L100" s="153"/>
      <c r="M100" s="36"/>
      <c r="N100" s="36"/>
      <c r="O100" s="36"/>
      <c r="P100" s="36"/>
      <c r="Q100" s="35"/>
      <c r="R100" s="35"/>
      <c r="S100" s="35"/>
      <c r="T100" s="35"/>
      <c r="U100" s="35"/>
      <c r="V100" s="35"/>
      <c r="W100" s="4"/>
      <c r="X100" s="4"/>
      <c r="Y100" s="4"/>
      <c r="Z100" s="5"/>
      <c r="AA100" s="5"/>
      <c r="AB100" s="5"/>
    </row>
    <row r="101" spans="1:28">
      <c r="B101" s="138"/>
      <c r="C101" s="62"/>
      <c r="D101" s="62"/>
      <c r="E101" s="36"/>
      <c r="F101" s="36"/>
      <c r="G101" s="36"/>
      <c r="H101" s="62"/>
      <c r="I101" s="36"/>
      <c r="J101" s="36"/>
      <c r="K101" s="36"/>
      <c r="L101" s="153"/>
      <c r="M101" s="36"/>
      <c r="N101" s="36"/>
      <c r="O101" s="36"/>
      <c r="P101" s="36"/>
      <c r="Q101" s="35"/>
      <c r="R101" s="35"/>
      <c r="S101" s="35"/>
      <c r="T101" s="35"/>
      <c r="U101" s="35"/>
      <c r="V101" s="35"/>
      <c r="W101" s="4"/>
      <c r="X101" s="4"/>
      <c r="Y101" s="4"/>
      <c r="Z101" s="5"/>
      <c r="AA101" s="5"/>
      <c r="AB101" s="5"/>
    </row>
    <row r="102" spans="1:28">
      <c r="B102" s="138"/>
      <c r="C102" s="62"/>
      <c r="D102" s="62"/>
      <c r="E102" s="36"/>
      <c r="F102" s="36"/>
      <c r="G102" s="36"/>
      <c r="H102" s="62"/>
      <c r="I102" s="36"/>
      <c r="J102" s="36"/>
      <c r="K102" s="36"/>
      <c r="L102" s="153"/>
      <c r="M102" s="36"/>
      <c r="N102" s="36"/>
      <c r="O102" s="36"/>
      <c r="P102" s="36"/>
      <c r="Q102" s="35"/>
      <c r="R102" s="35"/>
      <c r="S102" s="35"/>
      <c r="T102" s="35"/>
      <c r="U102" s="35"/>
      <c r="V102" s="35"/>
      <c r="W102" s="4"/>
      <c r="X102" s="4"/>
      <c r="Y102" s="4"/>
      <c r="Z102" s="5"/>
      <c r="AA102" s="5"/>
      <c r="AB102" s="5"/>
    </row>
    <row r="103" spans="1:28">
      <c r="B103" s="138"/>
      <c r="C103" s="62"/>
      <c r="D103" s="62"/>
      <c r="E103" s="36"/>
      <c r="F103" s="36"/>
      <c r="G103" s="36"/>
      <c r="H103" s="62"/>
      <c r="I103" s="36"/>
      <c r="J103" s="36"/>
      <c r="K103" s="36"/>
      <c r="L103" s="153"/>
      <c r="M103" s="36"/>
      <c r="N103" s="36"/>
      <c r="O103" s="36"/>
      <c r="P103" s="36"/>
      <c r="Q103" s="35"/>
      <c r="R103" s="35"/>
      <c r="S103" s="35"/>
      <c r="T103" s="35"/>
      <c r="U103" s="35"/>
      <c r="V103" s="35"/>
      <c r="W103" s="4"/>
      <c r="X103" s="4"/>
      <c r="Y103" s="4"/>
      <c r="Z103" s="5"/>
      <c r="AA103" s="5"/>
      <c r="AB103" s="5"/>
    </row>
    <row r="104" spans="1:28">
      <c r="B104" s="138"/>
      <c r="C104" s="62"/>
      <c r="D104" s="62"/>
      <c r="E104" s="36"/>
      <c r="F104" s="36"/>
      <c r="G104" s="36"/>
      <c r="H104" s="62"/>
      <c r="I104" s="36"/>
      <c r="J104" s="36"/>
      <c r="K104" s="36"/>
      <c r="L104" s="153"/>
      <c r="M104" s="36"/>
      <c r="N104" s="36"/>
      <c r="O104" s="36"/>
      <c r="P104" s="36"/>
      <c r="Q104" s="35"/>
      <c r="R104" s="35"/>
      <c r="S104" s="35"/>
      <c r="T104" s="35"/>
      <c r="U104" s="35"/>
      <c r="V104" s="35"/>
      <c r="W104" s="4"/>
      <c r="X104" s="4"/>
      <c r="Y104" s="4"/>
      <c r="Z104" s="5"/>
      <c r="AA104" s="5"/>
      <c r="AB104" s="5"/>
    </row>
    <row r="105" spans="1:28" ht="15">
      <c r="B105" s="138"/>
      <c r="C105" s="62"/>
      <c r="D105" s="62"/>
      <c r="E105" s="36"/>
      <c r="F105" s="36"/>
      <c r="G105" s="36"/>
      <c r="H105" s="62"/>
      <c r="I105" s="36"/>
      <c r="J105" s="36"/>
      <c r="K105" s="36"/>
      <c r="L105" s="153"/>
      <c r="M105" s="2466"/>
      <c r="N105" s="1183"/>
      <c r="O105" s="36"/>
      <c r="P105" s="36"/>
      <c r="Q105" s="35"/>
      <c r="R105" s="35"/>
      <c r="S105" s="35"/>
      <c r="T105" s="35"/>
      <c r="U105" s="35"/>
      <c r="V105" s="35"/>
      <c r="W105" s="35"/>
      <c r="X105" s="35"/>
      <c r="Y105" s="35"/>
    </row>
    <row r="106" spans="1:28" ht="15">
      <c r="B106" s="138"/>
      <c r="C106" s="537"/>
      <c r="D106" s="537"/>
      <c r="E106" s="36"/>
      <c r="F106" s="36"/>
      <c r="G106" s="36"/>
      <c r="H106" s="62"/>
      <c r="I106" s="36"/>
      <c r="J106" s="36"/>
      <c r="K106" s="36"/>
      <c r="L106" s="153"/>
      <c r="M106" s="2466"/>
      <c r="N106" s="1183"/>
      <c r="O106" s="36"/>
      <c r="P106" s="36"/>
      <c r="Q106" s="35"/>
      <c r="R106" s="35"/>
      <c r="S106" s="35"/>
      <c r="T106" s="35"/>
      <c r="U106" s="35"/>
      <c r="V106" s="35"/>
      <c r="W106" s="35"/>
      <c r="X106" s="35"/>
      <c r="Y106" s="35"/>
    </row>
    <row r="107" spans="1:28" ht="15.75" thickBot="1">
      <c r="A107" s="1297"/>
      <c r="B107" s="142"/>
      <c r="C107" s="172"/>
      <c r="D107" s="172"/>
      <c r="E107" s="173"/>
      <c r="F107" s="173"/>
      <c r="G107" s="173"/>
      <c r="H107" s="174"/>
      <c r="I107" s="174"/>
      <c r="J107" s="174"/>
      <c r="K107" s="174"/>
      <c r="L107" s="175"/>
      <c r="M107" s="2467"/>
      <c r="N107" s="368"/>
      <c r="O107" s="36"/>
      <c r="P107" s="36"/>
      <c r="Q107" s="35"/>
      <c r="R107" s="35"/>
      <c r="S107" s="35"/>
      <c r="T107" s="35"/>
      <c r="U107" s="35"/>
      <c r="V107" s="35"/>
      <c r="W107" s="35"/>
      <c r="X107" s="35"/>
      <c r="Y107" s="35"/>
    </row>
    <row r="108" spans="1:28" ht="15">
      <c r="B108" s="35"/>
      <c r="C108" s="56"/>
      <c r="D108" s="56"/>
      <c r="E108" s="36"/>
      <c r="F108" s="36"/>
      <c r="G108" s="36"/>
      <c r="H108" s="62"/>
      <c r="I108" s="62"/>
      <c r="J108" s="62"/>
      <c r="K108" s="62"/>
      <c r="L108" s="62"/>
      <c r="M108" s="62"/>
      <c r="N108" s="62"/>
      <c r="P108" s="35"/>
      <c r="Q108" s="35"/>
      <c r="R108" s="35"/>
      <c r="S108" s="35"/>
      <c r="T108" s="35"/>
      <c r="U108" s="35"/>
      <c r="V108" s="35"/>
      <c r="W108" s="4"/>
      <c r="X108" s="4"/>
      <c r="Y108" s="4"/>
      <c r="Z108" s="5"/>
      <c r="AA108" s="5"/>
      <c r="AB108" s="5"/>
    </row>
    <row r="109" spans="1:28" ht="15">
      <c r="B109" s="35"/>
      <c r="C109" s="56"/>
      <c r="D109" s="56"/>
      <c r="E109" s="35"/>
      <c r="F109" s="35"/>
      <c r="G109" s="35"/>
      <c r="H109" s="62"/>
      <c r="I109" s="62"/>
      <c r="J109" s="62"/>
      <c r="K109" s="62"/>
      <c r="L109" s="62"/>
      <c r="M109" s="62"/>
      <c r="N109" s="62"/>
      <c r="P109" s="35"/>
      <c r="Q109" s="35"/>
      <c r="R109" s="35"/>
      <c r="S109" s="35"/>
      <c r="T109" s="35"/>
      <c r="U109" s="35"/>
      <c r="V109" s="35"/>
      <c r="W109" s="4"/>
      <c r="X109" s="4"/>
      <c r="Y109" s="4"/>
      <c r="Z109" s="5"/>
      <c r="AA109" s="5"/>
      <c r="AB109" s="5"/>
    </row>
    <row r="110" spans="1:28" ht="15">
      <c r="B110" s="35"/>
      <c r="C110" s="56"/>
      <c r="D110" s="56"/>
      <c r="E110" s="56"/>
      <c r="F110" s="56"/>
      <c r="G110" s="56"/>
      <c r="H110" s="62"/>
      <c r="I110" s="62"/>
      <c r="J110" s="62"/>
      <c r="K110" s="62"/>
      <c r="L110" s="62"/>
      <c r="M110" s="62"/>
      <c r="N110" s="62"/>
      <c r="P110" s="35"/>
      <c r="Q110" s="35"/>
      <c r="R110" s="35"/>
      <c r="S110" s="35"/>
      <c r="T110" s="35"/>
      <c r="U110" s="35"/>
      <c r="V110" s="35"/>
      <c r="W110" s="4"/>
      <c r="X110" s="4"/>
      <c r="Y110" s="4"/>
      <c r="Z110" s="5"/>
      <c r="AA110" s="5"/>
      <c r="AB110" s="5"/>
    </row>
    <row r="111" spans="1:28" ht="15">
      <c r="B111" s="35"/>
      <c r="C111" s="56"/>
      <c r="D111" s="56"/>
      <c r="E111" s="56"/>
      <c r="F111" s="56"/>
      <c r="G111" s="56"/>
      <c r="H111" s="62"/>
      <c r="I111" s="62"/>
      <c r="J111" s="62"/>
      <c r="K111" s="62"/>
      <c r="L111" s="62"/>
      <c r="M111" s="62"/>
      <c r="N111" s="62"/>
      <c r="P111" s="35"/>
      <c r="Q111" s="35"/>
      <c r="R111" s="35"/>
      <c r="S111" s="35"/>
      <c r="T111" s="35"/>
      <c r="U111" s="35"/>
      <c r="V111" s="35"/>
      <c r="W111" s="4"/>
      <c r="X111" s="4"/>
      <c r="Y111" s="4"/>
      <c r="Z111" s="5"/>
      <c r="AA111" s="5"/>
      <c r="AB111" s="5"/>
    </row>
    <row r="112" spans="1:28">
      <c r="B112" s="35"/>
      <c r="C112" s="62"/>
      <c r="D112" s="62"/>
      <c r="E112" s="36"/>
      <c r="F112" s="36"/>
      <c r="G112" s="36"/>
      <c r="H112" s="111"/>
      <c r="I112" s="111"/>
      <c r="J112" s="111"/>
      <c r="K112" s="111"/>
      <c r="L112" s="111"/>
      <c r="M112" s="111"/>
      <c r="N112" s="111"/>
      <c r="P112" s="35"/>
      <c r="Q112" s="35"/>
      <c r="R112" s="35"/>
      <c r="S112" s="35"/>
      <c r="T112" s="35"/>
      <c r="U112" s="35"/>
      <c r="V112" s="35"/>
      <c r="W112" s="4"/>
      <c r="X112" s="4"/>
      <c r="Y112" s="4"/>
      <c r="Z112" s="5"/>
      <c r="AA112" s="5"/>
      <c r="AB112" s="5"/>
    </row>
    <row r="113" spans="2:30">
      <c r="B113" s="35"/>
      <c r="C113" s="62"/>
      <c r="D113" s="62"/>
      <c r="E113" s="36"/>
      <c r="F113" s="36"/>
      <c r="G113" s="36"/>
      <c r="H113" s="62"/>
      <c r="I113" s="62"/>
      <c r="J113" s="62"/>
      <c r="K113" s="62"/>
      <c r="L113" s="62"/>
      <c r="M113" s="62"/>
      <c r="N113" s="62"/>
      <c r="P113" s="35"/>
      <c r="Q113" s="35"/>
      <c r="R113" s="35"/>
      <c r="S113" s="35"/>
      <c r="T113" s="35"/>
      <c r="U113" s="35"/>
      <c r="V113" s="35"/>
      <c r="W113" s="4"/>
      <c r="X113" s="4"/>
      <c r="Y113" s="4"/>
      <c r="Z113" s="5"/>
      <c r="AA113" s="5"/>
      <c r="AB113" s="5"/>
    </row>
    <row r="114" spans="2:30">
      <c r="B114" s="35"/>
      <c r="C114" s="112"/>
      <c r="D114" s="112"/>
      <c r="E114" s="36"/>
      <c r="F114" s="36"/>
      <c r="G114" s="36"/>
      <c r="H114" s="67"/>
      <c r="I114" s="62"/>
      <c r="J114" s="62"/>
      <c r="K114" s="62"/>
      <c r="L114" s="62"/>
      <c r="M114" s="62"/>
      <c r="N114" s="62"/>
      <c r="P114" s="35"/>
      <c r="Q114" s="35"/>
      <c r="R114" s="35"/>
      <c r="S114" s="35"/>
      <c r="T114" s="35"/>
      <c r="U114" s="35"/>
      <c r="V114" s="35"/>
      <c r="W114" s="4"/>
      <c r="X114" s="4"/>
      <c r="Y114" s="4"/>
      <c r="Z114" s="5"/>
      <c r="AA114" s="5"/>
      <c r="AB114" s="5"/>
    </row>
    <row r="115" spans="2:30">
      <c r="B115" s="35"/>
      <c r="C115" s="36"/>
      <c r="D115" s="36"/>
      <c r="E115" s="36"/>
      <c r="F115" s="36"/>
      <c r="G115" s="36"/>
      <c r="H115" s="36"/>
      <c r="I115" s="36"/>
      <c r="J115" s="36"/>
      <c r="K115" s="36"/>
      <c r="L115" s="36"/>
      <c r="M115" s="36"/>
      <c r="N115" s="36"/>
      <c r="P115" s="35"/>
      <c r="Q115" s="35"/>
      <c r="R115" s="35"/>
      <c r="S115" s="35"/>
      <c r="T115" s="35"/>
      <c r="U115" s="35"/>
      <c r="V115" s="35"/>
      <c r="W115" s="4"/>
      <c r="X115" s="4"/>
      <c r="Y115" s="4"/>
      <c r="Z115" s="5"/>
      <c r="AA115" s="5"/>
      <c r="AB115" s="5"/>
    </row>
    <row r="116" spans="2:30">
      <c r="B116" s="35"/>
      <c r="C116" s="62"/>
      <c r="D116" s="62"/>
      <c r="E116" s="36"/>
      <c r="F116" s="36"/>
      <c r="G116" s="36"/>
      <c r="H116" s="113"/>
      <c r="I116" s="113"/>
      <c r="J116" s="113"/>
      <c r="K116" s="113"/>
      <c r="L116" s="113"/>
      <c r="M116" s="113"/>
      <c r="N116" s="113"/>
      <c r="P116" s="35"/>
      <c r="Q116" s="35"/>
      <c r="R116" s="35"/>
      <c r="S116" s="35"/>
      <c r="T116" s="35"/>
      <c r="U116" s="35"/>
      <c r="V116" s="35"/>
      <c r="W116" s="4"/>
      <c r="X116" s="4"/>
      <c r="Y116" s="4"/>
      <c r="Z116" s="5"/>
      <c r="AA116" s="5"/>
      <c r="AB116" s="5"/>
    </row>
    <row r="117" spans="2:30">
      <c r="B117" s="35"/>
      <c r="C117" s="62"/>
      <c r="D117" s="62"/>
      <c r="E117" s="36"/>
      <c r="F117" s="36"/>
      <c r="G117" s="36"/>
      <c r="H117" s="62"/>
      <c r="I117" s="62"/>
      <c r="J117" s="62"/>
      <c r="K117" s="62"/>
      <c r="L117" s="62"/>
      <c r="M117" s="62"/>
      <c r="N117" s="62"/>
      <c r="P117" s="35"/>
      <c r="Q117" s="35"/>
      <c r="R117" s="35"/>
      <c r="S117" s="35"/>
      <c r="T117" s="35"/>
      <c r="U117" s="35"/>
      <c r="V117" s="35"/>
      <c r="W117" s="4"/>
      <c r="X117" s="4"/>
      <c r="Y117" s="4"/>
      <c r="Z117" s="5"/>
      <c r="AA117" s="5"/>
      <c r="AB117" s="5"/>
    </row>
    <row r="118" spans="2:30">
      <c r="B118" s="35"/>
      <c r="C118" s="62"/>
      <c r="D118" s="62"/>
      <c r="E118" s="36"/>
      <c r="F118" s="36"/>
      <c r="G118" s="36"/>
      <c r="H118" s="62"/>
      <c r="I118" s="62"/>
      <c r="J118" s="62"/>
      <c r="K118" s="62"/>
      <c r="L118" s="62"/>
      <c r="M118" s="62"/>
      <c r="N118" s="62"/>
      <c r="P118" s="35"/>
      <c r="Q118" s="35"/>
      <c r="R118" s="35"/>
      <c r="S118" s="35"/>
      <c r="T118" s="35"/>
      <c r="U118" s="35"/>
      <c r="V118" s="35"/>
      <c r="W118" s="4"/>
      <c r="X118" s="4"/>
      <c r="Y118" s="4"/>
      <c r="Z118" s="5"/>
      <c r="AA118" s="5"/>
      <c r="AB118" s="5"/>
    </row>
    <row r="119" spans="2:30" ht="15">
      <c r="B119" s="35"/>
      <c r="C119" s="56"/>
      <c r="D119" s="56"/>
      <c r="E119" s="36"/>
      <c r="F119" s="36"/>
      <c r="G119" s="36"/>
      <c r="H119" s="62"/>
      <c r="I119" s="62"/>
      <c r="J119" s="62"/>
      <c r="K119" s="62"/>
      <c r="L119" s="62"/>
      <c r="M119" s="62"/>
      <c r="N119" s="62"/>
      <c r="O119" s="62"/>
      <c r="P119" s="62"/>
      <c r="Q119" s="35"/>
      <c r="R119" s="35"/>
      <c r="S119" s="35"/>
      <c r="T119" s="35"/>
      <c r="U119" s="35"/>
      <c r="V119" s="35"/>
      <c r="W119" s="35"/>
      <c r="X119" s="35"/>
      <c r="Y119" s="4"/>
      <c r="Z119" s="4"/>
      <c r="AA119" s="4"/>
      <c r="AB119" s="5"/>
      <c r="AC119" s="5"/>
      <c r="AD119" s="5"/>
    </row>
    <row r="120" spans="2:30">
      <c r="B120" s="35"/>
      <c r="C120" s="62"/>
      <c r="D120" s="62"/>
      <c r="E120" s="36"/>
      <c r="F120" s="36"/>
      <c r="G120" s="36"/>
      <c r="H120" s="113"/>
      <c r="I120" s="113"/>
      <c r="J120" s="113"/>
      <c r="K120" s="113"/>
      <c r="L120" s="113"/>
      <c r="M120" s="113"/>
      <c r="N120" s="113"/>
      <c r="O120" s="113"/>
      <c r="P120" s="113"/>
      <c r="Q120" s="35"/>
      <c r="R120" s="35"/>
      <c r="S120" s="35"/>
      <c r="T120" s="35"/>
      <c r="U120" s="35"/>
      <c r="V120" s="35"/>
      <c r="W120" s="35"/>
      <c r="X120" s="35"/>
      <c r="Y120" s="4"/>
      <c r="Z120" s="4"/>
      <c r="AA120" s="4"/>
      <c r="AB120" s="5"/>
      <c r="AC120" s="5"/>
      <c r="AD120" s="5"/>
    </row>
    <row r="121" spans="2:30">
      <c r="B121" s="35"/>
      <c r="C121" s="62"/>
      <c r="D121" s="62"/>
      <c r="E121" s="36"/>
      <c r="F121" s="36"/>
      <c r="G121" s="36"/>
      <c r="H121" s="62"/>
      <c r="I121" s="62"/>
      <c r="J121" s="62"/>
      <c r="K121" s="62"/>
      <c r="L121" s="62"/>
      <c r="M121" s="62"/>
      <c r="N121" s="62"/>
      <c r="O121" s="62"/>
      <c r="P121" s="62"/>
      <c r="Q121" s="35"/>
      <c r="R121" s="35"/>
      <c r="S121" s="35"/>
      <c r="T121" s="35"/>
      <c r="U121" s="35"/>
      <c r="V121" s="35"/>
      <c r="W121" s="35"/>
      <c r="X121" s="35"/>
      <c r="Y121" s="4"/>
      <c r="Z121" s="4"/>
      <c r="AA121" s="4"/>
      <c r="AB121" s="5"/>
      <c r="AC121" s="5"/>
      <c r="AD121" s="5"/>
    </row>
    <row r="122" spans="2:30">
      <c r="C122" s="35"/>
      <c r="D122" s="35"/>
      <c r="E122" s="35"/>
      <c r="F122" s="35"/>
      <c r="G122" s="35"/>
      <c r="H122" s="35"/>
      <c r="I122" s="35"/>
      <c r="J122" s="35"/>
      <c r="K122" s="35"/>
      <c r="L122" s="35"/>
      <c r="M122" s="35"/>
      <c r="N122" s="35"/>
      <c r="P122" s="35"/>
      <c r="Q122" s="35"/>
      <c r="R122" s="35"/>
      <c r="S122" s="35"/>
      <c r="T122" s="35"/>
      <c r="U122" s="35"/>
      <c r="V122" s="35"/>
      <c r="W122" s="35"/>
      <c r="X122" s="35"/>
    </row>
  </sheetData>
  <mergeCells count="37">
    <mergeCell ref="M105:M107"/>
    <mergeCell ref="E1:F1"/>
    <mergeCell ref="M7:N7"/>
    <mergeCell ref="M8:N8"/>
    <mergeCell ref="M2:N2"/>
    <mergeCell ref="M3:N3"/>
    <mergeCell ref="M4:N4"/>
    <mergeCell ref="M5:N5"/>
    <mergeCell ref="C38:E38"/>
    <mergeCell ref="C46:E46"/>
    <mergeCell ref="C45:E45"/>
    <mergeCell ref="C44:E44"/>
    <mergeCell ref="C43:E43"/>
    <mergeCell ref="C49:E49"/>
    <mergeCell ref="C42:E42"/>
    <mergeCell ref="C4:D5"/>
    <mergeCell ref="B11:L11"/>
    <mergeCell ref="B21:L21"/>
    <mergeCell ref="B32:L32"/>
    <mergeCell ref="C47:E47"/>
    <mergeCell ref="C48:E48"/>
    <mergeCell ref="B95:L95"/>
    <mergeCell ref="H1:I1"/>
    <mergeCell ref="M6:N6"/>
    <mergeCell ref="C16:D16"/>
    <mergeCell ref="C17:D17"/>
    <mergeCell ref="C18:D18"/>
    <mergeCell ref="C41:E41"/>
    <mergeCell ref="C40:E40"/>
    <mergeCell ref="C39:E39"/>
    <mergeCell ref="C54:E54"/>
    <mergeCell ref="C53:E53"/>
    <mergeCell ref="C52:E52"/>
    <mergeCell ref="C51:E51"/>
    <mergeCell ref="C50:E50"/>
    <mergeCell ref="C35:E35"/>
    <mergeCell ref="C34:E34"/>
  </mergeCells>
  <pageMargins left="0.70866141732283472" right="0.70866141732283472" top="0.74803149606299213" bottom="0.74803149606299213" header="0.31496062992125984" footer="0.31496062992125984"/>
  <pageSetup paperSize="9" scale="37" orientation="portrait"/>
  <drawing r:id="rId1"/>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4" tint="-0.249977111117893"/>
    <pageSetUpPr fitToPage="1"/>
  </sheetPr>
  <dimension ref="A1:BW80"/>
  <sheetViews>
    <sheetView showGridLines="0" topLeftCell="B1" zoomScale="75" zoomScaleNormal="75" zoomScaleSheetLayoutView="100" zoomScalePageLayoutView="75" workbookViewId="0">
      <pane ySplit="1" topLeftCell="A2" activePane="bottomLeft" state="frozen"/>
      <selection activeCell="B1" sqref="B1"/>
      <selection pane="bottomLeft" activeCell="E29" sqref="E29"/>
    </sheetView>
  </sheetViews>
  <sheetFormatPr defaultColWidth="8.7109375" defaultRowHeight="14.25" outlineLevelCol="1"/>
  <cols>
    <col min="1" max="1" width="65.42578125" style="1079" hidden="1" customWidth="1" outlineLevel="1"/>
    <col min="2" max="2" width="15.7109375" style="1079" customWidth="1" collapsed="1"/>
    <col min="3" max="3" width="45.7109375" style="1079" customWidth="1"/>
    <col min="4" max="4" width="18.42578125" style="1079" customWidth="1"/>
    <col min="5" max="5" width="15.7109375" style="1079" customWidth="1"/>
    <col min="6" max="6" width="17.85546875" style="1079" customWidth="1"/>
    <col min="7" max="7" width="18.42578125" style="1079" customWidth="1"/>
    <col min="8" max="9" width="15.7109375" style="1079" customWidth="1"/>
    <col min="10" max="10" width="45.7109375" style="1079" customWidth="1"/>
    <col min="11" max="11" width="17.28515625" style="1079" customWidth="1"/>
    <col min="12" max="12" width="15.7109375" style="1079" customWidth="1"/>
    <col min="13" max="13" width="17.85546875" style="1079" customWidth="1"/>
    <col min="14" max="14" width="24.42578125" style="1079" bestFit="1" customWidth="1"/>
    <col min="15" max="17" width="8.7109375" style="1079"/>
    <col min="18" max="18" width="8.85546875" style="1079" customWidth="1"/>
    <col min="19" max="19" width="3" style="1079" customWidth="1"/>
    <col min="20" max="20" width="8.42578125" style="1079" customWidth="1"/>
    <col min="21" max="22" width="34.42578125" style="1079" customWidth="1"/>
    <col min="23" max="23" width="14.42578125" style="1079" customWidth="1"/>
    <col min="24" max="24" width="17.42578125" style="1079" customWidth="1"/>
    <col min="25" max="25" width="15.42578125" style="1079" customWidth="1"/>
    <col min="26" max="16384" width="8.7109375" style="1079"/>
  </cols>
  <sheetData>
    <row r="1" spans="1:75" s="1078"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5"/>
      <c r="H1" s="2311" t="str">
        <f>HYPERLINK("[.\]outputs_by_channel!A1", "To Intervention data outputs by channel")</f>
        <v>To Intervention data outputs by channel</v>
      </c>
      <c r="I1" s="2312"/>
      <c r="J1" s="1763"/>
      <c r="K1" s="1762"/>
      <c r="L1" s="1762"/>
      <c r="O1" s="532"/>
      <c r="Q1" s="532"/>
      <c r="R1" s="532"/>
      <c r="S1" s="532"/>
      <c r="T1" s="532"/>
      <c r="V1" s="532"/>
      <c r="W1" s="532"/>
      <c r="X1" s="532"/>
      <c r="Y1" s="532"/>
      <c r="AA1" s="532"/>
      <c r="AB1" s="532"/>
      <c r="AC1" s="532"/>
      <c r="AD1" s="532"/>
      <c r="AF1" s="532"/>
      <c r="AG1" s="532"/>
      <c r="AH1" s="532"/>
      <c r="AI1" s="532"/>
      <c r="AK1" s="532"/>
      <c r="AL1" s="532"/>
      <c r="AM1" s="532"/>
      <c r="AN1" s="532"/>
      <c r="AP1" s="532"/>
      <c r="AQ1" s="532"/>
      <c r="AR1" s="532"/>
      <c r="AS1" s="532"/>
      <c r="AU1" s="532"/>
      <c r="AV1" s="532"/>
      <c r="AW1" s="532"/>
      <c r="AX1" s="532"/>
      <c r="AZ1" s="532"/>
      <c r="BA1" s="532"/>
      <c r="BB1" s="532"/>
      <c r="BC1" s="532"/>
      <c r="BE1" s="532"/>
      <c r="BF1" s="532"/>
      <c r="BG1" s="532"/>
      <c r="BH1" s="532"/>
      <c r="BJ1" s="532"/>
      <c r="BK1" s="532"/>
      <c r="BL1" s="532"/>
      <c r="BM1" s="532"/>
      <c r="BO1" s="532"/>
      <c r="BP1" s="532"/>
      <c r="BQ1" s="532"/>
      <c r="BR1" s="532"/>
      <c r="BT1" s="532"/>
      <c r="BU1" s="532"/>
      <c r="BV1" s="532"/>
      <c r="BW1" s="532"/>
    </row>
    <row r="2" spans="1:75" ht="37.5" customHeight="1" thickBot="1">
      <c r="A2" s="612"/>
      <c r="B2" s="1115"/>
      <c r="E2" s="613"/>
      <c r="F2" s="2499"/>
      <c r="G2" s="2499"/>
      <c r="H2" s="2499"/>
      <c r="I2" s="2093"/>
      <c r="J2" s="2072"/>
      <c r="K2" s="2072"/>
      <c r="L2" s="2088"/>
      <c r="N2" s="2469"/>
      <c r="O2" s="2469"/>
      <c r="P2" s="724"/>
      <c r="Q2" s="724"/>
      <c r="R2" s="1119"/>
      <c r="S2" s="1119"/>
      <c r="T2" s="137"/>
      <c r="U2" s="1119"/>
      <c r="V2" s="1119"/>
    </row>
    <row r="3" spans="1:75" ht="15" customHeight="1">
      <c r="A3" s="612"/>
      <c r="B3" s="1115"/>
      <c r="C3" s="2397" t="str">
        <f>Menu!$B33</f>
        <v>Discharge to Assess</v>
      </c>
      <c r="D3" s="2501"/>
      <c r="E3" s="1185"/>
      <c r="F3" s="2500"/>
      <c r="H3" s="1690"/>
      <c r="I3" s="2067"/>
      <c r="J3" s="2070"/>
      <c r="K3" s="2074"/>
      <c r="L3" s="2083"/>
      <c r="N3" s="2469"/>
      <c r="O3" s="2469"/>
      <c r="P3" s="725"/>
      <c r="Q3" s="725"/>
      <c r="R3" s="1119"/>
      <c r="S3" s="1119"/>
      <c r="T3" s="137"/>
      <c r="U3" s="1119"/>
      <c r="V3" s="1119"/>
    </row>
    <row r="4" spans="1:75" ht="15" customHeight="1" thickBot="1">
      <c r="B4" s="1115"/>
      <c r="C4" s="2502"/>
      <c r="D4" s="2503"/>
      <c r="E4" s="1185"/>
      <c r="F4" s="2500"/>
      <c r="H4" s="613"/>
      <c r="I4" s="613"/>
      <c r="J4" s="2070"/>
      <c r="K4" s="2074"/>
      <c r="L4" s="2083"/>
      <c r="N4" s="2469"/>
      <c r="O4" s="2469"/>
      <c r="P4" s="739"/>
      <c r="Q4" s="739"/>
      <c r="R4" s="1119"/>
      <c r="S4" s="1119"/>
      <c r="T4" s="137"/>
      <c r="U4" s="1119"/>
      <c r="V4" s="1119"/>
    </row>
    <row r="5" spans="1:75" ht="15" customHeight="1" thickBot="1">
      <c r="B5" s="1115"/>
      <c r="E5" s="613"/>
      <c r="F5" s="2499"/>
      <c r="G5" s="2499"/>
      <c r="H5" s="2499"/>
      <c r="I5" s="2067"/>
      <c r="J5" s="2070"/>
      <c r="K5" s="2076"/>
      <c r="L5" s="2094"/>
      <c r="N5" s="2469"/>
      <c r="O5" s="2469"/>
      <c r="P5" s="755"/>
      <c r="Q5" s="755"/>
      <c r="R5" s="1119"/>
      <c r="S5" s="1119"/>
      <c r="T5" s="137"/>
      <c r="U5" s="1119"/>
      <c r="V5" s="1119"/>
    </row>
    <row r="6" spans="1:75" ht="15" customHeight="1" thickBot="1">
      <c r="B6" s="1115"/>
      <c r="C6" s="797" t="s">
        <v>582</v>
      </c>
      <c r="D6" s="1729">
        <v>342201</v>
      </c>
      <c r="E6" s="613"/>
      <c r="F6" s="614"/>
      <c r="G6" s="613"/>
      <c r="H6" s="613"/>
      <c r="I6" s="613"/>
      <c r="J6" s="2070"/>
      <c r="K6" s="2077"/>
      <c r="L6" s="2085"/>
      <c r="N6" s="2469"/>
      <c r="O6" s="2469"/>
      <c r="P6" s="725"/>
      <c r="Q6" s="725"/>
      <c r="R6" s="1119"/>
      <c r="S6" s="1119"/>
      <c r="T6" s="137"/>
      <c r="U6" s="1119"/>
      <c r="V6" s="1119"/>
    </row>
    <row r="7" spans="1:75" ht="15" customHeight="1" thickBot="1">
      <c r="B7" s="1115"/>
      <c r="I7" s="1120"/>
      <c r="J7" s="2070"/>
      <c r="K7" s="2074"/>
      <c r="L7" s="2095"/>
      <c r="N7" s="2469"/>
      <c r="O7" s="2469"/>
      <c r="P7" s="739"/>
      <c r="Q7" s="739"/>
      <c r="R7" s="1119"/>
      <c r="S7" s="1119"/>
      <c r="T7" s="137"/>
      <c r="U7" s="1119"/>
      <c r="V7" s="1119"/>
    </row>
    <row r="8" spans="1:75" ht="15.75" customHeight="1" thickBot="1">
      <c r="B8" s="1115"/>
      <c r="C8" s="797" t="s">
        <v>1078</v>
      </c>
      <c r="D8" s="2504" t="s">
        <v>1242</v>
      </c>
      <c r="E8" s="2505"/>
      <c r="F8" s="2506"/>
      <c r="G8" s="1725"/>
      <c r="H8" s="613"/>
      <c r="I8" s="613"/>
      <c r="J8" s="2070"/>
      <c r="K8" s="2076"/>
      <c r="L8" s="2094"/>
      <c r="N8" s="2469"/>
      <c r="O8" s="2469"/>
      <c r="P8" s="755"/>
      <c r="Q8" s="755"/>
      <c r="R8" s="1119"/>
      <c r="S8" s="1119"/>
      <c r="T8" s="137"/>
      <c r="U8" s="1119"/>
      <c r="V8" s="1119"/>
    </row>
    <row r="9" spans="1:75" ht="15.75" customHeight="1">
      <c r="B9" s="1115"/>
      <c r="C9" s="535"/>
      <c r="D9" s="535"/>
      <c r="E9" s="614"/>
      <c r="F9" s="613"/>
      <c r="G9" s="613"/>
      <c r="H9" s="613"/>
      <c r="I9" s="613"/>
      <c r="J9" s="2080"/>
      <c r="K9" s="1000"/>
      <c r="L9" s="1793"/>
      <c r="N9" s="1687"/>
      <c r="O9" s="1687"/>
      <c r="P9" s="755"/>
      <c r="Q9" s="755"/>
      <c r="R9" s="1119"/>
      <c r="S9" s="1119"/>
      <c r="T9" s="137"/>
      <c r="U9" s="1119"/>
      <c r="V9" s="1119"/>
    </row>
    <row r="10" spans="1:75" ht="15.75" customHeight="1">
      <c r="B10" s="1115"/>
      <c r="C10" s="1777" t="str">
        <f>HYPERLINK("[.\]E_D2A!A2","To Evidence")</f>
        <v>To Evidence</v>
      </c>
      <c r="D10" s="535"/>
      <c r="E10" s="614"/>
      <c r="F10" s="613"/>
      <c r="G10" s="613"/>
      <c r="H10" s="613"/>
      <c r="I10" s="613"/>
      <c r="J10" s="1320"/>
      <c r="K10" s="1388"/>
      <c r="L10" s="1406"/>
      <c r="N10" s="1717"/>
      <c r="O10" s="1717"/>
      <c r="P10" s="755"/>
      <c r="Q10" s="755"/>
      <c r="R10" s="1119"/>
      <c r="S10" s="1119"/>
      <c r="T10" s="137"/>
      <c r="U10" s="1119"/>
      <c r="V10" s="1119"/>
    </row>
    <row r="11" spans="1:75" ht="15.75" customHeight="1">
      <c r="B11" s="1398"/>
      <c r="C11" s="535"/>
      <c r="D11" s="535"/>
      <c r="E11" s="535"/>
      <c r="F11" s="613"/>
      <c r="G11" s="613"/>
      <c r="H11" s="613"/>
      <c r="I11" s="613"/>
      <c r="J11" s="1386"/>
      <c r="K11" s="1387"/>
      <c r="L11" s="1407"/>
      <c r="N11" s="1687"/>
      <c r="O11" s="1687"/>
      <c r="P11" s="755"/>
      <c r="Q11" s="755"/>
      <c r="R11" s="1119"/>
      <c r="S11" s="1119"/>
      <c r="T11" s="137"/>
      <c r="U11" s="1119"/>
      <c r="V11" s="1119"/>
    </row>
    <row r="12" spans="1:75" ht="15">
      <c r="A12" s="726" t="s">
        <v>103</v>
      </c>
      <c r="B12" s="2374" t="s">
        <v>119</v>
      </c>
      <c r="C12" s="2484"/>
      <c r="D12" s="2484"/>
      <c r="E12" s="2484"/>
      <c r="F12" s="2484"/>
      <c r="G12" s="2484"/>
      <c r="H12" s="2484"/>
      <c r="I12" s="2484"/>
      <c r="J12" s="2484"/>
      <c r="K12" s="2484"/>
      <c r="L12" s="2485"/>
      <c r="M12" s="1120"/>
      <c r="N12" s="1120"/>
      <c r="O12" s="1119"/>
      <c r="P12" s="1119"/>
      <c r="R12" s="1119"/>
      <c r="S12" s="137"/>
      <c r="T12" s="1119"/>
      <c r="U12" s="1119"/>
      <c r="V12" s="1119"/>
    </row>
    <row r="13" spans="1:75" ht="15">
      <c r="A13" s="1399"/>
      <c r="B13" s="375"/>
      <c r="C13" s="1390"/>
      <c r="D13" s="1390"/>
      <c r="E13" s="1390"/>
      <c r="F13" s="1390"/>
      <c r="G13" s="1390"/>
      <c r="H13" s="1390"/>
      <c r="I13" s="1730"/>
      <c r="J13" s="1391"/>
      <c r="K13" s="1391"/>
      <c r="L13" s="1404"/>
      <c r="M13" s="1120"/>
      <c r="N13" s="1120"/>
      <c r="O13" s="1119"/>
      <c r="P13" s="1119"/>
      <c r="R13" s="1119"/>
      <c r="S13" s="137"/>
      <c r="T13" s="1119"/>
      <c r="U13" s="1119"/>
      <c r="V13" s="1119"/>
    </row>
    <row r="14" spans="1:75" s="1119" customFormat="1" ht="15">
      <c r="A14" s="1115"/>
      <c r="B14" s="536"/>
      <c r="C14" s="2488" t="str">
        <f>C3</f>
        <v>Discharge to Assess</v>
      </c>
      <c r="D14" s="2489"/>
      <c r="E14" s="2490"/>
      <c r="F14" s="1120"/>
      <c r="G14" s="1120"/>
      <c r="H14" s="1078"/>
      <c r="I14" s="1078"/>
      <c r="J14" s="525"/>
      <c r="K14" s="533"/>
      <c r="L14" s="1405"/>
      <c r="S14" s="137"/>
    </row>
    <row r="15" spans="1:75" s="1119" customFormat="1" ht="15">
      <c r="A15" s="1115"/>
      <c r="B15" s="536"/>
      <c r="C15" s="2323" t="s">
        <v>1243</v>
      </c>
      <c r="D15" s="2496"/>
      <c r="E15" s="573">
        <v>120</v>
      </c>
      <c r="F15" s="525"/>
      <c r="J15" s="651"/>
      <c r="K15" s="551"/>
      <c r="L15" s="552" t="s">
        <v>141</v>
      </c>
      <c r="S15" s="137"/>
    </row>
    <row r="16" spans="1:75" s="1119" customFormat="1" ht="15">
      <c r="A16" s="1115"/>
      <c r="B16" s="536"/>
      <c r="C16" s="2323" t="s">
        <v>1244</v>
      </c>
      <c r="D16" s="2496"/>
      <c r="E16" s="573">
        <v>70</v>
      </c>
      <c r="F16" s="525"/>
      <c r="J16" s="525"/>
      <c r="K16" s="1095"/>
      <c r="L16" s="552" t="s">
        <v>143</v>
      </c>
      <c r="S16" s="137"/>
    </row>
    <row r="17" spans="1:22" s="1119" customFormat="1" ht="15">
      <c r="A17" s="1115"/>
      <c r="B17" s="536"/>
      <c r="C17" s="2323" t="s">
        <v>1245</v>
      </c>
      <c r="D17" s="2496"/>
      <c r="E17" s="595">
        <f>+E15*E16</f>
        <v>8400</v>
      </c>
      <c r="F17" s="525"/>
      <c r="J17" s="525"/>
      <c r="K17" s="728" t="s">
        <v>556</v>
      </c>
      <c r="L17" s="552" t="s">
        <v>143</v>
      </c>
      <c r="S17" s="137"/>
    </row>
    <row r="18" spans="1:22" s="1392" customFormat="1" ht="42.75">
      <c r="A18" s="1400"/>
      <c r="B18" s="1393"/>
      <c r="C18" s="599"/>
      <c r="D18" s="599"/>
      <c r="E18" s="1187"/>
      <c r="F18" s="1187"/>
      <c r="G18" s="1394"/>
      <c r="H18" s="599"/>
      <c r="I18" s="599"/>
      <c r="J18" s="599"/>
      <c r="K18" s="2193"/>
      <c r="L18" s="507" t="s">
        <v>1299</v>
      </c>
    </row>
    <row r="19" spans="1:22" s="1119" customFormat="1" ht="15">
      <c r="A19" s="1115"/>
      <c r="B19" s="747"/>
      <c r="C19" s="557"/>
      <c r="D19" s="557"/>
      <c r="E19" s="748"/>
      <c r="F19" s="749"/>
      <c r="G19" s="749"/>
      <c r="H19" s="749"/>
      <c r="I19" s="1731"/>
      <c r="J19" s="749"/>
      <c r="K19" s="749"/>
      <c r="L19" s="1408"/>
    </row>
    <row r="20" spans="1:22" ht="15">
      <c r="B20" s="2343" t="s">
        <v>117</v>
      </c>
      <c r="C20" s="2491"/>
      <c r="D20" s="2491"/>
      <c r="E20" s="2491"/>
      <c r="F20" s="2491"/>
      <c r="G20" s="2491"/>
      <c r="H20" s="2491"/>
      <c r="I20" s="2491"/>
      <c r="J20" s="2491"/>
      <c r="K20" s="2491"/>
      <c r="L20" s="2492"/>
      <c r="M20" s="1120"/>
      <c r="N20" s="1120"/>
      <c r="O20" s="1119"/>
      <c r="P20" s="1119"/>
      <c r="R20" s="1119"/>
      <c r="S20" s="1119"/>
      <c r="T20" s="1119"/>
      <c r="U20" s="1119"/>
      <c r="V20" s="1119"/>
    </row>
    <row r="21" spans="1:22" ht="15">
      <c r="B21" s="1399"/>
      <c r="C21" s="525"/>
      <c r="D21" s="1120"/>
      <c r="E21" s="1120"/>
      <c r="F21" s="658"/>
      <c r="G21" s="537"/>
      <c r="H21" s="537"/>
      <c r="I21" s="537"/>
      <c r="J21" s="1184"/>
      <c r="K21" s="1121"/>
      <c r="L21" s="1404"/>
      <c r="M21" s="1120"/>
      <c r="N21" s="537"/>
      <c r="O21" s="1119"/>
      <c r="P21" s="1119"/>
      <c r="Q21" s="1119"/>
      <c r="R21" s="1119"/>
      <c r="S21" s="1119"/>
      <c r="T21" s="1119"/>
      <c r="U21" s="1119"/>
    </row>
    <row r="22" spans="1:22" ht="15">
      <c r="B22" s="1120"/>
      <c r="C22" s="1776" t="s">
        <v>1317</v>
      </c>
      <c r="D22" s="1120"/>
      <c r="E22" s="1776"/>
      <c r="F22" s="658"/>
      <c r="G22" s="537"/>
      <c r="H22" s="537"/>
      <c r="I22" s="537"/>
      <c r="J22" s="1184"/>
      <c r="K22" s="1121"/>
      <c r="L22" s="1405"/>
      <c r="M22" s="1120"/>
      <c r="N22" s="537"/>
      <c r="O22" s="1119"/>
      <c r="P22" s="1119"/>
      <c r="Q22" s="1119"/>
      <c r="R22" s="1119"/>
      <c r="S22" s="1119"/>
      <c r="T22" s="1119"/>
      <c r="U22" s="1119"/>
    </row>
    <row r="23" spans="1:22" ht="15">
      <c r="B23" s="1120"/>
      <c r="C23" s="1776" t="s">
        <v>1316</v>
      </c>
      <c r="D23" s="1120"/>
      <c r="E23" s="1120"/>
      <c r="F23" s="658"/>
      <c r="G23" s="537"/>
      <c r="H23" s="537"/>
      <c r="I23" s="537"/>
      <c r="J23" s="1184"/>
      <c r="K23" s="1121"/>
      <c r="L23" s="1405"/>
      <c r="M23" s="1120"/>
      <c r="N23" s="537"/>
      <c r="O23" s="1119"/>
      <c r="P23" s="1119"/>
      <c r="Q23" s="1119"/>
      <c r="R23" s="1119"/>
      <c r="S23" s="1119"/>
      <c r="T23" s="1119"/>
      <c r="U23" s="1119"/>
    </row>
    <row r="24" spans="1:22" ht="15">
      <c r="B24" s="1120"/>
      <c r="C24" s="528"/>
      <c r="D24" s="1120"/>
      <c r="E24" s="1120"/>
      <c r="F24" s="658"/>
      <c r="G24" s="537"/>
      <c r="H24" s="537"/>
      <c r="I24" s="537"/>
      <c r="J24" s="1184"/>
      <c r="K24" s="1121"/>
      <c r="L24" s="1405"/>
      <c r="M24" s="1120"/>
      <c r="N24" s="537"/>
      <c r="O24" s="1119"/>
      <c r="P24" s="1119"/>
      <c r="Q24" s="1119"/>
      <c r="R24" s="1119"/>
      <c r="S24" s="1119"/>
      <c r="T24" s="1119"/>
      <c r="U24" s="1119"/>
    </row>
    <row r="25" spans="1:22" ht="15">
      <c r="B25" s="1120"/>
      <c r="C25" s="639" t="s">
        <v>1092</v>
      </c>
      <c r="D25" s="773">
        <v>0</v>
      </c>
      <c r="E25" s="1120"/>
      <c r="F25" s="658"/>
      <c r="G25" s="537"/>
      <c r="H25" s="537"/>
      <c r="I25" s="537"/>
      <c r="J25" s="1184"/>
      <c r="K25" s="1121"/>
      <c r="L25" s="1405"/>
      <c r="M25" s="1120"/>
      <c r="N25" s="537"/>
      <c r="O25" s="1119"/>
      <c r="P25" s="1119"/>
      <c r="Q25" s="1119"/>
      <c r="R25" s="1119"/>
      <c r="S25" s="1119"/>
      <c r="T25" s="1119"/>
      <c r="U25" s="1119"/>
    </row>
    <row r="26" spans="1:22" ht="15">
      <c r="B26" s="1120"/>
      <c r="C26" s="528"/>
      <c r="D26" s="1120"/>
      <c r="E26" s="1120"/>
      <c r="F26" s="658"/>
      <c r="G26" s="537"/>
      <c r="H26" s="537"/>
      <c r="I26" s="537"/>
      <c r="J26" s="1184"/>
      <c r="K26" s="1121"/>
      <c r="L26" s="1405"/>
      <c r="M26" s="1120"/>
      <c r="N26" s="537"/>
      <c r="O26" s="1119"/>
      <c r="P26" s="1119"/>
      <c r="Q26" s="1119"/>
      <c r="R26" s="1119"/>
      <c r="S26" s="1119"/>
      <c r="T26" s="1119"/>
      <c r="U26" s="1119"/>
    </row>
    <row r="27" spans="1:22" ht="15">
      <c r="B27" s="1120"/>
      <c r="C27" s="528"/>
      <c r="D27" s="1120"/>
      <c r="E27" s="1120"/>
      <c r="F27" s="658"/>
      <c r="G27" s="537"/>
      <c r="H27" s="537"/>
      <c r="I27" s="537"/>
      <c r="J27" s="1184"/>
      <c r="K27" s="1121"/>
      <c r="L27" s="1405"/>
      <c r="M27" s="1120"/>
      <c r="N27" s="537"/>
      <c r="O27" s="1119"/>
      <c r="P27" s="1119"/>
      <c r="Q27" s="1119"/>
      <c r="R27" s="1119"/>
      <c r="S27" s="1119"/>
      <c r="T27" s="1119"/>
      <c r="U27" s="1119"/>
    </row>
    <row r="28" spans="1:22" s="1083" customFormat="1" ht="49.5" customHeight="1">
      <c r="B28" s="1726"/>
      <c r="C28" s="684" t="s">
        <v>1145</v>
      </c>
      <c r="D28" s="684" t="s">
        <v>1146</v>
      </c>
      <c r="E28" s="684" t="s">
        <v>1147</v>
      </c>
      <c r="F28" s="444" t="s">
        <v>1040</v>
      </c>
      <c r="G28" s="1688" t="s">
        <v>1148</v>
      </c>
      <c r="H28" s="1688" t="s">
        <v>1149</v>
      </c>
      <c r="I28" s="1685"/>
      <c r="J28" s="684" t="s">
        <v>1145</v>
      </c>
      <c r="K28" s="1688" t="s">
        <v>1235</v>
      </c>
      <c r="L28" s="1134" t="s">
        <v>1210</v>
      </c>
      <c r="M28" s="1120"/>
      <c r="N28" s="1088"/>
      <c r="O28" s="200"/>
      <c r="P28" s="1081"/>
      <c r="Q28" s="1081"/>
      <c r="R28" s="1081"/>
      <c r="S28" s="1081"/>
      <c r="T28" s="1081"/>
      <c r="U28" s="1081"/>
      <c r="V28" s="1081"/>
    </row>
    <row r="29" spans="1:22" ht="15">
      <c r="B29" s="1389"/>
      <c r="C29" s="1728" t="s">
        <v>1150</v>
      </c>
      <c r="D29" s="573">
        <v>28</v>
      </c>
      <c r="E29" s="1673">
        <v>0.6428571428571429</v>
      </c>
      <c r="F29" s="1133">
        <f>VLOOKUP(E29,Run_D2A!$D$30:$E$59,2,FALSE)</f>
        <v>232.50757278436663</v>
      </c>
      <c r="G29" s="1729">
        <f>D29*365</f>
        <v>10220</v>
      </c>
      <c r="H29" s="1729">
        <f>G29*E29</f>
        <v>6570.0000000000009</v>
      </c>
      <c r="I29" s="1292"/>
      <c r="J29" s="1732" t="s">
        <v>1236</v>
      </c>
      <c r="K29" s="1438"/>
      <c r="L29" s="1135">
        <f>H29*F29</f>
        <v>1527574.753193289</v>
      </c>
      <c r="M29" s="1120"/>
      <c r="N29" s="1120"/>
      <c r="O29" s="537"/>
      <c r="P29" s="1119"/>
      <c r="Q29" s="1119"/>
      <c r="R29" s="1119"/>
      <c r="S29" s="1119"/>
      <c r="T29" s="1119"/>
      <c r="U29" s="1119"/>
      <c r="V29" s="1119"/>
    </row>
    <row r="30" spans="1:22" ht="15">
      <c r="B30" s="1115"/>
      <c r="C30" s="1121"/>
      <c r="D30" s="1121"/>
      <c r="E30" s="1121"/>
      <c r="F30" s="1121"/>
      <c r="G30" s="1121"/>
      <c r="H30" s="1121"/>
      <c r="I30" s="1121"/>
      <c r="J30" s="2497" t="s">
        <v>25</v>
      </c>
      <c r="K30" s="2498"/>
      <c r="L30" s="1135">
        <f>SUM(L29:L29)</f>
        <v>1527574.753193289</v>
      </c>
      <c r="M30" s="1119"/>
      <c r="N30" s="1119"/>
      <c r="O30" s="1119"/>
      <c r="P30" s="1119"/>
      <c r="Q30" s="1119"/>
      <c r="R30" s="1119"/>
      <c r="S30" s="137"/>
      <c r="T30" s="1119"/>
      <c r="U30" s="1119"/>
    </row>
    <row r="31" spans="1:22" s="1116" customFormat="1" ht="15">
      <c r="B31" s="1115"/>
      <c r="C31" s="1995" t="s">
        <v>705</v>
      </c>
      <c r="D31" s="1995" t="s">
        <v>149</v>
      </c>
      <c r="L31" s="1997"/>
      <c r="S31" s="1119"/>
    </row>
    <row r="32" spans="1:22" s="1116" customFormat="1" ht="15">
      <c r="B32" s="1115"/>
      <c r="C32" s="623" t="s">
        <v>1151</v>
      </c>
      <c r="D32" s="736">
        <v>-35</v>
      </c>
      <c r="L32" s="1118"/>
      <c r="S32" s="1119"/>
    </row>
    <row r="33" spans="1:22" s="1116" customFormat="1">
      <c r="B33" s="1115"/>
      <c r="L33" s="1118"/>
      <c r="S33" s="1119"/>
    </row>
    <row r="34" spans="1:22" s="1116" customFormat="1" ht="15">
      <c r="B34" s="1115"/>
      <c r="C34" s="623" t="s">
        <v>706</v>
      </c>
      <c r="D34" s="380">
        <f>H29/D32*-1</f>
        <v>187.71428571428575</v>
      </c>
      <c r="L34" s="1118"/>
      <c r="S34" s="1119"/>
    </row>
    <row r="35" spans="1:22" s="1116" customFormat="1">
      <c r="L35" s="1118"/>
      <c r="S35" s="1119"/>
    </row>
    <row r="36" spans="1:22" s="1116" customFormat="1">
      <c r="L36" s="1118"/>
      <c r="S36" s="1119"/>
    </row>
    <row r="37" spans="1:22" s="1116" customFormat="1">
      <c r="L37" s="1118"/>
      <c r="S37" s="1119"/>
    </row>
    <row r="38" spans="1:22" ht="15">
      <c r="A38" s="726" t="s">
        <v>103</v>
      </c>
      <c r="B38" s="2374" t="s">
        <v>102</v>
      </c>
      <c r="C38" s="2484"/>
      <c r="D38" s="2484"/>
      <c r="E38" s="2484"/>
      <c r="F38" s="2484"/>
      <c r="G38" s="2484"/>
      <c r="H38" s="2484"/>
      <c r="I38" s="2484"/>
      <c r="J38" s="2484"/>
      <c r="K38" s="2484"/>
      <c r="L38" s="2485"/>
      <c r="M38" s="1120"/>
      <c r="N38" s="1120"/>
      <c r="O38" s="1119"/>
      <c r="P38" s="1119"/>
      <c r="R38" s="1119"/>
      <c r="S38" s="1119"/>
      <c r="T38" s="1119"/>
      <c r="U38" s="1119"/>
      <c r="V38" s="1119"/>
    </row>
    <row r="39" spans="1:22" ht="15">
      <c r="A39" s="1401"/>
      <c r="B39" s="1402"/>
      <c r="C39" s="1395"/>
      <c r="D39" s="1116"/>
      <c r="E39" s="1116"/>
      <c r="F39" s="1117"/>
      <c r="G39" s="1117"/>
      <c r="H39" s="1117"/>
      <c r="I39" s="1117"/>
      <c r="J39" s="1117"/>
      <c r="K39" s="1686"/>
      <c r="L39" s="1409"/>
      <c r="M39" s="1119"/>
      <c r="N39" s="1119"/>
      <c r="O39" s="1119"/>
      <c r="P39" s="1119"/>
      <c r="Q39" s="1119"/>
      <c r="R39" s="1119"/>
      <c r="S39" s="1119"/>
      <c r="T39" s="1119"/>
      <c r="U39" s="1119"/>
    </row>
    <row r="40" spans="1:22">
      <c r="A40" s="1137"/>
      <c r="B40" s="1389"/>
      <c r="C40" s="1121"/>
      <c r="D40" s="1121"/>
      <c r="E40" s="1116"/>
      <c r="F40" s="1121"/>
      <c r="G40" s="1117"/>
      <c r="H40" s="1117"/>
      <c r="I40" s="1117"/>
      <c r="L40" s="1118"/>
      <c r="M40" s="1119"/>
      <c r="N40" s="1119"/>
      <c r="O40" s="1119"/>
      <c r="P40" s="1119"/>
      <c r="Q40" s="1119"/>
      <c r="R40" s="1119"/>
      <c r="S40" s="1119"/>
      <c r="T40" s="1119"/>
      <c r="U40" s="1119"/>
    </row>
    <row r="41" spans="1:22" ht="45.75" customHeight="1">
      <c r="A41" s="1137"/>
      <c r="B41" s="1389"/>
      <c r="C41" s="1688" t="s">
        <v>705</v>
      </c>
      <c r="D41" s="1688" t="s">
        <v>149</v>
      </c>
      <c r="E41" s="1116"/>
      <c r="G41" s="1117"/>
      <c r="H41" s="1117"/>
      <c r="I41" s="1117"/>
      <c r="J41" s="1688" t="s">
        <v>1001</v>
      </c>
      <c r="K41" s="1688" t="s">
        <v>121</v>
      </c>
      <c r="L41" s="1134" t="s">
        <v>148</v>
      </c>
      <c r="M41" s="2495"/>
      <c r="N41" s="1119"/>
      <c r="O41" s="1119"/>
      <c r="P41" s="1119"/>
      <c r="Q41" s="1119"/>
      <c r="R41" s="1119"/>
      <c r="S41" s="1119"/>
      <c r="T41" s="1119"/>
      <c r="U41" s="1119"/>
    </row>
    <row r="42" spans="1:22" ht="15">
      <c r="A42" s="1137"/>
      <c r="B42" s="1389"/>
      <c r="C42" s="623" t="s">
        <v>69</v>
      </c>
      <c r="D42" s="736">
        <v>35</v>
      </c>
      <c r="E42" s="1116"/>
      <c r="G42" s="1396"/>
      <c r="H42" s="1396"/>
      <c r="I42" s="1396"/>
      <c r="J42" s="623" t="s">
        <v>69</v>
      </c>
      <c r="K42" s="598">
        <f>$D$34*D42</f>
        <v>6570.0000000000009</v>
      </c>
      <c r="L42" s="631">
        <f>SIGN(D42)*INT(ABS(K42)/E46)*E46</f>
        <v>6570</v>
      </c>
      <c r="M42" s="2495"/>
      <c r="N42" s="1119"/>
      <c r="O42" s="1119"/>
      <c r="P42" s="1119"/>
      <c r="Q42" s="1119"/>
      <c r="R42" s="1119"/>
      <c r="S42" s="1119"/>
      <c r="T42" s="1119"/>
      <c r="U42" s="1119"/>
    </row>
    <row r="43" spans="1:22" ht="15">
      <c r="A43" s="1137"/>
      <c r="B43" s="1389"/>
      <c r="E43" s="1116"/>
      <c r="G43" s="1396"/>
      <c r="H43" s="1396"/>
      <c r="I43" s="1396"/>
      <c r="J43" s="2493" t="s">
        <v>1211</v>
      </c>
      <c r="K43" s="2494"/>
      <c r="L43" s="1727"/>
      <c r="M43" s="1689"/>
      <c r="N43" s="1119"/>
      <c r="O43" s="1119"/>
      <c r="P43" s="1119"/>
      <c r="Q43" s="1119"/>
      <c r="R43" s="1119"/>
      <c r="S43" s="1119"/>
      <c r="T43" s="1119"/>
      <c r="U43" s="1119"/>
    </row>
    <row r="44" spans="1:22" ht="14.25" customHeight="1">
      <c r="A44" s="1137"/>
      <c r="B44" s="1389"/>
      <c r="C44" s="1117"/>
      <c r="D44" s="1117"/>
      <c r="E44" s="1116"/>
      <c r="F44" s="1395"/>
      <c r="G44" s="1117"/>
      <c r="H44" s="1117"/>
      <c r="I44" s="1117"/>
      <c r="J44" s="1121"/>
      <c r="K44" s="1121"/>
      <c r="L44" s="2486" t="s">
        <v>704</v>
      </c>
      <c r="M44" s="1119"/>
      <c r="N44" s="1119"/>
      <c r="O44" s="1119"/>
      <c r="P44" s="1119"/>
      <c r="Q44" s="1119"/>
      <c r="R44" s="1119"/>
      <c r="S44" s="1119"/>
      <c r="T44" s="1119"/>
      <c r="U44" s="1119"/>
    </row>
    <row r="45" spans="1:22" ht="45">
      <c r="A45" s="1137"/>
      <c r="B45" s="1389"/>
      <c r="C45" s="582" t="s">
        <v>1214</v>
      </c>
      <c r="D45" s="1688" t="s">
        <v>660</v>
      </c>
      <c r="E45" s="1688" t="s">
        <v>974</v>
      </c>
      <c r="F45" s="1688" t="s">
        <v>144</v>
      </c>
      <c r="G45" s="1688" t="s">
        <v>561</v>
      </c>
      <c r="H45" s="1395"/>
      <c r="I45" s="1395"/>
      <c r="L45" s="2487"/>
      <c r="M45" s="1119"/>
      <c r="N45" s="1119"/>
      <c r="O45" s="1119"/>
      <c r="P45" s="1119"/>
      <c r="Q45" s="1119"/>
      <c r="R45" s="1119"/>
      <c r="S45" s="1119"/>
      <c r="T45" s="1119"/>
      <c r="U45" s="1119"/>
    </row>
    <row r="46" spans="1:22" ht="30">
      <c r="A46" s="1137"/>
      <c r="B46" s="1389"/>
      <c r="C46" s="623" t="str">
        <f>C42</f>
        <v>Emergency bed days</v>
      </c>
      <c r="D46" s="1194">
        <f>VLOOKUP($C46,local_data_input!$B$4:$K$20,2,FALSE)</f>
        <v>471.55482717174652</v>
      </c>
      <c r="E46" s="771">
        <f>VLOOKUP($C46,local_data_input!$B$4:$K$20,7,FALSE)</f>
        <v>2190</v>
      </c>
      <c r="F46" s="1194">
        <f>VLOOKUP($C46,local_data_input!$B$4:$K$20,8,FALSE)</f>
        <v>76.38780719409533</v>
      </c>
      <c r="G46" s="1194">
        <f>VLOOKUP($C46,local_data_input!$B$4:$K$20,9,FALSE)</f>
        <v>76.38780719409533</v>
      </c>
      <c r="H46" s="1395"/>
      <c r="I46" s="1395"/>
      <c r="J46" s="1684" t="s">
        <v>1002</v>
      </c>
      <c r="K46" s="691" t="s">
        <v>661</v>
      </c>
      <c r="L46" s="1173" t="s">
        <v>120</v>
      </c>
      <c r="M46" s="1119"/>
      <c r="N46" s="1119"/>
      <c r="O46" s="1119"/>
      <c r="P46" s="1119"/>
      <c r="Q46" s="1119"/>
      <c r="R46" s="1119"/>
      <c r="S46" s="1119"/>
      <c r="T46" s="1119"/>
      <c r="U46" s="1119"/>
    </row>
    <row r="47" spans="1:22" ht="15">
      <c r="A47" s="1137"/>
      <c r="B47" s="1389"/>
      <c r="C47" s="533"/>
      <c r="D47" s="533"/>
      <c r="E47" s="533"/>
      <c r="F47" s="533"/>
      <c r="G47" s="533"/>
      <c r="H47" s="533"/>
      <c r="I47" s="533"/>
      <c r="J47" s="623" t="str">
        <f>C42</f>
        <v>Emergency bed days</v>
      </c>
      <c r="K47" s="1133">
        <f>K42*D46</f>
        <v>3098115.2145183752</v>
      </c>
      <c r="L47" s="1135">
        <f>((K42-L42)*F46)+(L42*G46)</f>
        <v>501867.89326520637</v>
      </c>
      <c r="M47" s="537"/>
      <c r="N47" s="1119"/>
      <c r="O47" s="1119"/>
      <c r="P47" s="1119"/>
      <c r="Q47" s="1119"/>
      <c r="R47" s="1119"/>
      <c r="S47" s="1119"/>
      <c r="T47" s="1119"/>
    </row>
    <row r="48" spans="1:22" ht="15">
      <c r="A48" s="1137"/>
      <c r="B48" s="734"/>
      <c r="C48" s="537"/>
      <c r="D48" s="537"/>
      <c r="E48" s="537"/>
      <c r="F48" s="1121"/>
      <c r="G48" s="537"/>
      <c r="H48" s="537"/>
      <c r="I48" s="537"/>
      <c r="J48" s="623" t="s">
        <v>98</v>
      </c>
      <c r="K48" s="1133">
        <f>SUM(K47:K47)</f>
        <v>3098115.2145183752</v>
      </c>
      <c r="L48" s="1135">
        <f>SUM(L47:L47)</f>
        <v>501867.89326520637</v>
      </c>
      <c r="M48" s="1119"/>
      <c r="N48" s="1119"/>
      <c r="O48" s="1119"/>
      <c r="P48" s="1119"/>
      <c r="Q48" s="1119"/>
      <c r="R48" s="1119"/>
      <c r="S48" s="1119"/>
      <c r="T48" s="1119"/>
      <c r="U48" s="1119"/>
    </row>
    <row r="49" spans="1:24">
      <c r="A49" s="1137"/>
      <c r="B49" s="1389"/>
      <c r="C49" s="1121"/>
      <c r="D49" s="1121"/>
      <c r="E49" s="1121"/>
      <c r="F49" s="1121"/>
      <c r="G49" s="1117"/>
      <c r="H49" s="1117"/>
      <c r="I49" s="1117"/>
      <c r="J49" s="1121"/>
      <c r="K49" s="1121"/>
      <c r="L49" s="1118"/>
      <c r="M49" s="1119"/>
      <c r="N49" s="1119"/>
      <c r="O49" s="1119"/>
      <c r="P49" s="1119"/>
      <c r="Q49" s="1119"/>
      <c r="R49" s="1119"/>
      <c r="S49" s="1119"/>
      <c r="T49" s="1119"/>
      <c r="U49" s="1119"/>
    </row>
    <row r="50" spans="1:24" ht="15">
      <c r="A50" s="1137"/>
      <c r="B50" s="1389"/>
      <c r="C50" s="533"/>
      <c r="D50" s="533"/>
      <c r="E50" s="533"/>
      <c r="F50" s="533"/>
      <c r="G50" s="533"/>
      <c r="H50" s="533"/>
      <c r="I50" s="533"/>
      <c r="J50" s="1121"/>
      <c r="K50" s="1121"/>
      <c r="L50" s="1405"/>
      <c r="M50" s="537"/>
      <c r="N50" s="1119"/>
      <c r="O50" s="1119"/>
      <c r="P50" s="1119"/>
      <c r="Q50" s="1119"/>
      <c r="R50" s="1119"/>
      <c r="S50" s="1119"/>
      <c r="T50" s="1119"/>
    </row>
    <row r="51" spans="1:24" ht="15">
      <c r="A51" s="1137"/>
      <c r="B51" s="1389"/>
      <c r="C51" s="533"/>
      <c r="D51" s="533"/>
      <c r="E51" s="533"/>
      <c r="F51" s="533"/>
      <c r="G51" s="533"/>
      <c r="H51" s="533"/>
      <c r="I51" s="533"/>
      <c r="J51" s="1121"/>
      <c r="K51" s="1121"/>
      <c r="L51" s="1408"/>
      <c r="M51" s="1120"/>
      <c r="N51" s="537"/>
      <c r="O51" s="1119"/>
      <c r="P51" s="1119"/>
      <c r="Q51" s="1119"/>
      <c r="R51" s="1119"/>
      <c r="S51" s="1119"/>
      <c r="T51" s="1119"/>
      <c r="U51" s="1119"/>
    </row>
    <row r="52" spans="1:24" ht="15">
      <c r="B52" s="2374" t="s">
        <v>97</v>
      </c>
      <c r="C52" s="2484"/>
      <c r="D52" s="2484"/>
      <c r="E52" s="2484"/>
      <c r="F52" s="2484"/>
      <c r="G52" s="2484"/>
      <c r="H52" s="2484"/>
      <c r="I52" s="2484"/>
      <c r="J52" s="2484"/>
      <c r="K52" s="2484"/>
      <c r="L52" s="2485"/>
      <c r="M52" s="1120"/>
      <c r="N52" s="1120"/>
      <c r="O52" s="1119"/>
      <c r="P52" s="1119"/>
      <c r="R52" s="1119"/>
      <c r="S52" s="1119"/>
      <c r="T52" s="1119"/>
      <c r="U52" s="1119"/>
      <c r="V52" s="1119"/>
    </row>
    <row r="53" spans="1:24">
      <c r="B53" s="1399"/>
      <c r="C53" s="1121"/>
      <c r="D53" s="1120"/>
      <c r="E53" s="1120"/>
      <c r="F53" s="1116"/>
      <c r="G53" s="1116"/>
      <c r="H53" s="1116"/>
      <c r="I53" s="1116"/>
      <c r="J53" s="1120"/>
      <c r="K53" s="1120"/>
      <c r="L53" s="1404"/>
      <c r="M53" s="1119"/>
      <c r="N53" s="1119"/>
      <c r="O53" s="1119"/>
      <c r="P53" s="1119"/>
      <c r="Q53" s="1119"/>
      <c r="R53" s="1119"/>
      <c r="S53" s="1119"/>
      <c r="T53" s="4"/>
      <c r="U53" s="4"/>
      <c r="V53" s="5"/>
      <c r="W53" s="5"/>
      <c r="X53" s="5"/>
    </row>
    <row r="54" spans="1:24">
      <c r="B54" s="1115"/>
      <c r="C54" s="1116"/>
      <c r="D54" s="1120"/>
      <c r="E54" s="1120"/>
      <c r="F54" s="1116"/>
      <c r="G54" s="1116"/>
      <c r="H54" s="1116"/>
      <c r="I54" s="1116"/>
      <c r="J54" s="1120"/>
      <c r="K54" s="1120"/>
      <c r="L54" s="1405"/>
      <c r="M54" s="1119"/>
      <c r="N54" s="1119"/>
      <c r="O54" s="1119"/>
      <c r="P54" s="1119"/>
      <c r="Q54" s="1119"/>
      <c r="R54" s="1119"/>
      <c r="S54" s="1119"/>
      <c r="T54" s="4"/>
      <c r="U54" s="4"/>
      <c r="V54" s="5"/>
      <c r="W54" s="5"/>
      <c r="X54" s="5"/>
    </row>
    <row r="55" spans="1:24">
      <c r="B55" s="1115"/>
      <c r="C55" s="1116" t="s">
        <v>1212</v>
      </c>
      <c r="D55" s="1120"/>
      <c r="E55" s="1120"/>
      <c r="F55" s="1116"/>
      <c r="G55" s="1116"/>
      <c r="H55" s="1116"/>
      <c r="I55" s="1116"/>
      <c r="J55" s="1120"/>
      <c r="K55" s="1120"/>
      <c r="L55" s="1405"/>
      <c r="M55" s="1119"/>
      <c r="N55" s="1119"/>
      <c r="O55" s="1119"/>
      <c r="P55" s="1119"/>
      <c r="Q55" s="1119"/>
      <c r="R55" s="1119"/>
      <c r="S55" s="1119"/>
      <c r="T55" s="4"/>
      <c r="U55" s="4"/>
      <c r="V55" s="5"/>
      <c r="W55" s="5"/>
      <c r="X55" s="5"/>
    </row>
    <row r="56" spans="1:24">
      <c r="B56" s="1115"/>
      <c r="C56" s="1116"/>
      <c r="D56" s="1120"/>
      <c r="E56" s="1120"/>
      <c r="F56" s="1116"/>
      <c r="G56" s="1116"/>
      <c r="H56" s="1116"/>
      <c r="I56" s="1116"/>
      <c r="J56" s="1120"/>
      <c r="K56" s="1120"/>
      <c r="L56" s="1405"/>
      <c r="M56" s="1119"/>
      <c r="N56" s="1119"/>
      <c r="O56" s="1119"/>
      <c r="P56" s="1119"/>
      <c r="Q56" s="1119"/>
      <c r="R56" s="1119"/>
      <c r="S56" s="1119"/>
      <c r="T56" s="4"/>
      <c r="U56" s="4"/>
      <c r="V56" s="5"/>
      <c r="W56" s="5"/>
      <c r="X56" s="5"/>
    </row>
    <row r="57" spans="1:24">
      <c r="B57" s="1115"/>
      <c r="C57" s="1116"/>
      <c r="D57" s="1120"/>
      <c r="E57" s="1120"/>
      <c r="F57" s="1116"/>
      <c r="G57" s="1116"/>
      <c r="H57" s="1116"/>
      <c r="I57" s="1116"/>
      <c r="J57" s="1120"/>
      <c r="K57" s="1120"/>
      <c r="L57" s="1405"/>
      <c r="M57" s="1119"/>
      <c r="N57" s="1119"/>
      <c r="O57" s="1119"/>
      <c r="P57" s="1119"/>
      <c r="Q57" s="1119"/>
      <c r="R57" s="1119"/>
      <c r="S57" s="1119"/>
      <c r="T57" s="4"/>
      <c r="U57" s="4"/>
      <c r="V57" s="5"/>
      <c r="W57" s="5"/>
      <c r="X57" s="5"/>
    </row>
    <row r="58" spans="1:24">
      <c r="B58" s="1115"/>
      <c r="C58" s="1116"/>
      <c r="D58" s="1120"/>
      <c r="E58" s="1120"/>
      <c r="F58" s="1116"/>
      <c r="G58" s="1116"/>
      <c r="H58" s="1116"/>
      <c r="I58" s="1116"/>
      <c r="J58" s="1120"/>
      <c r="K58" s="1120"/>
      <c r="L58" s="1405"/>
      <c r="M58" s="1119"/>
      <c r="N58" s="1119"/>
      <c r="O58" s="1119"/>
      <c r="P58" s="1119"/>
      <c r="Q58" s="1119"/>
      <c r="R58" s="1119"/>
      <c r="S58" s="1119"/>
      <c r="T58" s="4"/>
      <c r="U58" s="4"/>
      <c r="V58" s="5"/>
      <c r="W58" s="5"/>
      <c r="X58" s="5"/>
    </row>
    <row r="59" spans="1:24">
      <c r="B59" s="1115"/>
      <c r="C59" s="1116"/>
      <c r="D59" s="1120"/>
      <c r="E59" s="1120"/>
      <c r="F59" s="1116"/>
      <c r="G59" s="1116"/>
      <c r="H59" s="1116"/>
      <c r="I59" s="1116"/>
      <c r="J59" s="1120"/>
      <c r="K59" s="1120"/>
      <c r="L59" s="1405"/>
      <c r="M59" s="1119"/>
      <c r="N59" s="1119"/>
      <c r="O59" s="1119"/>
      <c r="P59" s="1119"/>
      <c r="Q59" s="1119"/>
      <c r="R59" s="1119"/>
      <c r="S59" s="1119"/>
      <c r="T59" s="4"/>
      <c r="U59" s="4"/>
      <c r="V59" s="5"/>
      <c r="W59" s="5"/>
      <c r="X59" s="5"/>
    </row>
    <row r="60" spans="1:24">
      <c r="B60" s="1115"/>
      <c r="C60" s="1116"/>
      <c r="D60" s="1120"/>
      <c r="E60" s="1120"/>
      <c r="F60" s="1116"/>
      <c r="G60" s="1116"/>
      <c r="H60" s="1116"/>
      <c r="I60" s="1116"/>
      <c r="J60" s="1120"/>
      <c r="K60" s="1120"/>
      <c r="L60" s="1405"/>
      <c r="M60" s="1119"/>
      <c r="N60" s="1119"/>
      <c r="O60" s="1119"/>
      <c r="P60" s="1119"/>
      <c r="Q60" s="1119"/>
      <c r="R60" s="1119"/>
      <c r="S60" s="1119"/>
      <c r="T60" s="4"/>
      <c r="U60" s="4"/>
      <c r="V60" s="5"/>
      <c r="W60" s="5"/>
      <c r="X60" s="5"/>
    </row>
    <row r="61" spans="1:24">
      <c r="B61" s="1115"/>
      <c r="C61" s="1116"/>
      <c r="D61" s="1120"/>
      <c r="E61" s="1120"/>
      <c r="F61" s="1116"/>
      <c r="G61" s="1116"/>
      <c r="H61" s="1116"/>
      <c r="I61" s="1116"/>
      <c r="J61" s="1120"/>
      <c r="K61" s="1120"/>
      <c r="L61" s="1405"/>
      <c r="M61" s="1119"/>
      <c r="N61" s="1119"/>
      <c r="O61" s="1119"/>
      <c r="P61" s="1119"/>
      <c r="Q61" s="1119"/>
      <c r="R61" s="1119"/>
      <c r="S61" s="1119"/>
      <c r="T61" s="4"/>
      <c r="U61" s="4"/>
      <c r="V61" s="5"/>
      <c r="W61" s="5"/>
      <c r="X61" s="5"/>
    </row>
    <row r="62" spans="1:24">
      <c r="B62" s="1115"/>
      <c r="C62" s="1116"/>
      <c r="D62" s="1120"/>
      <c r="E62" s="1120"/>
      <c r="F62" s="1116"/>
      <c r="G62" s="1116"/>
      <c r="H62" s="1116"/>
      <c r="I62" s="1116"/>
      <c r="J62" s="1120"/>
      <c r="K62" s="1120"/>
      <c r="L62" s="1405"/>
      <c r="M62" s="1119"/>
      <c r="N62" s="1119"/>
      <c r="O62" s="1119"/>
      <c r="P62" s="1119"/>
      <c r="Q62" s="1119"/>
      <c r="R62" s="1119"/>
      <c r="S62" s="1119"/>
      <c r="T62" s="4"/>
      <c r="U62" s="4"/>
      <c r="V62" s="5"/>
      <c r="W62" s="5"/>
      <c r="X62" s="5"/>
    </row>
    <row r="63" spans="1:24" ht="15">
      <c r="B63" s="1115"/>
      <c r="C63" s="1116"/>
      <c r="D63" s="1120"/>
      <c r="E63" s="1120"/>
      <c r="F63" s="1116"/>
      <c r="G63" s="1116"/>
      <c r="H63" s="1116"/>
      <c r="I63" s="1116"/>
      <c r="J63" s="1120"/>
      <c r="K63" s="1686"/>
      <c r="L63" s="1405"/>
      <c r="M63" s="1119"/>
      <c r="N63" s="1119"/>
      <c r="O63" s="1119"/>
      <c r="P63" s="1119"/>
      <c r="Q63" s="1119"/>
      <c r="R63" s="1119"/>
      <c r="S63" s="1119"/>
      <c r="T63" s="1119"/>
      <c r="U63" s="1119"/>
    </row>
    <row r="64" spans="1:24" ht="15">
      <c r="B64" s="1115"/>
      <c r="C64" s="537"/>
      <c r="D64" s="1120"/>
      <c r="E64" s="1120"/>
      <c r="F64" s="1116"/>
      <c r="G64" s="1116"/>
      <c r="H64" s="1116"/>
      <c r="I64" s="1116"/>
      <c r="J64" s="1120"/>
      <c r="K64" s="1686"/>
      <c r="L64" s="1405"/>
      <c r="M64" s="1119"/>
      <c r="N64" s="1119"/>
      <c r="O64" s="1119"/>
      <c r="P64" s="1119"/>
      <c r="Q64" s="1119"/>
      <c r="R64" s="1119"/>
      <c r="S64" s="1119"/>
      <c r="T64" s="1119"/>
      <c r="U64" s="1119"/>
    </row>
    <row r="65" spans="2:25" ht="15.75" thickBot="1">
      <c r="B65" s="1122"/>
      <c r="C65" s="172"/>
      <c r="D65" s="1123"/>
      <c r="E65" s="1123"/>
      <c r="F65" s="1124"/>
      <c r="G65" s="1124"/>
      <c r="H65" s="1124"/>
      <c r="I65" s="1124"/>
      <c r="J65" s="1124"/>
      <c r="K65" s="1126"/>
      <c r="L65" s="1403"/>
      <c r="M65" s="1119"/>
      <c r="N65" s="1119"/>
      <c r="O65" s="1119"/>
      <c r="P65" s="1119"/>
      <c r="Q65" s="1119"/>
      <c r="R65" s="1119"/>
      <c r="S65" s="1119"/>
      <c r="T65" s="1119"/>
      <c r="U65" s="1119"/>
    </row>
    <row r="66" spans="2:25" ht="15">
      <c r="B66" s="1119"/>
      <c r="C66" s="537"/>
      <c r="D66" s="1120"/>
      <c r="E66" s="1120"/>
      <c r="F66" s="1116"/>
      <c r="G66" s="1116"/>
      <c r="H66" s="1116"/>
      <c r="I66" s="1116"/>
      <c r="J66" s="1116"/>
      <c r="K66" s="1116"/>
      <c r="L66" s="1120"/>
      <c r="M66" s="1119"/>
      <c r="N66" s="1119"/>
      <c r="O66" s="1119"/>
      <c r="P66" s="1119"/>
      <c r="Q66" s="1119"/>
      <c r="R66" s="1119"/>
      <c r="S66" s="1119"/>
      <c r="T66" s="1119"/>
      <c r="U66" s="4"/>
      <c r="V66" s="4"/>
      <c r="W66" s="5"/>
      <c r="X66" s="5"/>
      <c r="Y66" s="5"/>
    </row>
    <row r="67" spans="2:25" ht="15">
      <c r="B67" s="1119"/>
      <c r="C67" s="537"/>
      <c r="D67" s="1119"/>
      <c r="E67" s="1119"/>
      <c r="F67" s="1116"/>
      <c r="G67" s="1116"/>
      <c r="H67" s="1116"/>
      <c r="I67" s="1116"/>
      <c r="J67" s="1116"/>
      <c r="K67" s="1116"/>
      <c r="L67" s="1120"/>
      <c r="M67" s="1119"/>
      <c r="N67" s="1119"/>
      <c r="O67" s="1119"/>
      <c r="P67" s="1119"/>
      <c r="Q67" s="1119"/>
      <c r="R67" s="1119"/>
      <c r="S67" s="1119"/>
      <c r="T67" s="1119"/>
      <c r="U67" s="4"/>
      <c r="V67" s="4"/>
      <c r="W67" s="5"/>
      <c r="X67" s="5"/>
      <c r="Y67" s="5"/>
    </row>
    <row r="68" spans="2:25" ht="15">
      <c r="B68" s="1119"/>
      <c r="C68" s="537"/>
      <c r="D68" s="537"/>
      <c r="E68" s="537"/>
      <c r="F68" s="1116"/>
      <c r="G68" s="1116"/>
      <c r="H68" s="1116"/>
      <c r="I68" s="1116"/>
      <c r="J68" s="1116"/>
      <c r="K68" s="1116"/>
      <c r="L68" s="1120"/>
      <c r="M68" s="1119"/>
      <c r="N68" s="1119"/>
      <c r="O68" s="1119"/>
      <c r="P68" s="1119"/>
      <c r="Q68" s="1119"/>
      <c r="R68" s="1119"/>
      <c r="S68" s="1119"/>
      <c r="T68" s="1119"/>
      <c r="U68" s="4"/>
      <c r="V68" s="4"/>
      <c r="W68" s="5"/>
      <c r="X68" s="5"/>
      <c r="Y68" s="5"/>
    </row>
    <row r="69" spans="2:25" ht="15">
      <c r="B69" s="1119"/>
      <c r="C69" s="537"/>
      <c r="D69" s="537"/>
      <c r="E69" s="537"/>
      <c r="F69" s="1116"/>
      <c r="G69" s="1116"/>
      <c r="H69" s="1116"/>
      <c r="I69" s="1116"/>
      <c r="J69" s="1116"/>
      <c r="K69" s="1116"/>
      <c r="L69" s="1120"/>
      <c r="M69" s="1119"/>
      <c r="N69" s="1119"/>
      <c r="O69" s="1119"/>
      <c r="P69" s="1119"/>
      <c r="Q69" s="1119"/>
      <c r="R69" s="1119"/>
      <c r="S69" s="1119"/>
      <c r="U69" s="4"/>
      <c r="V69" s="4"/>
      <c r="W69" s="5"/>
      <c r="X69" s="5"/>
      <c r="Y69" s="5"/>
    </row>
    <row r="70" spans="2:25">
      <c r="B70" s="1119"/>
      <c r="C70" s="1116"/>
      <c r="D70" s="1120"/>
      <c r="E70" s="1120"/>
      <c r="F70" s="1128"/>
      <c r="G70" s="1128"/>
      <c r="H70" s="1128"/>
      <c r="I70" s="1128"/>
      <c r="J70" s="1128"/>
      <c r="K70" s="1128"/>
      <c r="L70" s="1120"/>
      <c r="M70" s="1119"/>
      <c r="N70" s="1119"/>
      <c r="O70" s="1119"/>
      <c r="P70" s="1119"/>
      <c r="Q70" s="1119"/>
      <c r="R70" s="1119"/>
      <c r="S70" s="1119"/>
      <c r="U70" s="4"/>
      <c r="V70" s="4"/>
      <c r="W70" s="5"/>
      <c r="X70" s="5"/>
      <c r="Y70" s="5"/>
    </row>
    <row r="71" spans="2:25">
      <c r="B71" s="1119"/>
      <c r="C71" s="1116"/>
      <c r="D71" s="1120"/>
      <c r="E71" s="1120"/>
      <c r="F71" s="1116"/>
      <c r="G71" s="1116"/>
      <c r="H71" s="1116"/>
      <c r="I71" s="1116"/>
      <c r="J71" s="1116"/>
      <c r="K71" s="1116"/>
      <c r="L71" s="1120"/>
      <c r="M71" s="1119"/>
      <c r="N71" s="1119"/>
      <c r="O71" s="1119"/>
      <c r="P71" s="1119"/>
      <c r="Q71" s="1119"/>
      <c r="R71" s="1119"/>
      <c r="S71" s="1119"/>
      <c r="U71" s="4"/>
      <c r="V71" s="4"/>
      <c r="W71" s="5"/>
      <c r="X71" s="5"/>
      <c r="Y71" s="5"/>
    </row>
    <row r="72" spans="2:25">
      <c r="B72" s="1119"/>
      <c r="C72" s="1129"/>
      <c r="D72" s="1120"/>
      <c r="E72" s="1120"/>
      <c r="F72" s="1121"/>
      <c r="G72" s="1116"/>
      <c r="H72" s="1116"/>
      <c r="I72" s="1116"/>
      <c r="J72" s="1116"/>
      <c r="K72" s="1116"/>
      <c r="L72" s="1120"/>
      <c r="M72" s="1119"/>
      <c r="N72" s="1119"/>
      <c r="O72" s="1119"/>
      <c r="P72" s="1119"/>
      <c r="Q72" s="1119"/>
      <c r="R72" s="1119"/>
      <c r="S72" s="1119"/>
      <c r="U72" s="4"/>
      <c r="V72" s="4"/>
      <c r="W72" s="5"/>
      <c r="X72" s="5"/>
      <c r="Y72" s="5"/>
    </row>
    <row r="73" spans="2:25">
      <c r="B73" s="1119"/>
      <c r="C73" s="1120"/>
      <c r="D73" s="1120"/>
      <c r="E73" s="1120"/>
      <c r="F73" s="1120"/>
      <c r="G73" s="1120"/>
      <c r="H73" s="1120"/>
      <c r="I73" s="1120"/>
      <c r="J73" s="1120"/>
      <c r="K73" s="1120"/>
      <c r="L73" s="1120"/>
      <c r="M73" s="1119"/>
      <c r="N73" s="1119"/>
      <c r="O73" s="1119"/>
      <c r="P73" s="1119"/>
      <c r="Q73" s="1119"/>
      <c r="R73" s="1119"/>
      <c r="S73" s="1119"/>
      <c r="U73" s="4"/>
      <c r="V73" s="4"/>
      <c r="W73" s="5"/>
      <c r="X73" s="5"/>
      <c r="Y73" s="5"/>
    </row>
    <row r="74" spans="2:25">
      <c r="B74" s="1119"/>
      <c r="C74" s="1116"/>
      <c r="D74" s="1120"/>
      <c r="E74" s="1120"/>
      <c r="F74" s="1130"/>
      <c r="G74" s="1130"/>
      <c r="H74" s="1130"/>
      <c r="I74" s="1130"/>
      <c r="J74" s="1130"/>
      <c r="K74" s="1130"/>
      <c r="L74" s="1120"/>
      <c r="M74" s="1119"/>
      <c r="N74" s="1119"/>
      <c r="O74" s="1119"/>
      <c r="P74" s="1119"/>
      <c r="Q74" s="1119"/>
      <c r="R74" s="1119"/>
      <c r="S74" s="1119"/>
      <c r="U74" s="4"/>
      <c r="V74" s="4"/>
      <c r="W74" s="5"/>
      <c r="X74" s="5"/>
      <c r="Y74" s="5"/>
    </row>
    <row r="75" spans="2:25">
      <c r="B75" s="1119"/>
      <c r="C75" s="1116"/>
      <c r="D75" s="1120"/>
      <c r="E75" s="1120"/>
      <c r="F75" s="1116"/>
      <c r="G75" s="1116"/>
      <c r="H75" s="1116"/>
      <c r="I75" s="1116"/>
      <c r="J75" s="1116"/>
      <c r="K75" s="1116"/>
      <c r="L75" s="1120"/>
      <c r="M75" s="1119"/>
      <c r="N75" s="1119"/>
      <c r="O75" s="1119"/>
      <c r="P75" s="1119"/>
      <c r="Q75" s="1119"/>
      <c r="R75" s="1119"/>
      <c r="S75" s="1119"/>
      <c r="U75" s="4"/>
      <c r="V75" s="4"/>
      <c r="W75" s="5"/>
      <c r="X75" s="5"/>
      <c r="Y75" s="5"/>
    </row>
    <row r="76" spans="2:25">
      <c r="B76" s="1119"/>
      <c r="C76" s="1116"/>
      <c r="D76" s="1120"/>
      <c r="E76" s="1120"/>
      <c r="F76" s="1116"/>
      <c r="G76" s="1116"/>
      <c r="H76" s="1116"/>
      <c r="I76" s="1116"/>
      <c r="J76" s="1116"/>
      <c r="K76" s="1116"/>
      <c r="L76" s="1120"/>
      <c r="M76" s="1119"/>
      <c r="N76" s="1119"/>
      <c r="O76" s="1119"/>
      <c r="P76" s="1119"/>
      <c r="Q76" s="1119"/>
      <c r="R76" s="1119"/>
      <c r="S76" s="1119"/>
      <c r="U76" s="4"/>
      <c r="V76" s="4"/>
      <c r="W76" s="5"/>
      <c r="X76" s="5"/>
      <c r="Y76" s="5"/>
    </row>
    <row r="77" spans="2:25" ht="15">
      <c r="B77" s="1119"/>
      <c r="C77" s="537"/>
      <c r="D77" s="1120"/>
      <c r="E77" s="1120"/>
      <c r="F77" s="1116"/>
      <c r="G77" s="1116"/>
      <c r="H77" s="1116"/>
      <c r="I77" s="1116"/>
      <c r="J77" s="1116"/>
      <c r="K77" s="1116"/>
      <c r="L77" s="1119"/>
      <c r="M77" s="1119"/>
      <c r="N77" s="1119"/>
      <c r="O77" s="1119"/>
      <c r="P77" s="1119"/>
      <c r="Q77" s="1119"/>
      <c r="R77" s="1119"/>
      <c r="S77" s="1119"/>
      <c r="U77" s="4"/>
      <c r="V77" s="4"/>
      <c r="W77" s="5"/>
      <c r="X77" s="5"/>
      <c r="Y77" s="5"/>
    </row>
    <row r="78" spans="2:25">
      <c r="B78" s="1119"/>
      <c r="C78" s="1116"/>
      <c r="D78" s="1120"/>
      <c r="E78" s="1120"/>
      <c r="F78" s="1130"/>
      <c r="G78" s="1130"/>
      <c r="H78" s="1130"/>
      <c r="I78" s="1130"/>
      <c r="J78" s="1130"/>
      <c r="K78" s="1130"/>
      <c r="L78" s="1119"/>
      <c r="M78" s="1119"/>
      <c r="N78" s="1119"/>
      <c r="O78" s="1119"/>
      <c r="P78" s="1119"/>
      <c r="Q78" s="1119"/>
      <c r="R78" s="1119"/>
      <c r="S78" s="1119"/>
      <c r="U78" s="4"/>
      <c r="V78" s="4"/>
      <c r="W78" s="5"/>
      <c r="X78" s="5"/>
      <c r="Y78" s="5"/>
    </row>
    <row r="79" spans="2:25">
      <c r="B79" s="1119"/>
      <c r="C79" s="1116"/>
      <c r="D79" s="1120"/>
      <c r="E79" s="1120"/>
      <c r="F79" s="1116"/>
      <c r="G79" s="1116"/>
      <c r="H79" s="1116"/>
      <c r="I79" s="1116"/>
      <c r="J79" s="1116"/>
      <c r="K79" s="1116"/>
      <c r="L79" s="1119"/>
      <c r="M79" s="1119"/>
      <c r="N79" s="1119"/>
      <c r="O79" s="1119"/>
      <c r="P79" s="1119"/>
      <c r="Q79" s="1119"/>
      <c r="R79" s="1119"/>
      <c r="S79" s="1119"/>
      <c r="U79" s="4"/>
      <c r="V79" s="4"/>
      <c r="W79" s="5"/>
      <c r="X79" s="5"/>
      <c r="Y79" s="5"/>
    </row>
    <row r="80" spans="2:25">
      <c r="C80" s="1119"/>
      <c r="D80" s="1119"/>
      <c r="E80" s="1119"/>
      <c r="F80" s="1119"/>
      <c r="G80" s="1119"/>
      <c r="H80" s="1119"/>
      <c r="I80" s="1119"/>
      <c r="J80" s="1119"/>
      <c r="K80" s="1119"/>
      <c r="L80" s="1119"/>
      <c r="M80" s="1119"/>
      <c r="N80" s="1119"/>
      <c r="O80" s="1119"/>
      <c r="P80" s="1119"/>
      <c r="Q80" s="1119"/>
      <c r="R80" s="1119"/>
      <c r="S80" s="1119"/>
    </row>
  </sheetData>
  <mergeCells count="26">
    <mergeCell ref="E1:F1"/>
    <mergeCell ref="H1:I1"/>
    <mergeCell ref="F5:H5"/>
    <mergeCell ref="F2:H2"/>
    <mergeCell ref="B12:L12"/>
    <mergeCell ref="F3:F4"/>
    <mergeCell ref="C3:D4"/>
    <mergeCell ref="D8:F8"/>
    <mergeCell ref="B52:L52"/>
    <mergeCell ref="L44:L45"/>
    <mergeCell ref="N7:O7"/>
    <mergeCell ref="N8:O8"/>
    <mergeCell ref="C14:E14"/>
    <mergeCell ref="B20:L20"/>
    <mergeCell ref="J43:K43"/>
    <mergeCell ref="M41:M42"/>
    <mergeCell ref="B38:L38"/>
    <mergeCell ref="C16:D16"/>
    <mergeCell ref="C17:D17"/>
    <mergeCell ref="J30:K30"/>
    <mergeCell ref="C15:D15"/>
    <mergeCell ref="N2:O2"/>
    <mergeCell ref="N3:O3"/>
    <mergeCell ref="N4:O4"/>
    <mergeCell ref="N5:O5"/>
    <mergeCell ref="N6:O6"/>
  </mergeCells>
  <conditionalFormatting sqref="L44">
    <cfRule type="expression" dxfId="14" priority="7" stopIfTrue="1">
      <formula>$K$42&gt;#REF!</formula>
    </cfRule>
  </conditionalFormatting>
  <conditionalFormatting sqref="K42">
    <cfRule type="cellIs" dxfId="13" priority="6" stopIfTrue="1" operator="greaterThan">
      <formula>#REF!</formula>
    </cfRule>
  </conditionalFormatting>
  <conditionalFormatting sqref="L42:L43">
    <cfRule type="cellIs" dxfId="12" priority="5" stopIfTrue="1" operator="greaterThan">
      <formula>#REF!</formula>
    </cfRule>
  </conditionalFormatting>
  <conditionalFormatting sqref="H29">
    <cfRule type="cellIs" dxfId="11" priority="2" operator="greaterThan">
      <formula>$E$17</formula>
    </cfRule>
  </conditionalFormatting>
  <conditionalFormatting sqref="E17">
    <cfRule type="cellIs" dxfId="10" priority="1" operator="lessThan">
      <formula>$H$29</formula>
    </cfRule>
  </conditionalFormatting>
  <dataValidations count="1">
    <dataValidation type="list" allowBlank="1" showInputMessage="1" showErrorMessage="1" sqref="WVL983055:WVL983059 D65551:D65555 IZ65551:IZ65555 SV65551:SV65555 ACR65551:ACR65555 AMN65551:AMN65555 AWJ65551:AWJ65555 BGF65551:BGF65555 BQB65551:BQB65555 BZX65551:BZX65555 CJT65551:CJT65555 CTP65551:CTP65555 DDL65551:DDL65555 DNH65551:DNH65555 DXD65551:DXD65555 EGZ65551:EGZ65555 EQV65551:EQV65555 FAR65551:FAR65555 FKN65551:FKN65555 FUJ65551:FUJ65555 GEF65551:GEF65555 GOB65551:GOB65555 GXX65551:GXX65555 HHT65551:HHT65555 HRP65551:HRP65555 IBL65551:IBL65555 ILH65551:ILH65555 IVD65551:IVD65555 JEZ65551:JEZ65555 JOV65551:JOV65555 JYR65551:JYR65555 KIN65551:KIN65555 KSJ65551:KSJ65555 LCF65551:LCF65555 LMB65551:LMB65555 LVX65551:LVX65555 MFT65551:MFT65555 MPP65551:MPP65555 MZL65551:MZL65555 NJH65551:NJH65555 NTD65551:NTD65555 OCZ65551:OCZ65555 OMV65551:OMV65555 OWR65551:OWR65555 PGN65551:PGN65555 PQJ65551:PQJ65555 QAF65551:QAF65555 QKB65551:QKB65555 QTX65551:QTX65555 RDT65551:RDT65555 RNP65551:RNP65555 RXL65551:RXL65555 SHH65551:SHH65555 SRD65551:SRD65555 TAZ65551:TAZ65555 TKV65551:TKV65555 TUR65551:TUR65555 UEN65551:UEN65555 UOJ65551:UOJ65555 UYF65551:UYF65555 VIB65551:VIB65555 VRX65551:VRX65555 WBT65551:WBT65555 WLP65551:WLP65555 WVL65551:WVL65555 D131087:D131091 IZ131087:IZ131091 SV131087:SV131091 ACR131087:ACR131091 AMN131087:AMN131091 AWJ131087:AWJ131091 BGF131087:BGF131091 BQB131087:BQB131091 BZX131087:BZX131091 CJT131087:CJT131091 CTP131087:CTP131091 DDL131087:DDL131091 DNH131087:DNH131091 DXD131087:DXD131091 EGZ131087:EGZ131091 EQV131087:EQV131091 FAR131087:FAR131091 FKN131087:FKN131091 FUJ131087:FUJ131091 GEF131087:GEF131091 GOB131087:GOB131091 GXX131087:GXX131091 HHT131087:HHT131091 HRP131087:HRP131091 IBL131087:IBL131091 ILH131087:ILH131091 IVD131087:IVD131091 JEZ131087:JEZ131091 JOV131087:JOV131091 JYR131087:JYR131091 KIN131087:KIN131091 KSJ131087:KSJ131091 LCF131087:LCF131091 LMB131087:LMB131091 LVX131087:LVX131091 MFT131087:MFT131091 MPP131087:MPP131091 MZL131087:MZL131091 NJH131087:NJH131091 NTD131087:NTD131091 OCZ131087:OCZ131091 OMV131087:OMV131091 OWR131087:OWR131091 PGN131087:PGN131091 PQJ131087:PQJ131091 QAF131087:QAF131091 QKB131087:QKB131091 QTX131087:QTX131091 RDT131087:RDT131091 RNP131087:RNP131091 RXL131087:RXL131091 SHH131087:SHH131091 SRD131087:SRD131091 TAZ131087:TAZ131091 TKV131087:TKV131091 TUR131087:TUR131091 UEN131087:UEN131091 UOJ131087:UOJ131091 UYF131087:UYF131091 VIB131087:VIB131091 VRX131087:VRX131091 WBT131087:WBT131091 WLP131087:WLP131091 WVL131087:WVL131091 D196623:D196627 IZ196623:IZ196627 SV196623:SV196627 ACR196623:ACR196627 AMN196623:AMN196627 AWJ196623:AWJ196627 BGF196623:BGF196627 BQB196623:BQB196627 BZX196623:BZX196627 CJT196623:CJT196627 CTP196623:CTP196627 DDL196623:DDL196627 DNH196623:DNH196627 DXD196623:DXD196627 EGZ196623:EGZ196627 EQV196623:EQV196627 FAR196623:FAR196627 FKN196623:FKN196627 FUJ196623:FUJ196627 GEF196623:GEF196627 GOB196623:GOB196627 GXX196623:GXX196627 HHT196623:HHT196627 HRP196623:HRP196627 IBL196623:IBL196627 ILH196623:ILH196627 IVD196623:IVD196627 JEZ196623:JEZ196627 JOV196623:JOV196627 JYR196623:JYR196627 KIN196623:KIN196627 KSJ196623:KSJ196627 LCF196623:LCF196627 LMB196623:LMB196627 LVX196623:LVX196627 MFT196623:MFT196627 MPP196623:MPP196627 MZL196623:MZL196627 NJH196623:NJH196627 NTD196623:NTD196627 OCZ196623:OCZ196627 OMV196623:OMV196627 OWR196623:OWR196627 PGN196623:PGN196627 PQJ196623:PQJ196627 QAF196623:QAF196627 QKB196623:QKB196627 QTX196623:QTX196627 RDT196623:RDT196627 RNP196623:RNP196627 RXL196623:RXL196627 SHH196623:SHH196627 SRD196623:SRD196627 TAZ196623:TAZ196627 TKV196623:TKV196627 TUR196623:TUR196627 UEN196623:UEN196627 UOJ196623:UOJ196627 UYF196623:UYF196627 VIB196623:VIB196627 VRX196623:VRX196627 WBT196623:WBT196627 WLP196623:WLP196627 WVL196623:WVL196627 D262159:D262163 IZ262159:IZ262163 SV262159:SV262163 ACR262159:ACR262163 AMN262159:AMN262163 AWJ262159:AWJ262163 BGF262159:BGF262163 BQB262159:BQB262163 BZX262159:BZX262163 CJT262159:CJT262163 CTP262159:CTP262163 DDL262159:DDL262163 DNH262159:DNH262163 DXD262159:DXD262163 EGZ262159:EGZ262163 EQV262159:EQV262163 FAR262159:FAR262163 FKN262159:FKN262163 FUJ262159:FUJ262163 GEF262159:GEF262163 GOB262159:GOB262163 GXX262159:GXX262163 HHT262159:HHT262163 HRP262159:HRP262163 IBL262159:IBL262163 ILH262159:ILH262163 IVD262159:IVD262163 JEZ262159:JEZ262163 JOV262159:JOV262163 JYR262159:JYR262163 KIN262159:KIN262163 KSJ262159:KSJ262163 LCF262159:LCF262163 LMB262159:LMB262163 LVX262159:LVX262163 MFT262159:MFT262163 MPP262159:MPP262163 MZL262159:MZL262163 NJH262159:NJH262163 NTD262159:NTD262163 OCZ262159:OCZ262163 OMV262159:OMV262163 OWR262159:OWR262163 PGN262159:PGN262163 PQJ262159:PQJ262163 QAF262159:QAF262163 QKB262159:QKB262163 QTX262159:QTX262163 RDT262159:RDT262163 RNP262159:RNP262163 RXL262159:RXL262163 SHH262159:SHH262163 SRD262159:SRD262163 TAZ262159:TAZ262163 TKV262159:TKV262163 TUR262159:TUR262163 UEN262159:UEN262163 UOJ262159:UOJ262163 UYF262159:UYF262163 VIB262159:VIB262163 VRX262159:VRX262163 WBT262159:WBT262163 WLP262159:WLP262163 WVL262159:WVL262163 D327695:D327699 IZ327695:IZ327699 SV327695:SV327699 ACR327695:ACR327699 AMN327695:AMN327699 AWJ327695:AWJ327699 BGF327695:BGF327699 BQB327695:BQB327699 BZX327695:BZX327699 CJT327695:CJT327699 CTP327695:CTP327699 DDL327695:DDL327699 DNH327695:DNH327699 DXD327695:DXD327699 EGZ327695:EGZ327699 EQV327695:EQV327699 FAR327695:FAR327699 FKN327695:FKN327699 FUJ327695:FUJ327699 GEF327695:GEF327699 GOB327695:GOB327699 GXX327695:GXX327699 HHT327695:HHT327699 HRP327695:HRP327699 IBL327695:IBL327699 ILH327695:ILH327699 IVD327695:IVD327699 JEZ327695:JEZ327699 JOV327695:JOV327699 JYR327695:JYR327699 KIN327695:KIN327699 KSJ327695:KSJ327699 LCF327695:LCF327699 LMB327695:LMB327699 LVX327695:LVX327699 MFT327695:MFT327699 MPP327695:MPP327699 MZL327695:MZL327699 NJH327695:NJH327699 NTD327695:NTD327699 OCZ327695:OCZ327699 OMV327695:OMV327699 OWR327695:OWR327699 PGN327695:PGN327699 PQJ327695:PQJ327699 QAF327695:QAF327699 QKB327695:QKB327699 QTX327695:QTX327699 RDT327695:RDT327699 RNP327695:RNP327699 RXL327695:RXL327699 SHH327695:SHH327699 SRD327695:SRD327699 TAZ327695:TAZ327699 TKV327695:TKV327699 TUR327695:TUR327699 UEN327695:UEN327699 UOJ327695:UOJ327699 UYF327695:UYF327699 VIB327695:VIB327699 VRX327695:VRX327699 WBT327695:WBT327699 WLP327695:WLP327699 WVL327695:WVL327699 D393231:D393235 IZ393231:IZ393235 SV393231:SV393235 ACR393231:ACR393235 AMN393231:AMN393235 AWJ393231:AWJ393235 BGF393231:BGF393235 BQB393231:BQB393235 BZX393231:BZX393235 CJT393231:CJT393235 CTP393231:CTP393235 DDL393231:DDL393235 DNH393231:DNH393235 DXD393231:DXD393235 EGZ393231:EGZ393235 EQV393231:EQV393235 FAR393231:FAR393235 FKN393231:FKN393235 FUJ393231:FUJ393235 GEF393231:GEF393235 GOB393231:GOB393235 GXX393231:GXX393235 HHT393231:HHT393235 HRP393231:HRP393235 IBL393231:IBL393235 ILH393231:ILH393235 IVD393231:IVD393235 JEZ393231:JEZ393235 JOV393231:JOV393235 JYR393231:JYR393235 KIN393231:KIN393235 KSJ393231:KSJ393235 LCF393231:LCF393235 LMB393231:LMB393235 LVX393231:LVX393235 MFT393231:MFT393235 MPP393231:MPP393235 MZL393231:MZL393235 NJH393231:NJH393235 NTD393231:NTD393235 OCZ393231:OCZ393235 OMV393231:OMV393235 OWR393231:OWR393235 PGN393231:PGN393235 PQJ393231:PQJ393235 QAF393231:QAF393235 QKB393231:QKB393235 QTX393231:QTX393235 RDT393231:RDT393235 RNP393231:RNP393235 RXL393231:RXL393235 SHH393231:SHH393235 SRD393231:SRD393235 TAZ393231:TAZ393235 TKV393231:TKV393235 TUR393231:TUR393235 UEN393231:UEN393235 UOJ393231:UOJ393235 UYF393231:UYF393235 VIB393231:VIB393235 VRX393231:VRX393235 WBT393231:WBT393235 WLP393231:WLP393235 WVL393231:WVL393235 D458767:D458771 IZ458767:IZ458771 SV458767:SV458771 ACR458767:ACR458771 AMN458767:AMN458771 AWJ458767:AWJ458771 BGF458767:BGF458771 BQB458767:BQB458771 BZX458767:BZX458771 CJT458767:CJT458771 CTP458767:CTP458771 DDL458767:DDL458771 DNH458767:DNH458771 DXD458767:DXD458771 EGZ458767:EGZ458771 EQV458767:EQV458771 FAR458767:FAR458771 FKN458767:FKN458771 FUJ458767:FUJ458771 GEF458767:GEF458771 GOB458767:GOB458771 GXX458767:GXX458771 HHT458767:HHT458771 HRP458767:HRP458771 IBL458767:IBL458771 ILH458767:ILH458771 IVD458767:IVD458771 JEZ458767:JEZ458771 JOV458767:JOV458771 JYR458767:JYR458771 KIN458767:KIN458771 KSJ458767:KSJ458771 LCF458767:LCF458771 LMB458767:LMB458771 LVX458767:LVX458771 MFT458767:MFT458771 MPP458767:MPP458771 MZL458767:MZL458771 NJH458767:NJH458771 NTD458767:NTD458771 OCZ458767:OCZ458771 OMV458767:OMV458771 OWR458767:OWR458771 PGN458767:PGN458771 PQJ458767:PQJ458771 QAF458767:QAF458771 QKB458767:QKB458771 QTX458767:QTX458771 RDT458767:RDT458771 RNP458767:RNP458771 RXL458767:RXL458771 SHH458767:SHH458771 SRD458767:SRD458771 TAZ458767:TAZ458771 TKV458767:TKV458771 TUR458767:TUR458771 UEN458767:UEN458771 UOJ458767:UOJ458771 UYF458767:UYF458771 VIB458767:VIB458771 VRX458767:VRX458771 WBT458767:WBT458771 WLP458767:WLP458771 WVL458767:WVL458771 D524303:D524307 IZ524303:IZ524307 SV524303:SV524307 ACR524303:ACR524307 AMN524303:AMN524307 AWJ524303:AWJ524307 BGF524303:BGF524307 BQB524303:BQB524307 BZX524303:BZX524307 CJT524303:CJT524307 CTP524303:CTP524307 DDL524303:DDL524307 DNH524303:DNH524307 DXD524303:DXD524307 EGZ524303:EGZ524307 EQV524303:EQV524307 FAR524303:FAR524307 FKN524303:FKN524307 FUJ524303:FUJ524307 GEF524303:GEF524307 GOB524303:GOB524307 GXX524303:GXX524307 HHT524303:HHT524307 HRP524303:HRP524307 IBL524303:IBL524307 ILH524303:ILH524307 IVD524303:IVD524307 JEZ524303:JEZ524307 JOV524303:JOV524307 JYR524303:JYR524307 KIN524303:KIN524307 KSJ524303:KSJ524307 LCF524303:LCF524307 LMB524303:LMB524307 LVX524303:LVX524307 MFT524303:MFT524307 MPP524303:MPP524307 MZL524303:MZL524307 NJH524303:NJH524307 NTD524303:NTD524307 OCZ524303:OCZ524307 OMV524303:OMV524307 OWR524303:OWR524307 PGN524303:PGN524307 PQJ524303:PQJ524307 QAF524303:QAF524307 QKB524303:QKB524307 QTX524303:QTX524307 RDT524303:RDT524307 RNP524303:RNP524307 RXL524303:RXL524307 SHH524303:SHH524307 SRD524303:SRD524307 TAZ524303:TAZ524307 TKV524303:TKV524307 TUR524303:TUR524307 UEN524303:UEN524307 UOJ524303:UOJ524307 UYF524303:UYF524307 VIB524303:VIB524307 VRX524303:VRX524307 WBT524303:WBT524307 WLP524303:WLP524307 WVL524303:WVL524307 D589839:D589843 IZ589839:IZ589843 SV589839:SV589843 ACR589839:ACR589843 AMN589839:AMN589843 AWJ589839:AWJ589843 BGF589839:BGF589843 BQB589839:BQB589843 BZX589839:BZX589843 CJT589839:CJT589843 CTP589839:CTP589843 DDL589839:DDL589843 DNH589839:DNH589843 DXD589839:DXD589843 EGZ589839:EGZ589843 EQV589839:EQV589843 FAR589839:FAR589843 FKN589839:FKN589843 FUJ589839:FUJ589843 GEF589839:GEF589843 GOB589839:GOB589843 GXX589839:GXX589843 HHT589839:HHT589843 HRP589839:HRP589843 IBL589839:IBL589843 ILH589839:ILH589843 IVD589839:IVD589843 JEZ589839:JEZ589843 JOV589839:JOV589843 JYR589839:JYR589843 KIN589839:KIN589843 KSJ589839:KSJ589843 LCF589839:LCF589843 LMB589839:LMB589843 LVX589839:LVX589843 MFT589839:MFT589843 MPP589839:MPP589843 MZL589839:MZL589843 NJH589839:NJH589843 NTD589839:NTD589843 OCZ589839:OCZ589843 OMV589839:OMV589843 OWR589839:OWR589843 PGN589839:PGN589843 PQJ589839:PQJ589843 QAF589839:QAF589843 QKB589839:QKB589843 QTX589839:QTX589843 RDT589839:RDT589843 RNP589839:RNP589843 RXL589839:RXL589843 SHH589839:SHH589843 SRD589839:SRD589843 TAZ589839:TAZ589843 TKV589839:TKV589843 TUR589839:TUR589843 UEN589839:UEN589843 UOJ589839:UOJ589843 UYF589839:UYF589843 VIB589839:VIB589843 VRX589839:VRX589843 WBT589839:WBT589843 WLP589839:WLP589843 WVL589839:WVL589843 D655375:D655379 IZ655375:IZ655379 SV655375:SV655379 ACR655375:ACR655379 AMN655375:AMN655379 AWJ655375:AWJ655379 BGF655375:BGF655379 BQB655375:BQB655379 BZX655375:BZX655379 CJT655375:CJT655379 CTP655375:CTP655379 DDL655375:DDL655379 DNH655375:DNH655379 DXD655375:DXD655379 EGZ655375:EGZ655379 EQV655375:EQV655379 FAR655375:FAR655379 FKN655375:FKN655379 FUJ655375:FUJ655379 GEF655375:GEF655379 GOB655375:GOB655379 GXX655375:GXX655379 HHT655375:HHT655379 HRP655375:HRP655379 IBL655375:IBL655379 ILH655375:ILH655379 IVD655375:IVD655379 JEZ655375:JEZ655379 JOV655375:JOV655379 JYR655375:JYR655379 KIN655375:KIN655379 KSJ655375:KSJ655379 LCF655375:LCF655379 LMB655375:LMB655379 LVX655375:LVX655379 MFT655375:MFT655379 MPP655375:MPP655379 MZL655375:MZL655379 NJH655375:NJH655379 NTD655375:NTD655379 OCZ655375:OCZ655379 OMV655375:OMV655379 OWR655375:OWR655379 PGN655375:PGN655379 PQJ655375:PQJ655379 QAF655375:QAF655379 QKB655375:QKB655379 QTX655375:QTX655379 RDT655375:RDT655379 RNP655375:RNP655379 RXL655375:RXL655379 SHH655375:SHH655379 SRD655375:SRD655379 TAZ655375:TAZ655379 TKV655375:TKV655379 TUR655375:TUR655379 UEN655375:UEN655379 UOJ655375:UOJ655379 UYF655375:UYF655379 VIB655375:VIB655379 VRX655375:VRX655379 WBT655375:WBT655379 WLP655375:WLP655379 WVL655375:WVL655379 D720911:D720915 IZ720911:IZ720915 SV720911:SV720915 ACR720911:ACR720915 AMN720911:AMN720915 AWJ720911:AWJ720915 BGF720911:BGF720915 BQB720911:BQB720915 BZX720911:BZX720915 CJT720911:CJT720915 CTP720911:CTP720915 DDL720911:DDL720915 DNH720911:DNH720915 DXD720911:DXD720915 EGZ720911:EGZ720915 EQV720911:EQV720915 FAR720911:FAR720915 FKN720911:FKN720915 FUJ720911:FUJ720915 GEF720911:GEF720915 GOB720911:GOB720915 GXX720911:GXX720915 HHT720911:HHT720915 HRP720911:HRP720915 IBL720911:IBL720915 ILH720911:ILH720915 IVD720911:IVD720915 JEZ720911:JEZ720915 JOV720911:JOV720915 JYR720911:JYR720915 KIN720911:KIN720915 KSJ720911:KSJ720915 LCF720911:LCF720915 LMB720911:LMB720915 LVX720911:LVX720915 MFT720911:MFT720915 MPP720911:MPP720915 MZL720911:MZL720915 NJH720911:NJH720915 NTD720911:NTD720915 OCZ720911:OCZ720915 OMV720911:OMV720915 OWR720911:OWR720915 PGN720911:PGN720915 PQJ720911:PQJ720915 QAF720911:QAF720915 QKB720911:QKB720915 QTX720911:QTX720915 RDT720911:RDT720915 RNP720911:RNP720915 RXL720911:RXL720915 SHH720911:SHH720915 SRD720911:SRD720915 TAZ720911:TAZ720915 TKV720911:TKV720915 TUR720911:TUR720915 UEN720911:UEN720915 UOJ720911:UOJ720915 UYF720911:UYF720915 VIB720911:VIB720915 VRX720911:VRX720915 WBT720911:WBT720915 WLP720911:WLP720915 WVL720911:WVL720915 D786447:D786451 IZ786447:IZ786451 SV786447:SV786451 ACR786447:ACR786451 AMN786447:AMN786451 AWJ786447:AWJ786451 BGF786447:BGF786451 BQB786447:BQB786451 BZX786447:BZX786451 CJT786447:CJT786451 CTP786447:CTP786451 DDL786447:DDL786451 DNH786447:DNH786451 DXD786447:DXD786451 EGZ786447:EGZ786451 EQV786447:EQV786451 FAR786447:FAR786451 FKN786447:FKN786451 FUJ786447:FUJ786451 GEF786447:GEF786451 GOB786447:GOB786451 GXX786447:GXX786451 HHT786447:HHT786451 HRP786447:HRP786451 IBL786447:IBL786451 ILH786447:ILH786451 IVD786447:IVD786451 JEZ786447:JEZ786451 JOV786447:JOV786451 JYR786447:JYR786451 KIN786447:KIN786451 KSJ786447:KSJ786451 LCF786447:LCF786451 LMB786447:LMB786451 LVX786447:LVX786451 MFT786447:MFT786451 MPP786447:MPP786451 MZL786447:MZL786451 NJH786447:NJH786451 NTD786447:NTD786451 OCZ786447:OCZ786451 OMV786447:OMV786451 OWR786447:OWR786451 PGN786447:PGN786451 PQJ786447:PQJ786451 QAF786447:QAF786451 QKB786447:QKB786451 QTX786447:QTX786451 RDT786447:RDT786451 RNP786447:RNP786451 RXL786447:RXL786451 SHH786447:SHH786451 SRD786447:SRD786451 TAZ786447:TAZ786451 TKV786447:TKV786451 TUR786447:TUR786451 UEN786447:UEN786451 UOJ786447:UOJ786451 UYF786447:UYF786451 VIB786447:VIB786451 VRX786447:VRX786451 WBT786447:WBT786451 WLP786447:WLP786451 WVL786447:WVL786451 D851983:D851987 IZ851983:IZ851987 SV851983:SV851987 ACR851983:ACR851987 AMN851983:AMN851987 AWJ851983:AWJ851987 BGF851983:BGF851987 BQB851983:BQB851987 BZX851983:BZX851987 CJT851983:CJT851987 CTP851983:CTP851987 DDL851983:DDL851987 DNH851983:DNH851987 DXD851983:DXD851987 EGZ851983:EGZ851987 EQV851983:EQV851987 FAR851983:FAR851987 FKN851983:FKN851987 FUJ851983:FUJ851987 GEF851983:GEF851987 GOB851983:GOB851987 GXX851983:GXX851987 HHT851983:HHT851987 HRP851983:HRP851987 IBL851983:IBL851987 ILH851983:ILH851987 IVD851983:IVD851987 JEZ851983:JEZ851987 JOV851983:JOV851987 JYR851983:JYR851987 KIN851983:KIN851987 KSJ851983:KSJ851987 LCF851983:LCF851987 LMB851983:LMB851987 LVX851983:LVX851987 MFT851983:MFT851987 MPP851983:MPP851987 MZL851983:MZL851987 NJH851983:NJH851987 NTD851983:NTD851987 OCZ851983:OCZ851987 OMV851983:OMV851987 OWR851983:OWR851987 PGN851983:PGN851987 PQJ851983:PQJ851987 QAF851983:QAF851987 QKB851983:QKB851987 QTX851983:QTX851987 RDT851983:RDT851987 RNP851983:RNP851987 RXL851983:RXL851987 SHH851983:SHH851987 SRD851983:SRD851987 TAZ851983:TAZ851987 TKV851983:TKV851987 TUR851983:TUR851987 UEN851983:UEN851987 UOJ851983:UOJ851987 UYF851983:UYF851987 VIB851983:VIB851987 VRX851983:VRX851987 WBT851983:WBT851987 WLP851983:WLP851987 WVL851983:WVL851987 D917519:D917523 IZ917519:IZ917523 SV917519:SV917523 ACR917519:ACR917523 AMN917519:AMN917523 AWJ917519:AWJ917523 BGF917519:BGF917523 BQB917519:BQB917523 BZX917519:BZX917523 CJT917519:CJT917523 CTP917519:CTP917523 DDL917519:DDL917523 DNH917519:DNH917523 DXD917519:DXD917523 EGZ917519:EGZ917523 EQV917519:EQV917523 FAR917519:FAR917523 FKN917519:FKN917523 FUJ917519:FUJ917523 GEF917519:GEF917523 GOB917519:GOB917523 GXX917519:GXX917523 HHT917519:HHT917523 HRP917519:HRP917523 IBL917519:IBL917523 ILH917519:ILH917523 IVD917519:IVD917523 JEZ917519:JEZ917523 JOV917519:JOV917523 JYR917519:JYR917523 KIN917519:KIN917523 KSJ917519:KSJ917523 LCF917519:LCF917523 LMB917519:LMB917523 LVX917519:LVX917523 MFT917519:MFT917523 MPP917519:MPP917523 MZL917519:MZL917523 NJH917519:NJH917523 NTD917519:NTD917523 OCZ917519:OCZ917523 OMV917519:OMV917523 OWR917519:OWR917523 PGN917519:PGN917523 PQJ917519:PQJ917523 QAF917519:QAF917523 QKB917519:QKB917523 QTX917519:QTX917523 RDT917519:RDT917523 RNP917519:RNP917523 RXL917519:RXL917523 SHH917519:SHH917523 SRD917519:SRD917523 TAZ917519:TAZ917523 TKV917519:TKV917523 TUR917519:TUR917523 UEN917519:UEN917523 UOJ917519:UOJ917523 UYF917519:UYF917523 VIB917519:VIB917523 VRX917519:VRX917523 WBT917519:WBT917523 WLP917519:WLP917523 WVL917519:WVL917523 D983055:D983059 IZ983055:IZ983059 SV983055:SV983059 ACR983055:ACR983059 AMN983055:AMN983059 AWJ983055:AWJ983059 BGF983055:BGF983059 BQB983055:BQB983059 BZX983055:BZX983059 CJT983055:CJT983059 CTP983055:CTP983059 DDL983055:DDL983059 DNH983055:DNH983059 DXD983055:DXD983059 EGZ983055:EGZ983059 EQV983055:EQV983059 FAR983055:FAR983059 FKN983055:FKN983059 FUJ983055:FUJ983059 GEF983055:GEF983059 GOB983055:GOB983059 GXX983055:GXX983059 HHT983055:HHT983059 HRP983055:HRP983059 IBL983055:IBL983059 ILH983055:ILH983059 IVD983055:IVD983059 JEZ983055:JEZ983059 JOV983055:JOV983059 JYR983055:JYR983059 KIN983055:KIN983059 KSJ983055:KSJ983059 LCF983055:LCF983059 LMB983055:LMB983059 LVX983055:LVX983059 MFT983055:MFT983059 MPP983055:MPP983059 MZL983055:MZL983059 NJH983055:NJH983059 NTD983055:NTD983059 OCZ983055:OCZ983059 OMV983055:OMV983059 OWR983055:OWR983059 PGN983055:PGN983059 PQJ983055:PQJ983059 QAF983055:QAF983059 QKB983055:QKB983059 QTX983055:QTX983059 RDT983055:RDT983059 RNP983055:RNP983059 RXL983055:RXL983059 SHH983055:SHH983059 SRD983055:SRD983059 TAZ983055:TAZ983059 TKV983055:TKV983059 TUR983055:TUR983059 UEN983055:UEN983059 UOJ983055:UOJ983059 UYF983055:UYF983059 VIB983055:VIB983059 VRX983055:VRX983059 WBT983055:WBT983059 WLP983055:WLP983059">
      <formula1>AFC_list</formula1>
    </dataValidation>
  </dataValidations>
  <hyperlinks>
    <hyperlink ref="C23" location="Run_D2A!A1" display="To Intervention Cost Template"/>
    <hyperlink ref="C22" location="'D2A Comm_Ward'!A1" display="To Rota Working Template"/>
  </hyperlinks>
  <pageMargins left="0.15748031496062992" right="0.15748031496062992" top="0.74803149606299213" bottom="0.74803149606299213" header="0.31496062992125984" footer="0.31496062992125984"/>
  <pageSetup paperSize="8" scale="58"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Run_D2A!$D$30:$D$59</xm:f>
          </x14:formula1>
          <xm:sqref>E29</xm:sqref>
        </x14:dataValidation>
        <x14:dataValidation type="list" allowBlank="1" showInputMessage="1" showErrorMessage="1">
          <x14:formula1>
            <xm:f>Run_D2A!$B$30:$B$59</xm:f>
          </x14:formula1>
          <xm:sqref>D29</xm:sqref>
        </x14:dataValidation>
      </x14:dataValidations>
    </ex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4" tint="-0.249977111117893"/>
    <pageSetUpPr fitToPage="1"/>
  </sheetPr>
  <dimension ref="A1:BT135"/>
  <sheetViews>
    <sheetView showGridLines="0" topLeftCell="B1" zoomScale="75" zoomScaleNormal="75" zoomScaleSheetLayoutView="100" zoomScalePageLayoutView="75" workbookViewId="0">
      <pane ySplit="1" topLeftCell="A2" activePane="bottomLeft" state="frozen"/>
      <selection activeCell="C1" sqref="C1"/>
      <selection pane="bottomLeft" activeCell="B27" sqref="B27"/>
    </sheetView>
  </sheetViews>
  <sheetFormatPr defaultColWidth="8.85546875" defaultRowHeight="14.25" outlineLevelCol="1"/>
  <cols>
    <col min="1" max="1" width="56.140625" style="1090" hidden="1" customWidth="1" outlineLevel="1"/>
    <col min="2" max="2" width="15.7109375" style="1090" customWidth="1" collapsed="1"/>
    <col min="3" max="3" width="50.42578125" style="1090" customWidth="1"/>
    <col min="4" max="4" width="17.7109375" style="1090" customWidth="1"/>
    <col min="5" max="5" width="12" style="1090" customWidth="1"/>
    <col min="6" max="6" width="27.42578125" style="1090" customWidth="1"/>
    <col min="7" max="7" width="17.140625" style="1090" customWidth="1"/>
    <col min="8" max="8" width="7.42578125" style="1090" customWidth="1"/>
    <col min="9" max="9" width="44.85546875" style="1090" customWidth="1"/>
    <col min="10" max="11" width="20.85546875" style="1090" customWidth="1"/>
    <col min="12" max="12" width="15.140625" style="1090" bestFit="1" customWidth="1"/>
    <col min="13" max="13" width="19.140625" style="1090" customWidth="1"/>
    <col min="14" max="14" width="23.42578125" style="1090" customWidth="1"/>
    <col min="15" max="15" width="15.140625" style="1090" bestFit="1" customWidth="1"/>
    <col min="16" max="19" width="8.85546875" style="1090"/>
    <col min="20" max="20" width="3" style="1090" customWidth="1"/>
    <col min="21" max="21" width="9.42578125" style="1090" customWidth="1"/>
    <col min="22" max="23" width="34.7109375" style="1090" customWidth="1"/>
    <col min="24" max="24" width="14.7109375" style="1090" customWidth="1"/>
    <col min="25" max="25" width="17.7109375" style="1090" customWidth="1"/>
    <col min="26" max="26" width="15.42578125" style="1090" customWidth="1"/>
    <col min="27" max="16384" width="8.85546875" style="1090"/>
  </cols>
  <sheetData>
    <row r="1" spans="1:72" s="1078" customFormat="1" ht="42.75" customHeight="1" thickBot="1">
      <c r="A1" s="531"/>
      <c r="B1" s="1760"/>
      <c r="C1" s="1850" t="str">
        <f>HYPERLINK("[.\]Menu!A1", "To Menu")</f>
        <v>To Menu</v>
      </c>
      <c r="D1" s="2311" t="str">
        <f>HYPERLINK("[.\]control_sheet_and_graphs!A1", "To Control sheet and graphical results")</f>
        <v>To Control sheet and graphical results</v>
      </c>
      <c r="E1" s="2312"/>
      <c r="F1" s="1765"/>
      <c r="G1" s="2311" t="str">
        <f>HYPERLINK("[.\]outputs_by_channel!A1", "To Intervention data outputs by channel")</f>
        <v>To Intervention data outputs by channel</v>
      </c>
      <c r="H1" s="2312"/>
      <c r="I1" s="1766"/>
      <c r="J1" s="1762"/>
      <c r="K1" s="1762"/>
      <c r="L1" s="532"/>
      <c r="N1" s="532"/>
      <c r="O1" s="532"/>
      <c r="P1" s="532"/>
      <c r="Q1" s="532"/>
      <c r="S1" s="532"/>
      <c r="T1" s="532"/>
      <c r="U1" s="532"/>
      <c r="V1" s="532"/>
      <c r="X1" s="532"/>
      <c r="Y1" s="532"/>
      <c r="Z1" s="532"/>
      <c r="AA1" s="532"/>
      <c r="AC1" s="532"/>
      <c r="AD1" s="532"/>
      <c r="AE1" s="532"/>
      <c r="AF1" s="532"/>
      <c r="AH1" s="532"/>
      <c r="AI1" s="532"/>
      <c r="AJ1" s="532"/>
      <c r="AK1" s="532"/>
      <c r="AM1" s="532"/>
      <c r="AN1" s="532"/>
      <c r="AO1" s="532"/>
      <c r="AP1" s="532"/>
      <c r="AR1" s="532"/>
      <c r="AS1" s="532"/>
      <c r="AT1" s="532"/>
      <c r="AU1" s="532"/>
      <c r="AW1" s="532"/>
      <c r="AX1" s="532"/>
      <c r="AY1" s="532"/>
      <c r="AZ1" s="532"/>
      <c r="BB1" s="532"/>
      <c r="BC1" s="532"/>
      <c r="BD1" s="532"/>
      <c r="BE1" s="532"/>
      <c r="BG1" s="532"/>
      <c r="BH1" s="532"/>
      <c r="BI1" s="532"/>
      <c r="BJ1" s="532"/>
      <c r="BL1" s="532"/>
      <c r="BM1" s="532"/>
      <c r="BN1" s="532"/>
      <c r="BO1" s="532"/>
      <c r="BQ1" s="532"/>
      <c r="BR1" s="532"/>
      <c r="BS1" s="532"/>
      <c r="BT1" s="532"/>
    </row>
    <row r="2" spans="1:72" ht="15">
      <c r="A2" s="525"/>
      <c r="B2" s="1097"/>
      <c r="C2" s="772"/>
      <c r="D2" s="580"/>
      <c r="E2" s="580"/>
      <c r="F2" s="1262"/>
      <c r="G2" s="1262"/>
      <c r="H2" s="1262"/>
      <c r="I2" s="2072"/>
      <c r="J2" s="2072"/>
      <c r="K2" s="2088"/>
      <c r="M2" s="2469"/>
      <c r="N2" s="2469"/>
      <c r="O2" s="724"/>
      <c r="P2" s="1348"/>
      <c r="Q2" s="724"/>
      <c r="R2" s="1091"/>
      <c r="S2" s="1091"/>
      <c r="T2" s="1091"/>
      <c r="U2" s="545"/>
      <c r="V2" s="1091"/>
      <c r="W2" s="1091"/>
    </row>
    <row r="3" spans="1:72" ht="15.75" thickBot="1">
      <c r="A3" s="525"/>
      <c r="B3" s="1097"/>
      <c r="C3" s="772"/>
      <c r="D3" s="580"/>
      <c r="E3" s="580"/>
      <c r="F3" s="950"/>
      <c r="G3" s="950"/>
      <c r="H3" s="1262"/>
      <c r="I3" s="2070"/>
      <c r="J3" s="2074"/>
      <c r="K3" s="2083"/>
      <c r="M3" s="2469"/>
      <c r="N3" s="2469"/>
      <c r="O3" s="725"/>
      <c r="P3" s="1349"/>
      <c r="Q3" s="725"/>
      <c r="R3" s="1091"/>
      <c r="S3" s="1091"/>
      <c r="T3" s="1091"/>
      <c r="U3" s="545"/>
      <c r="V3" s="1091"/>
      <c r="W3" s="1091"/>
    </row>
    <row r="4" spans="1:72" ht="15">
      <c r="B4" s="1097"/>
      <c r="C4" s="2438" t="str">
        <f>Menu!$B34</f>
        <v>Discharge Planning</v>
      </c>
      <c r="D4" s="2439"/>
      <c r="E4" s="580"/>
      <c r="F4" s="950"/>
      <c r="G4" s="663"/>
      <c r="H4" s="580"/>
      <c r="I4" s="2070"/>
      <c r="J4" s="2074"/>
      <c r="K4" s="2083"/>
      <c r="M4" s="2469"/>
      <c r="N4" s="2469"/>
      <c r="O4" s="725"/>
      <c r="P4" s="1349"/>
      <c r="Q4" s="725"/>
      <c r="R4" s="1091"/>
      <c r="S4" s="1091"/>
      <c r="T4" s="1091"/>
      <c r="U4" s="545"/>
      <c r="V4" s="1091"/>
      <c r="W4" s="1091"/>
    </row>
    <row r="5" spans="1:72" ht="15.75" thickBot="1">
      <c r="B5" s="1097"/>
      <c r="C5" s="2440"/>
      <c r="D5" s="2399"/>
      <c r="E5" s="580"/>
      <c r="F5" s="1262"/>
      <c r="G5" s="1262"/>
      <c r="H5" s="1262"/>
      <c r="I5" s="2070"/>
      <c r="J5" s="2076"/>
      <c r="K5" s="2084"/>
      <c r="M5" s="2469"/>
      <c r="N5" s="2469"/>
      <c r="O5" s="338"/>
      <c r="P5" s="1350"/>
      <c r="Q5" s="338"/>
      <c r="R5" s="1091"/>
      <c r="S5" s="1091"/>
      <c r="T5" s="1091"/>
      <c r="U5" s="545"/>
      <c r="V5" s="1091"/>
      <c r="W5" s="1091"/>
    </row>
    <row r="6" spans="1:72" ht="15.75" thickBot="1">
      <c r="B6" s="1097"/>
      <c r="G6" s="580"/>
      <c r="H6" s="580"/>
      <c r="I6" s="2070"/>
      <c r="J6" s="2077"/>
      <c r="K6" s="2085"/>
      <c r="M6" s="2469"/>
      <c r="N6" s="2469"/>
      <c r="O6" s="725"/>
      <c r="P6" s="1349"/>
      <c r="Q6" s="725"/>
      <c r="R6" s="1091"/>
      <c r="S6" s="1091"/>
      <c r="T6" s="1091"/>
      <c r="U6" s="545"/>
      <c r="V6" s="1091"/>
      <c r="W6" s="1091"/>
    </row>
    <row r="7" spans="1:72" ht="15.75" thickBot="1">
      <c r="B7" s="1097"/>
      <c r="C7" s="957" t="s">
        <v>582</v>
      </c>
      <c r="D7" s="1329">
        <v>813405</v>
      </c>
      <c r="E7" s="580"/>
      <c r="F7" s="594"/>
      <c r="G7" s="580"/>
      <c r="H7" s="580"/>
      <c r="I7" s="2070"/>
      <c r="J7" s="2074"/>
      <c r="K7" s="2083"/>
      <c r="M7" s="2469"/>
      <c r="N7" s="2469"/>
      <c r="O7" s="725"/>
      <c r="P7" s="1349"/>
      <c r="Q7" s="725"/>
      <c r="R7" s="1091"/>
      <c r="S7" s="1091"/>
      <c r="T7" s="1091"/>
      <c r="U7" s="545"/>
      <c r="V7" s="1091"/>
      <c r="W7" s="1091"/>
    </row>
    <row r="8" spans="1:72" ht="15.75" thickBot="1">
      <c r="B8" s="1097"/>
      <c r="C8" s="683"/>
      <c r="D8" s="683"/>
      <c r="E8" s="683"/>
      <c r="F8" s="580"/>
      <c r="G8" s="580"/>
      <c r="H8" s="580"/>
      <c r="I8" s="2070"/>
      <c r="J8" s="2076"/>
      <c r="K8" s="2084"/>
      <c r="M8" s="2469"/>
      <c r="N8" s="2469"/>
      <c r="O8" s="338"/>
      <c r="P8" s="1350"/>
      <c r="Q8" s="338"/>
      <c r="R8" s="1091"/>
      <c r="S8" s="1091"/>
      <c r="T8" s="1091"/>
      <c r="U8" s="545"/>
      <c r="V8" s="1091"/>
      <c r="W8" s="1091"/>
    </row>
    <row r="9" spans="1:72" ht="15.75" thickBot="1">
      <c r="B9" s="1097"/>
      <c r="C9" s="957" t="s">
        <v>1078</v>
      </c>
      <c r="D9" s="2504" t="s">
        <v>817</v>
      </c>
      <c r="E9" s="2514"/>
      <c r="F9" s="2515"/>
      <c r="G9" s="1530"/>
      <c r="H9" s="1093"/>
      <c r="I9" s="1093"/>
      <c r="J9" s="1093"/>
      <c r="K9" s="615"/>
      <c r="L9" s="1092"/>
      <c r="M9" s="1093"/>
      <c r="N9" s="1093"/>
      <c r="O9" s="1093"/>
      <c r="P9" s="1093"/>
      <c r="Q9" s="1091"/>
      <c r="R9" s="1091"/>
      <c r="S9" s="1091"/>
      <c r="T9" s="1091"/>
      <c r="U9" s="1091"/>
      <c r="V9" s="1091"/>
      <c r="W9" s="1091"/>
    </row>
    <row r="10" spans="1:72" ht="15" customHeight="1" thickBot="1">
      <c r="B10" s="1097"/>
      <c r="C10" s="957" t="s">
        <v>1079</v>
      </c>
      <c r="D10" s="2504" t="s">
        <v>816</v>
      </c>
      <c r="E10" s="2514"/>
      <c r="F10" s="2515"/>
      <c r="G10" s="1530"/>
      <c r="H10" s="1093"/>
      <c r="I10" s="525"/>
      <c r="K10" s="1104"/>
      <c r="L10" s="1091"/>
      <c r="M10" s="1091"/>
      <c r="N10" s="1091"/>
      <c r="O10" s="1091"/>
      <c r="P10" s="1091"/>
      <c r="Q10" s="1091"/>
      <c r="R10" s="1091"/>
      <c r="S10" s="1091"/>
      <c r="T10" s="1091"/>
      <c r="U10" s="1091"/>
      <c r="V10" s="1091"/>
    </row>
    <row r="11" spans="1:72" ht="15">
      <c r="B11" s="1097"/>
      <c r="C11" s="526"/>
      <c r="D11" s="526"/>
      <c r="E11" s="526"/>
      <c r="F11" s="526"/>
      <c r="G11" s="526"/>
      <c r="H11" s="526"/>
      <c r="I11" s="526"/>
      <c r="J11" s="526"/>
      <c r="K11" s="1100"/>
      <c r="L11" s="526"/>
      <c r="M11" s="1091"/>
      <c r="N11" s="1091"/>
      <c r="O11" s="1091"/>
      <c r="P11" s="1091"/>
      <c r="Q11" s="1091"/>
      <c r="R11" s="1091"/>
      <c r="S11" s="1091"/>
      <c r="T11" s="1091"/>
      <c r="U11" s="1091"/>
      <c r="V11" s="1091"/>
      <c r="W11" s="1091"/>
    </row>
    <row r="12" spans="1:72" ht="15">
      <c r="B12" s="1097"/>
      <c r="C12" s="1777" t="str">
        <f>HYPERLINK("[.\]E_Dis_Pl!A5","To Evidence")</f>
        <v>To Evidence</v>
      </c>
      <c r="D12" s="526"/>
      <c r="E12" s="526"/>
      <c r="F12" s="526"/>
      <c r="G12" s="526"/>
      <c r="H12" s="526"/>
      <c r="I12" s="526"/>
      <c r="J12" s="526"/>
      <c r="K12" s="1100"/>
      <c r="L12" s="526"/>
      <c r="M12" s="1091"/>
      <c r="N12" s="1091"/>
      <c r="O12" s="1091"/>
      <c r="P12" s="1091"/>
      <c r="Q12" s="1091"/>
      <c r="R12" s="1091"/>
      <c r="S12" s="1091"/>
      <c r="T12" s="1091"/>
      <c r="U12" s="1091"/>
      <c r="V12" s="1091"/>
      <c r="W12" s="1091"/>
    </row>
    <row r="13" spans="1:72" ht="15">
      <c r="B13" s="1106"/>
      <c r="C13" s="526"/>
      <c r="D13" s="526"/>
      <c r="E13" s="526"/>
      <c r="F13" s="526"/>
      <c r="G13" s="526"/>
      <c r="H13" s="526"/>
      <c r="I13" s="526"/>
      <c r="J13" s="526"/>
      <c r="K13" s="1374"/>
      <c r="L13" s="526"/>
      <c r="M13" s="1091"/>
      <c r="N13" s="1091"/>
      <c r="O13" s="1091"/>
      <c r="P13" s="1091"/>
      <c r="Q13" s="1091"/>
      <c r="R13" s="1091"/>
      <c r="S13" s="1091"/>
      <c r="T13" s="1091"/>
      <c r="U13" s="1091"/>
      <c r="V13" s="1091"/>
      <c r="W13" s="1091"/>
    </row>
    <row r="14" spans="1:72" ht="15">
      <c r="A14" s="966" t="s">
        <v>103</v>
      </c>
      <c r="B14" s="2343" t="s">
        <v>119</v>
      </c>
      <c r="C14" s="2344"/>
      <c r="D14" s="2344"/>
      <c r="E14" s="2344"/>
      <c r="F14" s="2344"/>
      <c r="G14" s="2344"/>
      <c r="H14" s="2344"/>
      <c r="I14" s="2344"/>
      <c r="J14" s="2344"/>
      <c r="K14" s="2345"/>
      <c r="L14" s="526"/>
      <c r="M14" s="1091"/>
      <c r="N14" s="1091"/>
      <c r="O14" s="1091"/>
      <c r="P14" s="1091"/>
      <c r="Q14" s="1091"/>
      <c r="R14" s="1091"/>
      <c r="S14" s="1091"/>
      <c r="T14" s="1091"/>
      <c r="U14" s="1091"/>
      <c r="V14" s="1091"/>
      <c r="W14" s="1091"/>
    </row>
    <row r="15" spans="1:72" s="1091" customFormat="1" ht="15" customHeight="1">
      <c r="A15" s="2509"/>
      <c r="B15" s="546"/>
      <c r="C15" s="1248"/>
      <c r="D15" s="1248"/>
      <c r="E15" s="1248"/>
      <c r="F15" s="1248"/>
      <c r="G15" s="1248"/>
      <c r="H15" s="1248"/>
      <c r="I15" s="1248"/>
      <c r="J15" s="1248"/>
      <c r="K15" s="1376"/>
      <c r="L15" s="526"/>
    </row>
    <row r="16" spans="1:72" s="1091" customFormat="1" ht="15">
      <c r="A16" s="2510"/>
      <c r="B16" s="1266"/>
      <c r="C16" s="1248"/>
      <c r="D16" s="1248"/>
      <c r="E16" s="1248"/>
      <c r="F16" s="1248"/>
      <c r="G16" s="1248"/>
      <c r="H16" s="1248"/>
      <c r="I16" s="1251"/>
      <c r="J16" s="551"/>
      <c r="K16" s="693" t="s">
        <v>141</v>
      </c>
      <c r="L16" s="526"/>
    </row>
    <row r="17" spans="1:23" s="1091" customFormat="1" ht="30">
      <c r="A17" s="2510"/>
      <c r="B17" s="1266"/>
      <c r="C17" s="1448" t="s">
        <v>981</v>
      </c>
      <c r="D17" s="573">
        <v>45066</v>
      </c>
      <c r="E17" s="1531"/>
      <c r="F17" s="1321"/>
      <c r="H17" s="1093"/>
      <c r="J17" s="1351"/>
      <c r="K17" s="693" t="s">
        <v>143</v>
      </c>
      <c r="L17" s="526"/>
    </row>
    <row r="18" spans="1:23" s="1091" customFormat="1" ht="15">
      <c r="A18" s="2510"/>
      <c r="B18" s="1266"/>
      <c r="C18" s="1448" t="s">
        <v>709</v>
      </c>
      <c r="D18" s="568">
        <v>0.5</v>
      </c>
      <c r="E18" s="1531"/>
      <c r="F18" s="1321"/>
      <c r="H18" s="1093"/>
      <c r="J18" s="728" t="s">
        <v>556</v>
      </c>
      <c r="K18" s="552" t="s">
        <v>143</v>
      </c>
      <c r="L18" s="526"/>
    </row>
    <row r="19" spans="1:23" s="1091" customFormat="1" ht="42.75">
      <c r="A19" s="2510"/>
      <c r="B19" s="1266"/>
      <c r="C19" s="1448" t="s">
        <v>1080</v>
      </c>
      <c r="D19" s="595">
        <f>D17*D18</f>
        <v>22533</v>
      </c>
      <c r="E19" s="1531"/>
      <c r="F19" s="1321"/>
      <c r="H19" s="1093"/>
      <c r="J19" s="2193"/>
      <c r="K19" s="507" t="s">
        <v>1299</v>
      </c>
      <c r="L19" s="526"/>
    </row>
    <row r="20" spans="1:23" s="1091" customFormat="1" ht="15">
      <c r="A20" s="2510"/>
      <c r="B20" s="556"/>
      <c r="C20" s="1248"/>
      <c r="D20" s="1248"/>
      <c r="E20" s="1248"/>
      <c r="F20" s="1248"/>
      <c r="G20" s="1248"/>
      <c r="H20" s="1248"/>
      <c r="I20" s="1248"/>
      <c r="J20" s="1248"/>
      <c r="K20" s="1375"/>
      <c r="L20" s="526"/>
    </row>
    <row r="21" spans="1:23" ht="15">
      <c r="A21" s="2052"/>
      <c r="B21" s="2343" t="s">
        <v>215</v>
      </c>
      <c r="C21" s="2344"/>
      <c r="D21" s="2344"/>
      <c r="E21" s="2344"/>
      <c r="F21" s="2344"/>
      <c r="G21" s="2344"/>
      <c r="H21" s="2344"/>
      <c r="I21" s="2344"/>
      <c r="J21" s="2344"/>
      <c r="K21" s="2345"/>
      <c r="L21" s="1093"/>
      <c r="M21" s="1093"/>
      <c r="N21" s="1093"/>
      <c r="O21" s="1093"/>
      <c r="P21" s="1091"/>
      <c r="Q21" s="1091"/>
      <c r="R21" s="1091"/>
      <c r="S21" s="1091"/>
      <c r="T21" s="1091"/>
      <c r="U21" s="1091"/>
      <c r="V21" s="1091"/>
      <c r="W21" s="1091"/>
    </row>
    <row r="22" spans="1:23" ht="15" customHeight="1">
      <c r="A22" s="560"/>
      <c r="B22" s="1382"/>
      <c r="C22" s="526"/>
      <c r="D22" s="526"/>
      <c r="E22" s="1093"/>
      <c r="F22" s="560"/>
      <c r="G22" s="526"/>
      <c r="H22" s="526"/>
      <c r="I22" s="1251"/>
      <c r="J22" s="1251"/>
      <c r="K22" s="1377"/>
      <c r="L22" s="1093"/>
      <c r="M22" s="1093"/>
      <c r="N22" s="1093"/>
      <c r="O22" s="1093"/>
      <c r="P22" s="526"/>
      <c r="Q22" s="1091"/>
      <c r="R22" s="1091"/>
      <c r="S22" s="1091"/>
      <c r="T22" s="1091"/>
      <c r="U22" s="1091"/>
      <c r="V22" s="1091"/>
      <c r="W22" s="1091"/>
    </row>
    <row r="23" spans="1:23" ht="15">
      <c r="A23" s="247"/>
      <c r="B23" s="1097"/>
      <c r="C23" s="1775" t="str">
        <f>HYPERLINK("[.\]Set_up_Dis_Pl!A3","To Set up costs template")</f>
        <v>To Set up costs template</v>
      </c>
      <c r="D23" s="526"/>
      <c r="E23" s="1093"/>
      <c r="F23" s="560"/>
      <c r="G23" s="526"/>
      <c r="H23" s="526"/>
      <c r="I23" s="1251"/>
      <c r="J23" s="1251"/>
      <c r="K23" s="615"/>
      <c r="L23" s="1093"/>
      <c r="M23" s="1093"/>
      <c r="N23" s="1093"/>
      <c r="O23" s="1093"/>
      <c r="P23" s="526"/>
      <c r="Q23" s="1091"/>
      <c r="R23" s="1091"/>
      <c r="S23" s="1091"/>
      <c r="T23" s="1091"/>
      <c r="U23" s="1091"/>
      <c r="V23" s="1091"/>
      <c r="W23" s="1091"/>
    </row>
    <row r="24" spans="1:23" ht="15">
      <c r="A24" s="247"/>
      <c r="B24" s="1097"/>
      <c r="C24" s="526"/>
      <c r="D24" s="526"/>
      <c r="E24" s="1093"/>
      <c r="F24" s="560"/>
      <c r="G24" s="526"/>
      <c r="H24" s="526"/>
      <c r="I24" s="1711"/>
      <c r="J24" s="1711"/>
      <c r="K24" s="615"/>
      <c r="L24" s="1093"/>
      <c r="M24" s="1093"/>
      <c r="N24" s="1093"/>
      <c r="O24" s="1093"/>
      <c r="P24" s="526"/>
      <c r="Q24" s="1091"/>
      <c r="R24" s="1091"/>
      <c r="S24" s="1091"/>
      <c r="T24" s="1091"/>
      <c r="U24" s="1091"/>
      <c r="V24" s="1091"/>
      <c r="W24" s="1091"/>
    </row>
    <row r="25" spans="1:23" ht="15">
      <c r="A25" s="247"/>
      <c r="B25" s="1097"/>
      <c r="C25" s="639" t="s">
        <v>1092</v>
      </c>
      <c r="D25" s="773">
        <f>Set_up_Dis_Pl!B4</f>
        <v>10000</v>
      </c>
      <c r="E25" s="1093"/>
      <c r="G25" s="526"/>
      <c r="H25" s="526"/>
      <c r="I25" s="526"/>
      <c r="J25" s="526"/>
      <c r="K25" s="615"/>
      <c r="L25" s="1093"/>
      <c r="M25" s="1093"/>
      <c r="N25" s="1093"/>
      <c r="O25" s="1093"/>
      <c r="P25" s="526"/>
      <c r="Q25" s="1091"/>
      <c r="R25" s="1091"/>
      <c r="S25" s="1091"/>
      <c r="T25" s="1091"/>
      <c r="U25" s="1091"/>
      <c r="V25" s="1091"/>
      <c r="W25" s="1091"/>
    </row>
    <row r="26" spans="1:23" ht="15">
      <c r="A26" s="247"/>
      <c r="B26" s="1097"/>
      <c r="C26" s="526"/>
      <c r="D26" s="526"/>
      <c r="E26" s="1093"/>
      <c r="F26" s="560"/>
      <c r="G26" s="526"/>
      <c r="H26" s="526"/>
      <c r="I26" s="526"/>
      <c r="J26" s="526"/>
      <c r="K26" s="615"/>
      <c r="L26" s="1093"/>
      <c r="M26" s="1093"/>
      <c r="N26" s="1093"/>
      <c r="O26" s="1093"/>
      <c r="P26" s="526"/>
      <c r="Q26" s="1091"/>
      <c r="R26" s="1091"/>
      <c r="S26" s="1091"/>
      <c r="T26" s="1091"/>
      <c r="U26" s="1091"/>
      <c r="V26" s="1091"/>
      <c r="W26" s="1091"/>
    </row>
    <row r="27" spans="1:23" ht="15">
      <c r="A27" s="247"/>
      <c r="B27" s="1097"/>
      <c r="C27" s="526" t="s">
        <v>815</v>
      </c>
      <c r="D27" s="526"/>
      <c r="E27" s="1093"/>
      <c r="F27" s="560"/>
      <c r="G27" s="526"/>
      <c r="H27" s="526"/>
      <c r="I27" s="526"/>
      <c r="J27" s="526"/>
      <c r="K27" s="615"/>
      <c r="L27" s="1093"/>
      <c r="M27" s="1093"/>
      <c r="N27" s="1093"/>
      <c r="O27" s="1093"/>
      <c r="P27" s="526"/>
      <c r="Q27" s="1091"/>
      <c r="R27" s="1091"/>
      <c r="S27" s="1091"/>
      <c r="T27" s="1091"/>
      <c r="U27" s="1091"/>
      <c r="V27" s="1091"/>
      <c r="W27" s="1091"/>
    </row>
    <row r="28" spans="1:23" ht="45">
      <c r="A28" s="247"/>
      <c r="B28" s="1097"/>
      <c r="C28" s="684" t="s">
        <v>814</v>
      </c>
      <c r="D28" s="1144" t="s">
        <v>116</v>
      </c>
      <c r="E28" s="1144" t="s">
        <v>115</v>
      </c>
      <c r="F28" s="1298" t="s">
        <v>975</v>
      </c>
      <c r="H28" s="526"/>
      <c r="I28" s="564" t="s">
        <v>634</v>
      </c>
      <c r="J28" s="564" t="s">
        <v>110</v>
      </c>
      <c r="K28" s="615"/>
      <c r="L28" s="1093"/>
      <c r="M28" s="1093"/>
      <c r="N28" s="1093"/>
      <c r="O28" s="1093"/>
      <c r="P28" s="526"/>
      <c r="Q28" s="1091"/>
      <c r="R28" s="1091"/>
      <c r="S28" s="1091"/>
      <c r="T28" s="1091"/>
      <c r="U28" s="1091"/>
      <c r="V28" s="1091"/>
      <c r="W28" s="1091"/>
    </row>
    <row r="29" spans="1:23" ht="15">
      <c r="A29" s="247"/>
      <c r="B29" s="1097"/>
      <c r="C29" s="565" t="s">
        <v>813</v>
      </c>
      <c r="D29" s="566" t="s">
        <v>0</v>
      </c>
      <c r="E29" s="567">
        <v>1</v>
      </c>
      <c r="F29" s="774">
        <f>VLOOKUP(D29,staff_costs!$A$5:$F$22,6,0)</f>
        <v>55431.72</v>
      </c>
      <c r="H29" s="526"/>
      <c r="I29" s="572" t="str">
        <f t="shared" ref="I29:I35" si="0">C29</f>
        <v>Strategic discharge planning manager</v>
      </c>
      <c r="J29" s="774">
        <f t="shared" ref="J29:J35" si="1">F29*E29</f>
        <v>55431.72</v>
      </c>
      <c r="K29" s="615"/>
      <c r="L29" s="1093"/>
      <c r="M29" s="1093"/>
      <c r="N29" s="1093"/>
      <c r="O29" s="1093"/>
      <c r="P29" s="526"/>
      <c r="Q29" s="1091"/>
      <c r="R29" s="1091"/>
      <c r="S29" s="1091"/>
      <c r="T29" s="1091"/>
      <c r="U29" s="1091"/>
      <c r="V29" s="1091"/>
      <c r="W29" s="1091"/>
    </row>
    <row r="30" spans="1:23" ht="15">
      <c r="A30" s="247"/>
      <c r="B30" s="1097"/>
      <c r="C30" s="565" t="s">
        <v>812</v>
      </c>
      <c r="D30" s="566">
        <v>7</v>
      </c>
      <c r="E30" s="567">
        <v>1</v>
      </c>
      <c r="F30" s="774">
        <f>VLOOKUP(D30,staff_costs!$A$5:$F$22,6,0)</f>
        <v>44950</v>
      </c>
      <c r="H30" s="526"/>
      <c r="I30" s="572" t="str">
        <f t="shared" si="0"/>
        <v>Operational discharge planning manager</v>
      </c>
      <c r="J30" s="774">
        <f t="shared" si="1"/>
        <v>44950</v>
      </c>
      <c r="K30" s="615"/>
      <c r="L30" s="1093"/>
      <c r="M30" s="1093"/>
      <c r="N30" s="1093"/>
      <c r="O30" s="1093"/>
      <c r="P30" s="526"/>
      <c r="Q30" s="1091"/>
      <c r="R30" s="1091"/>
      <c r="S30" s="1091"/>
      <c r="T30" s="1091"/>
      <c r="U30" s="1091"/>
      <c r="V30" s="1091"/>
      <c r="W30" s="1091"/>
    </row>
    <row r="31" spans="1:23" ht="30">
      <c r="A31" s="247"/>
      <c r="B31" s="1097"/>
      <c r="C31" s="565" t="s">
        <v>811</v>
      </c>
      <c r="D31" s="566">
        <v>7</v>
      </c>
      <c r="E31" s="567">
        <v>2</v>
      </c>
      <c r="F31" s="774">
        <f>VLOOKUP(D31,staff_costs!$A$5:$F$22,6,0)</f>
        <v>44950</v>
      </c>
      <c r="H31" s="526"/>
      <c r="I31" s="572" t="str">
        <f t="shared" si="0"/>
        <v>Senior Discharge Planning Specialist Nurse</v>
      </c>
      <c r="J31" s="774">
        <f t="shared" si="1"/>
        <v>89900</v>
      </c>
      <c r="K31" s="615"/>
      <c r="L31" s="1093"/>
      <c r="M31" s="1093"/>
      <c r="N31" s="1093"/>
      <c r="O31" s="1093"/>
      <c r="P31" s="526"/>
      <c r="Q31" s="1091"/>
      <c r="R31" s="1091"/>
      <c r="S31" s="1091"/>
      <c r="T31" s="1091"/>
      <c r="U31" s="1091"/>
      <c r="V31" s="1091"/>
      <c r="W31" s="1091"/>
    </row>
    <row r="32" spans="1:23" ht="15">
      <c r="A32" s="247"/>
      <c r="B32" s="1097"/>
      <c r="C32" s="565" t="s">
        <v>810</v>
      </c>
      <c r="D32" s="566">
        <v>6</v>
      </c>
      <c r="E32" s="567">
        <v>5</v>
      </c>
      <c r="F32" s="774">
        <f>VLOOKUP(D32,staff_costs!$A$5:$F$22,6,0)</f>
        <v>37642.68</v>
      </c>
      <c r="H32" s="526"/>
      <c r="I32" s="572" t="str">
        <f t="shared" si="0"/>
        <v>Discharge Planning Specialist Nurse</v>
      </c>
      <c r="J32" s="774">
        <f t="shared" si="1"/>
        <v>188213.4</v>
      </c>
      <c r="K32" s="615"/>
      <c r="L32" s="1093"/>
      <c r="M32" s="1093"/>
      <c r="N32" s="1093"/>
      <c r="O32" s="1093"/>
      <c r="P32" s="526"/>
      <c r="Q32" s="1091"/>
      <c r="R32" s="1091"/>
      <c r="S32" s="1091"/>
      <c r="T32" s="1091"/>
      <c r="U32" s="1091"/>
      <c r="V32" s="1091"/>
      <c r="W32" s="1091"/>
    </row>
    <row r="33" spans="1:23" ht="15">
      <c r="A33" s="247"/>
      <c r="B33" s="1097"/>
      <c r="C33" s="565" t="s">
        <v>809</v>
      </c>
      <c r="D33" s="566">
        <v>4</v>
      </c>
      <c r="E33" s="567">
        <v>2</v>
      </c>
      <c r="F33" s="774">
        <f>VLOOKUP(D33,staff_costs!$A$5:$F$22,6,0)</f>
        <v>26104.48</v>
      </c>
      <c r="H33" s="526"/>
      <c r="I33" s="572" t="str">
        <f t="shared" si="0"/>
        <v>Acute Admin</v>
      </c>
      <c r="J33" s="774">
        <f t="shared" si="1"/>
        <v>52208.959999999999</v>
      </c>
      <c r="K33" s="615"/>
      <c r="L33" s="1093"/>
      <c r="M33" s="1093"/>
      <c r="N33" s="1093"/>
      <c r="O33" s="1093"/>
      <c r="P33" s="526"/>
      <c r="Q33" s="1091"/>
      <c r="R33" s="1091"/>
      <c r="S33" s="1091"/>
      <c r="T33" s="1091"/>
      <c r="U33" s="1091"/>
      <c r="V33" s="1091"/>
      <c r="W33" s="1091"/>
    </row>
    <row r="34" spans="1:23" ht="15">
      <c r="A34" s="247"/>
      <c r="B34" s="1097"/>
      <c r="C34" s="565" t="s">
        <v>808</v>
      </c>
      <c r="D34" s="566">
        <v>4</v>
      </c>
      <c r="E34" s="567">
        <v>6</v>
      </c>
      <c r="F34" s="774">
        <f>VLOOKUP(D34,staff_costs!$A$5:$F$22,6,0)</f>
        <v>26104.48</v>
      </c>
      <c r="H34" s="526"/>
      <c r="I34" s="572" t="str">
        <f t="shared" si="0"/>
        <v>Community Admin</v>
      </c>
      <c r="J34" s="774">
        <f t="shared" si="1"/>
        <v>156626.88</v>
      </c>
      <c r="K34" s="615"/>
      <c r="L34" s="1093"/>
      <c r="M34" s="1093"/>
      <c r="N34" s="1093"/>
      <c r="O34" s="1093"/>
      <c r="P34" s="526"/>
      <c r="Q34" s="1091"/>
      <c r="R34" s="1091"/>
      <c r="S34" s="1091"/>
      <c r="T34" s="1091"/>
      <c r="U34" s="1091"/>
      <c r="V34" s="1091"/>
      <c r="W34" s="1091"/>
    </row>
    <row r="35" spans="1:23" ht="15">
      <c r="A35" s="247"/>
      <c r="B35" s="1097"/>
      <c r="C35" s="565" t="s">
        <v>797</v>
      </c>
      <c r="D35" s="566">
        <v>4</v>
      </c>
      <c r="E35" s="567">
        <v>2.5</v>
      </c>
      <c r="F35" s="774">
        <f>VLOOKUP(D35,staff_costs!$A$5:$F$22,6,0)</f>
        <v>26104.48</v>
      </c>
      <c r="H35" s="526"/>
      <c r="I35" s="572" t="str">
        <f t="shared" si="0"/>
        <v>Admin</v>
      </c>
      <c r="J35" s="774">
        <f t="shared" si="1"/>
        <v>65261.2</v>
      </c>
      <c r="K35" s="615"/>
      <c r="L35" s="1093"/>
      <c r="M35" s="1093"/>
      <c r="N35" s="1093"/>
      <c r="O35" s="1093"/>
      <c r="P35" s="526"/>
      <c r="Q35" s="1091"/>
      <c r="R35" s="1091"/>
      <c r="S35" s="1091"/>
      <c r="T35" s="1091"/>
      <c r="U35" s="1091"/>
      <c r="V35" s="1091"/>
      <c r="W35" s="1091"/>
    </row>
    <row r="36" spans="1:23" ht="15">
      <c r="A36" s="247"/>
      <c r="B36" s="1097"/>
      <c r="C36" s="1250" t="s">
        <v>109</v>
      </c>
      <c r="D36" s="780"/>
      <c r="E36" s="970">
        <f>SUM(E29:E35)</f>
        <v>19.5</v>
      </c>
      <c r="F36" s="526"/>
      <c r="H36" s="526"/>
      <c r="I36" s="572" t="s">
        <v>1081</v>
      </c>
      <c r="J36" s="774">
        <f>SUM(J29:J35)</f>
        <v>652592.15999999992</v>
      </c>
      <c r="K36" s="615"/>
      <c r="L36" s="1093"/>
      <c r="M36" s="1093"/>
      <c r="N36" s="1093"/>
      <c r="O36" s="1093"/>
      <c r="P36" s="526"/>
      <c r="Q36" s="1091"/>
      <c r="R36" s="1091"/>
      <c r="S36" s="1091"/>
      <c r="T36" s="1091"/>
      <c r="U36" s="1091"/>
      <c r="V36" s="1091"/>
      <c r="W36" s="1091"/>
    </row>
    <row r="37" spans="1:23" ht="15">
      <c r="A37" s="247"/>
      <c r="B37" s="1097"/>
      <c r="C37" s="525"/>
      <c r="D37" s="263"/>
      <c r="E37" s="1093"/>
      <c r="F37" s="559"/>
      <c r="G37" s="1251"/>
      <c r="H37" s="526"/>
      <c r="I37" s="1251"/>
      <c r="J37" s="1251"/>
      <c r="K37" s="615"/>
      <c r="L37" s="1093"/>
      <c r="M37" s="1093"/>
      <c r="N37" s="1093"/>
      <c r="O37" s="1093"/>
      <c r="P37" s="526"/>
      <c r="Q37" s="1091"/>
      <c r="R37" s="1091"/>
      <c r="S37" s="1091"/>
      <c r="T37" s="1091"/>
      <c r="U37" s="1091"/>
      <c r="V37" s="1091"/>
      <c r="W37" s="1091"/>
    </row>
    <row r="38" spans="1:23" ht="45">
      <c r="A38" s="247"/>
      <c r="B38" s="1097"/>
      <c r="C38" s="1257" t="s">
        <v>807</v>
      </c>
      <c r="D38" s="1144" t="s">
        <v>116</v>
      </c>
      <c r="E38" s="1144" t="s">
        <v>115</v>
      </c>
      <c r="F38" s="1298" t="s">
        <v>975</v>
      </c>
      <c r="H38" s="526"/>
      <c r="I38" s="564" t="s">
        <v>634</v>
      </c>
      <c r="J38" s="564" t="s">
        <v>110</v>
      </c>
      <c r="K38" s="615"/>
      <c r="L38" s="1093"/>
      <c r="M38" s="1093"/>
      <c r="N38" s="1093"/>
      <c r="O38" s="1093"/>
      <c r="P38" s="526"/>
      <c r="Q38" s="1091"/>
      <c r="R38" s="1091"/>
      <c r="S38" s="1091"/>
      <c r="T38" s="1091"/>
      <c r="U38" s="1091"/>
      <c r="V38" s="1091"/>
      <c r="W38" s="1091"/>
    </row>
    <row r="39" spans="1:23" ht="15">
      <c r="A39" s="247"/>
      <c r="B39" s="1097"/>
      <c r="C39" s="565" t="s">
        <v>806</v>
      </c>
      <c r="D39" s="566">
        <v>7</v>
      </c>
      <c r="E39" s="567">
        <v>2.5</v>
      </c>
      <c r="F39" s="774">
        <f>VLOOKUP(D39,staff_costs!$A$4:$F$22,6,0)</f>
        <v>44950</v>
      </c>
      <c r="H39" s="526"/>
      <c r="I39" s="572" t="str">
        <f>C39</f>
        <v>Senior Social worker</v>
      </c>
      <c r="J39" s="774">
        <f>F39*E39</f>
        <v>112375</v>
      </c>
      <c r="K39" s="615"/>
      <c r="L39" s="1093"/>
      <c r="M39" s="1093"/>
      <c r="N39" s="1093"/>
      <c r="O39" s="1093"/>
      <c r="P39" s="526"/>
      <c r="Q39" s="1091"/>
      <c r="R39" s="1091"/>
      <c r="S39" s="1091"/>
      <c r="T39" s="1091"/>
      <c r="U39" s="1091"/>
      <c r="V39" s="1091"/>
      <c r="W39" s="1091"/>
    </row>
    <row r="40" spans="1:23" ht="15">
      <c r="A40" s="247"/>
      <c r="B40" s="1097"/>
      <c r="C40" s="565" t="s">
        <v>805</v>
      </c>
      <c r="D40" s="566">
        <v>6</v>
      </c>
      <c r="E40" s="567">
        <v>5</v>
      </c>
      <c r="F40" s="774">
        <f>VLOOKUP(D40,staff_costs!$A$4:$F$22,6,0)</f>
        <v>37642.68</v>
      </c>
      <c r="H40" s="526"/>
      <c r="I40" s="572" t="str">
        <f>C40</f>
        <v>Social worker</v>
      </c>
      <c r="J40" s="774">
        <f>F40*E40</f>
        <v>188213.4</v>
      </c>
      <c r="K40" s="615"/>
      <c r="L40" s="1093"/>
      <c r="M40" s="1093"/>
      <c r="N40" s="1093"/>
      <c r="O40" s="1093"/>
      <c r="P40" s="526"/>
      <c r="Q40" s="1091"/>
      <c r="R40" s="1091"/>
      <c r="S40" s="1091"/>
      <c r="T40" s="1091"/>
      <c r="U40" s="1091"/>
      <c r="V40" s="1091"/>
      <c r="W40" s="1091"/>
    </row>
    <row r="41" spans="1:23" ht="15">
      <c r="A41" s="247"/>
      <c r="B41" s="1097"/>
      <c r="C41" s="565" t="s">
        <v>804</v>
      </c>
      <c r="D41" s="566">
        <v>4</v>
      </c>
      <c r="E41" s="567">
        <v>10</v>
      </c>
      <c r="F41" s="774">
        <f>VLOOKUP(D41,staff_costs!$A$4:$F$22,6,0)</f>
        <v>26104.48</v>
      </c>
      <c r="H41" s="526"/>
      <c r="I41" s="572" t="str">
        <f>C41</f>
        <v>Care Manager</v>
      </c>
      <c r="J41" s="774">
        <f>F41*E41</f>
        <v>261044.8</v>
      </c>
      <c r="K41" s="615"/>
      <c r="L41" s="1093"/>
      <c r="M41" s="1093"/>
      <c r="N41" s="1093"/>
      <c r="O41" s="1093"/>
      <c r="P41" s="526"/>
      <c r="Q41" s="1091"/>
      <c r="R41" s="1091"/>
      <c r="S41" s="1091"/>
      <c r="T41" s="1091"/>
      <c r="U41" s="1091"/>
      <c r="V41" s="1091"/>
      <c r="W41" s="1091"/>
    </row>
    <row r="42" spans="1:23" ht="15">
      <c r="A42" s="247"/>
      <c r="B42" s="1097"/>
      <c r="C42" s="565" t="s">
        <v>803</v>
      </c>
      <c r="D42" s="566">
        <v>2</v>
      </c>
      <c r="E42" s="567">
        <v>2</v>
      </c>
      <c r="F42" s="774">
        <f>VLOOKUP(D42,staff_costs!$A$4:$F$22,6,0)</f>
        <v>20301.28</v>
      </c>
      <c r="H42" s="526"/>
      <c r="I42" s="572" t="str">
        <f>C42</f>
        <v>Care Purchasing Co-ordinator</v>
      </c>
      <c r="J42" s="774">
        <f>F42*E42</f>
        <v>40602.559999999998</v>
      </c>
      <c r="K42" s="615"/>
      <c r="L42" s="1093"/>
      <c r="M42" s="1093"/>
      <c r="N42" s="1093"/>
      <c r="O42" s="1093"/>
      <c r="P42" s="526"/>
      <c r="Q42" s="1091"/>
      <c r="R42" s="1091"/>
      <c r="S42" s="1091"/>
      <c r="T42" s="1091"/>
      <c r="U42" s="1091"/>
      <c r="V42" s="1091"/>
      <c r="W42" s="1091"/>
    </row>
    <row r="43" spans="1:23" ht="15">
      <c r="A43" s="247"/>
      <c r="B43" s="1097"/>
      <c r="C43" s="1250" t="s">
        <v>109</v>
      </c>
      <c r="D43" s="780"/>
      <c r="E43" s="970">
        <f>SUM(E39:E42)</f>
        <v>19.5</v>
      </c>
      <c r="F43" s="526"/>
      <c r="H43" s="526"/>
      <c r="I43" s="572" t="s">
        <v>802</v>
      </c>
      <c r="J43" s="774">
        <f>SUM(J39:J42)</f>
        <v>602235.76</v>
      </c>
      <c r="K43" s="615"/>
      <c r="L43" s="1093"/>
      <c r="M43" s="1093"/>
      <c r="N43" s="1093"/>
      <c r="O43" s="1093"/>
      <c r="P43" s="526"/>
      <c r="Q43" s="1091"/>
      <c r="R43" s="1091"/>
      <c r="S43" s="1091"/>
      <c r="T43" s="1091"/>
      <c r="U43" s="1091"/>
      <c r="V43" s="1091"/>
      <c r="W43" s="1091"/>
    </row>
    <row r="44" spans="1:23" ht="15">
      <c r="A44" s="247"/>
      <c r="B44" s="1097"/>
      <c r="C44" s="526"/>
      <c r="D44" s="1352"/>
      <c r="E44" s="526"/>
      <c r="F44" s="526"/>
      <c r="G44" s="526"/>
      <c r="H44" s="526"/>
      <c r="I44" s="526"/>
      <c r="J44" s="526"/>
      <c r="K44" s="615"/>
      <c r="L44" s="1093"/>
      <c r="M44" s="1093"/>
      <c r="N44" s="1093"/>
      <c r="O44" s="1093"/>
      <c r="P44" s="526"/>
      <c r="Q44" s="1091"/>
      <c r="R44" s="1091"/>
      <c r="S44" s="1091"/>
      <c r="T44" s="1091"/>
      <c r="U44" s="1091"/>
      <c r="V44" s="1091"/>
      <c r="W44" s="1091"/>
    </row>
    <row r="45" spans="1:23" ht="15">
      <c r="A45" s="247"/>
      <c r="B45" s="1097"/>
      <c r="C45" s="525"/>
      <c r="D45" s="263"/>
      <c r="E45" s="1093"/>
      <c r="F45" s="559"/>
      <c r="G45" s="1251"/>
      <c r="H45" s="526"/>
      <c r="I45" s="1251"/>
      <c r="J45" s="1251"/>
      <c r="K45" s="615"/>
      <c r="L45" s="1093"/>
      <c r="M45" s="1093"/>
      <c r="N45" s="1093"/>
      <c r="O45" s="1093"/>
      <c r="P45" s="526"/>
      <c r="Q45" s="1091"/>
      <c r="R45" s="1091"/>
      <c r="S45" s="1091"/>
      <c r="T45" s="1091"/>
      <c r="U45" s="1091"/>
      <c r="V45" s="1091"/>
      <c r="W45" s="1091"/>
    </row>
    <row r="46" spans="1:23" ht="45">
      <c r="A46" s="247"/>
      <c r="B46" s="1097"/>
      <c r="C46" s="983" t="s">
        <v>801</v>
      </c>
      <c r="D46" s="1144" t="s">
        <v>116</v>
      </c>
      <c r="E46" s="1144" t="s">
        <v>115</v>
      </c>
      <c r="F46" s="1298" t="s">
        <v>975</v>
      </c>
      <c r="H46" s="526"/>
      <c r="I46" s="564" t="s">
        <v>634</v>
      </c>
      <c r="J46" s="564" t="s">
        <v>110</v>
      </c>
      <c r="K46" s="615"/>
      <c r="L46" s="1093"/>
      <c r="M46" s="1093"/>
      <c r="N46" s="1093"/>
      <c r="O46" s="1093"/>
      <c r="P46" s="526"/>
      <c r="Q46" s="1091"/>
      <c r="R46" s="1091"/>
      <c r="S46" s="1091"/>
      <c r="T46" s="1091"/>
      <c r="U46" s="1091"/>
      <c r="V46" s="1091"/>
      <c r="W46" s="1091"/>
    </row>
    <row r="47" spans="1:23" ht="15">
      <c r="A47" s="247"/>
      <c r="B47" s="1097"/>
      <c r="C47" s="565" t="s">
        <v>800</v>
      </c>
      <c r="D47" s="566">
        <v>7</v>
      </c>
      <c r="E47" s="567">
        <v>1</v>
      </c>
      <c r="F47" s="774">
        <f>VLOOKUP(D47,staff_costs!$A$4:$F$22,6,0)</f>
        <v>44950</v>
      </c>
      <c r="H47" s="526"/>
      <c r="I47" s="572" t="str">
        <f>C47</f>
        <v>Planned Care Manager</v>
      </c>
      <c r="J47" s="774">
        <f>F47*E47</f>
        <v>44950</v>
      </c>
      <c r="K47" s="615"/>
      <c r="L47" s="1093"/>
      <c r="M47" s="1093"/>
      <c r="N47" s="1093"/>
      <c r="O47" s="1093"/>
      <c r="P47" s="526"/>
      <c r="Q47" s="1091"/>
      <c r="R47" s="1091"/>
      <c r="S47" s="1091"/>
      <c r="T47" s="1091"/>
      <c r="U47" s="1091"/>
      <c r="V47" s="1091"/>
      <c r="W47" s="1091"/>
    </row>
    <row r="48" spans="1:23" ht="15">
      <c r="A48" s="247"/>
      <c r="B48" s="1097"/>
      <c r="C48" s="565" t="s">
        <v>799</v>
      </c>
      <c r="D48" s="566">
        <v>6</v>
      </c>
      <c r="E48" s="567">
        <v>5</v>
      </c>
      <c r="F48" s="774">
        <f>VLOOKUP(D48,staff_costs!$A$4:$F$22,6,0)</f>
        <v>37642.68</v>
      </c>
      <c r="H48" s="526"/>
      <c r="I48" s="572" t="str">
        <f>C48</f>
        <v>Care Co-ordinators</v>
      </c>
      <c r="J48" s="774">
        <f>F48*E48</f>
        <v>188213.4</v>
      </c>
      <c r="K48" s="615"/>
      <c r="L48" s="1093"/>
      <c r="M48" s="1093"/>
      <c r="N48" s="1093"/>
      <c r="O48" s="1093"/>
      <c r="P48" s="526"/>
      <c r="Q48" s="1091"/>
      <c r="R48" s="1091"/>
      <c r="S48" s="1091"/>
      <c r="T48" s="1091"/>
      <c r="U48" s="1091"/>
      <c r="V48" s="1091"/>
      <c r="W48" s="1091"/>
    </row>
    <row r="49" spans="1:23" ht="15">
      <c r="A49" s="247"/>
      <c r="B49" s="1097"/>
      <c r="C49" s="565" t="s">
        <v>798</v>
      </c>
      <c r="D49" s="566">
        <v>5</v>
      </c>
      <c r="E49" s="567">
        <v>6.1</v>
      </c>
      <c r="F49" s="774">
        <f>VLOOKUP(D49,staff_costs!$A$4:$F$22,6,0)</f>
        <v>31369.52</v>
      </c>
      <c r="H49" s="526"/>
      <c r="I49" s="572" t="str">
        <f>C49</f>
        <v>Assistant Care Co-ordinator</v>
      </c>
      <c r="J49" s="774">
        <f>F49*E49</f>
        <v>191354.07199999999</v>
      </c>
      <c r="K49" s="615"/>
      <c r="L49" s="1093"/>
      <c r="M49" s="1093"/>
      <c r="N49" s="1093"/>
      <c r="O49" s="1093"/>
      <c r="P49" s="526"/>
      <c r="Q49" s="1091"/>
      <c r="R49" s="1091"/>
      <c r="S49" s="1091"/>
      <c r="T49" s="1091"/>
      <c r="U49" s="1091"/>
      <c r="V49" s="1091"/>
      <c r="W49" s="1091"/>
    </row>
    <row r="50" spans="1:23" ht="15">
      <c r="A50" s="247"/>
      <c r="B50" s="1097"/>
      <c r="C50" s="565" t="s">
        <v>797</v>
      </c>
      <c r="D50" s="566">
        <v>4</v>
      </c>
      <c r="E50" s="567">
        <v>1.8</v>
      </c>
      <c r="F50" s="774">
        <f>VLOOKUP(D50,staff_costs!$A$4:$F$22,6,0)</f>
        <v>26104.48</v>
      </c>
      <c r="H50" s="526"/>
      <c r="I50" s="572" t="str">
        <f>C50</f>
        <v>Admin</v>
      </c>
      <c r="J50" s="774">
        <f>F50*E50</f>
        <v>46988.063999999998</v>
      </c>
      <c r="K50" s="615"/>
      <c r="L50" s="1093"/>
      <c r="M50" s="1093"/>
      <c r="N50" s="1093"/>
      <c r="O50" s="1093"/>
      <c r="P50" s="526"/>
      <c r="Q50" s="1091"/>
      <c r="R50" s="1091"/>
      <c r="S50" s="1091"/>
      <c r="T50" s="1091"/>
      <c r="U50" s="1091"/>
      <c r="V50" s="1091"/>
      <c r="W50" s="1091"/>
    </row>
    <row r="51" spans="1:23" ht="15">
      <c r="A51" s="247"/>
      <c r="B51" s="1097"/>
      <c r="C51" s="1250" t="s">
        <v>109</v>
      </c>
      <c r="D51" s="780"/>
      <c r="E51" s="1103">
        <f>SUM(E47:E50)</f>
        <v>13.9</v>
      </c>
      <c r="F51" s="1093"/>
      <c r="H51" s="1093"/>
      <c r="I51" s="572" t="s">
        <v>796</v>
      </c>
      <c r="J51" s="774">
        <f>SUM(J47:J50)</f>
        <v>471505.53599999996</v>
      </c>
      <c r="K51" s="615"/>
      <c r="L51" s="1093"/>
      <c r="M51" s="1093"/>
      <c r="N51" s="1093"/>
      <c r="O51" s="1093"/>
      <c r="P51" s="526"/>
      <c r="Q51" s="1091"/>
      <c r="R51" s="1091"/>
      <c r="S51" s="1091"/>
      <c r="T51" s="1091"/>
      <c r="U51" s="1091"/>
      <c r="V51" s="1091"/>
      <c r="W51" s="1091"/>
    </row>
    <row r="52" spans="1:23" ht="15">
      <c r="A52" s="247"/>
      <c r="B52" s="1097"/>
      <c r="C52" s="526"/>
      <c r="D52" s="1352"/>
      <c r="E52" s="1093"/>
      <c r="F52" s="1093"/>
      <c r="G52" s="1093"/>
      <c r="H52" s="1093"/>
      <c r="I52" s="1093"/>
      <c r="J52" s="1093"/>
      <c r="K52" s="615"/>
      <c r="L52" s="1093"/>
      <c r="M52" s="1093"/>
      <c r="N52" s="1093"/>
      <c r="O52" s="1093"/>
      <c r="P52" s="526"/>
      <c r="Q52" s="1091"/>
      <c r="R52" s="1091"/>
      <c r="S52" s="1091"/>
      <c r="T52" s="1091"/>
      <c r="U52" s="1091"/>
      <c r="V52" s="1091"/>
      <c r="W52" s="1091"/>
    </row>
    <row r="53" spans="1:23" ht="15">
      <c r="A53" s="247"/>
      <c r="B53" s="1097"/>
      <c r="C53" s="2201" t="s">
        <v>1318</v>
      </c>
      <c r="D53" s="780"/>
      <c r="E53" s="567">
        <f>E51+E43+E36</f>
        <v>52.9</v>
      </c>
      <c r="G53" s="1093"/>
      <c r="H53" s="526"/>
      <c r="I53" s="572" t="s">
        <v>184</v>
      </c>
      <c r="J53" s="774">
        <f>J51+J43+J36</f>
        <v>1726333.456</v>
      </c>
      <c r="K53" s="615"/>
      <c r="L53" s="1093"/>
      <c r="M53" s="1093"/>
      <c r="N53" s="1093"/>
      <c r="O53" s="1093"/>
      <c r="P53" s="526"/>
      <c r="Q53" s="1091"/>
      <c r="R53" s="1091"/>
      <c r="S53" s="1091"/>
      <c r="T53" s="1091"/>
      <c r="U53" s="1091"/>
      <c r="V53" s="1091"/>
      <c r="W53" s="1091"/>
    </row>
    <row r="54" spans="1:23" ht="15">
      <c r="A54" s="247"/>
      <c r="B54" s="1097"/>
      <c r="G54" s="560"/>
      <c r="H54" s="526"/>
      <c r="I54" s="1092"/>
      <c r="J54" s="1092"/>
      <c r="K54" s="615"/>
      <c r="L54" s="1093"/>
      <c r="M54" s="1093"/>
      <c r="N54" s="1093"/>
      <c r="O54" s="1093"/>
      <c r="P54" s="526"/>
      <c r="Q54" s="1091"/>
      <c r="R54" s="1091"/>
      <c r="S54" s="1091"/>
      <c r="T54" s="1091"/>
      <c r="U54" s="1091"/>
      <c r="V54" s="1091"/>
      <c r="W54" s="1091"/>
    </row>
    <row r="55" spans="1:23" ht="15">
      <c r="A55" s="247"/>
      <c r="B55" s="1097"/>
      <c r="C55" s="526" t="s">
        <v>323</v>
      </c>
      <c r="D55" s="687"/>
      <c r="E55" s="1093"/>
      <c r="F55" s="560"/>
      <c r="G55" s="560"/>
      <c r="H55" s="526"/>
      <c r="I55" s="572" t="s">
        <v>1083</v>
      </c>
      <c r="J55" s="811">
        <f>D56*E58</f>
        <v>3088</v>
      </c>
      <c r="K55" s="615"/>
      <c r="L55" s="1093"/>
      <c r="M55" s="1093"/>
      <c r="N55" s="1093"/>
      <c r="O55" s="1093"/>
      <c r="P55" s="526"/>
      <c r="Q55" s="1091"/>
      <c r="R55" s="1091"/>
      <c r="S55" s="1091"/>
      <c r="T55" s="1091"/>
      <c r="U55" s="1091"/>
      <c r="V55" s="1091"/>
      <c r="W55" s="1091"/>
    </row>
    <row r="56" spans="1:23" ht="15">
      <c r="A56" s="247"/>
      <c r="B56" s="1097"/>
      <c r="C56" s="572" t="s">
        <v>1082</v>
      </c>
      <c r="D56" s="573">
        <v>80</v>
      </c>
      <c r="E56" s="1093"/>
      <c r="G56" s="560"/>
      <c r="H56" s="1353"/>
      <c r="I56" s="526"/>
      <c r="J56" s="526"/>
      <c r="K56" s="615"/>
      <c r="L56" s="526"/>
      <c r="M56" s="1091"/>
      <c r="N56" s="1091"/>
      <c r="O56" s="1091"/>
      <c r="P56" s="526"/>
      <c r="Q56" s="1091"/>
      <c r="R56" s="1091"/>
      <c r="S56" s="1091"/>
      <c r="T56" s="1091"/>
      <c r="U56" s="1091"/>
      <c r="V56" s="1091"/>
      <c r="W56" s="1091"/>
    </row>
    <row r="57" spans="1:23" ht="15">
      <c r="A57" s="247"/>
      <c r="B57" s="1097"/>
      <c r="C57" s="560"/>
      <c r="D57" s="560"/>
      <c r="E57" s="560"/>
      <c r="F57" s="560"/>
      <c r="G57" s="560"/>
      <c r="H57" s="526"/>
      <c r="I57" s="572" t="s">
        <v>1007</v>
      </c>
      <c r="J57" s="774">
        <f>J53/J55</f>
        <v>559.04580829015549</v>
      </c>
      <c r="K57" s="615"/>
      <c r="L57" s="526"/>
      <c r="M57" s="1091"/>
      <c r="N57" s="1091"/>
      <c r="O57" s="1091"/>
      <c r="P57" s="526"/>
      <c r="Q57" s="1091"/>
      <c r="R57" s="1091"/>
      <c r="S57" s="1091"/>
      <c r="T57" s="1091"/>
      <c r="U57" s="1091"/>
      <c r="V57" s="1091"/>
      <c r="W57" s="1091"/>
    </row>
    <row r="58" spans="1:23" ht="30">
      <c r="A58" s="1092"/>
      <c r="B58" s="1097"/>
      <c r="C58" s="1250" t="s">
        <v>1319</v>
      </c>
      <c r="D58" s="780"/>
      <c r="E58" s="567">
        <v>38.6</v>
      </c>
      <c r="F58" s="2241" t="s">
        <v>1320</v>
      </c>
      <c r="G58" s="560"/>
      <c r="H58" s="526"/>
      <c r="I58" s="526"/>
      <c r="J58" s="526"/>
      <c r="K58" s="1100"/>
      <c r="L58" s="1093"/>
      <c r="M58" s="1091"/>
      <c r="N58" s="1091"/>
      <c r="O58" s="1091"/>
      <c r="P58" s="1091"/>
      <c r="Q58" s="1091"/>
      <c r="R58" s="1091"/>
      <c r="S58" s="1091"/>
      <c r="T58" s="1091"/>
      <c r="U58" s="1091"/>
      <c r="V58" s="1091"/>
      <c r="W58" s="1091"/>
    </row>
    <row r="59" spans="1:23" ht="15">
      <c r="A59" s="1092"/>
      <c r="B59" s="1097"/>
      <c r="C59" s="560"/>
      <c r="D59" s="560"/>
      <c r="E59" s="560"/>
      <c r="F59" s="560"/>
      <c r="G59" s="1093"/>
      <c r="H59" s="1093"/>
      <c r="I59" s="1093"/>
      <c r="J59" s="1093"/>
      <c r="K59" s="1100"/>
      <c r="L59" s="1093"/>
      <c r="M59" s="1091"/>
      <c r="N59" s="1091"/>
      <c r="O59" s="1091"/>
      <c r="P59" s="1091"/>
      <c r="Q59" s="1091"/>
      <c r="R59" s="1091"/>
      <c r="S59" s="1091"/>
      <c r="T59" s="1091"/>
      <c r="U59" s="1091"/>
      <c r="V59" s="1091"/>
      <c r="W59" s="1091"/>
    </row>
    <row r="60" spans="1:23" ht="15">
      <c r="A60" s="279"/>
      <c r="B60" s="1097"/>
      <c r="C60" s="560"/>
      <c r="D60" s="560"/>
      <c r="E60" s="560"/>
      <c r="F60" s="560"/>
      <c r="G60" s="560"/>
      <c r="H60" s="1093"/>
      <c r="I60" s="564" t="s">
        <v>1084</v>
      </c>
      <c r="J60" s="1370"/>
      <c r="K60" s="1100"/>
      <c r="L60" s="1093"/>
      <c r="M60" s="1091"/>
      <c r="N60" s="1091"/>
      <c r="O60" s="1091"/>
      <c r="P60" s="1091"/>
      <c r="Q60" s="1091"/>
      <c r="R60" s="1091"/>
      <c r="S60" s="1091"/>
      <c r="T60" s="1091"/>
      <c r="U60" s="1091"/>
      <c r="V60" s="1091"/>
      <c r="W60" s="1091"/>
    </row>
    <row r="61" spans="1:23" ht="15" customHeight="1">
      <c r="A61" s="1354"/>
      <c r="B61" s="1097"/>
      <c r="C61" s="560"/>
      <c r="D61" s="560"/>
      <c r="E61" s="560"/>
      <c r="F61" s="560"/>
      <c r="G61" s="1093"/>
      <c r="H61" s="1092"/>
      <c r="I61" s="572" t="str">
        <f>C28</f>
        <v>NHS discharge planning team</v>
      </c>
      <c r="J61" s="774">
        <f>J36/J55</f>
        <v>211.33165803108807</v>
      </c>
      <c r="K61" s="1100"/>
      <c r="L61" s="1093"/>
      <c r="M61" s="1091"/>
      <c r="N61" s="1091"/>
      <c r="O61" s="1091"/>
      <c r="P61" s="1091"/>
      <c r="Q61" s="1091"/>
      <c r="R61" s="1091"/>
      <c r="S61" s="1091"/>
      <c r="T61" s="1091"/>
      <c r="U61" s="1091"/>
      <c r="V61" s="1091"/>
      <c r="W61" s="1091"/>
    </row>
    <row r="62" spans="1:23" ht="15">
      <c r="A62" s="1354"/>
      <c r="B62" s="1097"/>
      <c r="C62" s="560"/>
      <c r="D62" s="560"/>
      <c r="E62" s="560"/>
      <c r="F62" s="560"/>
      <c r="G62" s="1093"/>
      <c r="H62" s="1092"/>
      <c r="I62" s="572" t="str">
        <f>C38</f>
        <v>Local authority - discharge planning team</v>
      </c>
      <c r="J62" s="774">
        <f>J43/J55</f>
        <v>195.02453367875648</v>
      </c>
      <c r="K62" s="1100"/>
      <c r="L62" s="1093"/>
      <c r="M62" s="1091"/>
      <c r="N62" s="1091"/>
      <c r="O62" s="1091"/>
      <c r="P62" s="1091"/>
      <c r="Q62" s="1091"/>
      <c r="R62" s="1091"/>
      <c r="S62" s="1091"/>
      <c r="T62" s="1091"/>
      <c r="U62" s="1091"/>
      <c r="V62" s="1091"/>
      <c r="W62" s="1091"/>
    </row>
    <row r="63" spans="1:23" ht="30">
      <c r="A63" s="1092"/>
      <c r="B63" s="1097"/>
      <c r="C63" s="560"/>
      <c r="D63" s="560"/>
      <c r="E63" s="560"/>
      <c r="F63" s="560"/>
      <c r="G63" s="1093"/>
      <c r="H63" s="1092"/>
      <c r="I63" s="1254" t="str">
        <f>C46</f>
        <v>Community services Intervention locality team</v>
      </c>
      <c r="J63" s="774">
        <f>J51/J55</f>
        <v>152.68961658031088</v>
      </c>
      <c r="K63" s="1100"/>
      <c r="L63" s="1093"/>
      <c r="M63" s="1091"/>
      <c r="N63" s="1091"/>
      <c r="O63" s="1091"/>
      <c r="P63" s="1091"/>
      <c r="Q63" s="1091"/>
      <c r="R63" s="1091"/>
      <c r="S63" s="1091"/>
      <c r="T63" s="1091"/>
      <c r="U63" s="1091"/>
      <c r="V63" s="1091"/>
      <c r="W63" s="1091"/>
    </row>
    <row r="64" spans="1:23" ht="15">
      <c r="A64" s="1092"/>
      <c r="B64" s="1097"/>
      <c r="C64" s="560"/>
      <c r="D64" s="560"/>
      <c r="E64" s="560"/>
      <c r="F64" s="560"/>
      <c r="G64" s="1093"/>
      <c r="H64" s="526"/>
      <c r="I64" s="526"/>
      <c r="J64" s="526"/>
      <c r="K64" s="1100"/>
      <c r="L64" s="1093"/>
      <c r="M64" s="1091"/>
      <c r="N64" s="1091"/>
      <c r="O64" s="1091"/>
      <c r="P64" s="1091"/>
      <c r="Q64" s="1091"/>
      <c r="R64" s="1091"/>
      <c r="S64" s="1091"/>
      <c r="T64" s="1091"/>
      <c r="U64" s="1091"/>
      <c r="V64" s="1091"/>
      <c r="W64" s="1091"/>
    </row>
    <row r="65" spans="1:26" ht="15">
      <c r="A65" s="1092"/>
      <c r="B65" s="1097"/>
      <c r="C65" s="1092"/>
      <c r="D65" s="1093"/>
      <c r="E65" s="1093"/>
      <c r="F65" s="1078"/>
      <c r="G65" s="1093"/>
      <c r="H65" s="1093"/>
      <c r="I65" s="1093"/>
      <c r="J65" s="526"/>
      <c r="K65" s="1100"/>
      <c r="L65" s="1093"/>
      <c r="M65" s="1091"/>
      <c r="N65" s="1091"/>
      <c r="O65" s="1091"/>
      <c r="P65" s="1091"/>
      <c r="Q65" s="1091"/>
      <c r="R65" s="1091"/>
      <c r="S65" s="1091"/>
      <c r="T65" s="1091"/>
      <c r="U65" s="1091"/>
      <c r="V65" s="1091"/>
      <c r="W65" s="1091"/>
    </row>
    <row r="66" spans="1:26" ht="15">
      <c r="A66" s="1092"/>
      <c r="B66" s="1106"/>
      <c r="C66" s="1107"/>
      <c r="D66" s="1107"/>
      <c r="E66" s="1107"/>
      <c r="F66" s="1107"/>
      <c r="G66" s="1107"/>
      <c r="H66" s="1107"/>
      <c r="I66" s="1107"/>
      <c r="J66" s="526"/>
      <c r="K66" s="1374"/>
      <c r="L66" s="1093"/>
      <c r="M66" s="1091"/>
      <c r="N66" s="1091"/>
      <c r="O66" s="1091"/>
      <c r="P66" s="1091"/>
      <c r="Q66" s="1091"/>
      <c r="R66" s="1091"/>
      <c r="S66" s="1091"/>
      <c r="T66" s="1091"/>
      <c r="U66" s="1091"/>
      <c r="V66" s="1091"/>
      <c r="W66" s="1091"/>
    </row>
    <row r="67" spans="1:26" ht="15">
      <c r="A67" s="2052"/>
      <c r="B67" s="2343" t="s">
        <v>102</v>
      </c>
      <c r="C67" s="2344"/>
      <c r="D67" s="2344"/>
      <c r="E67" s="2344"/>
      <c r="F67" s="2344"/>
      <c r="G67" s="2344"/>
      <c r="H67" s="2344"/>
      <c r="I67" s="2344"/>
      <c r="J67" s="2344"/>
      <c r="K67" s="2345"/>
      <c r="L67" s="526"/>
      <c r="M67" s="1091"/>
      <c r="N67" s="1091"/>
      <c r="O67" s="1091"/>
      <c r="P67" s="1091"/>
      <c r="Q67" s="1091"/>
      <c r="R67" s="1091"/>
      <c r="S67" s="1091"/>
      <c r="T67" s="1091"/>
      <c r="U67" s="1091"/>
      <c r="V67" s="1091"/>
      <c r="W67" s="1091"/>
    </row>
    <row r="68" spans="1:26" ht="15">
      <c r="A68" s="560"/>
      <c r="B68" s="1382"/>
      <c r="C68" s="2424"/>
      <c r="D68" s="2424"/>
      <c r="E68" s="2424"/>
      <c r="F68" s="2424"/>
      <c r="G68" s="1093"/>
      <c r="H68" s="1263"/>
      <c r="I68" s="1263"/>
      <c r="J68" s="1263"/>
      <c r="K68" s="1378"/>
      <c r="L68" s="1093"/>
      <c r="M68" s="1091"/>
      <c r="N68" s="1091"/>
      <c r="O68" s="1091"/>
      <c r="P68" s="1091"/>
      <c r="Q68" s="1091"/>
      <c r="R68" s="1091"/>
      <c r="S68" s="1091"/>
      <c r="T68" s="1091"/>
      <c r="U68" s="517"/>
      <c r="V68" s="517"/>
      <c r="W68" s="517"/>
      <c r="X68" s="518"/>
      <c r="Y68" s="518"/>
      <c r="Z68" s="518"/>
    </row>
    <row r="69" spans="1:26" ht="15">
      <c r="A69" s="560"/>
      <c r="B69" s="1097"/>
      <c r="C69" s="1256"/>
      <c r="D69" s="1256"/>
      <c r="E69" s="1256"/>
      <c r="F69" s="1256"/>
      <c r="G69" s="1093"/>
      <c r="H69" s="1263"/>
      <c r="I69" s="572" t="s">
        <v>1083</v>
      </c>
      <c r="J69" s="811">
        <f>J55</f>
        <v>3088</v>
      </c>
      <c r="K69" s="1100"/>
      <c r="L69" s="1093"/>
      <c r="M69" s="1091"/>
      <c r="N69" s="1091"/>
      <c r="O69" s="1091"/>
      <c r="P69" s="1091"/>
      <c r="Q69" s="1091"/>
      <c r="R69" s="1091"/>
      <c r="S69" s="1091"/>
      <c r="T69" s="1091"/>
      <c r="U69" s="517"/>
      <c r="V69" s="517"/>
      <c r="W69" s="517"/>
      <c r="X69" s="518"/>
      <c r="Y69" s="518"/>
      <c r="Z69" s="518"/>
    </row>
    <row r="70" spans="1:26" ht="15" customHeight="1">
      <c r="A70" s="560"/>
      <c r="B70" s="1097"/>
      <c r="C70" s="2507"/>
      <c r="D70" s="2507"/>
      <c r="E70" s="2507"/>
      <c r="F70" s="2507"/>
      <c r="G70" s="1093"/>
      <c r="H70" s="1263"/>
      <c r="I70" s="1263"/>
      <c r="J70" s="1263"/>
      <c r="K70" s="1100"/>
      <c r="L70" s="1093"/>
      <c r="M70" s="1091"/>
      <c r="N70" s="1091"/>
      <c r="O70" s="1091"/>
      <c r="P70" s="1091"/>
      <c r="Q70" s="1091"/>
      <c r="R70" s="1091"/>
      <c r="S70" s="1091"/>
      <c r="T70" s="1091"/>
      <c r="U70" s="517"/>
      <c r="V70" s="517"/>
      <c r="W70" s="517"/>
      <c r="X70" s="518"/>
      <c r="Y70" s="518"/>
      <c r="Z70" s="518"/>
    </row>
    <row r="71" spans="1:26" ht="30">
      <c r="A71" s="1355"/>
      <c r="B71" s="1097"/>
      <c r="C71" s="295" t="s">
        <v>1024</v>
      </c>
      <c r="D71" s="1298" t="s">
        <v>122</v>
      </c>
      <c r="E71" s="1298" t="s">
        <v>100</v>
      </c>
      <c r="F71" s="1298" t="s">
        <v>199</v>
      </c>
      <c r="G71" s="1093"/>
      <c r="H71" s="1092"/>
      <c r="I71" s="691" t="s">
        <v>1001</v>
      </c>
      <c r="J71" s="1298" t="s">
        <v>121</v>
      </c>
      <c r="K71" s="1134" t="s">
        <v>148</v>
      </c>
      <c r="L71" s="1093"/>
      <c r="M71" s="1091"/>
      <c r="N71" s="1091"/>
      <c r="O71" s="1091"/>
      <c r="P71" s="1091"/>
      <c r="Q71" s="1091"/>
      <c r="R71" s="1091"/>
      <c r="S71" s="1091"/>
      <c r="T71" s="1091"/>
      <c r="U71" s="517"/>
      <c r="V71" s="517"/>
      <c r="W71" s="517"/>
      <c r="X71" s="518"/>
      <c r="Y71" s="518"/>
      <c r="Z71" s="518"/>
    </row>
    <row r="72" spans="1:26" ht="15">
      <c r="A72" s="1355"/>
      <c r="B72" s="1097"/>
      <c r="C72" s="572" t="s">
        <v>69</v>
      </c>
      <c r="D72" s="1371"/>
      <c r="E72" s="1371"/>
      <c r="F72" s="587">
        <v>0.73</v>
      </c>
      <c r="G72" s="1093"/>
      <c r="H72" s="1092"/>
      <c r="I72" s="946" t="str">
        <f>C72</f>
        <v>Emergency bed days</v>
      </c>
      <c r="J72" s="1356">
        <f>F72*J$69</f>
        <v>2254.2399999999998</v>
      </c>
      <c r="K72" s="1104"/>
      <c r="L72" s="1093"/>
      <c r="M72" s="1091"/>
      <c r="N72" s="1091"/>
      <c r="O72" s="1091"/>
      <c r="P72" s="1091"/>
      <c r="Q72" s="1091"/>
      <c r="R72" s="1091"/>
      <c r="S72" s="1091"/>
      <c r="T72" s="1091"/>
      <c r="U72" s="517"/>
      <c r="V72" s="517"/>
      <c r="W72" s="517"/>
      <c r="X72" s="518"/>
      <c r="Y72" s="518"/>
      <c r="Z72" s="518"/>
    </row>
    <row r="73" spans="1:26" ht="15">
      <c r="A73" s="1355"/>
      <c r="B73" s="1097"/>
      <c r="C73" s="295" t="s">
        <v>795</v>
      </c>
      <c r="D73" s="1371"/>
      <c r="E73" s="1371"/>
      <c r="F73" s="2131">
        <v>0.03</v>
      </c>
      <c r="G73" s="1093"/>
      <c r="H73" s="1092"/>
      <c r="I73" s="572" t="s">
        <v>1119</v>
      </c>
      <c r="J73" s="811">
        <f>F73*F74*J69</f>
        <v>463.2</v>
      </c>
      <c r="K73" s="1104"/>
      <c r="L73" s="1093"/>
      <c r="M73" s="1091"/>
      <c r="N73" s="1091"/>
      <c r="O73" s="1091"/>
      <c r="P73" s="1091"/>
      <c r="Q73" s="1091"/>
      <c r="R73" s="1091"/>
      <c r="S73" s="1091"/>
      <c r="T73" s="1091"/>
      <c r="U73" s="517"/>
      <c r="V73" s="517"/>
      <c r="W73" s="517"/>
      <c r="X73" s="518"/>
      <c r="Y73" s="518"/>
      <c r="Z73" s="518"/>
    </row>
    <row r="74" spans="1:26" ht="15">
      <c r="A74" s="1355"/>
      <c r="B74" s="1097"/>
      <c r="C74" s="295" t="s">
        <v>794</v>
      </c>
      <c r="D74" s="1371">
        <v>0.5</v>
      </c>
      <c r="E74" s="1371">
        <v>10</v>
      </c>
      <c r="F74" s="587">
        <v>5</v>
      </c>
      <c r="G74" s="1093"/>
      <c r="H74" s="1092"/>
      <c r="I74" s="572" t="s">
        <v>793</v>
      </c>
      <c r="J74" s="811">
        <f>SUM(J72:J73)</f>
        <v>2717.4399999999996</v>
      </c>
      <c r="K74" s="1379">
        <f>INT(J74/E83)*E83</f>
        <v>2190</v>
      </c>
      <c r="L74" s="1093"/>
      <c r="M74" s="1091"/>
      <c r="N74" s="1091"/>
      <c r="O74" s="1091"/>
      <c r="P74" s="1091"/>
      <c r="Q74" s="1091"/>
      <c r="R74" s="1091"/>
      <c r="S74" s="1091"/>
      <c r="T74" s="1091"/>
      <c r="U74" s="517"/>
      <c r="V74" s="517"/>
      <c r="W74" s="517"/>
      <c r="X74" s="518"/>
      <c r="Y74" s="518"/>
      <c r="Z74" s="518"/>
    </row>
    <row r="75" spans="1:26">
      <c r="A75" s="1355"/>
      <c r="B75" s="1385"/>
      <c r="C75" s="1092"/>
      <c r="D75" s="1093"/>
      <c r="E75" s="1093"/>
      <c r="F75" s="1092"/>
      <c r="G75" s="1092"/>
      <c r="H75" s="1092"/>
      <c r="I75" s="1092"/>
      <c r="J75" s="1092"/>
      <c r="K75" s="1104"/>
      <c r="L75" s="1093"/>
      <c r="M75" s="1091"/>
      <c r="N75" s="1091"/>
      <c r="O75" s="1091"/>
      <c r="P75" s="1091"/>
      <c r="Q75" s="1091"/>
      <c r="R75" s="1091"/>
      <c r="S75" s="1091"/>
      <c r="T75" s="1091"/>
      <c r="U75" s="517"/>
      <c r="V75" s="517"/>
      <c r="W75" s="517"/>
      <c r="X75" s="518"/>
      <c r="Y75" s="518"/>
      <c r="Z75" s="518"/>
    </row>
    <row r="76" spans="1:26">
      <c r="A76" s="1355"/>
      <c r="B76" s="1097"/>
      <c r="C76" s="1092"/>
      <c r="D76" s="1092"/>
      <c r="E76" s="1092"/>
      <c r="F76" s="1092"/>
      <c r="G76" s="1093"/>
      <c r="H76" s="1093"/>
      <c r="I76" s="1093"/>
      <c r="J76" s="1093"/>
      <c r="K76" s="1100"/>
      <c r="L76" s="1093"/>
      <c r="M76" s="1091"/>
      <c r="N76" s="1091"/>
      <c r="O76" s="1091"/>
      <c r="P76" s="1091"/>
      <c r="Q76" s="1091"/>
      <c r="R76" s="1091"/>
      <c r="S76" s="1091"/>
      <c r="T76" s="1091"/>
      <c r="U76" s="517"/>
      <c r="V76" s="517"/>
      <c r="W76" s="517"/>
      <c r="X76" s="518"/>
      <c r="Y76" s="518"/>
      <c r="Z76" s="518"/>
    </row>
    <row r="77" spans="1:26" ht="30">
      <c r="A77" s="1355"/>
      <c r="B77" s="1097"/>
      <c r="C77" s="2508"/>
      <c r="D77" s="2508"/>
      <c r="E77" s="2508"/>
      <c r="F77" s="2508"/>
      <c r="G77" s="1093"/>
      <c r="H77" s="1092"/>
      <c r="I77" s="1257" t="s">
        <v>1085</v>
      </c>
      <c r="J77" s="691" t="s">
        <v>661</v>
      </c>
      <c r="K77" s="1173" t="s">
        <v>120</v>
      </c>
      <c r="L77" s="1093"/>
      <c r="M77" s="1091"/>
      <c r="N77" s="1091"/>
      <c r="O77" s="1091"/>
      <c r="P77" s="1091"/>
      <c r="Q77" s="1091"/>
      <c r="R77" s="1091"/>
      <c r="S77" s="1091"/>
      <c r="T77" s="1091"/>
      <c r="U77" s="517"/>
      <c r="V77" s="517"/>
      <c r="W77" s="517"/>
      <c r="X77" s="518"/>
      <c r="Y77" s="518"/>
      <c r="Z77" s="518"/>
    </row>
    <row r="78" spans="1:26" ht="15">
      <c r="A78" s="1355"/>
      <c r="B78" s="1097"/>
      <c r="C78" s="1092"/>
      <c r="D78" s="1092"/>
      <c r="E78" s="1092"/>
      <c r="F78" s="1092"/>
      <c r="G78" s="1092"/>
      <c r="H78" s="1092"/>
      <c r="I78" s="572" t="str">
        <f>I72</f>
        <v>Emergency bed days</v>
      </c>
      <c r="J78" s="774">
        <f>J74*D83</f>
        <v>1281421.9495495907</v>
      </c>
      <c r="K78" s="786">
        <f>(J74-K74)*F83+(K74*G83)</f>
        <v>207579.28278152237</v>
      </c>
      <c r="L78" s="1093"/>
      <c r="M78" s="1251"/>
      <c r="O78" s="1251"/>
      <c r="P78" s="1091"/>
      <c r="Q78" s="1091"/>
      <c r="R78" s="1091"/>
      <c r="S78" s="1091"/>
      <c r="T78" s="1091"/>
      <c r="U78" s="517"/>
      <c r="V78" s="517"/>
      <c r="W78" s="517"/>
      <c r="X78" s="518"/>
      <c r="Y78" s="518"/>
      <c r="Z78" s="518"/>
    </row>
    <row r="79" spans="1:26">
      <c r="A79" s="1355"/>
      <c r="B79" s="1097"/>
      <c r="C79" s="1092"/>
      <c r="D79" s="1092"/>
      <c r="E79" s="1092"/>
      <c r="F79" s="1092"/>
      <c r="G79" s="1092"/>
      <c r="H79" s="1093"/>
      <c r="I79" s="1092"/>
      <c r="J79" s="1093"/>
      <c r="K79" s="1100"/>
      <c r="L79" s="1093"/>
      <c r="M79" s="1091"/>
      <c r="N79" s="1091"/>
      <c r="O79" s="1091"/>
      <c r="P79" s="1091"/>
      <c r="Q79" s="1091"/>
      <c r="R79" s="1091"/>
      <c r="S79" s="1091"/>
      <c r="T79" s="1091"/>
      <c r="U79" s="517"/>
      <c r="V79" s="517"/>
      <c r="W79" s="517"/>
      <c r="X79" s="518"/>
      <c r="Y79" s="518"/>
      <c r="Z79" s="518"/>
    </row>
    <row r="80" spans="1:26">
      <c r="A80" s="1355"/>
      <c r="B80" s="1097"/>
      <c r="C80" s="1092"/>
      <c r="D80" s="1092"/>
      <c r="E80" s="1092"/>
      <c r="F80" s="1092"/>
      <c r="G80" s="1092"/>
      <c r="H80" s="1092"/>
      <c r="I80" s="1092"/>
      <c r="J80" s="1093"/>
      <c r="K80" s="1100"/>
      <c r="L80" s="1093"/>
      <c r="M80" s="1091"/>
      <c r="N80" s="1091"/>
      <c r="O80" s="1091"/>
      <c r="P80" s="1091"/>
      <c r="Q80" s="1091"/>
      <c r="R80" s="1091"/>
      <c r="S80" s="1091"/>
      <c r="T80" s="1091"/>
      <c r="U80" s="517"/>
      <c r="V80" s="517"/>
      <c r="W80" s="517"/>
      <c r="X80" s="518"/>
      <c r="Y80" s="518"/>
      <c r="Z80" s="518"/>
    </row>
    <row r="81" spans="1:26">
      <c r="A81" s="1355"/>
      <c r="B81" s="1097"/>
      <c r="C81" s="1092"/>
      <c r="D81" s="1092"/>
      <c r="E81" s="1092"/>
      <c r="F81" s="1092"/>
      <c r="G81" s="1092"/>
      <c r="H81" s="1092"/>
      <c r="I81" s="1092"/>
      <c r="J81" s="1093"/>
      <c r="K81" s="1100"/>
      <c r="L81" s="1093"/>
      <c r="M81" s="1091"/>
      <c r="N81" s="1091"/>
      <c r="O81" s="1091"/>
      <c r="P81" s="1091"/>
      <c r="Q81" s="1091"/>
      <c r="R81" s="1091"/>
      <c r="S81" s="1091"/>
      <c r="T81" s="1091"/>
      <c r="U81" s="517"/>
      <c r="V81" s="517"/>
      <c r="W81" s="517"/>
      <c r="X81" s="518"/>
      <c r="Y81" s="518"/>
      <c r="Z81" s="518"/>
    </row>
    <row r="82" spans="1:26" ht="60">
      <c r="A82" s="1355"/>
      <c r="B82" s="1097"/>
      <c r="C82" s="582" t="s">
        <v>1214</v>
      </c>
      <c r="D82" s="1298" t="s">
        <v>660</v>
      </c>
      <c r="E82" s="1298" t="s">
        <v>145</v>
      </c>
      <c r="F82" s="1298" t="s">
        <v>144</v>
      </c>
      <c r="G82" s="1298" t="s">
        <v>561</v>
      </c>
      <c r="J82" s="1092"/>
      <c r="K82" s="1100"/>
      <c r="L82" s="1093"/>
      <c r="M82" s="1091"/>
      <c r="N82" s="1091"/>
      <c r="O82" s="1091"/>
      <c r="P82" s="1091"/>
      <c r="Q82" s="1091"/>
      <c r="R82" s="1091"/>
      <c r="S82" s="1091"/>
      <c r="T82" s="1091"/>
      <c r="U82" s="517"/>
      <c r="V82" s="517"/>
      <c r="W82" s="517"/>
      <c r="X82" s="518"/>
      <c r="Y82" s="518"/>
      <c r="Z82" s="518"/>
    </row>
    <row r="83" spans="1:26" ht="15">
      <c r="A83" s="1092"/>
      <c r="B83" s="1097"/>
      <c r="C83" s="572" t="s">
        <v>69</v>
      </c>
      <c r="D83" s="2109">
        <f>VLOOKUP($C83,local_data_input!$B$4:$K$20,2,FALSE)</f>
        <v>471.55482717174652</v>
      </c>
      <c r="E83" s="771">
        <f>VLOOKUP($C83,local_data_input!$B$4:$K$20,7,FALSE)</f>
        <v>2190</v>
      </c>
      <c r="F83" s="2109">
        <f>VLOOKUP($C83,local_data_input!$B$4:$K$20,8,FALSE)</f>
        <v>76.38780719409533</v>
      </c>
      <c r="G83" s="2109">
        <f>VLOOKUP($C83,local_data_input!$B$4:$K$20,9,FALSE)</f>
        <v>76.38780719409533</v>
      </c>
      <c r="J83" s="1092"/>
      <c r="K83" s="1100"/>
      <c r="L83" s="1093"/>
      <c r="M83" s="1091"/>
      <c r="N83" s="1091"/>
      <c r="O83" s="1091"/>
      <c r="P83" s="1091"/>
      <c r="Q83" s="1091"/>
      <c r="R83" s="1091"/>
      <c r="S83" s="1091"/>
      <c r="T83" s="1091"/>
      <c r="U83" s="517"/>
      <c r="V83" s="517"/>
      <c r="W83" s="517"/>
      <c r="X83" s="518"/>
      <c r="Y83" s="518"/>
      <c r="Z83" s="518"/>
    </row>
    <row r="84" spans="1:26">
      <c r="A84" s="1092"/>
      <c r="B84" s="1097"/>
      <c r="C84" s="1093"/>
      <c r="D84" s="1093"/>
      <c r="E84" s="1093"/>
      <c r="F84" s="1092"/>
      <c r="G84" s="1092"/>
      <c r="H84" s="1092"/>
      <c r="I84" s="1092"/>
      <c r="J84" s="1093"/>
      <c r="K84" s="1100"/>
      <c r="L84" s="1093"/>
      <c r="M84" s="1091"/>
      <c r="N84" s="1091"/>
      <c r="O84" s="1091"/>
      <c r="P84" s="1091"/>
      <c r="Q84" s="1091"/>
      <c r="R84" s="1091"/>
      <c r="S84" s="1091"/>
      <c r="T84" s="1091"/>
      <c r="U84" s="517"/>
      <c r="V84" s="517"/>
      <c r="W84" s="517"/>
      <c r="X84" s="518"/>
      <c r="Y84" s="518"/>
      <c r="Z84" s="518"/>
    </row>
    <row r="85" spans="1:26" ht="15">
      <c r="A85" s="1384"/>
      <c r="B85" s="1106"/>
      <c r="C85" s="1093"/>
      <c r="D85" s="1093"/>
      <c r="E85" s="1093"/>
      <c r="F85" s="1093"/>
      <c r="G85" s="1093"/>
      <c r="H85" s="2386"/>
      <c r="I85" s="2386"/>
      <c r="J85" s="1093"/>
      <c r="K85" s="1374"/>
      <c r="L85" s="526"/>
      <c r="M85" s="1091"/>
      <c r="N85" s="1091"/>
      <c r="O85" s="1091"/>
      <c r="P85" s="1091"/>
      <c r="Q85" s="1091"/>
      <c r="R85" s="1091"/>
      <c r="S85" s="1091"/>
      <c r="T85" s="1091"/>
      <c r="U85" s="1091"/>
      <c r="V85" s="1091"/>
      <c r="W85" s="1091"/>
    </row>
    <row r="86" spans="1:26" s="1373" customFormat="1" ht="15">
      <c r="A86" s="726"/>
      <c r="B86" s="2511" t="s">
        <v>194</v>
      </c>
      <c r="C86" s="2512"/>
      <c r="D86" s="2512"/>
      <c r="E86" s="2512"/>
      <c r="F86" s="2512"/>
      <c r="G86" s="2512"/>
      <c r="H86" s="2512"/>
      <c r="I86" s="2512"/>
      <c r="J86" s="2512"/>
      <c r="K86" s="2513"/>
      <c r="L86" s="537"/>
      <c r="M86" s="1372"/>
      <c r="N86" s="1372"/>
      <c r="O86" s="1372"/>
      <c r="P86" s="1372"/>
      <c r="Q86" s="1372"/>
      <c r="R86" s="1372"/>
      <c r="S86" s="1372"/>
      <c r="T86" s="1372"/>
      <c r="U86" s="1372"/>
      <c r="V86" s="1372"/>
      <c r="W86" s="1372"/>
    </row>
    <row r="87" spans="1:26">
      <c r="A87" s="1093"/>
      <c r="B87" s="1382"/>
      <c r="C87" s="1092"/>
      <c r="D87" s="1092"/>
      <c r="E87" s="1093"/>
      <c r="F87" s="1093"/>
      <c r="G87" s="1093"/>
      <c r="H87" s="1093"/>
      <c r="I87" s="1093"/>
      <c r="J87" s="1093"/>
      <c r="K87" s="1378"/>
      <c r="L87" s="1093"/>
      <c r="M87" s="1091"/>
      <c r="N87" s="1091"/>
      <c r="O87" s="1091"/>
      <c r="P87" s="1091"/>
      <c r="Q87" s="1091"/>
      <c r="R87" s="1091"/>
      <c r="S87" s="1091"/>
      <c r="T87" s="1091"/>
      <c r="U87" s="517"/>
      <c r="V87" s="517"/>
      <c r="W87" s="517"/>
      <c r="X87" s="518"/>
      <c r="Y87" s="518"/>
      <c r="Z87" s="518"/>
    </row>
    <row r="88" spans="1:26">
      <c r="B88" s="1097"/>
      <c r="C88" s="1093"/>
      <c r="D88" s="1093"/>
      <c r="E88" s="1093"/>
      <c r="F88" s="1093"/>
      <c r="G88" s="1093"/>
      <c r="H88" s="1093"/>
      <c r="I88" s="1093"/>
      <c r="J88" s="1093"/>
      <c r="K88" s="1100"/>
      <c r="L88" s="1093"/>
      <c r="M88" s="1091"/>
      <c r="N88" s="1091"/>
      <c r="O88" s="1091"/>
      <c r="P88" s="1091"/>
      <c r="Q88" s="1091"/>
      <c r="R88" s="1091"/>
      <c r="S88" s="1091"/>
      <c r="T88" s="1091"/>
      <c r="U88" s="517"/>
      <c r="V88" s="517"/>
      <c r="W88" s="517"/>
      <c r="X88" s="518"/>
      <c r="Y88" s="518"/>
      <c r="Z88" s="518"/>
    </row>
    <row r="89" spans="1:26" ht="15">
      <c r="B89" s="1097"/>
      <c r="C89" s="525" t="s">
        <v>792</v>
      </c>
      <c r="D89" s="1253"/>
      <c r="E89" s="1253"/>
      <c r="F89" s="1253"/>
      <c r="G89" s="1093"/>
      <c r="H89" s="1253"/>
      <c r="I89" s="1253"/>
      <c r="J89" s="1253"/>
      <c r="K89" s="1100"/>
      <c r="L89" s="1093"/>
      <c r="M89" s="1091"/>
      <c r="N89" s="1091"/>
      <c r="O89" s="1091"/>
      <c r="P89" s="1091"/>
      <c r="Q89" s="1091"/>
      <c r="R89" s="1091"/>
      <c r="S89" s="1091"/>
      <c r="T89" s="1091"/>
      <c r="U89" s="517"/>
      <c r="V89" s="517"/>
      <c r="W89" s="517"/>
      <c r="X89" s="518"/>
      <c r="Y89" s="518"/>
      <c r="Z89" s="518"/>
    </row>
    <row r="90" spans="1:26" ht="15">
      <c r="B90" s="1097"/>
      <c r="C90" s="1253"/>
      <c r="D90" s="1253"/>
      <c r="E90" s="1253"/>
      <c r="F90" s="1253"/>
      <c r="G90" s="1253"/>
      <c r="H90" s="1253"/>
      <c r="I90" s="1253"/>
      <c r="J90" s="1253"/>
      <c r="K90" s="1100"/>
      <c r="L90" s="1093"/>
      <c r="M90" s="1091"/>
      <c r="N90" s="1091"/>
      <c r="O90" s="1091"/>
      <c r="P90" s="1091"/>
      <c r="Q90" s="1091"/>
      <c r="R90" s="1091"/>
      <c r="S90" s="1091"/>
      <c r="T90" s="1091"/>
      <c r="U90" s="517"/>
      <c r="V90" s="517"/>
      <c r="W90" s="517"/>
      <c r="X90" s="518"/>
      <c r="Y90" s="518"/>
      <c r="Z90" s="518"/>
    </row>
    <row r="91" spans="1:26" ht="15.75" thickBot="1">
      <c r="B91" s="1383"/>
      <c r="C91" s="610"/>
      <c r="D91" s="610"/>
      <c r="E91" s="1380"/>
      <c r="F91" s="1380"/>
      <c r="G91" s="1380"/>
      <c r="H91" s="1380"/>
      <c r="I91" s="1380"/>
      <c r="J91" s="611"/>
      <c r="K91" s="1381"/>
      <c r="L91" s="526"/>
      <c r="M91" s="1091"/>
      <c r="N91" s="1091"/>
      <c r="O91" s="1091"/>
      <c r="P91" s="1091"/>
      <c r="Q91" s="1091"/>
      <c r="R91" s="1091"/>
      <c r="S91" s="1091"/>
      <c r="T91" s="1091"/>
      <c r="U91" s="1091"/>
      <c r="V91" s="1091"/>
      <c r="W91" s="1091"/>
    </row>
    <row r="92" spans="1:26" ht="15">
      <c r="B92" s="1091"/>
      <c r="C92" s="526"/>
      <c r="D92" s="526"/>
      <c r="E92" s="1093"/>
      <c r="F92" s="1093"/>
      <c r="G92" s="1093"/>
      <c r="H92" s="1093"/>
      <c r="I92" s="1093"/>
      <c r="J92" s="1093"/>
      <c r="K92" s="1093"/>
      <c r="L92" s="1093"/>
      <c r="M92" s="1091"/>
      <c r="N92" s="1091"/>
      <c r="O92" s="1091"/>
      <c r="P92" s="1091"/>
      <c r="Q92" s="1091"/>
      <c r="R92" s="1091"/>
      <c r="S92" s="1091"/>
      <c r="T92" s="1091"/>
      <c r="U92" s="517"/>
      <c r="V92" s="517"/>
      <c r="W92" s="517"/>
      <c r="X92" s="518"/>
      <c r="Y92" s="518"/>
      <c r="Z92" s="518"/>
    </row>
    <row r="93" spans="1:26" ht="15">
      <c r="B93" s="1091"/>
      <c r="C93" s="526"/>
      <c r="D93" s="526"/>
      <c r="E93" s="1091"/>
      <c r="F93" s="1093"/>
      <c r="G93" s="1093"/>
      <c r="H93" s="1093"/>
      <c r="I93" s="1093"/>
      <c r="J93" s="1093"/>
      <c r="K93" s="1093"/>
      <c r="L93" s="1093"/>
      <c r="M93" s="1091"/>
      <c r="N93" s="1091"/>
      <c r="O93" s="1091"/>
      <c r="P93" s="1091"/>
      <c r="Q93" s="1091"/>
      <c r="R93" s="1091"/>
      <c r="S93" s="1091"/>
      <c r="T93" s="1091"/>
      <c r="U93" s="517"/>
      <c r="V93" s="517"/>
      <c r="W93" s="517"/>
      <c r="X93" s="518"/>
      <c r="Y93" s="518"/>
      <c r="Z93" s="518"/>
    </row>
    <row r="94" spans="1:26" ht="15">
      <c r="B94" s="1091"/>
      <c r="C94" s="526"/>
      <c r="D94" s="526"/>
      <c r="E94" s="526"/>
      <c r="F94" s="1093"/>
      <c r="G94" s="1093"/>
      <c r="H94" s="1093"/>
      <c r="I94" s="1093"/>
      <c r="J94" s="1093"/>
      <c r="K94" s="1093"/>
      <c r="L94" s="1093"/>
      <c r="M94" s="1091"/>
      <c r="N94" s="1091"/>
      <c r="O94" s="1091"/>
      <c r="P94" s="1091"/>
      <c r="Q94" s="1091"/>
      <c r="R94" s="1091"/>
      <c r="S94" s="1091"/>
      <c r="T94" s="1091"/>
      <c r="U94" s="517"/>
      <c r="V94" s="517"/>
      <c r="W94" s="517"/>
      <c r="X94" s="518"/>
      <c r="Y94" s="518"/>
      <c r="Z94" s="518"/>
    </row>
    <row r="95" spans="1:26" ht="15">
      <c r="B95" s="1091"/>
      <c r="C95" s="526"/>
      <c r="D95" s="526"/>
      <c r="E95" s="526"/>
      <c r="F95" s="1093"/>
      <c r="G95" s="1093"/>
      <c r="H95" s="1093"/>
      <c r="I95" s="1093"/>
      <c r="J95" s="1093"/>
      <c r="K95" s="1093"/>
      <c r="L95" s="1093"/>
      <c r="M95" s="1091"/>
      <c r="N95" s="1091"/>
      <c r="O95" s="1091"/>
      <c r="P95" s="1091"/>
      <c r="Q95" s="1091"/>
      <c r="R95" s="1091"/>
      <c r="S95" s="1091"/>
      <c r="T95" s="1091"/>
      <c r="U95" s="517"/>
      <c r="V95" s="517"/>
      <c r="W95" s="517"/>
      <c r="X95" s="518"/>
      <c r="Y95" s="518"/>
      <c r="Z95" s="518"/>
    </row>
    <row r="96" spans="1:26">
      <c r="B96" s="1091"/>
      <c r="C96" s="1093"/>
      <c r="D96" s="1093"/>
      <c r="E96" s="1093"/>
      <c r="F96" s="1358"/>
      <c r="G96" s="1358"/>
      <c r="H96" s="1358"/>
      <c r="I96" s="1358"/>
      <c r="J96" s="1358"/>
      <c r="K96" s="1358"/>
      <c r="L96" s="1358"/>
      <c r="M96" s="1091"/>
      <c r="N96" s="1091"/>
      <c r="O96" s="1091"/>
      <c r="P96" s="1091"/>
      <c r="Q96" s="1091"/>
      <c r="R96" s="1091"/>
      <c r="S96" s="1091"/>
      <c r="T96" s="1091"/>
      <c r="U96" s="517"/>
      <c r="V96" s="517"/>
      <c r="W96" s="517"/>
      <c r="X96" s="518"/>
      <c r="Y96" s="518"/>
      <c r="Z96" s="518"/>
    </row>
    <row r="97" spans="2:26">
      <c r="B97" s="1091"/>
      <c r="C97" s="1093"/>
      <c r="D97" s="1093"/>
      <c r="E97" s="1093"/>
      <c r="F97" s="1093"/>
      <c r="G97" s="1093"/>
      <c r="H97" s="1093"/>
      <c r="I97" s="1093"/>
      <c r="J97" s="1093"/>
      <c r="K97" s="1093"/>
      <c r="L97" s="1093"/>
      <c r="M97" s="1091"/>
      <c r="N97" s="1091"/>
      <c r="O97" s="1091"/>
      <c r="P97" s="1091"/>
      <c r="Q97" s="1091"/>
      <c r="R97" s="1091"/>
      <c r="S97" s="1091"/>
      <c r="T97" s="1091"/>
      <c r="U97" s="517"/>
      <c r="V97" s="517"/>
      <c r="W97" s="517"/>
      <c r="X97" s="518"/>
      <c r="Y97" s="518"/>
      <c r="Z97" s="518"/>
    </row>
    <row r="98" spans="2:26">
      <c r="B98" s="1091"/>
      <c r="C98" s="1359"/>
      <c r="D98" s="1359"/>
      <c r="E98" s="1093"/>
      <c r="F98" s="1092"/>
      <c r="G98" s="1093"/>
      <c r="H98" s="1093"/>
      <c r="I98" s="1093"/>
      <c r="J98" s="1093"/>
      <c r="K98" s="1093"/>
      <c r="L98" s="1093"/>
      <c r="M98" s="1091"/>
      <c r="N98" s="1091"/>
      <c r="O98" s="1091"/>
      <c r="P98" s="1091"/>
      <c r="Q98" s="1091"/>
      <c r="R98" s="1091"/>
      <c r="S98" s="1091"/>
      <c r="T98" s="1091"/>
      <c r="U98" s="517"/>
      <c r="V98" s="517"/>
      <c r="W98" s="517"/>
      <c r="X98" s="518"/>
      <c r="Y98" s="518"/>
      <c r="Z98" s="518"/>
    </row>
    <row r="99" spans="2:26">
      <c r="B99" s="1091"/>
      <c r="C99" s="1093"/>
      <c r="D99" s="1093"/>
      <c r="E99" s="1093"/>
      <c r="F99" s="1093"/>
      <c r="G99" s="1093"/>
      <c r="H99" s="1093"/>
      <c r="I99" s="1093"/>
      <c r="J99" s="1093"/>
      <c r="K99" s="1093"/>
      <c r="L99" s="1093"/>
      <c r="M99" s="1091"/>
      <c r="N99" s="1091"/>
      <c r="O99" s="1091"/>
      <c r="P99" s="1091"/>
      <c r="Q99" s="1091"/>
      <c r="R99" s="1091"/>
      <c r="S99" s="1091"/>
      <c r="T99" s="1091"/>
      <c r="U99" s="517"/>
      <c r="V99" s="517"/>
      <c r="W99" s="517"/>
      <c r="X99" s="518"/>
      <c r="Y99" s="518"/>
      <c r="Z99" s="518"/>
    </row>
    <row r="100" spans="2:26">
      <c r="B100" s="1091"/>
      <c r="C100" s="1093"/>
      <c r="D100" s="1093"/>
      <c r="E100" s="1093"/>
      <c r="F100" s="1360"/>
      <c r="G100" s="1360"/>
      <c r="H100" s="1360"/>
      <c r="I100" s="1360"/>
      <c r="J100" s="1360"/>
      <c r="K100" s="1360"/>
      <c r="L100" s="1360"/>
      <c r="M100" s="1091"/>
      <c r="N100" s="1091"/>
      <c r="O100" s="1091"/>
      <c r="P100" s="1091"/>
      <c r="Q100" s="1091"/>
      <c r="R100" s="1091"/>
      <c r="S100" s="1091"/>
      <c r="T100" s="1091"/>
      <c r="U100" s="517"/>
      <c r="V100" s="517"/>
      <c r="W100" s="517"/>
      <c r="X100" s="518"/>
      <c r="Y100" s="518"/>
      <c r="Z100" s="518"/>
    </row>
    <row r="101" spans="2:26">
      <c r="B101" s="1091"/>
      <c r="C101" s="1093"/>
      <c r="D101" s="1093"/>
      <c r="E101" s="1093"/>
      <c r="F101" s="1093"/>
      <c r="G101" s="1093"/>
      <c r="H101" s="1093"/>
      <c r="I101" s="1093"/>
      <c r="J101" s="1093"/>
      <c r="K101" s="1093"/>
      <c r="L101" s="1093"/>
      <c r="M101" s="1091"/>
      <c r="N101" s="1091"/>
      <c r="O101" s="1091"/>
      <c r="P101" s="1091"/>
      <c r="Q101" s="1091"/>
      <c r="R101" s="1091"/>
      <c r="S101" s="1091"/>
      <c r="T101" s="1091"/>
      <c r="U101" s="517"/>
      <c r="V101" s="517"/>
      <c r="W101" s="517"/>
      <c r="X101" s="518"/>
      <c r="Y101" s="518"/>
      <c r="Z101" s="518"/>
    </row>
    <row r="102" spans="2:26">
      <c r="B102" s="1091"/>
      <c r="C102" s="1093"/>
      <c r="D102" s="1093"/>
      <c r="E102" s="1093"/>
      <c r="F102" s="1093"/>
      <c r="G102" s="1093"/>
      <c r="H102" s="1093"/>
      <c r="I102" s="1093"/>
      <c r="J102" s="1093"/>
      <c r="K102" s="1093"/>
      <c r="L102" s="1093"/>
      <c r="M102" s="1091"/>
      <c r="N102" s="1091"/>
      <c r="O102" s="1091"/>
      <c r="P102" s="1091"/>
      <c r="Q102" s="1091"/>
      <c r="R102" s="1091"/>
      <c r="S102" s="1091"/>
      <c r="T102" s="1091"/>
      <c r="U102" s="517"/>
      <c r="V102" s="517"/>
      <c r="W102" s="517"/>
      <c r="X102" s="518"/>
      <c r="Y102" s="518"/>
      <c r="Z102" s="518"/>
    </row>
    <row r="103" spans="2:26" ht="15">
      <c r="B103" s="1091"/>
      <c r="C103" s="526"/>
      <c r="D103" s="526"/>
      <c r="E103" s="1093"/>
      <c r="F103" s="1093"/>
      <c r="G103" s="1093"/>
      <c r="H103" s="1093"/>
      <c r="I103" s="1093"/>
      <c r="J103" s="1093"/>
      <c r="K103" s="1093"/>
      <c r="L103" s="1093"/>
      <c r="M103" s="1091"/>
      <c r="N103" s="1091"/>
      <c r="O103" s="1091"/>
      <c r="P103" s="1091"/>
      <c r="Q103" s="1091"/>
      <c r="R103" s="1091"/>
      <c r="S103" s="1091"/>
      <c r="T103" s="1091"/>
      <c r="U103" s="517"/>
      <c r="V103" s="517"/>
      <c r="W103" s="517"/>
      <c r="X103" s="518"/>
      <c r="Y103" s="518"/>
      <c r="Z103" s="518"/>
    </row>
    <row r="104" spans="2:26">
      <c r="B104" s="1091"/>
      <c r="C104" s="1093"/>
      <c r="D104" s="1093"/>
      <c r="E104" s="1093"/>
      <c r="F104" s="1360"/>
      <c r="G104" s="1360"/>
      <c r="H104" s="1360"/>
      <c r="I104" s="1360"/>
      <c r="J104" s="1360"/>
      <c r="K104" s="1360"/>
      <c r="L104" s="1360"/>
      <c r="M104" s="1091"/>
      <c r="N104" s="1091"/>
      <c r="O104" s="1091"/>
      <c r="P104" s="1091"/>
      <c r="Q104" s="1091"/>
      <c r="R104" s="1091"/>
      <c r="S104" s="1091"/>
      <c r="T104" s="1091"/>
      <c r="U104" s="517"/>
      <c r="V104" s="517"/>
      <c r="W104" s="517"/>
      <c r="X104" s="518"/>
      <c r="Y104" s="518"/>
      <c r="Z104" s="518"/>
    </row>
    <row r="105" spans="2:26">
      <c r="B105" s="1091"/>
      <c r="C105" s="1093"/>
      <c r="D105" s="1093"/>
      <c r="E105" s="1093"/>
      <c r="F105" s="1093"/>
      <c r="G105" s="1093"/>
      <c r="H105" s="1093"/>
      <c r="I105" s="1093"/>
      <c r="J105" s="1093"/>
      <c r="K105" s="1093"/>
      <c r="L105" s="1093"/>
      <c r="M105" s="1091"/>
      <c r="N105" s="1091"/>
      <c r="O105" s="1091"/>
      <c r="P105" s="1091"/>
      <c r="Q105" s="1091"/>
      <c r="R105" s="1091"/>
      <c r="S105" s="1091"/>
      <c r="T105" s="1091"/>
      <c r="U105" s="517"/>
      <c r="V105" s="517"/>
      <c r="W105" s="517"/>
      <c r="X105" s="518"/>
      <c r="Y105" s="518"/>
      <c r="Z105" s="518"/>
    </row>
    <row r="106" spans="2:26">
      <c r="B106" s="1091"/>
      <c r="C106" s="1093"/>
      <c r="D106" s="1093"/>
      <c r="E106" s="1093"/>
      <c r="F106" s="1093"/>
      <c r="G106" s="1093"/>
      <c r="H106" s="1093"/>
      <c r="I106" s="1093"/>
      <c r="J106" s="1093"/>
      <c r="K106" s="1093"/>
      <c r="L106" s="1093"/>
      <c r="M106" s="1091"/>
      <c r="N106" s="1091"/>
      <c r="O106" s="1091"/>
      <c r="P106" s="1091"/>
      <c r="Q106" s="1091"/>
      <c r="R106" s="1091"/>
      <c r="S106" s="1091"/>
      <c r="T106" s="1091"/>
      <c r="U106" s="517"/>
      <c r="V106" s="517"/>
      <c r="W106" s="517"/>
      <c r="X106" s="518"/>
      <c r="Y106" s="518"/>
      <c r="Z106" s="518"/>
    </row>
    <row r="107" spans="2:26">
      <c r="B107" s="1091"/>
      <c r="C107" s="1093"/>
      <c r="D107" s="1093"/>
      <c r="E107" s="1093"/>
      <c r="F107" s="1360"/>
      <c r="G107" s="1360"/>
      <c r="H107" s="1360"/>
      <c r="I107" s="1360"/>
      <c r="J107" s="1360"/>
      <c r="K107" s="1360"/>
      <c r="L107" s="1360"/>
      <c r="M107" s="1091"/>
      <c r="N107" s="1091"/>
      <c r="O107" s="1091"/>
      <c r="P107" s="1091"/>
      <c r="Q107" s="1091"/>
      <c r="R107" s="1091"/>
      <c r="S107" s="1091"/>
      <c r="T107" s="1091"/>
      <c r="U107" s="517"/>
      <c r="V107" s="517"/>
      <c r="W107" s="517"/>
      <c r="X107" s="518"/>
      <c r="Y107" s="518"/>
      <c r="Z107" s="518"/>
    </row>
    <row r="108" spans="2:26">
      <c r="B108" s="1091"/>
      <c r="C108" s="1093"/>
      <c r="D108" s="1093"/>
      <c r="E108" s="1093"/>
      <c r="F108" s="1358"/>
      <c r="G108" s="1358"/>
      <c r="H108" s="1358"/>
      <c r="I108" s="1358"/>
      <c r="J108" s="1358"/>
      <c r="K108" s="1358"/>
      <c r="L108" s="1358"/>
      <c r="M108" s="1091"/>
      <c r="N108" s="1091"/>
      <c r="O108" s="1091"/>
      <c r="P108" s="1091"/>
      <c r="Q108" s="1091"/>
      <c r="R108" s="1091"/>
      <c r="S108" s="1091"/>
      <c r="T108" s="1091"/>
      <c r="U108" s="517"/>
      <c r="V108" s="517"/>
      <c r="W108" s="517"/>
      <c r="X108" s="518"/>
      <c r="Y108" s="518"/>
      <c r="Z108" s="518"/>
    </row>
    <row r="109" spans="2:26">
      <c r="B109" s="1091"/>
      <c r="C109" s="1093"/>
      <c r="D109" s="1093"/>
      <c r="E109" s="1093"/>
      <c r="F109" s="1358"/>
      <c r="G109" s="1358"/>
      <c r="H109" s="1358"/>
      <c r="I109" s="1358"/>
      <c r="J109" s="1358"/>
      <c r="K109" s="1358"/>
      <c r="L109" s="1358"/>
      <c r="M109" s="1091"/>
      <c r="N109" s="1091"/>
      <c r="O109" s="1091"/>
      <c r="P109" s="1091"/>
      <c r="Q109" s="1091"/>
      <c r="R109" s="1091"/>
      <c r="S109" s="1091"/>
      <c r="T109" s="1091"/>
      <c r="U109" s="517"/>
      <c r="V109" s="517"/>
      <c r="W109" s="517"/>
      <c r="X109" s="518"/>
      <c r="Y109" s="518"/>
      <c r="Z109" s="518"/>
    </row>
    <row r="110" spans="2:26" ht="15">
      <c r="B110" s="1091"/>
      <c r="C110" s="526"/>
      <c r="D110" s="526"/>
      <c r="E110" s="1093"/>
      <c r="F110" s="682"/>
      <c r="G110" s="682"/>
      <c r="H110" s="682"/>
      <c r="I110" s="682"/>
      <c r="J110" s="682"/>
      <c r="K110" s="682"/>
      <c r="L110" s="682"/>
      <c r="M110" s="1091"/>
      <c r="N110" s="1091"/>
      <c r="O110" s="1091"/>
      <c r="P110" s="1091"/>
      <c r="Q110" s="1091"/>
      <c r="R110" s="1091"/>
      <c r="S110" s="1091"/>
      <c r="T110" s="1091"/>
      <c r="U110" s="517"/>
      <c r="V110" s="517"/>
      <c r="W110" s="517"/>
      <c r="X110" s="518"/>
      <c r="Y110" s="518"/>
      <c r="Z110" s="518"/>
    </row>
    <row r="111" spans="2:26" ht="15">
      <c r="B111" s="1091"/>
      <c r="C111" s="526"/>
      <c r="D111" s="526"/>
      <c r="E111" s="1093"/>
      <c r="F111" s="682"/>
      <c r="G111" s="682"/>
      <c r="H111" s="682"/>
      <c r="I111" s="682"/>
      <c r="J111" s="682"/>
      <c r="K111" s="682"/>
      <c r="L111" s="682"/>
      <c r="M111" s="1091"/>
      <c r="N111" s="1091"/>
      <c r="O111" s="1091"/>
      <c r="P111" s="1091"/>
      <c r="Q111" s="1091"/>
      <c r="R111" s="1091"/>
      <c r="S111" s="1091"/>
      <c r="T111" s="1091"/>
      <c r="U111" s="517"/>
      <c r="V111" s="517"/>
      <c r="W111" s="517"/>
      <c r="X111" s="518"/>
      <c r="Y111" s="518"/>
      <c r="Z111" s="518"/>
    </row>
    <row r="112" spans="2:26" ht="15">
      <c r="B112" s="1091"/>
      <c r="C112" s="526"/>
      <c r="D112" s="526"/>
      <c r="E112" s="1093"/>
      <c r="F112" s="682"/>
      <c r="G112" s="682"/>
      <c r="H112" s="682"/>
      <c r="I112" s="682"/>
      <c r="J112" s="682"/>
      <c r="K112" s="682"/>
      <c r="L112" s="682"/>
      <c r="M112" s="1091"/>
      <c r="N112" s="1091"/>
      <c r="O112" s="1091"/>
      <c r="P112" s="1091"/>
      <c r="Q112" s="1091"/>
      <c r="R112" s="1091"/>
      <c r="S112" s="1091"/>
      <c r="T112" s="1091"/>
      <c r="U112" s="517"/>
      <c r="V112" s="517"/>
      <c r="W112" s="517"/>
      <c r="X112" s="518"/>
      <c r="Y112" s="518"/>
      <c r="Z112" s="518"/>
    </row>
    <row r="113" spans="2:26">
      <c r="B113" s="1091"/>
      <c r="C113" s="1093"/>
      <c r="D113" s="1093"/>
      <c r="E113" s="1093"/>
      <c r="F113" s="1358"/>
      <c r="G113" s="1358"/>
      <c r="H113" s="1358"/>
      <c r="I113" s="1358"/>
      <c r="J113" s="1358"/>
      <c r="K113" s="1358"/>
      <c r="L113" s="1358"/>
      <c r="M113" s="1091"/>
      <c r="N113" s="1091"/>
      <c r="O113" s="1091"/>
      <c r="P113" s="1091"/>
      <c r="Q113" s="1091"/>
      <c r="R113" s="1091"/>
      <c r="S113" s="1091"/>
      <c r="T113" s="1091"/>
      <c r="U113" s="517"/>
      <c r="V113" s="517"/>
      <c r="W113" s="517"/>
      <c r="X113" s="518"/>
      <c r="Y113" s="518"/>
      <c r="Z113" s="518"/>
    </row>
    <row r="114" spans="2:26" ht="15" thickBot="1">
      <c r="B114" s="1091"/>
      <c r="C114" s="1093"/>
      <c r="D114" s="1093"/>
      <c r="E114" s="1093"/>
      <c r="F114" s="1093"/>
      <c r="G114" s="1093"/>
      <c r="H114" s="1093"/>
      <c r="I114" s="1093"/>
      <c r="J114" s="1091"/>
      <c r="K114" s="1093"/>
      <c r="L114" s="1093"/>
      <c r="M114" s="1091"/>
      <c r="N114" s="1091"/>
      <c r="O114" s="1091"/>
      <c r="P114" s="1091"/>
      <c r="Q114" s="1091"/>
      <c r="R114" s="1091"/>
      <c r="S114" s="1091"/>
      <c r="T114" s="1091"/>
      <c r="U114" s="517"/>
      <c r="V114" s="517"/>
      <c r="W114" s="517"/>
      <c r="X114" s="518"/>
      <c r="Y114" s="518"/>
      <c r="Z114" s="518"/>
    </row>
    <row r="115" spans="2:26" ht="15.75" thickBot="1">
      <c r="B115" s="1091"/>
      <c r="C115" s="1093"/>
      <c r="D115" s="1093"/>
      <c r="E115" s="1093" t="s">
        <v>42</v>
      </c>
      <c r="F115" s="1093"/>
      <c r="G115" s="1093"/>
      <c r="H115" s="1093"/>
      <c r="I115" s="1093"/>
      <c r="J115" s="1091"/>
      <c r="K115" s="1091"/>
      <c r="L115" s="1093"/>
      <c r="M115" s="1091"/>
      <c r="N115" s="1091"/>
      <c r="O115" s="1091"/>
      <c r="P115" s="1091"/>
      <c r="Q115" s="1091"/>
      <c r="R115" s="1091"/>
      <c r="S115" s="1091"/>
      <c r="T115" s="1091"/>
      <c r="U115" s="989" t="s">
        <v>303</v>
      </c>
      <c r="V115" s="990" t="s">
        <v>302</v>
      </c>
      <c r="W115" s="991" t="s">
        <v>301</v>
      </c>
      <c r="X115" s="991" t="s">
        <v>300</v>
      </c>
      <c r="Y115" s="991" t="s">
        <v>262</v>
      </c>
      <c r="Z115" s="991" t="s">
        <v>299</v>
      </c>
    </row>
    <row r="116" spans="2:26" ht="15.75" thickBot="1">
      <c r="B116" s="1091"/>
      <c r="C116" s="1091"/>
      <c r="D116" s="1091"/>
      <c r="E116" s="1091"/>
      <c r="F116" s="1091"/>
      <c r="G116" s="1091"/>
      <c r="H116" s="1091"/>
      <c r="I116" s="1091"/>
      <c r="J116" s="1091"/>
      <c r="K116" s="1091"/>
      <c r="L116" s="1091"/>
      <c r="M116" s="1091"/>
      <c r="N116" s="1091"/>
      <c r="O116" s="1091"/>
      <c r="P116" s="1091"/>
      <c r="Q116" s="1091"/>
      <c r="R116" s="1091"/>
      <c r="S116" s="1091"/>
      <c r="T116" s="1091"/>
      <c r="U116" s="992"/>
      <c r="V116" s="1361" t="s">
        <v>297</v>
      </c>
      <c r="W116" s="1362" t="s">
        <v>298</v>
      </c>
      <c r="X116" s="1363" t="e">
        <f>#REF!+#REF!</f>
        <v>#REF!</v>
      </c>
      <c r="Y116" s="1362"/>
      <c r="Z116" s="1362"/>
    </row>
    <row r="117" spans="2:26" ht="30.75" thickBot="1">
      <c r="B117" s="1091"/>
      <c r="C117" s="1091"/>
      <c r="D117" s="1091"/>
      <c r="E117" s="1091"/>
      <c r="F117" s="1091"/>
      <c r="G117" s="1091"/>
      <c r="H117" s="1091"/>
      <c r="I117" s="1091"/>
      <c r="J117" s="1091"/>
      <c r="K117" s="1091"/>
      <c r="L117" s="1091"/>
      <c r="M117" s="1091"/>
      <c r="N117" s="1091"/>
      <c r="O117" s="1091"/>
      <c r="P117" s="1091"/>
      <c r="Q117" s="1091"/>
      <c r="R117" s="1091"/>
      <c r="S117" s="1091"/>
      <c r="T117" s="1091"/>
      <c r="U117" s="993"/>
      <c r="V117" s="1361" t="s">
        <v>297</v>
      </c>
      <c r="W117" s="1362" t="s">
        <v>296</v>
      </c>
      <c r="X117" s="1362"/>
      <c r="Y117" s="1362"/>
      <c r="Z117" s="1362"/>
    </row>
    <row r="118" spans="2:26" ht="15.75" thickBot="1">
      <c r="B118" s="1091"/>
      <c r="C118" s="1091"/>
      <c r="D118" s="1091"/>
      <c r="E118" s="1091"/>
      <c r="F118" s="1091"/>
      <c r="G118" s="1091"/>
      <c r="H118" s="1091"/>
      <c r="I118" s="1091"/>
      <c r="J118" s="1091"/>
      <c r="K118" s="1091"/>
      <c r="L118" s="1091"/>
      <c r="M118" s="1091"/>
      <c r="N118" s="1091"/>
      <c r="O118" s="1091"/>
      <c r="P118" s="1091"/>
      <c r="Q118" s="1091"/>
      <c r="R118" s="1091"/>
      <c r="S118" s="1091"/>
      <c r="T118" s="1091"/>
      <c r="U118" s="994"/>
      <c r="V118" s="1364"/>
      <c r="W118" s="1365"/>
      <c r="X118" s="1365"/>
      <c r="Y118" s="1365"/>
      <c r="Z118" s="1365"/>
    </row>
    <row r="119" spans="2:26" ht="15.75" thickBot="1">
      <c r="B119" s="1091"/>
      <c r="C119" s="1091"/>
      <c r="D119" s="1091"/>
      <c r="E119" s="1091"/>
      <c r="F119" s="1091"/>
      <c r="G119" s="1091"/>
      <c r="H119" s="1091"/>
      <c r="I119" s="1091"/>
      <c r="J119" s="1091"/>
      <c r="K119" s="1091"/>
      <c r="L119" s="1091"/>
      <c r="M119" s="1091"/>
      <c r="N119" s="1091"/>
      <c r="O119" s="1091"/>
      <c r="P119" s="1091"/>
      <c r="Q119" s="1091"/>
      <c r="R119" s="1091"/>
      <c r="S119" s="1091"/>
      <c r="T119" s="1091"/>
      <c r="U119" s="994"/>
      <c r="V119" s="1364"/>
      <c r="W119" s="1365"/>
      <c r="X119" s="1365"/>
      <c r="Y119" s="1365"/>
      <c r="Z119" s="1365"/>
    </row>
    <row r="120" spans="2:26" ht="15.75" thickBot="1">
      <c r="B120" s="1091"/>
      <c r="C120" s="1091"/>
      <c r="D120" s="1091"/>
      <c r="E120" s="1091"/>
      <c r="F120" s="1091"/>
      <c r="G120" s="1091"/>
      <c r="H120" s="1091"/>
      <c r="I120" s="1091"/>
      <c r="J120" s="1091"/>
      <c r="K120" s="1091"/>
      <c r="L120" s="1091"/>
      <c r="M120" s="1091"/>
      <c r="N120" s="1091"/>
      <c r="O120" s="1091"/>
      <c r="P120" s="1091"/>
      <c r="Q120" s="1091"/>
      <c r="R120" s="1091"/>
      <c r="S120" s="1091"/>
      <c r="T120" s="1091"/>
      <c r="U120" s="994"/>
      <c r="V120" s="1364"/>
      <c r="W120" s="1365"/>
      <c r="X120" s="1365"/>
      <c r="Y120" s="1365"/>
      <c r="Z120" s="1365"/>
    </row>
    <row r="121" spans="2:26" ht="15.75" thickBot="1">
      <c r="B121" s="1091"/>
      <c r="C121" s="1091"/>
      <c r="D121" s="1091"/>
      <c r="E121" s="1091"/>
      <c r="F121" s="1091"/>
      <c r="G121" s="1091"/>
      <c r="H121" s="1091"/>
      <c r="I121" s="1091"/>
      <c r="J121" s="1091"/>
      <c r="K121" s="1091"/>
      <c r="L121" s="1091"/>
      <c r="M121" s="1091"/>
      <c r="N121" s="1091"/>
      <c r="O121" s="1091"/>
      <c r="P121" s="1091"/>
      <c r="Q121" s="1091"/>
      <c r="R121" s="1091"/>
      <c r="S121" s="1091"/>
      <c r="T121" s="1091"/>
      <c r="U121" s="994"/>
      <c r="V121" s="1364"/>
      <c r="W121" s="1365"/>
      <c r="X121" s="1365"/>
      <c r="Y121" s="1365"/>
      <c r="Z121" s="1365"/>
    </row>
    <row r="122" spans="2:26" ht="15.75" thickBot="1">
      <c r="B122" s="1091"/>
      <c r="C122" s="1091"/>
      <c r="D122" s="1091"/>
      <c r="E122" s="1091"/>
      <c r="F122" s="1091"/>
      <c r="G122" s="1091"/>
      <c r="H122" s="1091"/>
      <c r="I122" s="1091"/>
      <c r="J122" s="1091"/>
      <c r="K122" s="1091"/>
      <c r="L122" s="1091"/>
      <c r="M122" s="1091"/>
      <c r="N122" s="1091"/>
      <c r="O122" s="1091"/>
      <c r="P122" s="1091"/>
      <c r="Q122" s="1091"/>
      <c r="R122" s="1091"/>
      <c r="S122" s="1091"/>
      <c r="T122" s="1091"/>
      <c r="U122" s="994"/>
      <c r="V122" s="1364"/>
      <c r="W122" s="1365"/>
      <c r="X122" s="1365"/>
      <c r="Y122" s="1365"/>
      <c r="Z122" s="1365"/>
    </row>
    <row r="123" spans="2:26" ht="15.75" thickBot="1">
      <c r="B123" s="1091"/>
      <c r="C123" s="1091"/>
      <c r="D123" s="1091"/>
      <c r="E123" s="1091"/>
      <c r="F123" s="1091"/>
      <c r="G123" s="1091"/>
      <c r="H123" s="1091"/>
      <c r="I123" s="1091"/>
      <c r="J123" s="1091"/>
      <c r="K123" s="1091"/>
      <c r="L123" s="1091"/>
      <c r="M123" s="1091"/>
      <c r="N123" s="1091"/>
      <c r="O123" s="1091"/>
      <c r="P123" s="1091"/>
      <c r="Q123" s="1091"/>
      <c r="R123" s="1091"/>
      <c r="S123" s="1091"/>
      <c r="T123" s="1091"/>
      <c r="U123" s="995"/>
      <c r="V123" s="1364"/>
      <c r="W123" s="1365"/>
      <c r="X123" s="1365"/>
      <c r="Y123" s="1365"/>
      <c r="Z123" s="1365"/>
    </row>
    <row r="124" spans="2:26" ht="15.75" thickBot="1">
      <c r="B124" s="1091"/>
      <c r="C124" s="1091"/>
      <c r="D124" s="1091"/>
      <c r="E124" s="1091"/>
      <c r="F124" s="1091"/>
      <c r="G124" s="1091"/>
      <c r="H124" s="1091"/>
      <c r="I124" s="1091"/>
      <c r="J124" s="1091"/>
      <c r="K124" s="1091"/>
      <c r="L124" s="1091"/>
      <c r="M124" s="1091"/>
      <c r="N124" s="1091"/>
      <c r="O124" s="1091"/>
      <c r="P124" s="1091"/>
      <c r="Q124" s="1091"/>
      <c r="R124" s="1091"/>
      <c r="S124" s="1091"/>
      <c r="T124" s="1091"/>
      <c r="U124" s="995"/>
      <c r="V124" s="1364"/>
      <c r="W124" s="1365"/>
      <c r="X124" s="1365"/>
      <c r="Y124" s="1365"/>
      <c r="Z124" s="1365"/>
    </row>
    <row r="125" spans="2:26" ht="15.75" thickBot="1">
      <c r="B125" s="1091"/>
      <c r="C125" s="1091"/>
      <c r="D125" s="1091"/>
      <c r="E125" s="1091"/>
      <c r="F125" s="1091"/>
      <c r="G125" s="1091"/>
      <c r="H125" s="1091"/>
      <c r="I125" s="1091"/>
      <c r="J125" s="1091"/>
      <c r="K125" s="1091"/>
      <c r="L125" s="1091"/>
      <c r="M125" s="1091"/>
      <c r="N125" s="1091"/>
      <c r="O125" s="1091"/>
      <c r="P125" s="1091"/>
      <c r="Q125" s="1091"/>
      <c r="R125" s="1091"/>
      <c r="S125" s="1091"/>
      <c r="T125" s="1091"/>
      <c r="U125" s="993"/>
      <c r="V125" s="1366"/>
      <c r="W125" s="1367"/>
      <c r="X125" s="1367"/>
      <c r="Y125" s="1367"/>
      <c r="Z125" s="1367"/>
    </row>
    <row r="126" spans="2:26" ht="15.75" thickBot="1">
      <c r="B126" s="1091"/>
      <c r="C126" s="1091"/>
      <c r="D126" s="1091"/>
      <c r="E126" s="1091"/>
      <c r="F126" s="1091"/>
      <c r="G126" s="1091"/>
      <c r="H126" s="1091"/>
      <c r="I126" s="1091"/>
      <c r="J126" s="1091"/>
      <c r="K126" s="1091"/>
      <c r="L126" s="1091"/>
      <c r="M126" s="1091"/>
      <c r="N126" s="1091"/>
      <c r="O126" s="1091"/>
      <c r="P126" s="1091"/>
      <c r="Q126" s="1091"/>
      <c r="R126" s="1091"/>
      <c r="S126" s="1091"/>
      <c r="T126" s="1091"/>
      <c r="U126" s="993"/>
      <c r="V126" s="1366"/>
      <c r="W126" s="1367"/>
      <c r="X126" s="1367"/>
      <c r="Y126" s="1367"/>
      <c r="Z126" s="1367"/>
    </row>
    <row r="127" spans="2:26" ht="15.75" thickBot="1">
      <c r="B127" s="1091"/>
      <c r="C127" s="1091"/>
      <c r="D127" s="1091"/>
      <c r="E127" s="1091"/>
      <c r="F127" s="1091"/>
      <c r="G127" s="1091"/>
      <c r="H127" s="1091"/>
      <c r="I127" s="1091"/>
      <c r="J127" s="1091"/>
      <c r="K127" s="1091"/>
      <c r="L127" s="1091"/>
      <c r="M127" s="1091"/>
      <c r="N127" s="1091"/>
      <c r="O127" s="1091"/>
      <c r="P127" s="1091"/>
      <c r="Q127" s="1091"/>
      <c r="R127" s="1091"/>
      <c r="S127" s="1091"/>
      <c r="T127" s="1091"/>
      <c r="U127" s="1357"/>
      <c r="V127" s="1364"/>
      <c r="W127" s="1365"/>
      <c r="X127" s="1365"/>
      <c r="Y127" s="1365"/>
      <c r="Z127" s="1365"/>
    </row>
    <row r="128" spans="2:26" ht="15.75" thickBot="1">
      <c r="B128" s="1091"/>
      <c r="C128" s="1091"/>
      <c r="D128" s="1091"/>
      <c r="E128" s="1091"/>
      <c r="F128" s="1091"/>
      <c r="G128" s="1091"/>
      <c r="H128" s="1091"/>
      <c r="I128" s="1091"/>
      <c r="J128" s="1091"/>
      <c r="K128" s="1091"/>
      <c r="L128" s="1091"/>
      <c r="M128" s="1091"/>
      <c r="N128" s="1091"/>
      <c r="O128" s="1091"/>
      <c r="P128" s="1091"/>
      <c r="Q128" s="1091"/>
      <c r="R128" s="1091"/>
      <c r="S128" s="1091"/>
      <c r="T128" s="1091"/>
      <c r="U128" s="996"/>
      <c r="V128" s="1368"/>
      <c r="W128" s="1369"/>
      <c r="X128" s="1369"/>
      <c r="Y128" s="1369"/>
      <c r="Z128" s="1369"/>
    </row>
    <row r="129" spans="2:26" ht="15">
      <c r="B129" s="1091"/>
      <c r="C129" s="1091"/>
      <c r="D129" s="1091"/>
      <c r="E129" s="1091"/>
      <c r="F129" s="1091"/>
      <c r="G129" s="1091"/>
      <c r="H129" s="1091"/>
      <c r="I129" s="1091"/>
      <c r="J129" s="1091"/>
      <c r="K129" s="1091"/>
      <c r="L129" s="1091"/>
      <c r="M129" s="1091"/>
      <c r="N129" s="1091"/>
      <c r="O129" s="1091"/>
      <c r="P129" s="1091"/>
      <c r="Q129" s="1091"/>
      <c r="R129" s="1091"/>
      <c r="S129" s="1091"/>
      <c r="T129" s="1091"/>
      <c r="U129" s="818"/>
      <c r="V129" s="997" t="s">
        <v>295</v>
      </c>
      <c r="W129" s="998"/>
      <c r="X129" s="998"/>
      <c r="Y129" s="998"/>
      <c r="Z129" s="998"/>
    </row>
    <row r="130" spans="2:26">
      <c r="B130" s="1091"/>
      <c r="C130" s="1091"/>
      <c r="D130" s="1091"/>
      <c r="E130" s="1091"/>
      <c r="F130" s="1091"/>
      <c r="G130" s="1091"/>
      <c r="H130" s="1091"/>
      <c r="I130" s="1091"/>
      <c r="J130" s="1091"/>
      <c r="K130" s="1091"/>
      <c r="L130" s="1091"/>
      <c r="M130" s="1091"/>
      <c r="N130" s="1091"/>
      <c r="O130" s="1091"/>
      <c r="P130" s="1091"/>
      <c r="Q130" s="1091"/>
      <c r="R130" s="1091"/>
      <c r="S130" s="1091"/>
      <c r="T130" s="1091"/>
      <c r="U130" s="818"/>
      <c r="V130" s="818"/>
      <c r="W130" s="818"/>
      <c r="X130" s="818"/>
      <c r="Y130" s="818"/>
      <c r="Z130" s="818"/>
    </row>
    <row r="131" spans="2:26">
      <c r="B131" s="1091"/>
      <c r="C131" s="1091"/>
      <c r="D131" s="1091"/>
      <c r="E131" s="1091"/>
      <c r="F131" s="1091"/>
      <c r="G131" s="1091"/>
      <c r="H131" s="1091"/>
      <c r="I131" s="1091"/>
      <c r="J131" s="1091"/>
      <c r="K131" s="1091"/>
      <c r="L131" s="1091"/>
      <c r="M131" s="1091"/>
      <c r="N131" s="1091"/>
      <c r="O131" s="1091"/>
      <c r="P131" s="1091"/>
      <c r="Q131" s="1091"/>
      <c r="R131" s="1091"/>
      <c r="S131" s="1091"/>
      <c r="T131" s="1091"/>
    </row>
    <row r="132" spans="2:26">
      <c r="B132" s="1091"/>
      <c r="C132" s="1091"/>
      <c r="D132" s="1091"/>
      <c r="E132" s="1091"/>
      <c r="F132" s="1091"/>
      <c r="G132" s="1091"/>
      <c r="H132" s="1091"/>
      <c r="I132" s="1091"/>
      <c r="J132" s="1091"/>
      <c r="K132" s="1091"/>
      <c r="L132" s="1091"/>
      <c r="M132" s="1091"/>
      <c r="N132" s="1091"/>
      <c r="O132" s="1091"/>
      <c r="P132" s="1091"/>
      <c r="Q132" s="1091"/>
      <c r="R132" s="1091"/>
      <c r="S132" s="1091"/>
      <c r="T132" s="1091"/>
    </row>
    <row r="133" spans="2:26">
      <c r="B133" s="1091"/>
      <c r="C133" s="1091"/>
      <c r="D133" s="1091"/>
      <c r="E133" s="1091"/>
      <c r="F133" s="1091"/>
      <c r="G133" s="1091"/>
      <c r="H133" s="1091"/>
      <c r="I133" s="1091"/>
      <c r="J133" s="1091"/>
      <c r="K133" s="1091"/>
      <c r="L133" s="1091"/>
      <c r="M133" s="1091"/>
      <c r="N133" s="1091"/>
      <c r="O133" s="1091"/>
      <c r="P133" s="1091"/>
      <c r="Q133" s="1091"/>
      <c r="R133" s="1091"/>
      <c r="S133" s="1091"/>
      <c r="T133" s="1091"/>
    </row>
    <row r="134" spans="2:26">
      <c r="B134" s="1091"/>
      <c r="C134" s="1091"/>
      <c r="D134" s="1091"/>
      <c r="E134" s="1091"/>
      <c r="F134" s="1091"/>
      <c r="G134" s="1091"/>
      <c r="H134" s="1091"/>
      <c r="I134" s="1091"/>
      <c r="J134" s="1091"/>
      <c r="K134" s="1091"/>
      <c r="L134" s="1091"/>
      <c r="M134" s="1091"/>
      <c r="N134" s="1091"/>
      <c r="O134" s="1091"/>
      <c r="P134" s="1091"/>
      <c r="Q134" s="1091"/>
      <c r="R134" s="1091"/>
      <c r="S134" s="1091"/>
      <c r="T134" s="1091"/>
    </row>
    <row r="135" spans="2:26">
      <c r="C135" s="1091"/>
      <c r="D135" s="1091"/>
      <c r="E135" s="1091"/>
      <c r="F135" s="1091"/>
      <c r="G135" s="1091"/>
      <c r="H135" s="1091"/>
      <c r="I135" s="1091"/>
      <c r="J135" s="1091"/>
      <c r="K135" s="1091"/>
      <c r="L135" s="1091"/>
      <c r="M135" s="1091"/>
      <c r="N135" s="1091"/>
      <c r="O135" s="1091"/>
      <c r="P135" s="1091"/>
      <c r="Q135" s="1091"/>
      <c r="R135" s="1091"/>
      <c r="S135" s="1091"/>
      <c r="T135" s="1091"/>
    </row>
  </sheetData>
  <mergeCells count="21">
    <mergeCell ref="A15:A20"/>
    <mergeCell ref="D1:E1"/>
    <mergeCell ref="G1:H1"/>
    <mergeCell ref="B86:K86"/>
    <mergeCell ref="C68:F68"/>
    <mergeCell ref="B67:K67"/>
    <mergeCell ref="D9:F9"/>
    <mergeCell ref="D10:F10"/>
    <mergeCell ref="C4:D5"/>
    <mergeCell ref="B14:K14"/>
    <mergeCell ref="B21:K21"/>
    <mergeCell ref="H85:I85"/>
    <mergeCell ref="M2:N2"/>
    <mergeCell ref="C70:F70"/>
    <mergeCell ref="C77:F77"/>
    <mergeCell ref="M7:N7"/>
    <mergeCell ref="M8:N8"/>
    <mergeCell ref="M3:N3"/>
    <mergeCell ref="M4:N4"/>
    <mergeCell ref="M5:N5"/>
    <mergeCell ref="M6:N6"/>
  </mergeCells>
  <conditionalFormatting sqref="E58">
    <cfRule type="expression" dxfId="9" priority="3">
      <formula>"$E$53&gt;($E$51+$E$43+$E$36)"</formula>
    </cfRule>
  </conditionalFormatting>
  <conditionalFormatting sqref="E53">
    <cfRule type="expression" dxfId="8" priority="2">
      <formula>"$E$53&gt;($E$51+$E$43+$E$36)"</formula>
    </cfRule>
  </conditionalFormatting>
  <conditionalFormatting sqref="F58">
    <cfRule type="expression" dxfId="7" priority="1">
      <formula>$E$58&gt;$E$53</formula>
    </cfRule>
  </conditionalFormatting>
  <dataValidations count="1">
    <dataValidation type="list" allowBlank="1" showInputMessage="1" showErrorMessage="1" sqref="D47:D50 D39:D42">
      <formula1>AFC</formula1>
    </dataValidation>
  </dataValidations>
  <pageMargins left="0.70866141732283472" right="0.70866141732283472" top="0.74803149606299213" bottom="0.74803149606299213" header="0.31496062992125984" footer="0.31496062992125984"/>
  <pageSetup paperSize="9" scale="39" orientation="portrait" r:id="rId1"/>
  <colBreaks count="1" manualBreakCount="1">
    <brk id="11" max="101"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staff_costs!$A$4:$A$21</xm:f>
          </x14:formula1>
          <xm:sqref>D29:D35</xm:sqref>
        </x14:dataValidation>
      </x14:dataValidations>
    </ex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4" tint="-0.249977111117893"/>
    <pageSetUpPr fitToPage="1"/>
  </sheetPr>
  <dimension ref="A1:BW136"/>
  <sheetViews>
    <sheetView showGridLines="0" topLeftCell="B1" zoomScale="80" zoomScaleNormal="80" zoomScaleSheetLayoutView="115" zoomScalePageLayoutView="75" workbookViewId="0">
      <pane ySplit="1" topLeftCell="A2" activePane="bottomLeft" state="frozen"/>
      <selection activeCell="C3" sqref="C3"/>
      <selection pane="bottomLeft" activeCell="H1" sqref="H1:I1"/>
    </sheetView>
  </sheetViews>
  <sheetFormatPr defaultColWidth="8.85546875" defaultRowHeight="14.25" outlineLevelCol="1"/>
  <cols>
    <col min="1" max="1" width="56.140625" style="38" hidden="1" customWidth="1" outlineLevel="1"/>
    <col min="2" max="2" width="15.7109375" style="38" customWidth="1" collapsed="1"/>
    <col min="3" max="3" width="45.7109375" style="38" customWidth="1"/>
    <col min="4" max="4" width="16.85546875" style="38" customWidth="1"/>
    <col min="5" max="10" width="15.7109375" style="38" customWidth="1"/>
    <col min="11" max="11" width="45.7109375" style="38" customWidth="1"/>
    <col min="12" max="12" width="18.140625" style="38" customWidth="1"/>
    <col min="13" max="13" width="18.42578125" style="38" customWidth="1"/>
    <col min="14" max="14" width="19.28515625" style="67" customWidth="1"/>
    <col min="15" max="15" width="20.42578125" style="38" bestFit="1" customWidth="1"/>
    <col min="16" max="16" width="14" style="38" bestFit="1" customWidth="1"/>
    <col min="17" max="17" width="9.42578125" style="38" bestFit="1" customWidth="1"/>
    <col min="18" max="18" width="10.7109375" style="38" bestFit="1" customWidth="1"/>
    <col min="19" max="19" width="12.42578125" style="38" bestFit="1" customWidth="1"/>
    <col min="20" max="21" width="34.7109375" style="38" customWidth="1"/>
    <col min="22" max="22" width="14.7109375" style="38" customWidth="1"/>
    <col min="23" max="23" width="17.7109375" style="38" customWidth="1"/>
    <col min="24" max="24" width="15.42578125" style="38" customWidth="1"/>
    <col min="25" max="256" width="8.85546875" style="38"/>
    <col min="257" max="257" width="0" style="38" hidden="1" customWidth="1"/>
    <col min="258" max="258" width="4.28515625" style="38" customWidth="1"/>
    <col min="259" max="259" width="48.140625" style="38" customWidth="1"/>
    <col min="260" max="260" width="9" style="38" customWidth="1"/>
    <col min="261" max="261" width="8.42578125" style="38" customWidth="1"/>
    <col min="262" max="262" width="15.42578125" style="38" customWidth="1"/>
    <col min="263" max="263" width="19.85546875" style="38" customWidth="1"/>
    <col min="264" max="265" width="19.42578125" style="38" customWidth="1"/>
    <col min="266" max="266" width="7.42578125" style="38" customWidth="1"/>
    <col min="267" max="267" width="32.42578125" style="38" customWidth="1"/>
    <col min="268" max="268" width="8.28515625" style="38" customWidth="1"/>
    <col min="269" max="269" width="29" style="38" customWidth="1"/>
    <col min="270" max="270" width="20.7109375" style="38" customWidth="1"/>
    <col min="271" max="273" width="8.85546875" style="38"/>
    <col min="274" max="274" width="3" style="38" customWidth="1"/>
    <col min="275" max="275" width="9.42578125" style="38" customWidth="1"/>
    <col min="276" max="277" width="34.7109375" style="38" customWidth="1"/>
    <col min="278" max="278" width="14.7109375" style="38" customWidth="1"/>
    <col min="279" max="279" width="17.7109375" style="38" customWidth="1"/>
    <col min="280" max="280" width="15.42578125" style="38" customWidth="1"/>
    <col min="281" max="512" width="8.85546875" style="38"/>
    <col min="513" max="513" width="0" style="38" hidden="1" customWidth="1"/>
    <col min="514" max="514" width="4.28515625" style="38" customWidth="1"/>
    <col min="515" max="515" width="48.140625" style="38" customWidth="1"/>
    <col min="516" max="516" width="9" style="38" customWidth="1"/>
    <col min="517" max="517" width="8.42578125" style="38" customWidth="1"/>
    <col min="518" max="518" width="15.42578125" style="38" customWidth="1"/>
    <col min="519" max="519" width="19.85546875" style="38" customWidth="1"/>
    <col min="520" max="521" width="19.42578125" style="38" customWidth="1"/>
    <col min="522" max="522" width="7.42578125" style="38" customWidth="1"/>
    <col min="523" max="523" width="32.42578125" style="38" customWidth="1"/>
    <col min="524" max="524" width="8.28515625" style="38" customWidth="1"/>
    <col min="525" max="525" width="29" style="38" customWidth="1"/>
    <col min="526" max="526" width="20.7109375" style="38" customWidth="1"/>
    <col min="527" max="529" width="8.85546875" style="38"/>
    <col min="530" max="530" width="3" style="38" customWidth="1"/>
    <col min="531" max="531" width="9.42578125" style="38" customWidth="1"/>
    <col min="532" max="533" width="34.7109375" style="38" customWidth="1"/>
    <col min="534" max="534" width="14.7109375" style="38" customWidth="1"/>
    <col min="535" max="535" width="17.7109375" style="38" customWidth="1"/>
    <col min="536" max="536" width="15.42578125" style="38" customWidth="1"/>
    <col min="537" max="768" width="8.85546875" style="38"/>
    <col min="769" max="769" width="0" style="38" hidden="1" customWidth="1"/>
    <col min="770" max="770" width="4.28515625" style="38" customWidth="1"/>
    <col min="771" max="771" width="48.140625" style="38" customWidth="1"/>
    <col min="772" max="772" width="9" style="38" customWidth="1"/>
    <col min="773" max="773" width="8.42578125" style="38" customWidth="1"/>
    <col min="774" max="774" width="15.42578125" style="38" customWidth="1"/>
    <col min="775" max="775" width="19.85546875" style="38" customWidth="1"/>
    <col min="776" max="777" width="19.42578125" style="38" customWidth="1"/>
    <col min="778" max="778" width="7.42578125" style="38" customWidth="1"/>
    <col min="779" max="779" width="32.42578125" style="38" customWidth="1"/>
    <col min="780" max="780" width="8.28515625" style="38" customWidth="1"/>
    <col min="781" max="781" width="29" style="38" customWidth="1"/>
    <col min="782" max="782" width="20.7109375" style="38" customWidth="1"/>
    <col min="783" max="785" width="8.85546875" style="38"/>
    <col min="786" max="786" width="3" style="38" customWidth="1"/>
    <col min="787" max="787" width="9.42578125" style="38" customWidth="1"/>
    <col min="788" max="789" width="34.7109375" style="38" customWidth="1"/>
    <col min="790" max="790" width="14.7109375" style="38" customWidth="1"/>
    <col min="791" max="791" width="17.7109375" style="38" customWidth="1"/>
    <col min="792" max="792" width="15.42578125" style="38" customWidth="1"/>
    <col min="793" max="1024" width="8.85546875" style="38"/>
    <col min="1025" max="1025" width="0" style="38" hidden="1" customWidth="1"/>
    <col min="1026" max="1026" width="4.28515625" style="38" customWidth="1"/>
    <col min="1027" max="1027" width="48.140625" style="38" customWidth="1"/>
    <col min="1028" max="1028" width="9" style="38" customWidth="1"/>
    <col min="1029" max="1029" width="8.42578125" style="38" customWidth="1"/>
    <col min="1030" max="1030" width="15.42578125" style="38" customWidth="1"/>
    <col min="1031" max="1031" width="19.85546875" style="38" customWidth="1"/>
    <col min="1032" max="1033" width="19.42578125" style="38" customWidth="1"/>
    <col min="1034" max="1034" width="7.42578125" style="38" customWidth="1"/>
    <col min="1035" max="1035" width="32.42578125" style="38" customWidth="1"/>
    <col min="1036" max="1036" width="8.28515625" style="38" customWidth="1"/>
    <col min="1037" max="1037" width="29" style="38" customWidth="1"/>
    <col min="1038" max="1038" width="20.7109375" style="38" customWidth="1"/>
    <col min="1039" max="1041" width="8.85546875" style="38"/>
    <col min="1042" max="1042" width="3" style="38" customWidth="1"/>
    <col min="1043" max="1043" width="9.42578125" style="38" customWidth="1"/>
    <col min="1044" max="1045" width="34.7109375" style="38" customWidth="1"/>
    <col min="1046" max="1046" width="14.7109375" style="38" customWidth="1"/>
    <col min="1047" max="1047" width="17.7109375" style="38" customWidth="1"/>
    <col min="1048" max="1048" width="15.42578125" style="38" customWidth="1"/>
    <col min="1049" max="1280" width="8.85546875" style="38"/>
    <col min="1281" max="1281" width="0" style="38" hidden="1" customWidth="1"/>
    <col min="1282" max="1282" width="4.28515625" style="38" customWidth="1"/>
    <col min="1283" max="1283" width="48.140625" style="38" customWidth="1"/>
    <col min="1284" max="1284" width="9" style="38" customWidth="1"/>
    <col min="1285" max="1285" width="8.42578125" style="38" customWidth="1"/>
    <col min="1286" max="1286" width="15.42578125" style="38" customWidth="1"/>
    <col min="1287" max="1287" width="19.85546875" style="38" customWidth="1"/>
    <col min="1288" max="1289" width="19.42578125" style="38" customWidth="1"/>
    <col min="1290" max="1290" width="7.42578125" style="38" customWidth="1"/>
    <col min="1291" max="1291" width="32.42578125" style="38" customWidth="1"/>
    <col min="1292" max="1292" width="8.28515625" style="38" customWidth="1"/>
    <col min="1293" max="1293" width="29" style="38" customWidth="1"/>
    <col min="1294" max="1294" width="20.7109375" style="38" customWidth="1"/>
    <col min="1295" max="1297" width="8.85546875" style="38"/>
    <col min="1298" max="1298" width="3" style="38" customWidth="1"/>
    <col min="1299" max="1299" width="9.42578125" style="38" customWidth="1"/>
    <col min="1300" max="1301" width="34.7109375" style="38" customWidth="1"/>
    <col min="1302" max="1302" width="14.7109375" style="38" customWidth="1"/>
    <col min="1303" max="1303" width="17.7109375" style="38" customWidth="1"/>
    <col min="1304" max="1304" width="15.42578125" style="38" customWidth="1"/>
    <col min="1305" max="1536" width="8.85546875" style="38"/>
    <col min="1537" max="1537" width="0" style="38" hidden="1" customWidth="1"/>
    <col min="1538" max="1538" width="4.28515625" style="38" customWidth="1"/>
    <col min="1539" max="1539" width="48.140625" style="38" customWidth="1"/>
    <col min="1540" max="1540" width="9" style="38" customWidth="1"/>
    <col min="1541" max="1541" width="8.42578125" style="38" customWidth="1"/>
    <col min="1542" max="1542" width="15.42578125" style="38" customWidth="1"/>
    <col min="1543" max="1543" width="19.85546875" style="38" customWidth="1"/>
    <col min="1544" max="1545" width="19.42578125" style="38" customWidth="1"/>
    <col min="1546" max="1546" width="7.42578125" style="38" customWidth="1"/>
    <col min="1547" max="1547" width="32.42578125" style="38" customWidth="1"/>
    <col min="1548" max="1548" width="8.28515625" style="38" customWidth="1"/>
    <col min="1549" max="1549" width="29" style="38" customWidth="1"/>
    <col min="1550" max="1550" width="20.7109375" style="38" customWidth="1"/>
    <col min="1551" max="1553" width="8.85546875" style="38"/>
    <col min="1554" max="1554" width="3" style="38" customWidth="1"/>
    <col min="1555" max="1555" width="9.42578125" style="38" customWidth="1"/>
    <col min="1556" max="1557" width="34.7109375" style="38" customWidth="1"/>
    <col min="1558" max="1558" width="14.7109375" style="38" customWidth="1"/>
    <col min="1559" max="1559" width="17.7109375" style="38" customWidth="1"/>
    <col min="1560" max="1560" width="15.42578125" style="38" customWidth="1"/>
    <col min="1561" max="1792" width="8.85546875" style="38"/>
    <col min="1793" max="1793" width="0" style="38" hidden="1" customWidth="1"/>
    <col min="1794" max="1794" width="4.28515625" style="38" customWidth="1"/>
    <col min="1795" max="1795" width="48.140625" style="38" customWidth="1"/>
    <col min="1796" max="1796" width="9" style="38" customWidth="1"/>
    <col min="1797" max="1797" width="8.42578125" style="38" customWidth="1"/>
    <col min="1798" max="1798" width="15.42578125" style="38" customWidth="1"/>
    <col min="1799" max="1799" width="19.85546875" style="38" customWidth="1"/>
    <col min="1800" max="1801" width="19.42578125" style="38" customWidth="1"/>
    <col min="1802" max="1802" width="7.42578125" style="38" customWidth="1"/>
    <col min="1803" max="1803" width="32.42578125" style="38" customWidth="1"/>
    <col min="1804" max="1804" width="8.28515625" style="38" customWidth="1"/>
    <col min="1805" max="1805" width="29" style="38" customWidth="1"/>
    <col min="1806" max="1806" width="20.7109375" style="38" customWidth="1"/>
    <col min="1807" max="1809" width="8.85546875" style="38"/>
    <col min="1810" max="1810" width="3" style="38" customWidth="1"/>
    <col min="1811" max="1811" width="9.42578125" style="38" customWidth="1"/>
    <col min="1812" max="1813" width="34.7109375" style="38" customWidth="1"/>
    <col min="1814" max="1814" width="14.7109375" style="38" customWidth="1"/>
    <col min="1815" max="1815" width="17.7109375" style="38" customWidth="1"/>
    <col min="1816" max="1816" width="15.42578125" style="38" customWidth="1"/>
    <col min="1817" max="2048" width="8.85546875" style="38"/>
    <col min="2049" max="2049" width="0" style="38" hidden="1" customWidth="1"/>
    <col min="2050" max="2050" width="4.28515625" style="38" customWidth="1"/>
    <col min="2051" max="2051" width="48.140625" style="38" customWidth="1"/>
    <col min="2052" max="2052" width="9" style="38" customWidth="1"/>
    <col min="2053" max="2053" width="8.42578125" style="38" customWidth="1"/>
    <col min="2054" max="2054" width="15.42578125" style="38" customWidth="1"/>
    <col min="2055" max="2055" width="19.85546875" style="38" customWidth="1"/>
    <col min="2056" max="2057" width="19.42578125" style="38" customWidth="1"/>
    <col min="2058" max="2058" width="7.42578125" style="38" customWidth="1"/>
    <col min="2059" max="2059" width="32.42578125" style="38" customWidth="1"/>
    <col min="2060" max="2060" width="8.28515625" style="38" customWidth="1"/>
    <col min="2061" max="2061" width="29" style="38" customWidth="1"/>
    <col min="2062" max="2062" width="20.7109375" style="38" customWidth="1"/>
    <col min="2063" max="2065" width="8.85546875" style="38"/>
    <col min="2066" max="2066" width="3" style="38" customWidth="1"/>
    <col min="2067" max="2067" width="9.42578125" style="38" customWidth="1"/>
    <col min="2068" max="2069" width="34.7109375" style="38" customWidth="1"/>
    <col min="2070" max="2070" width="14.7109375" style="38" customWidth="1"/>
    <col min="2071" max="2071" width="17.7109375" style="38" customWidth="1"/>
    <col min="2072" max="2072" width="15.42578125" style="38" customWidth="1"/>
    <col min="2073" max="2304" width="8.85546875" style="38"/>
    <col min="2305" max="2305" width="0" style="38" hidden="1" customWidth="1"/>
    <col min="2306" max="2306" width="4.28515625" style="38" customWidth="1"/>
    <col min="2307" max="2307" width="48.140625" style="38" customWidth="1"/>
    <col min="2308" max="2308" width="9" style="38" customWidth="1"/>
    <col min="2309" max="2309" width="8.42578125" style="38" customWidth="1"/>
    <col min="2310" max="2310" width="15.42578125" style="38" customWidth="1"/>
    <col min="2311" max="2311" width="19.85546875" style="38" customWidth="1"/>
    <col min="2312" max="2313" width="19.42578125" style="38" customWidth="1"/>
    <col min="2314" max="2314" width="7.42578125" style="38" customWidth="1"/>
    <col min="2315" max="2315" width="32.42578125" style="38" customWidth="1"/>
    <col min="2316" max="2316" width="8.28515625" style="38" customWidth="1"/>
    <col min="2317" max="2317" width="29" style="38" customWidth="1"/>
    <col min="2318" max="2318" width="20.7109375" style="38" customWidth="1"/>
    <col min="2319" max="2321" width="8.85546875" style="38"/>
    <col min="2322" max="2322" width="3" style="38" customWidth="1"/>
    <col min="2323" max="2323" width="9.42578125" style="38" customWidth="1"/>
    <col min="2324" max="2325" width="34.7109375" style="38" customWidth="1"/>
    <col min="2326" max="2326" width="14.7109375" style="38" customWidth="1"/>
    <col min="2327" max="2327" width="17.7109375" style="38" customWidth="1"/>
    <col min="2328" max="2328" width="15.42578125" style="38" customWidth="1"/>
    <col min="2329" max="2560" width="8.85546875" style="38"/>
    <col min="2561" max="2561" width="0" style="38" hidden="1" customWidth="1"/>
    <col min="2562" max="2562" width="4.28515625" style="38" customWidth="1"/>
    <col min="2563" max="2563" width="48.140625" style="38" customWidth="1"/>
    <col min="2564" max="2564" width="9" style="38" customWidth="1"/>
    <col min="2565" max="2565" width="8.42578125" style="38" customWidth="1"/>
    <col min="2566" max="2566" width="15.42578125" style="38" customWidth="1"/>
    <col min="2567" max="2567" width="19.85546875" style="38" customWidth="1"/>
    <col min="2568" max="2569" width="19.42578125" style="38" customWidth="1"/>
    <col min="2570" max="2570" width="7.42578125" style="38" customWidth="1"/>
    <col min="2571" max="2571" width="32.42578125" style="38" customWidth="1"/>
    <col min="2572" max="2572" width="8.28515625" style="38" customWidth="1"/>
    <col min="2573" max="2573" width="29" style="38" customWidth="1"/>
    <col min="2574" max="2574" width="20.7109375" style="38" customWidth="1"/>
    <col min="2575" max="2577" width="8.85546875" style="38"/>
    <col min="2578" max="2578" width="3" style="38" customWidth="1"/>
    <col min="2579" max="2579" width="9.42578125" style="38" customWidth="1"/>
    <col min="2580" max="2581" width="34.7109375" style="38" customWidth="1"/>
    <col min="2582" max="2582" width="14.7109375" style="38" customWidth="1"/>
    <col min="2583" max="2583" width="17.7109375" style="38" customWidth="1"/>
    <col min="2584" max="2584" width="15.42578125" style="38" customWidth="1"/>
    <col min="2585" max="2816" width="8.85546875" style="38"/>
    <col min="2817" max="2817" width="0" style="38" hidden="1" customWidth="1"/>
    <col min="2818" max="2818" width="4.28515625" style="38" customWidth="1"/>
    <col min="2819" max="2819" width="48.140625" style="38" customWidth="1"/>
    <col min="2820" max="2820" width="9" style="38" customWidth="1"/>
    <col min="2821" max="2821" width="8.42578125" style="38" customWidth="1"/>
    <col min="2822" max="2822" width="15.42578125" style="38" customWidth="1"/>
    <col min="2823" max="2823" width="19.85546875" style="38" customWidth="1"/>
    <col min="2824" max="2825" width="19.42578125" style="38" customWidth="1"/>
    <col min="2826" max="2826" width="7.42578125" style="38" customWidth="1"/>
    <col min="2827" max="2827" width="32.42578125" style="38" customWidth="1"/>
    <col min="2828" max="2828" width="8.28515625" style="38" customWidth="1"/>
    <col min="2829" max="2829" width="29" style="38" customWidth="1"/>
    <col min="2830" max="2830" width="20.7109375" style="38" customWidth="1"/>
    <col min="2831" max="2833" width="8.85546875" style="38"/>
    <col min="2834" max="2834" width="3" style="38" customWidth="1"/>
    <col min="2835" max="2835" width="9.42578125" style="38" customWidth="1"/>
    <col min="2836" max="2837" width="34.7109375" style="38" customWidth="1"/>
    <col min="2838" max="2838" width="14.7109375" style="38" customWidth="1"/>
    <col min="2839" max="2839" width="17.7109375" style="38" customWidth="1"/>
    <col min="2840" max="2840" width="15.42578125" style="38" customWidth="1"/>
    <col min="2841" max="3072" width="8.85546875" style="38"/>
    <col min="3073" max="3073" width="0" style="38" hidden="1" customWidth="1"/>
    <col min="3074" max="3074" width="4.28515625" style="38" customWidth="1"/>
    <col min="3075" max="3075" width="48.140625" style="38" customWidth="1"/>
    <col min="3076" max="3076" width="9" style="38" customWidth="1"/>
    <col min="3077" max="3077" width="8.42578125" style="38" customWidth="1"/>
    <col min="3078" max="3078" width="15.42578125" style="38" customWidth="1"/>
    <col min="3079" max="3079" width="19.85546875" style="38" customWidth="1"/>
    <col min="3080" max="3081" width="19.42578125" style="38" customWidth="1"/>
    <col min="3082" max="3082" width="7.42578125" style="38" customWidth="1"/>
    <col min="3083" max="3083" width="32.42578125" style="38" customWidth="1"/>
    <col min="3084" max="3084" width="8.28515625" style="38" customWidth="1"/>
    <col min="3085" max="3085" width="29" style="38" customWidth="1"/>
    <col min="3086" max="3086" width="20.7109375" style="38" customWidth="1"/>
    <col min="3087" max="3089" width="8.85546875" style="38"/>
    <col min="3090" max="3090" width="3" style="38" customWidth="1"/>
    <col min="3091" max="3091" width="9.42578125" style="38" customWidth="1"/>
    <col min="3092" max="3093" width="34.7109375" style="38" customWidth="1"/>
    <col min="3094" max="3094" width="14.7109375" style="38" customWidth="1"/>
    <col min="3095" max="3095" width="17.7109375" style="38" customWidth="1"/>
    <col min="3096" max="3096" width="15.42578125" style="38" customWidth="1"/>
    <col min="3097" max="3328" width="8.85546875" style="38"/>
    <col min="3329" max="3329" width="0" style="38" hidden="1" customWidth="1"/>
    <col min="3330" max="3330" width="4.28515625" style="38" customWidth="1"/>
    <col min="3331" max="3331" width="48.140625" style="38" customWidth="1"/>
    <col min="3332" max="3332" width="9" style="38" customWidth="1"/>
    <col min="3333" max="3333" width="8.42578125" style="38" customWidth="1"/>
    <col min="3334" max="3334" width="15.42578125" style="38" customWidth="1"/>
    <col min="3335" max="3335" width="19.85546875" style="38" customWidth="1"/>
    <col min="3336" max="3337" width="19.42578125" style="38" customWidth="1"/>
    <col min="3338" max="3338" width="7.42578125" style="38" customWidth="1"/>
    <col min="3339" max="3339" width="32.42578125" style="38" customWidth="1"/>
    <col min="3340" max="3340" width="8.28515625" style="38" customWidth="1"/>
    <col min="3341" max="3341" width="29" style="38" customWidth="1"/>
    <col min="3342" max="3342" width="20.7109375" style="38" customWidth="1"/>
    <col min="3343" max="3345" width="8.85546875" style="38"/>
    <col min="3346" max="3346" width="3" style="38" customWidth="1"/>
    <col min="3347" max="3347" width="9.42578125" style="38" customWidth="1"/>
    <col min="3348" max="3349" width="34.7109375" style="38" customWidth="1"/>
    <col min="3350" max="3350" width="14.7109375" style="38" customWidth="1"/>
    <col min="3351" max="3351" width="17.7109375" style="38" customWidth="1"/>
    <col min="3352" max="3352" width="15.42578125" style="38" customWidth="1"/>
    <col min="3353" max="3584" width="8.85546875" style="38"/>
    <col min="3585" max="3585" width="0" style="38" hidden="1" customWidth="1"/>
    <col min="3586" max="3586" width="4.28515625" style="38" customWidth="1"/>
    <col min="3587" max="3587" width="48.140625" style="38" customWidth="1"/>
    <col min="3588" max="3588" width="9" style="38" customWidth="1"/>
    <col min="3589" max="3589" width="8.42578125" style="38" customWidth="1"/>
    <col min="3590" max="3590" width="15.42578125" style="38" customWidth="1"/>
    <col min="3591" max="3591" width="19.85546875" style="38" customWidth="1"/>
    <col min="3592" max="3593" width="19.42578125" style="38" customWidth="1"/>
    <col min="3594" max="3594" width="7.42578125" style="38" customWidth="1"/>
    <col min="3595" max="3595" width="32.42578125" style="38" customWidth="1"/>
    <col min="3596" max="3596" width="8.28515625" style="38" customWidth="1"/>
    <col min="3597" max="3597" width="29" style="38" customWidth="1"/>
    <col min="3598" max="3598" width="20.7109375" style="38" customWidth="1"/>
    <col min="3599" max="3601" width="8.85546875" style="38"/>
    <col min="3602" max="3602" width="3" style="38" customWidth="1"/>
    <col min="3603" max="3603" width="9.42578125" style="38" customWidth="1"/>
    <col min="3604" max="3605" width="34.7109375" style="38" customWidth="1"/>
    <col min="3606" max="3606" width="14.7109375" style="38" customWidth="1"/>
    <col min="3607" max="3607" width="17.7109375" style="38" customWidth="1"/>
    <col min="3608" max="3608" width="15.42578125" style="38" customWidth="1"/>
    <col min="3609" max="3840" width="8.85546875" style="38"/>
    <col min="3841" max="3841" width="0" style="38" hidden="1" customWidth="1"/>
    <col min="3842" max="3842" width="4.28515625" style="38" customWidth="1"/>
    <col min="3843" max="3843" width="48.140625" style="38" customWidth="1"/>
    <col min="3844" max="3844" width="9" style="38" customWidth="1"/>
    <col min="3845" max="3845" width="8.42578125" style="38" customWidth="1"/>
    <col min="3846" max="3846" width="15.42578125" style="38" customWidth="1"/>
    <col min="3847" max="3847" width="19.85546875" style="38" customWidth="1"/>
    <col min="3848" max="3849" width="19.42578125" style="38" customWidth="1"/>
    <col min="3850" max="3850" width="7.42578125" style="38" customWidth="1"/>
    <col min="3851" max="3851" width="32.42578125" style="38" customWidth="1"/>
    <col min="3852" max="3852" width="8.28515625" style="38" customWidth="1"/>
    <col min="3853" max="3853" width="29" style="38" customWidth="1"/>
    <col min="3854" max="3854" width="20.7109375" style="38" customWidth="1"/>
    <col min="3855" max="3857" width="8.85546875" style="38"/>
    <col min="3858" max="3858" width="3" style="38" customWidth="1"/>
    <col min="3859" max="3859" width="9.42578125" style="38" customWidth="1"/>
    <col min="3860" max="3861" width="34.7109375" style="38" customWidth="1"/>
    <col min="3862" max="3862" width="14.7109375" style="38" customWidth="1"/>
    <col min="3863" max="3863" width="17.7109375" style="38" customWidth="1"/>
    <col min="3864" max="3864" width="15.42578125" style="38" customWidth="1"/>
    <col min="3865" max="4096" width="8.85546875" style="38"/>
    <col min="4097" max="4097" width="0" style="38" hidden="1" customWidth="1"/>
    <col min="4098" max="4098" width="4.28515625" style="38" customWidth="1"/>
    <col min="4099" max="4099" width="48.140625" style="38" customWidth="1"/>
    <col min="4100" max="4100" width="9" style="38" customWidth="1"/>
    <col min="4101" max="4101" width="8.42578125" style="38" customWidth="1"/>
    <col min="4102" max="4102" width="15.42578125" style="38" customWidth="1"/>
    <col min="4103" max="4103" width="19.85546875" style="38" customWidth="1"/>
    <col min="4104" max="4105" width="19.42578125" style="38" customWidth="1"/>
    <col min="4106" max="4106" width="7.42578125" style="38" customWidth="1"/>
    <col min="4107" max="4107" width="32.42578125" style="38" customWidth="1"/>
    <col min="4108" max="4108" width="8.28515625" style="38" customWidth="1"/>
    <col min="4109" max="4109" width="29" style="38" customWidth="1"/>
    <col min="4110" max="4110" width="20.7109375" style="38" customWidth="1"/>
    <col min="4111" max="4113" width="8.85546875" style="38"/>
    <col min="4114" max="4114" width="3" style="38" customWidth="1"/>
    <col min="4115" max="4115" width="9.42578125" style="38" customWidth="1"/>
    <col min="4116" max="4117" width="34.7109375" style="38" customWidth="1"/>
    <col min="4118" max="4118" width="14.7109375" style="38" customWidth="1"/>
    <col min="4119" max="4119" width="17.7109375" style="38" customWidth="1"/>
    <col min="4120" max="4120" width="15.42578125" style="38" customWidth="1"/>
    <col min="4121" max="4352" width="8.85546875" style="38"/>
    <col min="4353" max="4353" width="0" style="38" hidden="1" customWidth="1"/>
    <col min="4354" max="4354" width="4.28515625" style="38" customWidth="1"/>
    <col min="4355" max="4355" width="48.140625" style="38" customWidth="1"/>
    <col min="4356" max="4356" width="9" style="38" customWidth="1"/>
    <col min="4357" max="4357" width="8.42578125" style="38" customWidth="1"/>
    <col min="4358" max="4358" width="15.42578125" style="38" customWidth="1"/>
    <col min="4359" max="4359" width="19.85546875" style="38" customWidth="1"/>
    <col min="4360" max="4361" width="19.42578125" style="38" customWidth="1"/>
    <col min="4362" max="4362" width="7.42578125" style="38" customWidth="1"/>
    <col min="4363" max="4363" width="32.42578125" style="38" customWidth="1"/>
    <col min="4364" max="4364" width="8.28515625" style="38" customWidth="1"/>
    <col min="4365" max="4365" width="29" style="38" customWidth="1"/>
    <col min="4366" max="4366" width="20.7109375" style="38" customWidth="1"/>
    <col min="4367" max="4369" width="8.85546875" style="38"/>
    <col min="4370" max="4370" width="3" style="38" customWidth="1"/>
    <col min="4371" max="4371" width="9.42578125" style="38" customWidth="1"/>
    <col min="4372" max="4373" width="34.7109375" style="38" customWidth="1"/>
    <col min="4374" max="4374" width="14.7109375" style="38" customWidth="1"/>
    <col min="4375" max="4375" width="17.7109375" style="38" customWidth="1"/>
    <col min="4376" max="4376" width="15.42578125" style="38" customWidth="1"/>
    <col min="4377" max="4608" width="8.85546875" style="38"/>
    <col min="4609" max="4609" width="0" style="38" hidden="1" customWidth="1"/>
    <col min="4610" max="4610" width="4.28515625" style="38" customWidth="1"/>
    <col min="4611" max="4611" width="48.140625" style="38" customWidth="1"/>
    <col min="4612" max="4612" width="9" style="38" customWidth="1"/>
    <col min="4613" max="4613" width="8.42578125" style="38" customWidth="1"/>
    <col min="4614" max="4614" width="15.42578125" style="38" customWidth="1"/>
    <col min="4615" max="4615" width="19.85546875" style="38" customWidth="1"/>
    <col min="4616" max="4617" width="19.42578125" style="38" customWidth="1"/>
    <col min="4618" max="4618" width="7.42578125" style="38" customWidth="1"/>
    <col min="4619" max="4619" width="32.42578125" style="38" customWidth="1"/>
    <col min="4620" max="4620" width="8.28515625" style="38" customWidth="1"/>
    <col min="4621" max="4621" width="29" style="38" customWidth="1"/>
    <col min="4622" max="4622" width="20.7109375" style="38" customWidth="1"/>
    <col min="4623" max="4625" width="8.85546875" style="38"/>
    <col min="4626" max="4626" width="3" style="38" customWidth="1"/>
    <col min="4627" max="4627" width="9.42578125" style="38" customWidth="1"/>
    <col min="4628" max="4629" width="34.7109375" style="38" customWidth="1"/>
    <col min="4630" max="4630" width="14.7109375" style="38" customWidth="1"/>
    <col min="4631" max="4631" width="17.7109375" style="38" customWidth="1"/>
    <col min="4632" max="4632" width="15.42578125" style="38" customWidth="1"/>
    <col min="4633" max="4864" width="8.85546875" style="38"/>
    <col min="4865" max="4865" width="0" style="38" hidden="1" customWidth="1"/>
    <col min="4866" max="4866" width="4.28515625" style="38" customWidth="1"/>
    <col min="4867" max="4867" width="48.140625" style="38" customWidth="1"/>
    <col min="4868" max="4868" width="9" style="38" customWidth="1"/>
    <col min="4869" max="4869" width="8.42578125" style="38" customWidth="1"/>
    <col min="4870" max="4870" width="15.42578125" style="38" customWidth="1"/>
    <col min="4871" max="4871" width="19.85546875" style="38" customWidth="1"/>
    <col min="4872" max="4873" width="19.42578125" style="38" customWidth="1"/>
    <col min="4874" max="4874" width="7.42578125" style="38" customWidth="1"/>
    <col min="4875" max="4875" width="32.42578125" style="38" customWidth="1"/>
    <col min="4876" max="4876" width="8.28515625" style="38" customWidth="1"/>
    <col min="4877" max="4877" width="29" style="38" customWidth="1"/>
    <col min="4878" max="4878" width="20.7109375" style="38" customWidth="1"/>
    <col min="4879" max="4881" width="8.85546875" style="38"/>
    <col min="4882" max="4882" width="3" style="38" customWidth="1"/>
    <col min="4883" max="4883" width="9.42578125" style="38" customWidth="1"/>
    <col min="4884" max="4885" width="34.7109375" style="38" customWidth="1"/>
    <col min="4886" max="4886" width="14.7109375" style="38" customWidth="1"/>
    <col min="4887" max="4887" width="17.7109375" style="38" customWidth="1"/>
    <col min="4888" max="4888" width="15.42578125" style="38" customWidth="1"/>
    <col min="4889" max="5120" width="8.85546875" style="38"/>
    <col min="5121" max="5121" width="0" style="38" hidden="1" customWidth="1"/>
    <col min="5122" max="5122" width="4.28515625" style="38" customWidth="1"/>
    <col min="5123" max="5123" width="48.140625" style="38" customWidth="1"/>
    <col min="5124" max="5124" width="9" style="38" customWidth="1"/>
    <col min="5125" max="5125" width="8.42578125" style="38" customWidth="1"/>
    <col min="5126" max="5126" width="15.42578125" style="38" customWidth="1"/>
    <col min="5127" max="5127" width="19.85546875" style="38" customWidth="1"/>
    <col min="5128" max="5129" width="19.42578125" style="38" customWidth="1"/>
    <col min="5130" max="5130" width="7.42578125" style="38" customWidth="1"/>
    <col min="5131" max="5131" width="32.42578125" style="38" customWidth="1"/>
    <col min="5132" max="5132" width="8.28515625" style="38" customWidth="1"/>
    <col min="5133" max="5133" width="29" style="38" customWidth="1"/>
    <col min="5134" max="5134" width="20.7109375" style="38" customWidth="1"/>
    <col min="5135" max="5137" width="8.85546875" style="38"/>
    <col min="5138" max="5138" width="3" style="38" customWidth="1"/>
    <col min="5139" max="5139" width="9.42578125" style="38" customWidth="1"/>
    <col min="5140" max="5141" width="34.7109375" style="38" customWidth="1"/>
    <col min="5142" max="5142" width="14.7109375" style="38" customWidth="1"/>
    <col min="5143" max="5143" width="17.7109375" style="38" customWidth="1"/>
    <col min="5144" max="5144" width="15.42578125" style="38" customWidth="1"/>
    <col min="5145" max="5376" width="8.85546875" style="38"/>
    <col min="5377" max="5377" width="0" style="38" hidden="1" customWidth="1"/>
    <col min="5378" max="5378" width="4.28515625" style="38" customWidth="1"/>
    <col min="5379" max="5379" width="48.140625" style="38" customWidth="1"/>
    <col min="5380" max="5380" width="9" style="38" customWidth="1"/>
    <col min="5381" max="5381" width="8.42578125" style="38" customWidth="1"/>
    <col min="5382" max="5382" width="15.42578125" style="38" customWidth="1"/>
    <col min="5383" max="5383" width="19.85546875" style="38" customWidth="1"/>
    <col min="5384" max="5385" width="19.42578125" style="38" customWidth="1"/>
    <col min="5386" max="5386" width="7.42578125" style="38" customWidth="1"/>
    <col min="5387" max="5387" width="32.42578125" style="38" customWidth="1"/>
    <col min="5388" max="5388" width="8.28515625" style="38" customWidth="1"/>
    <col min="5389" max="5389" width="29" style="38" customWidth="1"/>
    <col min="5390" max="5390" width="20.7109375" style="38" customWidth="1"/>
    <col min="5391" max="5393" width="8.85546875" style="38"/>
    <col min="5394" max="5394" width="3" style="38" customWidth="1"/>
    <col min="5395" max="5395" width="9.42578125" style="38" customWidth="1"/>
    <col min="5396" max="5397" width="34.7109375" style="38" customWidth="1"/>
    <col min="5398" max="5398" width="14.7109375" style="38" customWidth="1"/>
    <col min="5399" max="5399" width="17.7109375" style="38" customWidth="1"/>
    <col min="5400" max="5400" width="15.42578125" style="38" customWidth="1"/>
    <col min="5401" max="5632" width="8.85546875" style="38"/>
    <col min="5633" max="5633" width="0" style="38" hidden="1" customWidth="1"/>
    <col min="5634" max="5634" width="4.28515625" style="38" customWidth="1"/>
    <col min="5635" max="5635" width="48.140625" style="38" customWidth="1"/>
    <col min="5636" max="5636" width="9" style="38" customWidth="1"/>
    <col min="5637" max="5637" width="8.42578125" style="38" customWidth="1"/>
    <col min="5638" max="5638" width="15.42578125" style="38" customWidth="1"/>
    <col min="5639" max="5639" width="19.85546875" style="38" customWidth="1"/>
    <col min="5640" max="5641" width="19.42578125" style="38" customWidth="1"/>
    <col min="5642" max="5642" width="7.42578125" style="38" customWidth="1"/>
    <col min="5643" max="5643" width="32.42578125" style="38" customWidth="1"/>
    <col min="5644" max="5644" width="8.28515625" style="38" customWidth="1"/>
    <col min="5645" max="5645" width="29" style="38" customWidth="1"/>
    <col min="5646" max="5646" width="20.7109375" style="38" customWidth="1"/>
    <col min="5647" max="5649" width="8.85546875" style="38"/>
    <col min="5650" max="5650" width="3" style="38" customWidth="1"/>
    <col min="5651" max="5651" width="9.42578125" style="38" customWidth="1"/>
    <col min="5652" max="5653" width="34.7109375" style="38" customWidth="1"/>
    <col min="5654" max="5654" width="14.7109375" style="38" customWidth="1"/>
    <col min="5655" max="5655" width="17.7109375" style="38" customWidth="1"/>
    <col min="5656" max="5656" width="15.42578125" style="38" customWidth="1"/>
    <col min="5657" max="5888" width="8.85546875" style="38"/>
    <col min="5889" max="5889" width="0" style="38" hidden="1" customWidth="1"/>
    <col min="5890" max="5890" width="4.28515625" style="38" customWidth="1"/>
    <col min="5891" max="5891" width="48.140625" style="38" customWidth="1"/>
    <col min="5892" max="5892" width="9" style="38" customWidth="1"/>
    <col min="5893" max="5893" width="8.42578125" style="38" customWidth="1"/>
    <col min="5894" max="5894" width="15.42578125" style="38" customWidth="1"/>
    <col min="5895" max="5895" width="19.85546875" style="38" customWidth="1"/>
    <col min="5896" max="5897" width="19.42578125" style="38" customWidth="1"/>
    <col min="5898" max="5898" width="7.42578125" style="38" customWidth="1"/>
    <col min="5899" max="5899" width="32.42578125" style="38" customWidth="1"/>
    <col min="5900" max="5900" width="8.28515625" style="38" customWidth="1"/>
    <col min="5901" max="5901" width="29" style="38" customWidth="1"/>
    <col min="5902" max="5902" width="20.7109375" style="38" customWidth="1"/>
    <col min="5903" max="5905" width="8.85546875" style="38"/>
    <col min="5906" max="5906" width="3" style="38" customWidth="1"/>
    <col min="5907" max="5907" width="9.42578125" style="38" customWidth="1"/>
    <col min="5908" max="5909" width="34.7109375" style="38" customWidth="1"/>
    <col min="5910" max="5910" width="14.7109375" style="38" customWidth="1"/>
    <col min="5911" max="5911" width="17.7109375" style="38" customWidth="1"/>
    <col min="5912" max="5912" width="15.42578125" style="38" customWidth="1"/>
    <col min="5913" max="6144" width="8.85546875" style="38"/>
    <col min="6145" max="6145" width="0" style="38" hidden="1" customWidth="1"/>
    <col min="6146" max="6146" width="4.28515625" style="38" customWidth="1"/>
    <col min="6147" max="6147" width="48.140625" style="38" customWidth="1"/>
    <col min="6148" max="6148" width="9" style="38" customWidth="1"/>
    <col min="6149" max="6149" width="8.42578125" style="38" customWidth="1"/>
    <col min="6150" max="6150" width="15.42578125" style="38" customWidth="1"/>
    <col min="6151" max="6151" width="19.85546875" style="38" customWidth="1"/>
    <col min="6152" max="6153" width="19.42578125" style="38" customWidth="1"/>
    <col min="6154" max="6154" width="7.42578125" style="38" customWidth="1"/>
    <col min="6155" max="6155" width="32.42578125" style="38" customWidth="1"/>
    <col min="6156" max="6156" width="8.28515625" style="38" customWidth="1"/>
    <col min="6157" max="6157" width="29" style="38" customWidth="1"/>
    <col min="6158" max="6158" width="20.7109375" style="38" customWidth="1"/>
    <col min="6159" max="6161" width="8.85546875" style="38"/>
    <col min="6162" max="6162" width="3" style="38" customWidth="1"/>
    <col min="6163" max="6163" width="9.42578125" style="38" customWidth="1"/>
    <col min="6164" max="6165" width="34.7109375" style="38" customWidth="1"/>
    <col min="6166" max="6166" width="14.7109375" style="38" customWidth="1"/>
    <col min="6167" max="6167" width="17.7109375" style="38" customWidth="1"/>
    <col min="6168" max="6168" width="15.42578125" style="38" customWidth="1"/>
    <col min="6169" max="6400" width="8.85546875" style="38"/>
    <col min="6401" max="6401" width="0" style="38" hidden="1" customWidth="1"/>
    <col min="6402" max="6402" width="4.28515625" style="38" customWidth="1"/>
    <col min="6403" max="6403" width="48.140625" style="38" customWidth="1"/>
    <col min="6404" max="6404" width="9" style="38" customWidth="1"/>
    <col min="6405" max="6405" width="8.42578125" style="38" customWidth="1"/>
    <col min="6406" max="6406" width="15.42578125" style="38" customWidth="1"/>
    <col min="6407" max="6407" width="19.85546875" style="38" customWidth="1"/>
    <col min="6408" max="6409" width="19.42578125" style="38" customWidth="1"/>
    <col min="6410" max="6410" width="7.42578125" style="38" customWidth="1"/>
    <col min="6411" max="6411" width="32.42578125" style="38" customWidth="1"/>
    <col min="6412" max="6412" width="8.28515625" style="38" customWidth="1"/>
    <col min="6413" max="6413" width="29" style="38" customWidth="1"/>
    <col min="6414" max="6414" width="20.7109375" style="38" customWidth="1"/>
    <col min="6415" max="6417" width="8.85546875" style="38"/>
    <col min="6418" max="6418" width="3" style="38" customWidth="1"/>
    <col min="6419" max="6419" width="9.42578125" style="38" customWidth="1"/>
    <col min="6420" max="6421" width="34.7109375" style="38" customWidth="1"/>
    <col min="6422" max="6422" width="14.7109375" style="38" customWidth="1"/>
    <col min="6423" max="6423" width="17.7109375" style="38" customWidth="1"/>
    <col min="6424" max="6424" width="15.42578125" style="38" customWidth="1"/>
    <col min="6425" max="6656" width="8.85546875" style="38"/>
    <col min="6657" max="6657" width="0" style="38" hidden="1" customWidth="1"/>
    <col min="6658" max="6658" width="4.28515625" style="38" customWidth="1"/>
    <col min="6659" max="6659" width="48.140625" style="38" customWidth="1"/>
    <col min="6660" max="6660" width="9" style="38" customWidth="1"/>
    <col min="6661" max="6661" width="8.42578125" style="38" customWidth="1"/>
    <col min="6662" max="6662" width="15.42578125" style="38" customWidth="1"/>
    <col min="6663" max="6663" width="19.85546875" style="38" customWidth="1"/>
    <col min="6664" max="6665" width="19.42578125" style="38" customWidth="1"/>
    <col min="6666" max="6666" width="7.42578125" style="38" customWidth="1"/>
    <col min="6667" max="6667" width="32.42578125" style="38" customWidth="1"/>
    <col min="6668" max="6668" width="8.28515625" style="38" customWidth="1"/>
    <col min="6669" max="6669" width="29" style="38" customWidth="1"/>
    <col min="6670" max="6670" width="20.7109375" style="38" customWidth="1"/>
    <col min="6671" max="6673" width="8.85546875" style="38"/>
    <col min="6674" max="6674" width="3" style="38" customWidth="1"/>
    <col min="6675" max="6675" width="9.42578125" style="38" customWidth="1"/>
    <col min="6676" max="6677" width="34.7109375" style="38" customWidth="1"/>
    <col min="6678" max="6678" width="14.7109375" style="38" customWidth="1"/>
    <col min="6679" max="6679" width="17.7109375" style="38" customWidth="1"/>
    <col min="6680" max="6680" width="15.42578125" style="38" customWidth="1"/>
    <col min="6681" max="6912" width="8.85546875" style="38"/>
    <col min="6913" max="6913" width="0" style="38" hidden="1" customWidth="1"/>
    <col min="6914" max="6914" width="4.28515625" style="38" customWidth="1"/>
    <col min="6915" max="6915" width="48.140625" style="38" customWidth="1"/>
    <col min="6916" max="6916" width="9" style="38" customWidth="1"/>
    <col min="6917" max="6917" width="8.42578125" style="38" customWidth="1"/>
    <col min="6918" max="6918" width="15.42578125" style="38" customWidth="1"/>
    <col min="6919" max="6919" width="19.85546875" style="38" customWidth="1"/>
    <col min="6920" max="6921" width="19.42578125" style="38" customWidth="1"/>
    <col min="6922" max="6922" width="7.42578125" style="38" customWidth="1"/>
    <col min="6923" max="6923" width="32.42578125" style="38" customWidth="1"/>
    <col min="6924" max="6924" width="8.28515625" style="38" customWidth="1"/>
    <col min="6925" max="6925" width="29" style="38" customWidth="1"/>
    <col min="6926" max="6926" width="20.7109375" style="38" customWidth="1"/>
    <col min="6927" max="6929" width="8.85546875" style="38"/>
    <col min="6930" max="6930" width="3" style="38" customWidth="1"/>
    <col min="6931" max="6931" width="9.42578125" style="38" customWidth="1"/>
    <col min="6932" max="6933" width="34.7109375" style="38" customWidth="1"/>
    <col min="6934" max="6934" width="14.7109375" style="38" customWidth="1"/>
    <col min="6935" max="6935" width="17.7109375" style="38" customWidth="1"/>
    <col min="6936" max="6936" width="15.42578125" style="38" customWidth="1"/>
    <col min="6937" max="7168" width="8.85546875" style="38"/>
    <col min="7169" max="7169" width="0" style="38" hidden="1" customWidth="1"/>
    <col min="7170" max="7170" width="4.28515625" style="38" customWidth="1"/>
    <col min="7171" max="7171" width="48.140625" style="38" customWidth="1"/>
    <col min="7172" max="7172" width="9" style="38" customWidth="1"/>
    <col min="7173" max="7173" width="8.42578125" style="38" customWidth="1"/>
    <col min="7174" max="7174" width="15.42578125" style="38" customWidth="1"/>
    <col min="7175" max="7175" width="19.85546875" style="38" customWidth="1"/>
    <col min="7176" max="7177" width="19.42578125" style="38" customWidth="1"/>
    <col min="7178" max="7178" width="7.42578125" style="38" customWidth="1"/>
    <col min="7179" max="7179" width="32.42578125" style="38" customWidth="1"/>
    <col min="7180" max="7180" width="8.28515625" style="38" customWidth="1"/>
    <col min="7181" max="7181" width="29" style="38" customWidth="1"/>
    <col min="7182" max="7182" width="20.7109375" style="38" customWidth="1"/>
    <col min="7183" max="7185" width="8.85546875" style="38"/>
    <col min="7186" max="7186" width="3" style="38" customWidth="1"/>
    <col min="7187" max="7187" width="9.42578125" style="38" customWidth="1"/>
    <col min="7188" max="7189" width="34.7109375" style="38" customWidth="1"/>
    <col min="7190" max="7190" width="14.7109375" style="38" customWidth="1"/>
    <col min="7191" max="7191" width="17.7109375" style="38" customWidth="1"/>
    <col min="7192" max="7192" width="15.42578125" style="38" customWidth="1"/>
    <col min="7193" max="7424" width="8.85546875" style="38"/>
    <col min="7425" max="7425" width="0" style="38" hidden="1" customWidth="1"/>
    <col min="7426" max="7426" width="4.28515625" style="38" customWidth="1"/>
    <col min="7427" max="7427" width="48.140625" style="38" customWidth="1"/>
    <col min="7428" max="7428" width="9" style="38" customWidth="1"/>
    <col min="7429" max="7429" width="8.42578125" style="38" customWidth="1"/>
    <col min="7430" max="7430" width="15.42578125" style="38" customWidth="1"/>
    <col min="7431" max="7431" width="19.85546875" style="38" customWidth="1"/>
    <col min="7432" max="7433" width="19.42578125" style="38" customWidth="1"/>
    <col min="7434" max="7434" width="7.42578125" style="38" customWidth="1"/>
    <col min="7435" max="7435" width="32.42578125" style="38" customWidth="1"/>
    <col min="7436" max="7436" width="8.28515625" style="38" customWidth="1"/>
    <col min="7437" max="7437" width="29" style="38" customWidth="1"/>
    <col min="7438" max="7438" width="20.7109375" style="38" customWidth="1"/>
    <col min="7439" max="7441" width="8.85546875" style="38"/>
    <col min="7442" max="7442" width="3" style="38" customWidth="1"/>
    <col min="7443" max="7443" width="9.42578125" style="38" customWidth="1"/>
    <col min="7444" max="7445" width="34.7109375" style="38" customWidth="1"/>
    <col min="7446" max="7446" width="14.7109375" style="38" customWidth="1"/>
    <col min="7447" max="7447" width="17.7109375" style="38" customWidth="1"/>
    <col min="7448" max="7448" width="15.42578125" style="38" customWidth="1"/>
    <col min="7449" max="7680" width="8.85546875" style="38"/>
    <col min="7681" max="7681" width="0" style="38" hidden="1" customWidth="1"/>
    <col min="7682" max="7682" width="4.28515625" style="38" customWidth="1"/>
    <col min="7683" max="7683" width="48.140625" style="38" customWidth="1"/>
    <col min="7684" max="7684" width="9" style="38" customWidth="1"/>
    <col min="7685" max="7685" width="8.42578125" style="38" customWidth="1"/>
    <col min="7686" max="7686" width="15.42578125" style="38" customWidth="1"/>
    <col min="7687" max="7687" width="19.85546875" style="38" customWidth="1"/>
    <col min="7688" max="7689" width="19.42578125" style="38" customWidth="1"/>
    <col min="7690" max="7690" width="7.42578125" style="38" customWidth="1"/>
    <col min="7691" max="7691" width="32.42578125" style="38" customWidth="1"/>
    <col min="7692" max="7692" width="8.28515625" style="38" customWidth="1"/>
    <col min="7693" max="7693" width="29" style="38" customWidth="1"/>
    <col min="7694" max="7694" width="20.7109375" style="38" customWidth="1"/>
    <col min="7695" max="7697" width="8.85546875" style="38"/>
    <col min="7698" max="7698" width="3" style="38" customWidth="1"/>
    <col min="7699" max="7699" width="9.42578125" style="38" customWidth="1"/>
    <col min="7700" max="7701" width="34.7109375" style="38" customWidth="1"/>
    <col min="7702" max="7702" width="14.7109375" style="38" customWidth="1"/>
    <col min="7703" max="7703" width="17.7109375" style="38" customWidth="1"/>
    <col min="7704" max="7704" width="15.42578125" style="38" customWidth="1"/>
    <col min="7705" max="7936" width="8.85546875" style="38"/>
    <col min="7937" max="7937" width="0" style="38" hidden="1" customWidth="1"/>
    <col min="7938" max="7938" width="4.28515625" style="38" customWidth="1"/>
    <col min="7939" max="7939" width="48.140625" style="38" customWidth="1"/>
    <col min="7940" max="7940" width="9" style="38" customWidth="1"/>
    <col min="7941" max="7941" width="8.42578125" style="38" customWidth="1"/>
    <col min="7942" max="7942" width="15.42578125" style="38" customWidth="1"/>
    <col min="7943" max="7943" width="19.85546875" style="38" customWidth="1"/>
    <col min="7944" max="7945" width="19.42578125" style="38" customWidth="1"/>
    <col min="7946" max="7946" width="7.42578125" style="38" customWidth="1"/>
    <col min="7947" max="7947" width="32.42578125" style="38" customWidth="1"/>
    <col min="7948" max="7948" width="8.28515625" style="38" customWidth="1"/>
    <col min="7949" max="7949" width="29" style="38" customWidth="1"/>
    <col min="7950" max="7950" width="20.7109375" style="38" customWidth="1"/>
    <col min="7951" max="7953" width="8.85546875" style="38"/>
    <col min="7954" max="7954" width="3" style="38" customWidth="1"/>
    <col min="7955" max="7955" width="9.42578125" style="38" customWidth="1"/>
    <col min="7956" max="7957" width="34.7109375" style="38" customWidth="1"/>
    <col min="7958" max="7958" width="14.7109375" style="38" customWidth="1"/>
    <col min="7959" max="7959" width="17.7109375" style="38" customWidth="1"/>
    <col min="7960" max="7960" width="15.42578125" style="38" customWidth="1"/>
    <col min="7961" max="8192" width="8.85546875" style="38"/>
    <col min="8193" max="8193" width="0" style="38" hidden="1" customWidth="1"/>
    <col min="8194" max="8194" width="4.28515625" style="38" customWidth="1"/>
    <col min="8195" max="8195" width="48.140625" style="38" customWidth="1"/>
    <col min="8196" max="8196" width="9" style="38" customWidth="1"/>
    <col min="8197" max="8197" width="8.42578125" style="38" customWidth="1"/>
    <col min="8198" max="8198" width="15.42578125" style="38" customWidth="1"/>
    <col min="8199" max="8199" width="19.85546875" style="38" customWidth="1"/>
    <col min="8200" max="8201" width="19.42578125" style="38" customWidth="1"/>
    <col min="8202" max="8202" width="7.42578125" style="38" customWidth="1"/>
    <col min="8203" max="8203" width="32.42578125" style="38" customWidth="1"/>
    <col min="8204" max="8204" width="8.28515625" style="38" customWidth="1"/>
    <col min="8205" max="8205" width="29" style="38" customWidth="1"/>
    <col min="8206" max="8206" width="20.7109375" style="38" customWidth="1"/>
    <col min="8207" max="8209" width="8.85546875" style="38"/>
    <col min="8210" max="8210" width="3" style="38" customWidth="1"/>
    <col min="8211" max="8211" width="9.42578125" style="38" customWidth="1"/>
    <col min="8212" max="8213" width="34.7109375" style="38" customWidth="1"/>
    <col min="8214" max="8214" width="14.7109375" style="38" customWidth="1"/>
    <col min="8215" max="8215" width="17.7109375" style="38" customWidth="1"/>
    <col min="8216" max="8216" width="15.42578125" style="38" customWidth="1"/>
    <col min="8217" max="8448" width="8.85546875" style="38"/>
    <col min="8449" max="8449" width="0" style="38" hidden="1" customWidth="1"/>
    <col min="8450" max="8450" width="4.28515625" style="38" customWidth="1"/>
    <col min="8451" max="8451" width="48.140625" style="38" customWidth="1"/>
    <col min="8452" max="8452" width="9" style="38" customWidth="1"/>
    <col min="8453" max="8453" width="8.42578125" style="38" customWidth="1"/>
    <col min="8454" max="8454" width="15.42578125" style="38" customWidth="1"/>
    <col min="8455" max="8455" width="19.85546875" style="38" customWidth="1"/>
    <col min="8456" max="8457" width="19.42578125" style="38" customWidth="1"/>
    <col min="8458" max="8458" width="7.42578125" style="38" customWidth="1"/>
    <col min="8459" max="8459" width="32.42578125" style="38" customWidth="1"/>
    <col min="8460" max="8460" width="8.28515625" style="38" customWidth="1"/>
    <col min="8461" max="8461" width="29" style="38" customWidth="1"/>
    <col min="8462" max="8462" width="20.7109375" style="38" customWidth="1"/>
    <col min="8463" max="8465" width="8.85546875" style="38"/>
    <col min="8466" max="8466" width="3" style="38" customWidth="1"/>
    <col min="8467" max="8467" width="9.42578125" style="38" customWidth="1"/>
    <col min="8468" max="8469" width="34.7109375" style="38" customWidth="1"/>
    <col min="8470" max="8470" width="14.7109375" style="38" customWidth="1"/>
    <col min="8471" max="8471" width="17.7109375" style="38" customWidth="1"/>
    <col min="8472" max="8472" width="15.42578125" style="38" customWidth="1"/>
    <col min="8473" max="8704" width="8.85546875" style="38"/>
    <col min="8705" max="8705" width="0" style="38" hidden="1" customWidth="1"/>
    <col min="8706" max="8706" width="4.28515625" style="38" customWidth="1"/>
    <col min="8707" max="8707" width="48.140625" style="38" customWidth="1"/>
    <col min="8708" max="8708" width="9" style="38" customWidth="1"/>
    <col min="8709" max="8709" width="8.42578125" style="38" customWidth="1"/>
    <col min="8710" max="8710" width="15.42578125" style="38" customWidth="1"/>
    <col min="8711" max="8711" width="19.85546875" style="38" customWidth="1"/>
    <col min="8712" max="8713" width="19.42578125" style="38" customWidth="1"/>
    <col min="8714" max="8714" width="7.42578125" style="38" customWidth="1"/>
    <col min="8715" max="8715" width="32.42578125" style="38" customWidth="1"/>
    <col min="8716" max="8716" width="8.28515625" style="38" customWidth="1"/>
    <col min="8717" max="8717" width="29" style="38" customWidth="1"/>
    <col min="8718" max="8718" width="20.7109375" style="38" customWidth="1"/>
    <col min="8719" max="8721" width="8.85546875" style="38"/>
    <col min="8722" max="8722" width="3" style="38" customWidth="1"/>
    <col min="8723" max="8723" width="9.42578125" style="38" customWidth="1"/>
    <col min="8724" max="8725" width="34.7109375" style="38" customWidth="1"/>
    <col min="8726" max="8726" width="14.7109375" style="38" customWidth="1"/>
    <col min="8727" max="8727" width="17.7109375" style="38" customWidth="1"/>
    <col min="8728" max="8728" width="15.42578125" style="38" customWidth="1"/>
    <col min="8729" max="8960" width="8.85546875" style="38"/>
    <col min="8961" max="8961" width="0" style="38" hidden="1" customWidth="1"/>
    <col min="8962" max="8962" width="4.28515625" style="38" customWidth="1"/>
    <col min="8963" max="8963" width="48.140625" style="38" customWidth="1"/>
    <col min="8964" max="8964" width="9" style="38" customWidth="1"/>
    <col min="8965" max="8965" width="8.42578125" style="38" customWidth="1"/>
    <col min="8966" max="8966" width="15.42578125" style="38" customWidth="1"/>
    <col min="8967" max="8967" width="19.85546875" style="38" customWidth="1"/>
    <col min="8968" max="8969" width="19.42578125" style="38" customWidth="1"/>
    <col min="8970" max="8970" width="7.42578125" style="38" customWidth="1"/>
    <col min="8971" max="8971" width="32.42578125" style="38" customWidth="1"/>
    <col min="8972" max="8972" width="8.28515625" style="38" customWidth="1"/>
    <col min="8973" max="8973" width="29" style="38" customWidth="1"/>
    <col min="8974" max="8974" width="20.7109375" style="38" customWidth="1"/>
    <col min="8975" max="8977" width="8.85546875" style="38"/>
    <col min="8978" max="8978" width="3" style="38" customWidth="1"/>
    <col min="8979" max="8979" width="9.42578125" style="38" customWidth="1"/>
    <col min="8980" max="8981" width="34.7109375" style="38" customWidth="1"/>
    <col min="8982" max="8982" width="14.7109375" style="38" customWidth="1"/>
    <col min="8983" max="8983" width="17.7109375" style="38" customWidth="1"/>
    <col min="8984" max="8984" width="15.42578125" style="38" customWidth="1"/>
    <col min="8985" max="9216" width="8.85546875" style="38"/>
    <col min="9217" max="9217" width="0" style="38" hidden="1" customWidth="1"/>
    <col min="9218" max="9218" width="4.28515625" style="38" customWidth="1"/>
    <col min="9219" max="9219" width="48.140625" style="38" customWidth="1"/>
    <col min="9220" max="9220" width="9" style="38" customWidth="1"/>
    <col min="9221" max="9221" width="8.42578125" style="38" customWidth="1"/>
    <col min="9222" max="9222" width="15.42578125" style="38" customWidth="1"/>
    <col min="9223" max="9223" width="19.85546875" style="38" customWidth="1"/>
    <col min="9224" max="9225" width="19.42578125" style="38" customWidth="1"/>
    <col min="9226" max="9226" width="7.42578125" style="38" customWidth="1"/>
    <col min="9227" max="9227" width="32.42578125" style="38" customWidth="1"/>
    <col min="9228" max="9228" width="8.28515625" style="38" customWidth="1"/>
    <col min="9229" max="9229" width="29" style="38" customWidth="1"/>
    <col min="9230" max="9230" width="20.7109375" style="38" customWidth="1"/>
    <col min="9231" max="9233" width="8.85546875" style="38"/>
    <col min="9234" max="9234" width="3" style="38" customWidth="1"/>
    <col min="9235" max="9235" width="9.42578125" style="38" customWidth="1"/>
    <col min="9236" max="9237" width="34.7109375" style="38" customWidth="1"/>
    <col min="9238" max="9238" width="14.7109375" style="38" customWidth="1"/>
    <col min="9239" max="9239" width="17.7109375" style="38" customWidth="1"/>
    <col min="9240" max="9240" width="15.42578125" style="38" customWidth="1"/>
    <col min="9241" max="9472" width="8.85546875" style="38"/>
    <col min="9473" max="9473" width="0" style="38" hidden="1" customWidth="1"/>
    <col min="9474" max="9474" width="4.28515625" style="38" customWidth="1"/>
    <col min="9475" max="9475" width="48.140625" style="38" customWidth="1"/>
    <col min="9476" max="9476" width="9" style="38" customWidth="1"/>
    <col min="9477" max="9477" width="8.42578125" style="38" customWidth="1"/>
    <col min="9478" max="9478" width="15.42578125" style="38" customWidth="1"/>
    <col min="9479" max="9479" width="19.85546875" style="38" customWidth="1"/>
    <col min="9480" max="9481" width="19.42578125" style="38" customWidth="1"/>
    <col min="9482" max="9482" width="7.42578125" style="38" customWidth="1"/>
    <col min="9483" max="9483" width="32.42578125" style="38" customWidth="1"/>
    <col min="9484" max="9484" width="8.28515625" style="38" customWidth="1"/>
    <col min="9485" max="9485" width="29" style="38" customWidth="1"/>
    <col min="9486" max="9486" width="20.7109375" style="38" customWidth="1"/>
    <col min="9487" max="9489" width="8.85546875" style="38"/>
    <col min="9490" max="9490" width="3" style="38" customWidth="1"/>
    <col min="9491" max="9491" width="9.42578125" style="38" customWidth="1"/>
    <col min="9492" max="9493" width="34.7109375" style="38" customWidth="1"/>
    <col min="9494" max="9494" width="14.7109375" style="38" customWidth="1"/>
    <col min="9495" max="9495" width="17.7109375" style="38" customWidth="1"/>
    <col min="9496" max="9496" width="15.42578125" style="38" customWidth="1"/>
    <col min="9497" max="9728" width="8.85546875" style="38"/>
    <col min="9729" max="9729" width="0" style="38" hidden="1" customWidth="1"/>
    <col min="9730" max="9730" width="4.28515625" style="38" customWidth="1"/>
    <col min="9731" max="9731" width="48.140625" style="38" customWidth="1"/>
    <col min="9732" max="9732" width="9" style="38" customWidth="1"/>
    <col min="9733" max="9733" width="8.42578125" style="38" customWidth="1"/>
    <col min="9734" max="9734" width="15.42578125" style="38" customWidth="1"/>
    <col min="9735" max="9735" width="19.85546875" style="38" customWidth="1"/>
    <col min="9736" max="9737" width="19.42578125" style="38" customWidth="1"/>
    <col min="9738" max="9738" width="7.42578125" style="38" customWidth="1"/>
    <col min="9739" max="9739" width="32.42578125" style="38" customWidth="1"/>
    <col min="9740" max="9740" width="8.28515625" style="38" customWidth="1"/>
    <col min="9741" max="9741" width="29" style="38" customWidth="1"/>
    <col min="9742" max="9742" width="20.7109375" style="38" customWidth="1"/>
    <col min="9743" max="9745" width="8.85546875" style="38"/>
    <col min="9746" max="9746" width="3" style="38" customWidth="1"/>
    <col min="9747" max="9747" width="9.42578125" style="38" customWidth="1"/>
    <col min="9748" max="9749" width="34.7109375" style="38" customWidth="1"/>
    <col min="9750" max="9750" width="14.7109375" style="38" customWidth="1"/>
    <col min="9751" max="9751" width="17.7109375" style="38" customWidth="1"/>
    <col min="9752" max="9752" width="15.42578125" style="38" customWidth="1"/>
    <col min="9753" max="9984" width="8.85546875" style="38"/>
    <col min="9985" max="9985" width="0" style="38" hidden="1" customWidth="1"/>
    <col min="9986" max="9986" width="4.28515625" style="38" customWidth="1"/>
    <col min="9987" max="9987" width="48.140625" style="38" customWidth="1"/>
    <col min="9988" max="9988" width="9" style="38" customWidth="1"/>
    <col min="9989" max="9989" width="8.42578125" style="38" customWidth="1"/>
    <col min="9990" max="9990" width="15.42578125" style="38" customWidth="1"/>
    <col min="9991" max="9991" width="19.85546875" style="38" customWidth="1"/>
    <col min="9992" max="9993" width="19.42578125" style="38" customWidth="1"/>
    <col min="9994" max="9994" width="7.42578125" style="38" customWidth="1"/>
    <col min="9995" max="9995" width="32.42578125" style="38" customWidth="1"/>
    <col min="9996" max="9996" width="8.28515625" style="38" customWidth="1"/>
    <col min="9997" max="9997" width="29" style="38" customWidth="1"/>
    <col min="9998" max="9998" width="20.7109375" style="38" customWidth="1"/>
    <col min="9999" max="10001" width="8.85546875" style="38"/>
    <col min="10002" max="10002" width="3" style="38" customWidth="1"/>
    <col min="10003" max="10003" width="9.42578125" style="38" customWidth="1"/>
    <col min="10004" max="10005" width="34.7109375" style="38" customWidth="1"/>
    <col min="10006" max="10006" width="14.7109375" style="38" customWidth="1"/>
    <col min="10007" max="10007" width="17.7109375" style="38" customWidth="1"/>
    <col min="10008" max="10008" width="15.42578125" style="38" customWidth="1"/>
    <col min="10009" max="10240" width="8.85546875" style="38"/>
    <col min="10241" max="10241" width="0" style="38" hidden="1" customWidth="1"/>
    <col min="10242" max="10242" width="4.28515625" style="38" customWidth="1"/>
    <col min="10243" max="10243" width="48.140625" style="38" customWidth="1"/>
    <col min="10244" max="10244" width="9" style="38" customWidth="1"/>
    <col min="10245" max="10245" width="8.42578125" style="38" customWidth="1"/>
    <col min="10246" max="10246" width="15.42578125" style="38" customWidth="1"/>
    <col min="10247" max="10247" width="19.85546875" style="38" customWidth="1"/>
    <col min="10248" max="10249" width="19.42578125" style="38" customWidth="1"/>
    <col min="10250" max="10250" width="7.42578125" style="38" customWidth="1"/>
    <col min="10251" max="10251" width="32.42578125" style="38" customWidth="1"/>
    <col min="10252" max="10252" width="8.28515625" style="38" customWidth="1"/>
    <col min="10253" max="10253" width="29" style="38" customWidth="1"/>
    <col min="10254" max="10254" width="20.7109375" style="38" customWidth="1"/>
    <col min="10255" max="10257" width="8.85546875" style="38"/>
    <col min="10258" max="10258" width="3" style="38" customWidth="1"/>
    <col min="10259" max="10259" width="9.42578125" style="38" customWidth="1"/>
    <col min="10260" max="10261" width="34.7109375" style="38" customWidth="1"/>
    <col min="10262" max="10262" width="14.7109375" style="38" customWidth="1"/>
    <col min="10263" max="10263" width="17.7109375" style="38" customWidth="1"/>
    <col min="10264" max="10264" width="15.42578125" style="38" customWidth="1"/>
    <col min="10265" max="10496" width="8.85546875" style="38"/>
    <col min="10497" max="10497" width="0" style="38" hidden="1" customWidth="1"/>
    <col min="10498" max="10498" width="4.28515625" style="38" customWidth="1"/>
    <col min="10499" max="10499" width="48.140625" style="38" customWidth="1"/>
    <col min="10500" max="10500" width="9" style="38" customWidth="1"/>
    <col min="10501" max="10501" width="8.42578125" style="38" customWidth="1"/>
    <col min="10502" max="10502" width="15.42578125" style="38" customWidth="1"/>
    <col min="10503" max="10503" width="19.85546875" style="38" customWidth="1"/>
    <col min="10504" max="10505" width="19.42578125" style="38" customWidth="1"/>
    <col min="10506" max="10506" width="7.42578125" style="38" customWidth="1"/>
    <col min="10507" max="10507" width="32.42578125" style="38" customWidth="1"/>
    <col min="10508" max="10508" width="8.28515625" style="38" customWidth="1"/>
    <col min="10509" max="10509" width="29" style="38" customWidth="1"/>
    <col min="10510" max="10510" width="20.7109375" style="38" customWidth="1"/>
    <col min="10511" max="10513" width="8.85546875" style="38"/>
    <col min="10514" max="10514" width="3" style="38" customWidth="1"/>
    <col min="10515" max="10515" width="9.42578125" style="38" customWidth="1"/>
    <col min="10516" max="10517" width="34.7109375" style="38" customWidth="1"/>
    <col min="10518" max="10518" width="14.7109375" style="38" customWidth="1"/>
    <col min="10519" max="10519" width="17.7109375" style="38" customWidth="1"/>
    <col min="10520" max="10520" width="15.42578125" style="38" customWidth="1"/>
    <col min="10521" max="10752" width="8.85546875" style="38"/>
    <col min="10753" max="10753" width="0" style="38" hidden="1" customWidth="1"/>
    <col min="10754" max="10754" width="4.28515625" style="38" customWidth="1"/>
    <col min="10755" max="10755" width="48.140625" style="38" customWidth="1"/>
    <col min="10756" max="10756" width="9" style="38" customWidth="1"/>
    <col min="10757" max="10757" width="8.42578125" style="38" customWidth="1"/>
    <col min="10758" max="10758" width="15.42578125" style="38" customWidth="1"/>
    <col min="10759" max="10759" width="19.85546875" style="38" customWidth="1"/>
    <col min="10760" max="10761" width="19.42578125" style="38" customWidth="1"/>
    <col min="10762" max="10762" width="7.42578125" style="38" customWidth="1"/>
    <col min="10763" max="10763" width="32.42578125" style="38" customWidth="1"/>
    <col min="10764" max="10764" width="8.28515625" style="38" customWidth="1"/>
    <col min="10765" max="10765" width="29" style="38" customWidth="1"/>
    <col min="10766" max="10766" width="20.7109375" style="38" customWidth="1"/>
    <col min="10767" max="10769" width="8.85546875" style="38"/>
    <col min="10770" max="10770" width="3" style="38" customWidth="1"/>
    <col min="10771" max="10771" width="9.42578125" style="38" customWidth="1"/>
    <col min="10772" max="10773" width="34.7109375" style="38" customWidth="1"/>
    <col min="10774" max="10774" width="14.7109375" style="38" customWidth="1"/>
    <col min="10775" max="10775" width="17.7109375" style="38" customWidth="1"/>
    <col min="10776" max="10776" width="15.42578125" style="38" customWidth="1"/>
    <col min="10777" max="11008" width="8.85546875" style="38"/>
    <col min="11009" max="11009" width="0" style="38" hidden="1" customWidth="1"/>
    <col min="11010" max="11010" width="4.28515625" style="38" customWidth="1"/>
    <col min="11011" max="11011" width="48.140625" style="38" customWidth="1"/>
    <col min="11012" max="11012" width="9" style="38" customWidth="1"/>
    <col min="11013" max="11013" width="8.42578125" style="38" customWidth="1"/>
    <col min="11014" max="11014" width="15.42578125" style="38" customWidth="1"/>
    <col min="11015" max="11015" width="19.85546875" style="38" customWidth="1"/>
    <col min="11016" max="11017" width="19.42578125" style="38" customWidth="1"/>
    <col min="11018" max="11018" width="7.42578125" style="38" customWidth="1"/>
    <col min="11019" max="11019" width="32.42578125" style="38" customWidth="1"/>
    <col min="11020" max="11020" width="8.28515625" style="38" customWidth="1"/>
    <col min="11021" max="11021" width="29" style="38" customWidth="1"/>
    <col min="11022" max="11022" width="20.7109375" style="38" customWidth="1"/>
    <col min="11023" max="11025" width="8.85546875" style="38"/>
    <col min="11026" max="11026" width="3" style="38" customWidth="1"/>
    <col min="11027" max="11027" width="9.42578125" style="38" customWidth="1"/>
    <col min="11028" max="11029" width="34.7109375" style="38" customWidth="1"/>
    <col min="11030" max="11030" width="14.7109375" style="38" customWidth="1"/>
    <col min="11031" max="11031" width="17.7109375" style="38" customWidth="1"/>
    <col min="11032" max="11032" width="15.42578125" style="38" customWidth="1"/>
    <col min="11033" max="11264" width="8.85546875" style="38"/>
    <col min="11265" max="11265" width="0" style="38" hidden="1" customWidth="1"/>
    <col min="11266" max="11266" width="4.28515625" style="38" customWidth="1"/>
    <col min="11267" max="11267" width="48.140625" style="38" customWidth="1"/>
    <col min="11268" max="11268" width="9" style="38" customWidth="1"/>
    <col min="11269" max="11269" width="8.42578125" style="38" customWidth="1"/>
    <col min="11270" max="11270" width="15.42578125" style="38" customWidth="1"/>
    <col min="11271" max="11271" width="19.85546875" style="38" customWidth="1"/>
    <col min="11272" max="11273" width="19.42578125" style="38" customWidth="1"/>
    <col min="11274" max="11274" width="7.42578125" style="38" customWidth="1"/>
    <col min="11275" max="11275" width="32.42578125" style="38" customWidth="1"/>
    <col min="11276" max="11276" width="8.28515625" style="38" customWidth="1"/>
    <col min="11277" max="11277" width="29" style="38" customWidth="1"/>
    <col min="11278" max="11278" width="20.7109375" style="38" customWidth="1"/>
    <col min="11279" max="11281" width="8.85546875" style="38"/>
    <col min="11282" max="11282" width="3" style="38" customWidth="1"/>
    <col min="11283" max="11283" width="9.42578125" style="38" customWidth="1"/>
    <col min="11284" max="11285" width="34.7109375" style="38" customWidth="1"/>
    <col min="11286" max="11286" width="14.7109375" style="38" customWidth="1"/>
    <col min="11287" max="11287" width="17.7109375" style="38" customWidth="1"/>
    <col min="11288" max="11288" width="15.42578125" style="38" customWidth="1"/>
    <col min="11289" max="11520" width="8.85546875" style="38"/>
    <col min="11521" max="11521" width="0" style="38" hidden="1" customWidth="1"/>
    <col min="11522" max="11522" width="4.28515625" style="38" customWidth="1"/>
    <col min="11523" max="11523" width="48.140625" style="38" customWidth="1"/>
    <col min="11524" max="11524" width="9" style="38" customWidth="1"/>
    <col min="11525" max="11525" width="8.42578125" style="38" customWidth="1"/>
    <col min="11526" max="11526" width="15.42578125" style="38" customWidth="1"/>
    <col min="11527" max="11527" width="19.85546875" style="38" customWidth="1"/>
    <col min="11528" max="11529" width="19.42578125" style="38" customWidth="1"/>
    <col min="11530" max="11530" width="7.42578125" style="38" customWidth="1"/>
    <col min="11531" max="11531" width="32.42578125" style="38" customWidth="1"/>
    <col min="11532" max="11532" width="8.28515625" style="38" customWidth="1"/>
    <col min="11533" max="11533" width="29" style="38" customWidth="1"/>
    <col min="11534" max="11534" width="20.7109375" style="38" customWidth="1"/>
    <col min="11535" max="11537" width="8.85546875" style="38"/>
    <col min="11538" max="11538" width="3" style="38" customWidth="1"/>
    <col min="11539" max="11539" width="9.42578125" style="38" customWidth="1"/>
    <col min="11540" max="11541" width="34.7109375" style="38" customWidth="1"/>
    <col min="11542" max="11542" width="14.7109375" style="38" customWidth="1"/>
    <col min="11543" max="11543" width="17.7109375" style="38" customWidth="1"/>
    <col min="11544" max="11544" width="15.42578125" style="38" customWidth="1"/>
    <col min="11545" max="11776" width="8.85546875" style="38"/>
    <col min="11777" max="11777" width="0" style="38" hidden="1" customWidth="1"/>
    <col min="11778" max="11778" width="4.28515625" style="38" customWidth="1"/>
    <col min="11779" max="11779" width="48.140625" style="38" customWidth="1"/>
    <col min="11780" max="11780" width="9" style="38" customWidth="1"/>
    <col min="11781" max="11781" width="8.42578125" style="38" customWidth="1"/>
    <col min="11782" max="11782" width="15.42578125" style="38" customWidth="1"/>
    <col min="11783" max="11783" width="19.85546875" style="38" customWidth="1"/>
    <col min="11784" max="11785" width="19.42578125" style="38" customWidth="1"/>
    <col min="11786" max="11786" width="7.42578125" style="38" customWidth="1"/>
    <col min="11787" max="11787" width="32.42578125" style="38" customWidth="1"/>
    <col min="11788" max="11788" width="8.28515625" style="38" customWidth="1"/>
    <col min="11789" max="11789" width="29" style="38" customWidth="1"/>
    <col min="11790" max="11790" width="20.7109375" style="38" customWidth="1"/>
    <col min="11791" max="11793" width="8.85546875" style="38"/>
    <col min="11794" max="11794" width="3" style="38" customWidth="1"/>
    <col min="11795" max="11795" width="9.42578125" style="38" customWidth="1"/>
    <col min="11796" max="11797" width="34.7109375" style="38" customWidth="1"/>
    <col min="11798" max="11798" width="14.7109375" style="38" customWidth="1"/>
    <col min="11799" max="11799" width="17.7109375" style="38" customWidth="1"/>
    <col min="11800" max="11800" width="15.42578125" style="38" customWidth="1"/>
    <col min="11801" max="12032" width="8.85546875" style="38"/>
    <col min="12033" max="12033" width="0" style="38" hidden="1" customWidth="1"/>
    <col min="12034" max="12034" width="4.28515625" style="38" customWidth="1"/>
    <col min="12035" max="12035" width="48.140625" style="38" customWidth="1"/>
    <col min="12036" max="12036" width="9" style="38" customWidth="1"/>
    <col min="12037" max="12037" width="8.42578125" style="38" customWidth="1"/>
    <col min="12038" max="12038" width="15.42578125" style="38" customWidth="1"/>
    <col min="12039" max="12039" width="19.85546875" style="38" customWidth="1"/>
    <col min="12040" max="12041" width="19.42578125" style="38" customWidth="1"/>
    <col min="12042" max="12042" width="7.42578125" style="38" customWidth="1"/>
    <col min="12043" max="12043" width="32.42578125" style="38" customWidth="1"/>
    <col min="12044" max="12044" width="8.28515625" style="38" customWidth="1"/>
    <col min="12045" max="12045" width="29" style="38" customWidth="1"/>
    <col min="12046" max="12046" width="20.7109375" style="38" customWidth="1"/>
    <col min="12047" max="12049" width="8.85546875" style="38"/>
    <col min="12050" max="12050" width="3" style="38" customWidth="1"/>
    <col min="12051" max="12051" width="9.42578125" style="38" customWidth="1"/>
    <col min="12052" max="12053" width="34.7109375" style="38" customWidth="1"/>
    <col min="12054" max="12054" width="14.7109375" style="38" customWidth="1"/>
    <col min="12055" max="12055" width="17.7109375" style="38" customWidth="1"/>
    <col min="12056" max="12056" width="15.42578125" style="38" customWidth="1"/>
    <col min="12057" max="12288" width="8.85546875" style="38"/>
    <col min="12289" max="12289" width="0" style="38" hidden="1" customWidth="1"/>
    <col min="12290" max="12290" width="4.28515625" style="38" customWidth="1"/>
    <col min="12291" max="12291" width="48.140625" style="38" customWidth="1"/>
    <col min="12292" max="12292" width="9" style="38" customWidth="1"/>
    <col min="12293" max="12293" width="8.42578125" style="38" customWidth="1"/>
    <col min="12294" max="12294" width="15.42578125" style="38" customWidth="1"/>
    <col min="12295" max="12295" width="19.85546875" style="38" customWidth="1"/>
    <col min="12296" max="12297" width="19.42578125" style="38" customWidth="1"/>
    <col min="12298" max="12298" width="7.42578125" style="38" customWidth="1"/>
    <col min="12299" max="12299" width="32.42578125" style="38" customWidth="1"/>
    <col min="12300" max="12300" width="8.28515625" style="38" customWidth="1"/>
    <col min="12301" max="12301" width="29" style="38" customWidth="1"/>
    <col min="12302" max="12302" width="20.7109375" style="38" customWidth="1"/>
    <col min="12303" max="12305" width="8.85546875" style="38"/>
    <col min="12306" max="12306" width="3" style="38" customWidth="1"/>
    <col min="12307" max="12307" width="9.42578125" style="38" customWidth="1"/>
    <col min="12308" max="12309" width="34.7109375" style="38" customWidth="1"/>
    <col min="12310" max="12310" width="14.7109375" style="38" customWidth="1"/>
    <col min="12311" max="12311" width="17.7109375" style="38" customWidth="1"/>
    <col min="12312" max="12312" width="15.42578125" style="38" customWidth="1"/>
    <col min="12313" max="12544" width="8.85546875" style="38"/>
    <col min="12545" max="12545" width="0" style="38" hidden="1" customWidth="1"/>
    <col min="12546" max="12546" width="4.28515625" style="38" customWidth="1"/>
    <col min="12547" max="12547" width="48.140625" style="38" customWidth="1"/>
    <col min="12548" max="12548" width="9" style="38" customWidth="1"/>
    <col min="12549" max="12549" width="8.42578125" style="38" customWidth="1"/>
    <col min="12550" max="12550" width="15.42578125" style="38" customWidth="1"/>
    <col min="12551" max="12551" width="19.85546875" style="38" customWidth="1"/>
    <col min="12552" max="12553" width="19.42578125" style="38" customWidth="1"/>
    <col min="12554" max="12554" width="7.42578125" style="38" customWidth="1"/>
    <col min="12555" max="12555" width="32.42578125" style="38" customWidth="1"/>
    <col min="12556" max="12556" width="8.28515625" style="38" customWidth="1"/>
    <col min="12557" max="12557" width="29" style="38" customWidth="1"/>
    <col min="12558" max="12558" width="20.7109375" style="38" customWidth="1"/>
    <col min="12559" max="12561" width="8.85546875" style="38"/>
    <col min="12562" max="12562" width="3" style="38" customWidth="1"/>
    <col min="12563" max="12563" width="9.42578125" style="38" customWidth="1"/>
    <col min="12564" max="12565" width="34.7109375" style="38" customWidth="1"/>
    <col min="12566" max="12566" width="14.7109375" style="38" customWidth="1"/>
    <col min="12567" max="12567" width="17.7109375" style="38" customWidth="1"/>
    <col min="12568" max="12568" width="15.42578125" style="38" customWidth="1"/>
    <col min="12569" max="12800" width="8.85546875" style="38"/>
    <col min="12801" max="12801" width="0" style="38" hidden="1" customWidth="1"/>
    <col min="12802" max="12802" width="4.28515625" style="38" customWidth="1"/>
    <col min="12803" max="12803" width="48.140625" style="38" customWidth="1"/>
    <col min="12804" max="12804" width="9" style="38" customWidth="1"/>
    <col min="12805" max="12805" width="8.42578125" style="38" customWidth="1"/>
    <col min="12806" max="12806" width="15.42578125" style="38" customWidth="1"/>
    <col min="12807" max="12807" width="19.85546875" style="38" customWidth="1"/>
    <col min="12808" max="12809" width="19.42578125" style="38" customWidth="1"/>
    <col min="12810" max="12810" width="7.42578125" style="38" customWidth="1"/>
    <col min="12811" max="12811" width="32.42578125" style="38" customWidth="1"/>
    <col min="12812" max="12812" width="8.28515625" style="38" customWidth="1"/>
    <col min="12813" max="12813" width="29" style="38" customWidth="1"/>
    <col min="12814" max="12814" width="20.7109375" style="38" customWidth="1"/>
    <col min="12815" max="12817" width="8.85546875" style="38"/>
    <col min="12818" max="12818" width="3" style="38" customWidth="1"/>
    <col min="12819" max="12819" width="9.42578125" style="38" customWidth="1"/>
    <col min="12820" max="12821" width="34.7109375" style="38" customWidth="1"/>
    <col min="12822" max="12822" width="14.7109375" style="38" customWidth="1"/>
    <col min="12823" max="12823" width="17.7109375" style="38" customWidth="1"/>
    <col min="12824" max="12824" width="15.42578125" style="38" customWidth="1"/>
    <col min="12825" max="13056" width="8.85546875" style="38"/>
    <col min="13057" max="13057" width="0" style="38" hidden="1" customWidth="1"/>
    <col min="13058" max="13058" width="4.28515625" style="38" customWidth="1"/>
    <col min="13059" max="13059" width="48.140625" style="38" customWidth="1"/>
    <col min="13060" max="13060" width="9" style="38" customWidth="1"/>
    <col min="13061" max="13061" width="8.42578125" style="38" customWidth="1"/>
    <col min="13062" max="13062" width="15.42578125" style="38" customWidth="1"/>
    <col min="13063" max="13063" width="19.85546875" style="38" customWidth="1"/>
    <col min="13064" max="13065" width="19.42578125" style="38" customWidth="1"/>
    <col min="13066" max="13066" width="7.42578125" style="38" customWidth="1"/>
    <col min="13067" max="13067" width="32.42578125" style="38" customWidth="1"/>
    <col min="13068" max="13068" width="8.28515625" style="38" customWidth="1"/>
    <col min="13069" max="13069" width="29" style="38" customWidth="1"/>
    <col min="13070" max="13070" width="20.7109375" style="38" customWidth="1"/>
    <col min="13071" max="13073" width="8.85546875" style="38"/>
    <col min="13074" max="13074" width="3" style="38" customWidth="1"/>
    <col min="13075" max="13075" width="9.42578125" style="38" customWidth="1"/>
    <col min="13076" max="13077" width="34.7109375" style="38" customWidth="1"/>
    <col min="13078" max="13078" width="14.7109375" style="38" customWidth="1"/>
    <col min="13079" max="13079" width="17.7109375" style="38" customWidth="1"/>
    <col min="13080" max="13080" width="15.42578125" style="38" customWidth="1"/>
    <col min="13081" max="13312" width="8.85546875" style="38"/>
    <col min="13313" max="13313" width="0" style="38" hidden="1" customWidth="1"/>
    <col min="13314" max="13314" width="4.28515625" style="38" customWidth="1"/>
    <col min="13315" max="13315" width="48.140625" style="38" customWidth="1"/>
    <col min="13316" max="13316" width="9" style="38" customWidth="1"/>
    <col min="13317" max="13317" width="8.42578125" style="38" customWidth="1"/>
    <col min="13318" max="13318" width="15.42578125" style="38" customWidth="1"/>
    <col min="13319" max="13319" width="19.85546875" style="38" customWidth="1"/>
    <col min="13320" max="13321" width="19.42578125" style="38" customWidth="1"/>
    <col min="13322" max="13322" width="7.42578125" style="38" customWidth="1"/>
    <col min="13323" max="13323" width="32.42578125" style="38" customWidth="1"/>
    <col min="13324" max="13324" width="8.28515625" style="38" customWidth="1"/>
    <col min="13325" max="13325" width="29" style="38" customWidth="1"/>
    <col min="13326" max="13326" width="20.7109375" style="38" customWidth="1"/>
    <col min="13327" max="13329" width="8.85546875" style="38"/>
    <col min="13330" max="13330" width="3" style="38" customWidth="1"/>
    <col min="13331" max="13331" width="9.42578125" style="38" customWidth="1"/>
    <col min="13332" max="13333" width="34.7109375" style="38" customWidth="1"/>
    <col min="13334" max="13334" width="14.7109375" style="38" customWidth="1"/>
    <col min="13335" max="13335" width="17.7109375" style="38" customWidth="1"/>
    <col min="13336" max="13336" width="15.42578125" style="38" customWidth="1"/>
    <col min="13337" max="13568" width="8.85546875" style="38"/>
    <col min="13569" max="13569" width="0" style="38" hidden="1" customWidth="1"/>
    <col min="13570" max="13570" width="4.28515625" style="38" customWidth="1"/>
    <col min="13571" max="13571" width="48.140625" style="38" customWidth="1"/>
    <col min="13572" max="13572" width="9" style="38" customWidth="1"/>
    <col min="13573" max="13573" width="8.42578125" style="38" customWidth="1"/>
    <col min="13574" max="13574" width="15.42578125" style="38" customWidth="1"/>
    <col min="13575" max="13575" width="19.85546875" style="38" customWidth="1"/>
    <col min="13576" max="13577" width="19.42578125" style="38" customWidth="1"/>
    <col min="13578" max="13578" width="7.42578125" style="38" customWidth="1"/>
    <col min="13579" max="13579" width="32.42578125" style="38" customWidth="1"/>
    <col min="13580" max="13580" width="8.28515625" style="38" customWidth="1"/>
    <col min="13581" max="13581" width="29" style="38" customWidth="1"/>
    <col min="13582" max="13582" width="20.7109375" style="38" customWidth="1"/>
    <col min="13583" max="13585" width="8.85546875" style="38"/>
    <col min="13586" max="13586" width="3" style="38" customWidth="1"/>
    <col min="13587" max="13587" width="9.42578125" style="38" customWidth="1"/>
    <col min="13588" max="13589" width="34.7109375" style="38" customWidth="1"/>
    <col min="13590" max="13590" width="14.7109375" style="38" customWidth="1"/>
    <col min="13591" max="13591" width="17.7109375" style="38" customWidth="1"/>
    <col min="13592" max="13592" width="15.42578125" style="38" customWidth="1"/>
    <col min="13593" max="13824" width="8.85546875" style="38"/>
    <col min="13825" max="13825" width="0" style="38" hidden="1" customWidth="1"/>
    <col min="13826" max="13826" width="4.28515625" style="38" customWidth="1"/>
    <col min="13827" max="13827" width="48.140625" style="38" customWidth="1"/>
    <col min="13828" max="13828" width="9" style="38" customWidth="1"/>
    <col min="13829" max="13829" width="8.42578125" style="38" customWidth="1"/>
    <col min="13830" max="13830" width="15.42578125" style="38" customWidth="1"/>
    <col min="13831" max="13831" width="19.85546875" style="38" customWidth="1"/>
    <col min="13832" max="13833" width="19.42578125" style="38" customWidth="1"/>
    <col min="13834" max="13834" width="7.42578125" style="38" customWidth="1"/>
    <col min="13835" max="13835" width="32.42578125" style="38" customWidth="1"/>
    <col min="13836" max="13836" width="8.28515625" style="38" customWidth="1"/>
    <col min="13837" max="13837" width="29" style="38" customWidth="1"/>
    <col min="13838" max="13838" width="20.7109375" style="38" customWidth="1"/>
    <col min="13839" max="13841" width="8.85546875" style="38"/>
    <col min="13842" max="13842" width="3" style="38" customWidth="1"/>
    <col min="13843" max="13843" width="9.42578125" style="38" customWidth="1"/>
    <col min="13844" max="13845" width="34.7109375" style="38" customWidth="1"/>
    <col min="13846" max="13846" width="14.7109375" style="38" customWidth="1"/>
    <col min="13847" max="13847" width="17.7109375" style="38" customWidth="1"/>
    <col min="13848" max="13848" width="15.42578125" style="38" customWidth="1"/>
    <col min="13849" max="14080" width="8.85546875" style="38"/>
    <col min="14081" max="14081" width="0" style="38" hidden="1" customWidth="1"/>
    <col min="14082" max="14082" width="4.28515625" style="38" customWidth="1"/>
    <col min="14083" max="14083" width="48.140625" style="38" customWidth="1"/>
    <col min="14084" max="14084" width="9" style="38" customWidth="1"/>
    <col min="14085" max="14085" width="8.42578125" style="38" customWidth="1"/>
    <col min="14086" max="14086" width="15.42578125" style="38" customWidth="1"/>
    <col min="14087" max="14087" width="19.85546875" style="38" customWidth="1"/>
    <col min="14088" max="14089" width="19.42578125" style="38" customWidth="1"/>
    <col min="14090" max="14090" width="7.42578125" style="38" customWidth="1"/>
    <col min="14091" max="14091" width="32.42578125" style="38" customWidth="1"/>
    <col min="14092" max="14092" width="8.28515625" style="38" customWidth="1"/>
    <col min="14093" max="14093" width="29" style="38" customWidth="1"/>
    <col min="14094" max="14094" width="20.7109375" style="38" customWidth="1"/>
    <col min="14095" max="14097" width="8.85546875" style="38"/>
    <col min="14098" max="14098" width="3" style="38" customWidth="1"/>
    <col min="14099" max="14099" width="9.42578125" style="38" customWidth="1"/>
    <col min="14100" max="14101" width="34.7109375" style="38" customWidth="1"/>
    <col min="14102" max="14102" width="14.7109375" style="38" customWidth="1"/>
    <col min="14103" max="14103" width="17.7109375" style="38" customWidth="1"/>
    <col min="14104" max="14104" width="15.42578125" style="38" customWidth="1"/>
    <col min="14105" max="14336" width="8.85546875" style="38"/>
    <col min="14337" max="14337" width="0" style="38" hidden="1" customWidth="1"/>
    <col min="14338" max="14338" width="4.28515625" style="38" customWidth="1"/>
    <col min="14339" max="14339" width="48.140625" style="38" customWidth="1"/>
    <col min="14340" max="14340" width="9" style="38" customWidth="1"/>
    <col min="14341" max="14341" width="8.42578125" style="38" customWidth="1"/>
    <col min="14342" max="14342" width="15.42578125" style="38" customWidth="1"/>
    <col min="14343" max="14343" width="19.85546875" style="38" customWidth="1"/>
    <col min="14344" max="14345" width="19.42578125" style="38" customWidth="1"/>
    <col min="14346" max="14346" width="7.42578125" style="38" customWidth="1"/>
    <col min="14347" max="14347" width="32.42578125" style="38" customWidth="1"/>
    <col min="14348" max="14348" width="8.28515625" style="38" customWidth="1"/>
    <col min="14349" max="14349" width="29" style="38" customWidth="1"/>
    <col min="14350" max="14350" width="20.7109375" style="38" customWidth="1"/>
    <col min="14351" max="14353" width="8.85546875" style="38"/>
    <col min="14354" max="14354" width="3" style="38" customWidth="1"/>
    <col min="14355" max="14355" width="9.42578125" style="38" customWidth="1"/>
    <col min="14356" max="14357" width="34.7109375" style="38" customWidth="1"/>
    <col min="14358" max="14358" width="14.7109375" style="38" customWidth="1"/>
    <col min="14359" max="14359" width="17.7109375" style="38" customWidth="1"/>
    <col min="14360" max="14360" width="15.42578125" style="38" customWidth="1"/>
    <col min="14361" max="14592" width="8.85546875" style="38"/>
    <col min="14593" max="14593" width="0" style="38" hidden="1" customWidth="1"/>
    <col min="14594" max="14594" width="4.28515625" style="38" customWidth="1"/>
    <col min="14595" max="14595" width="48.140625" style="38" customWidth="1"/>
    <col min="14596" max="14596" width="9" style="38" customWidth="1"/>
    <col min="14597" max="14597" width="8.42578125" style="38" customWidth="1"/>
    <col min="14598" max="14598" width="15.42578125" style="38" customWidth="1"/>
    <col min="14599" max="14599" width="19.85546875" style="38" customWidth="1"/>
    <col min="14600" max="14601" width="19.42578125" style="38" customWidth="1"/>
    <col min="14602" max="14602" width="7.42578125" style="38" customWidth="1"/>
    <col min="14603" max="14603" width="32.42578125" style="38" customWidth="1"/>
    <col min="14604" max="14604" width="8.28515625" style="38" customWidth="1"/>
    <col min="14605" max="14605" width="29" style="38" customWidth="1"/>
    <col min="14606" max="14606" width="20.7109375" style="38" customWidth="1"/>
    <col min="14607" max="14609" width="8.85546875" style="38"/>
    <col min="14610" max="14610" width="3" style="38" customWidth="1"/>
    <col min="14611" max="14611" width="9.42578125" style="38" customWidth="1"/>
    <col min="14612" max="14613" width="34.7109375" style="38" customWidth="1"/>
    <col min="14614" max="14614" width="14.7109375" style="38" customWidth="1"/>
    <col min="14615" max="14615" width="17.7109375" style="38" customWidth="1"/>
    <col min="14616" max="14616" width="15.42578125" style="38" customWidth="1"/>
    <col min="14617" max="14848" width="8.85546875" style="38"/>
    <col min="14849" max="14849" width="0" style="38" hidden="1" customWidth="1"/>
    <col min="14850" max="14850" width="4.28515625" style="38" customWidth="1"/>
    <col min="14851" max="14851" width="48.140625" style="38" customWidth="1"/>
    <col min="14852" max="14852" width="9" style="38" customWidth="1"/>
    <col min="14853" max="14853" width="8.42578125" style="38" customWidth="1"/>
    <col min="14854" max="14854" width="15.42578125" style="38" customWidth="1"/>
    <col min="14855" max="14855" width="19.85546875" style="38" customWidth="1"/>
    <col min="14856" max="14857" width="19.42578125" style="38" customWidth="1"/>
    <col min="14858" max="14858" width="7.42578125" style="38" customWidth="1"/>
    <col min="14859" max="14859" width="32.42578125" style="38" customWidth="1"/>
    <col min="14860" max="14860" width="8.28515625" style="38" customWidth="1"/>
    <col min="14861" max="14861" width="29" style="38" customWidth="1"/>
    <col min="14862" max="14862" width="20.7109375" style="38" customWidth="1"/>
    <col min="14863" max="14865" width="8.85546875" style="38"/>
    <col min="14866" max="14866" width="3" style="38" customWidth="1"/>
    <col min="14867" max="14867" width="9.42578125" style="38" customWidth="1"/>
    <col min="14868" max="14869" width="34.7109375" style="38" customWidth="1"/>
    <col min="14870" max="14870" width="14.7109375" style="38" customWidth="1"/>
    <col min="14871" max="14871" width="17.7109375" style="38" customWidth="1"/>
    <col min="14872" max="14872" width="15.42578125" style="38" customWidth="1"/>
    <col min="14873" max="15104" width="8.85546875" style="38"/>
    <col min="15105" max="15105" width="0" style="38" hidden="1" customWidth="1"/>
    <col min="15106" max="15106" width="4.28515625" style="38" customWidth="1"/>
    <col min="15107" max="15107" width="48.140625" style="38" customWidth="1"/>
    <col min="15108" max="15108" width="9" style="38" customWidth="1"/>
    <col min="15109" max="15109" width="8.42578125" style="38" customWidth="1"/>
    <col min="15110" max="15110" width="15.42578125" style="38" customWidth="1"/>
    <col min="15111" max="15111" width="19.85546875" style="38" customWidth="1"/>
    <col min="15112" max="15113" width="19.42578125" style="38" customWidth="1"/>
    <col min="15114" max="15114" width="7.42578125" style="38" customWidth="1"/>
    <col min="15115" max="15115" width="32.42578125" style="38" customWidth="1"/>
    <col min="15116" max="15116" width="8.28515625" style="38" customWidth="1"/>
    <col min="15117" max="15117" width="29" style="38" customWidth="1"/>
    <col min="15118" max="15118" width="20.7109375" style="38" customWidth="1"/>
    <col min="15119" max="15121" width="8.85546875" style="38"/>
    <col min="15122" max="15122" width="3" style="38" customWidth="1"/>
    <col min="15123" max="15123" width="9.42578125" style="38" customWidth="1"/>
    <col min="15124" max="15125" width="34.7109375" style="38" customWidth="1"/>
    <col min="15126" max="15126" width="14.7109375" style="38" customWidth="1"/>
    <col min="15127" max="15127" width="17.7109375" style="38" customWidth="1"/>
    <col min="15128" max="15128" width="15.42578125" style="38" customWidth="1"/>
    <col min="15129" max="15360" width="8.85546875" style="38"/>
    <col min="15361" max="15361" width="0" style="38" hidden="1" customWidth="1"/>
    <col min="15362" max="15362" width="4.28515625" style="38" customWidth="1"/>
    <col min="15363" max="15363" width="48.140625" style="38" customWidth="1"/>
    <col min="15364" max="15364" width="9" style="38" customWidth="1"/>
    <col min="15365" max="15365" width="8.42578125" style="38" customWidth="1"/>
    <col min="15366" max="15366" width="15.42578125" style="38" customWidth="1"/>
    <col min="15367" max="15367" width="19.85546875" style="38" customWidth="1"/>
    <col min="15368" max="15369" width="19.42578125" style="38" customWidth="1"/>
    <col min="15370" max="15370" width="7.42578125" style="38" customWidth="1"/>
    <col min="15371" max="15371" width="32.42578125" style="38" customWidth="1"/>
    <col min="15372" max="15372" width="8.28515625" style="38" customWidth="1"/>
    <col min="15373" max="15373" width="29" style="38" customWidth="1"/>
    <col min="15374" max="15374" width="20.7109375" style="38" customWidth="1"/>
    <col min="15375" max="15377" width="8.85546875" style="38"/>
    <col min="15378" max="15378" width="3" style="38" customWidth="1"/>
    <col min="15379" max="15379" width="9.42578125" style="38" customWidth="1"/>
    <col min="15380" max="15381" width="34.7109375" style="38" customWidth="1"/>
    <col min="15382" max="15382" width="14.7109375" style="38" customWidth="1"/>
    <col min="15383" max="15383" width="17.7109375" style="38" customWidth="1"/>
    <col min="15384" max="15384" width="15.42578125" style="38" customWidth="1"/>
    <col min="15385" max="15616" width="8.85546875" style="38"/>
    <col min="15617" max="15617" width="0" style="38" hidden="1" customWidth="1"/>
    <col min="15618" max="15618" width="4.28515625" style="38" customWidth="1"/>
    <col min="15619" max="15619" width="48.140625" style="38" customWidth="1"/>
    <col min="15620" max="15620" width="9" style="38" customWidth="1"/>
    <col min="15621" max="15621" width="8.42578125" style="38" customWidth="1"/>
    <col min="15622" max="15622" width="15.42578125" style="38" customWidth="1"/>
    <col min="15623" max="15623" width="19.85546875" style="38" customWidth="1"/>
    <col min="15624" max="15625" width="19.42578125" style="38" customWidth="1"/>
    <col min="15626" max="15626" width="7.42578125" style="38" customWidth="1"/>
    <col min="15627" max="15627" width="32.42578125" style="38" customWidth="1"/>
    <col min="15628" max="15628" width="8.28515625" style="38" customWidth="1"/>
    <col min="15629" max="15629" width="29" style="38" customWidth="1"/>
    <col min="15630" max="15630" width="20.7109375" style="38" customWidth="1"/>
    <col min="15631" max="15633" width="8.85546875" style="38"/>
    <col min="15634" max="15634" width="3" style="38" customWidth="1"/>
    <col min="15635" max="15635" width="9.42578125" style="38" customWidth="1"/>
    <col min="15636" max="15637" width="34.7109375" style="38" customWidth="1"/>
    <col min="15638" max="15638" width="14.7109375" style="38" customWidth="1"/>
    <col min="15639" max="15639" width="17.7109375" style="38" customWidth="1"/>
    <col min="15640" max="15640" width="15.42578125" style="38" customWidth="1"/>
    <col min="15641" max="15872" width="8.85546875" style="38"/>
    <col min="15873" max="15873" width="0" style="38" hidden="1" customWidth="1"/>
    <col min="15874" max="15874" width="4.28515625" style="38" customWidth="1"/>
    <col min="15875" max="15875" width="48.140625" style="38" customWidth="1"/>
    <col min="15876" max="15876" width="9" style="38" customWidth="1"/>
    <col min="15877" max="15877" width="8.42578125" style="38" customWidth="1"/>
    <col min="15878" max="15878" width="15.42578125" style="38" customWidth="1"/>
    <col min="15879" max="15879" width="19.85546875" style="38" customWidth="1"/>
    <col min="15880" max="15881" width="19.42578125" style="38" customWidth="1"/>
    <col min="15882" max="15882" width="7.42578125" style="38" customWidth="1"/>
    <col min="15883" max="15883" width="32.42578125" style="38" customWidth="1"/>
    <col min="15884" max="15884" width="8.28515625" style="38" customWidth="1"/>
    <col min="15885" max="15885" width="29" style="38" customWidth="1"/>
    <col min="15886" max="15886" width="20.7109375" style="38" customWidth="1"/>
    <col min="15887" max="15889" width="8.85546875" style="38"/>
    <col min="15890" max="15890" width="3" style="38" customWidth="1"/>
    <col min="15891" max="15891" width="9.42578125" style="38" customWidth="1"/>
    <col min="15892" max="15893" width="34.7109375" style="38" customWidth="1"/>
    <col min="15894" max="15894" width="14.7109375" style="38" customWidth="1"/>
    <col min="15895" max="15895" width="17.7109375" style="38" customWidth="1"/>
    <col min="15896" max="15896" width="15.42578125" style="38" customWidth="1"/>
    <col min="15897" max="16128" width="8.85546875" style="38"/>
    <col min="16129" max="16129" width="0" style="38" hidden="1" customWidth="1"/>
    <col min="16130" max="16130" width="4.28515625" style="38" customWidth="1"/>
    <col min="16131" max="16131" width="48.140625" style="38" customWidth="1"/>
    <col min="16132" max="16132" width="9" style="38" customWidth="1"/>
    <col min="16133" max="16133" width="8.42578125" style="38" customWidth="1"/>
    <col min="16134" max="16134" width="15.42578125" style="38" customWidth="1"/>
    <col min="16135" max="16135" width="19.85546875" style="38" customWidth="1"/>
    <col min="16136" max="16137" width="19.42578125" style="38" customWidth="1"/>
    <col min="16138" max="16138" width="7.42578125" style="38" customWidth="1"/>
    <col min="16139" max="16139" width="32.42578125" style="38" customWidth="1"/>
    <col min="16140" max="16140" width="8.28515625" style="38" customWidth="1"/>
    <col min="16141" max="16141" width="29" style="38" customWidth="1"/>
    <col min="16142" max="16142" width="20.7109375" style="38" customWidth="1"/>
    <col min="16143" max="16145" width="8.85546875" style="38"/>
    <col min="16146" max="16146" width="3" style="38" customWidth="1"/>
    <col min="16147" max="16147" width="9.42578125" style="38" customWidth="1"/>
    <col min="16148" max="16149" width="34.7109375" style="38" customWidth="1"/>
    <col min="16150" max="16150" width="14.7109375" style="38" customWidth="1"/>
    <col min="16151" max="16151" width="17.7109375" style="38" customWidth="1"/>
    <col min="16152" max="16152" width="15.42578125" style="38" customWidth="1"/>
    <col min="16153" max="16384" width="8.85546875" style="38"/>
  </cols>
  <sheetData>
    <row r="1" spans="1:75" s="51"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2"/>
      <c r="H1" s="2311" t="str">
        <f>HYPERLINK("[.\]outputs_by_channel!A1", "To Intervention data outputs by channel")</f>
        <v>To Intervention data outputs by channel</v>
      </c>
      <c r="I1" s="2312"/>
      <c r="J1" s="1766"/>
      <c r="K1" s="1766"/>
      <c r="L1" s="1762"/>
      <c r="M1" s="1762"/>
      <c r="O1" s="52"/>
      <c r="Q1" s="52"/>
      <c r="R1" s="52"/>
      <c r="S1" s="52"/>
      <c r="T1" s="52"/>
      <c r="V1" s="52"/>
      <c r="W1" s="52"/>
      <c r="X1" s="52"/>
      <c r="Y1" s="52"/>
      <c r="AA1" s="52"/>
      <c r="AB1" s="52"/>
      <c r="AC1" s="52"/>
      <c r="AD1" s="52"/>
      <c r="AF1" s="52"/>
      <c r="AG1" s="52"/>
      <c r="AH1" s="52"/>
      <c r="AI1" s="52"/>
      <c r="AK1" s="52"/>
      <c r="AL1" s="52"/>
      <c r="AM1" s="52"/>
      <c r="AN1" s="52"/>
      <c r="AP1" s="52"/>
      <c r="AQ1" s="52"/>
      <c r="AR1" s="52"/>
      <c r="AS1" s="52"/>
      <c r="AU1" s="52"/>
      <c r="AV1" s="52"/>
      <c r="AW1" s="52"/>
      <c r="AX1" s="52"/>
      <c r="AZ1" s="52"/>
      <c r="BA1" s="52"/>
      <c r="BB1" s="52"/>
      <c r="BC1" s="52"/>
      <c r="BE1" s="52"/>
      <c r="BF1" s="52"/>
      <c r="BG1" s="52"/>
      <c r="BH1" s="52"/>
      <c r="BJ1" s="52"/>
      <c r="BK1" s="52"/>
      <c r="BL1" s="52"/>
      <c r="BM1" s="52"/>
      <c r="BO1" s="52"/>
      <c r="BP1" s="52"/>
      <c r="BQ1" s="52"/>
      <c r="BR1" s="52"/>
      <c r="BT1" s="52"/>
      <c r="BU1" s="52"/>
      <c r="BV1" s="52"/>
      <c r="BW1" s="52"/>
    </row>
    <row r="2" spans="1:75" ht="48.6" customHeight="1" thickBot="1">
      <c r="A2" s="965"/>
      <c r="B2" s="138"/>
      <c r="C2" s="613"/>
      <c r="D2" s="613"/>
      <c r="E2" s="613"/>
      <c r="F2" s="614"/>
      <c r="G2" s="613"/>
      <c r="H2" s="613"/>
      <c r="I2" s="613"/>
      <c r="J2" s="2054"/>
      <c r="K2" s="2087"/>
      <c r="L2" s="2087"/>
      <c r="M2" s="2071"/>
      <c r="N2" s="36"/>
      <c r="O2" s="35"/>
      <c r="P2" s="357"/>
      <c r="Q2" s="335"/>
      <c r="R2" s="335"/>
    </row>
    <row r="3" spans="1:75" ht="15" customHeight="1">
      <c r="A3" s="138"/>
      <c r="B3" s="138"/>
      <c r="C3" s="2438" t="str">
        <f>Menu!$B35</f>
        <v>Rapid Response Services</v>
      </c>
      <c r="D3" s="2439"/>
      <c r="E3" s="1185"/>
      <c r="F3" s="1185"/>
      <c r="G3" s="613"/>
      <c r="H3" s="613"/>
      <c r="I3" s="613"/>
      <c r="J3" s="36"/>
      <c r="K3" s="2070"/>
      <c r="L3" s="2074"/>
      <c r="M3" s="2083"/>
      <c r="N3" s="36"/>
      <c r="O3" s="35"/>
      <c r="P3" s="357"/>
      <c r="Q3" s="358"/>
      <c r="R3" s="358"/>
    </row>
    <row r="4" spans="1:75" ht="15.75" thickBot="1">
      <c r="A4" s="138"/>
      <c r="B4" s="138"/>
      <c r="C4" s="2440"/>
      <c r="D4" s="2399"/>
      <c r="E4" s="1185"/>
      <c r="F4" s="1185"/>
      <c r="G4" s="613"/>
      <c r="H4" s="613"/>
      <c r="I4" s="613"/>
      <c r="J4" s="36"/>
      <c r="K4" s="2070"/>
      <c r="L4" s="2074"/>
      <c r="M4" s="2083"/>
      <c r="N4" s="36"/>
      <c r="O4" s="35"/>
      <c r="P4" s="357"/>
      <c r="Q4" s="358"/>
      <c r="R4" s="358"/>
    </row>
    <row r="5" spans="1:75" ht="15.75" thickBot="1">
      <c r="A5" s="138"/>
      <c r="B5" s="138"/>
      <c r="D5" s="539"/>
      <c r="G5" s="613"/>
      <c r="H5" s="613"/>
      <c r="I5" s="613"/>
      <c r="J5" s="36"/>
      <c r="K5" s="2070"/>
      <c r="L5" s="2076"/>
      <c r="M5" s="2094"/>
      <c r="N5" s="36"/>
      <c r="O5" s="35"/>
      <c r="P5" s="357"/>
      <c r="Q5" s="338"/>
      <c r="R5" s="340"/>
    </row>
    <row r="6" spans="1:75" ht="15" customHeight="1" thickBot="1">
      <c r="A6" s="138"/>
      <c r="B6" s="138"/>
      <c r="C6" s="797" t="s">
        <v>582</v>
      </c>
      <c r="D6" s="796">
        <v>3043165</v>
      </c>
      <c r="E6" s="614"/>
      <c r="F6" s="614"/>
      <c r="G6" s="613"/>
      <c r="H6" s="613"/>
      <c r="I6" s="613"/>
      <c r="J6" s="36"/>
      <c r="K6" s="2070"/>
      <c r="L6" s="2077"/>
      <c r="M6" s="2085"/>
      <c r="N6" s="36"/>
      <c r="O6" s="35"/>
      <c r="P6" s="357"/>
      <c r="Q6" s="337"/>
      <c r="R6" s="337"/>
    </row>
    <row r="7" spans="1:75" ht="15" customHeight="1" thickBot="1">
      <c r="A7" s="138"/>
      <c r="B7" s="138"/>
      <c r="E7" s="614"/>
      <c r="G7" s="613"/>
      <c r="H7" s="613"/>
      <c r="I7" s="613"/>
      <c r="J7" s="36"/>
      <c r="K7" s="2070"/>
      <c r="L7" s="2074"/>
      <c r="M7" s="2095"/>
      <c r="N7" s="36"/>
      <c r="O7" s="35"/>
      <c r="P7" s="357"/>
      <c r="Q7" s="341"/>
      <c r="R7" s="358"/>
    </row>
    <row r="8" spans="1:75" ht="15.75" thickBot="1">
      <c r="A8" s="138"/>
      <c r="B8" s="138"/>
      <c r="C8" s="957" t="s">
        <v>1047</v>
      </c>
      <c r="D8" s="2504" t="s">
        <v>1120</v>
      </c>
      <c r="E8" s="2514"/>
      <c r="F8" s="2515"/>
      <c r="G8" s="613"/>
      <c r="H8" s="613"/>
      <c r="I8" s="613"/>
      <c r="J8" s="613"/>
      <c r="K8" s="2070"/>
      <c r="L8" s="2076"/>
      <c r="M8" s="2094"/>
      <c r="N8" s="36"/>
      <c r="O8" s="35"/>
      <c r="P8" s="357"/>
      <c r="Q8" s="338"/>
      <c r="R8" s="340"/>
    </row>
    <row r="9" spans="1:75" ht="15.75" thickBot="1">
      <c r="A9" s="138"/>
      <c r="B9" s="138"/>
      <c r="C9" s="957" t="s">
        <v>1078</v>
      </c>
      <c r="D9" s="2504" t="s">
        <v>1280</v>
      </c>
      <c r="E9" s="2514"/>
      <c r="F9" s="2515"/>
      <c r="G9" s="613"/>
      <c r="H9" s="613"/>
      <c r="I9" s="613"/>
      <c r="J9" s="613"/>
      <c r="K9" s="1453"/>
      <c r="L9" s="1532"/>
      <c r="M9" s="1533"/>
      <c r="N9" s="36"/>
      <c r="O9" s="35"/>
      <c r="P9" s="357"/>
      <c r="Q9" s="338"/>
      <c r="R9" s="340"/>
    </row>
    <row r="10" spans="1:75" ht="15">
      <c r="A10" s="138"/>
      <c r="B10" s="138"/>
      <c r="C10" s="535"/>
      <c r="D10" s="535"/>
      <c r="E10" s="535"/>
      <c r="F10" s="613"/>
      <c r="G10" s="613"/>
      <c r="H10" s="613"/>
      <c r="I10" s="613"/>
      <c r="J10" s="613"/>
      <c r="K10" s="1717"/>
      <c r="L10" s="1532"/>
      <c r="M10" s="1533"/>
      <c r="N10" s="36"/>
      <c r="O10" s="35"/>
      <c r="P10" s="357"/>
      <c r="Q10" s="338"/>
      <c r="R10" s="340"/>
    </row>
    <row r="11" spans="1:75" ht="15">
      <c r="A11" s="138"/>
      <c r="B11" s="138"/>
      <c r="C11" s="1777" t="str">
        <f>HYPERLINK("[.\]E_RR!A2","To Evidence")</f>
        <v>To Evidence</v>
      </c>
      <c r="D11" s="535"/>
      <c r="E11" s="535"/>
      <c r="F11" s="613"/>
      <c r="G11" s="613"/>
      <c r="H11" s="613"/>
      <c r="I11" s="613"/>
      <c r="J11" s="613"/>
      <c r="K11" s="1717"/>
      <c r="L11" s="1532"/>
      <c r="M11" s="1533"/>
      <c r="N11" s="36"/>
      <c r="O11" s="35"/>
      <c r="P11" s="357"/>
      <c r="Q11" s="338"/>
      <c r="R11" s="340"/>
    </row>
    <row r="12" spans="1:75" ht="15">
      <c r="A12" s="138"/>
      <c r="B12" s="169"/>
      <c r="C12" s="1435"/>
      <c r="D12" s="1435"/>
      <c r="E12" s="1435"/>
      <c r="F12" s="1436"/>
      <c r="G12" s="1436"/>
      <c r="H12" s="1436"/>
      <c r="I12" s="1436"/>
      <c r="J12" s="1436"/>
      <c r="K12" s="1783"/>
      <c r="L12" s="1781"/>
      <c r="M12" s="1792"/>
      <c r="N12" s="36"/>
      <c r="O12" s="35"/>
      <c r="P12" s="357"/>
      <c r="Q12" s="338"/>
      <c r="R12" s="340"/>
    </row>
    <row r="13" spans="1:75" ht="15">
      <c r="A13" s="1314" t="s">
        <v>103</v>
      </c>
      <c r="B13" s="2374" t="s">
        <v>119</v>
      </c>
      <c r="C13" s="2463"/>
      <c r="D13" s="2463"/>
      <c r="E13" s="2463"/>
      <c r="F13" s="2463"/>
      <c r="G13" s="2463"/>
      <c r="H13" s="2463"/>
      <c r="I13" s="2463"/>
      <c r="J13" s="2463"/>
      <c r="K13" s="2463"/>
      <c r="L13" s="2463"/>
      <c r="M13" s="2468"/>
      <c r="N13" s="1282"/>
      <c r="O13" s="35"/>
    </row>
    <row r="14" spans="1:75">
      <c r="A14" s="138"/>
      <c r="B14" s="965"/>
      <c r="C14" s="36"/>
      <c r="D14" s="36"/>
      <c r="E14" s="36"/>
      <c r="F14" s="36"/>
      <c r="G14" s="36"/>
      <c r="H14" s="36"/>
      <c r="I14" s="36"/>
      <c r="J14" s="36"/>
      <c r="K14" s="36"/>
      <c r="M14" s="1410"/>
      <c r="O14" s="35"/>
      <c r="P14" s="35"/>
      <c r="Q14" s="35"/>
      <c r="R14" s="35"/>
      <c r="S14" s="35"/>
      <c r="T14" s="35"/>
    </row>
    <row r="15" spans="1:75" s="35" customFormat="1" ht="15">
      <c r="A15" s="138"/>
      <c r="B15" s="1290"/>
      <c r="C15" s="2323" t="s">
        <v>702</v>
      </c>
      <c r="D15" s="2377"/>
      <c r="E15" s="94">
        <v>17500</v>
      </c>
      <c r="F15" s="612"/>
      <c r="G15" s="53"/>
      <c r="H15" s="36"/>
      <c r="J15" s="53"/>
      <c r="L15" s="77"/>
      <c r="M15" s="1411" t="s">
        <v>141</v>
      </c>
    </row>
    <row r="16" spans="1:75" s="35" customFormat="1" ht="15">
      <c r="A16" s="138"/>
      <c r="B16" s="1290"/>
      <c r="C16" s="2323" t="s">
        <v>701</v>
      </c>
      <c r="D16" s="2377"/>
      <c r="E16" s="90">
        <v>0.15</v>
      </c>
      <c r="G16" s="53"/>
      <c r="H16" s="36"/>
      <c r="J16" s="53"/>
      <c r="K16" s="53"/>
      <c r="L16" s="63"/>
      <c r="M16" s="552" t="s">
        <v>143</v>
      </c>
    </row>
    <row r="17" spans="1:19" s="35" customFormat="1" ht="15">
      <c r="A17" s="138"/>
      <c r="B17" s="1290"/>
      <c r="C17" s="2323" t="s">
        <v>1086</v>
      </c>
      <c r="D17" s="2377"/>
      <c r="E17" s="1412">
        <f>E15*E16</f>
        <v>2625</v>
      </c>
      <c r="G17" s="53"/>
      <c r="H17" s="36"/>
      <c r="J17" s="53"/>
      <c r="K17" s="53"/>
      <c r="L17" s="345" t="s">
        <v>556</v>
      </c>
      <c r="M17" s="552" t="s">
        <v>143</v>
      </c>
      <c r="N17" s="192"/>
    </row>
    <row r="18" spans="1:19" s="35" customFormat="1" ht="42.75">
      <c r="A18" s="138"/>
      <c r="B18" s="1291"/>
      <c r="C18" s="53"/>
      <c r="D18" s="53"/>
      <c r="E18" s="53"/>
      <c r="F18" s="53"/>
      <c r="G18" s="53"/>
      <c r="H18" s="53"/>
      <c r="I18" s="53"/>
      <c r="J18" s="53"/>
      <c r="K18" s="53"/>
      <c r="L18" s="2193"/>
      <c r="M18" s="507" t="s">
        <v>1299</v>
      </c>
      <c r="N18" s="192"/>
    </row>
    <row r="19" spans="1:19" ht="15">
      <c r="A19" s="35"/>
      <c r="B19" s="2511" t="s">
        <v>215</v>
      </c>
      <c r="C19" s="2518"/>
      <c r="D19" s="2518"/>
      <c r="E19" s="2518"/>
      <c r="F19" s="2518"/>
      <c r="G19" s="2518"/>
      <c r="H19" s="2518"/>
      <c r="I19" s="2518"/>
      <c r="J19" s="2518"/>
      <c r="K19" s="2518"/>
      <c r="L19" s="2518"/>
      <c r="M19" s="2519"/>
      <c r="N19" s="1303"/>
      <c r="O19" s="35"/>
    </row>
    <row r="20" spans="1:19" ht="15">
      <c r="A20" s="138"/>
      <c r="B20" s="965"/>
      <c r="C20" s="56"/>
      <c r="D20" s="56"/>
      <c r="E20" s="36"/>
      <c r="F20" s="164"/>
      <c r="G20" s="56"/>
      <c r="H20" s="56"/>
      <c r="I20" s="56"/>
      <c r="J20" s="56"/>
      <c r="K20" s="53"/>
      <c r="L20" s="61"/>
      <c r="M20" s="1304"/>
      <c r="O20" s="35"/>
    </row>
    <row r="21" spans="1:19" ht="15">
      <c r="A21" s="138"/>
      <c r="B21" s="138"/>
      <c r="C21" s="1775" t="str">
        <f>HYPERLINK("[.\]Set_up_RR!A3","To Set up costs template")</f>
        <v>To Set up costs template</v>
      </c>
      <c r="D21" s="56"/>
      <c r="E21" s="36"/>
      <c r="F21" s="164"/>
      <c r="G21" s="56"/>
      <c r="H21" s="56"/>
      <c r="I21" s="56"/>
      <c r="J21" s="56"/>
      <c r="K21" s="53"/>
      <c r="L21" s="61"/>
      <c r="M21" s="1305"/>
      <c r="O21" s="35"/>
    </row>
    <row r="22" spans="1:19" ht="15">
      <c r="A22" s="138"/>
      <c r="B22" s="138"/>
      <c r="C22" s="537"/>
      <c r="D22" s="537"/>
      <c r="E22" s="36"/>
      <c r="F22" s="628"/>
      <c r="G22" s="537"/>
      <c r="H22" s="537"/>
      <c r="I22" s="537"/>
      <c r="J22" s="537"/>
      <c r="K22" s="533"/>
      <c r="L22" s="1184"/>
      <c r="M22" s="1305"/>
      <c r="O22" s="35"/>
    </row>
    <row r="23" spans="1:19" ht="15">
      <c r="A23" s="138"/>
      <c r="B23" s="138"/>
      <c r="C23" s="2357" t="s">
        <v>1070</v>
      </c>
      <c r="D23" s="2483"/>
      <c r="E23" s="1208">
        <f>Set_Up_RR!C4</f>
        <v>20000</v>
      </c>
      <c r="G23" s="56"/>
      <c r="H23" s="56"/>
      <c r="I23" s="56"/>
      <c r="J23" s="56"/>
      <c r="K23" s="53"/>
      <c r="L23" s="61"/>
      <c r="M23" s="1305"/>
      <c r="O23" s="35"/>
    </row>
    <row r="24" spans="1:19" ht="15">
      <c r="A24" s="138"/>
      <c r="B24" s="138"/>
      <c r="C24" s="56"/>
      <c r="D24" s="56"/>
      <c r="E24" s="36"/>
      <c r="F24" s="164"/>
      <c r="G24" s="56"/>
      <c r="H24" s="56"/>
      <c r="I24" s="56"/>
      <c r="J24" s="56"/>
      <c r="K24" s="53"/>
      <c r="L24" s="61"/>
      <c r="M24" s="1305"/>
      <c r="O24" s="35"/>
    </row>
    <row r="25" spans="1:19" s="161" customFormat="1" ht="60">
      <c r="A25" s="502"/>
      <c r="B25" s="2053"/>
      <c r="C25" s="563" t="s">
        <v>133</v>
      </c>
      <c r="D25" s="684" t="s">
        <v>116</v>
      </c>
      <c r="E25" s="444" t="s">
        <v>115</v>
      </c>
      <c r="F25" s="563" t="s">
        <v>114</v>
      </c>
      <c r="G25" s="563" t="s">
        <v>113</v>
      </c>
      <c r="H25" s="563" t="s">
        <v>112</v>
      </c>
      <c r="J25" s="164"/>
      <c r="K25" s="564" t="s">
        <v>634</v>
      </c>
      <c r="L25" s="563" t="s">
        <v>110</v>
      </c>
      <c r="M25" s="483"/>
      <c r="N25" s="1192"/>
      <c r="O25" s="165"/>
      <c r="P25" s="165"/>
      <c r="Q25" s="165"/>
      <c r="R25" s="165"/>
      <c r="S25" s="165"/>
    </row>
    <row r="26" spans="1:19" ht="15">
      <c r="A26" s="192"/>
      <c r="B26" s="138"/>
      <c r="C26" s="1300" t="s">
        <v>1231</v>
      </c>
      <c r="D26" s="566">
        <v>6</v>
      </c>
      <c r="E26" s="346">
        <v>5</v>
      </c>
      <c r="F26" s="1133">
        <f>IF(D26&lt;&gt;"",VLOOKUP(D26,staff_costs!$A$5:$H$22,6,0),"")</f>
        <v>37642.68</v>
      </c>
      <c r="G26" s="158">
        <v>0.4</v>
      </c>
      <c r="H26" s="158">
        <v>0.35</v>
      </c>
      <c r="J26" s="56"/>
      <c r="K26" s="159" t="str">
        <f t="shared" ref="K26:K32" si="0">IF(C26&gt;"",C26,"")</f>
        <v>Qualified Nurse / therapist</v>
      </c>
      <c r="L26" s="1133">
        <f t="shared" ref="L26:L33" si="1">IF($D26="","",E26*F26+(E26*G26*(F26*H26)))</f>
        <v>214563.27599999998</v>
      </c>
      <c r="M26" s="1275"/>
      <c r="N26" s="36"/>
      <c r="O26" s="35"/>
      <c r="P26" s="35"/>
      <c r="Q26" s="35"/>
      <c r="R26" s="35"/>
      <c r="S26" s="35"/>
    </row>
    <row r="27" spans="1:19" ht="15">
      <c r="A27" s="192"/>
      <c r="B27" s="138"/>
      <c r="C27" s="1300" t="s">
        <v>1231</v>
      </c>
      <c r="D27" s="566">
        <v>5</v>
      </c>
      <c r="E27" s="346">
        <v>7</v>
      </c>
      <c r="F27" s="1133">
        <f>IF(D27&lt;&gt;"",VLOOKUP(D27,staff_costs!$A$5:$H$22,6,0),"")</f>
        <v>31369.52</v>
      </c>
      <c r="G27" s="158">
        <v>0.4</v>
      </c>
      <c r="H27" s="158">
        <v>0.35</v>
      </c>
      <c r="J27" s="56"/>
      <c r="K27" s="159" t="str">
        <f t="shared" si="0"/>
        <v>Qualified Nurse / therapist</v>
      </c>
      <c r="L27" s="1133">
        <f t="shared" si="1"/>
        <v>250328.76960000003</v>
      </c>
      <c r="M27" s="1275"/>
      <c r="N27" s="36"/>
      <c r="O27" s="35"/>
      <c r="P27" s="35"/>
      <c r="Q27" s="35"/>
      <c r="R27" s="35"/>
      <c r="S27" s="35"/>
    </row>
    <row r="28" spans="1:19" ht="15">
      <c r="A28" s="192"/>
      <c r="B28" s="138"/>
      <c r="C28" s="1300" t="s">
        <v>700</v>
      </c>
      <c r="D28" s="566">
        <v>3</v>
      </c>
      <c r="E28" s="346">
        <v>11</v>
      </c>
      <c r="F28" s="1133">
        <f>IF(D28&lt;&gt;"",VLOOKUP(D28,staff_costs!$A$5:$H$22,6,0),"")</f>
        <v>22508.48</v>
      </c>
      <c r="G28" s="158">
        <v>0.4</v>
      </c>
      <c r="H28" s="158">
        <v>0.35</v>
      </c>
      <c r="J28" s="56"/>
      <c r="K28" s="159" t="str">
        <f t="shared" si="0"/>
        <v>HCA</v>
      </c>
      <c r="L28" s="1133">
        <f t="shared" si="1"/>
        <v>282256.33919999999</v>
      </c>
      <c r="M28" s="1275"/>
      <c r="N28" s="36"/>
      <c r="O28" s="35"/>
      <c r="P28" s="35"/>
      <c r="Q28" s="35"/>
      <c r="R28" s="35"/>
      <c r="S28" s="35"/>
    </row>
    <row r="29" spans="1:19" ht="15">
      <c r="A29" s="192"/>
      <c r="B29" s="138"/>
      <c r="C29" s="1300" t="s">
        <v>1048</v>
      </c>
      <c r="D29" s="566">
        <v>3</v>
      </c>
      <c r="E29" s="346">
        <v>1</v>
      </c>
      <c r="F29" s="1133">
        <f>IF(D29&lt;&gt;"",VLOOKUP(D29,staff_costs!$A$5:$H$22,6,0),"")</f>
        <v>22508.48</v>
      </c>
      <c r="G29" s="158">
        <v>0</v>
      </c>
      <c r="H29" s="158">
        <v>0</v>
      </c>
      <c r="J29" s="56"/>
      <c r="K29" s="159" t="str">
        <f t="shared" si="0"/>
        <v>Admin support</v>
      </c>
      <c r="L29" s="1133">
        <f t="shared" si="1"/>
        <v>22508.48</v>
      </c>
      <c r="M29" s="1275"/>
      <c r="N29" s="36"/>
      <c r="O29" s="35"/>
      <c r="P29" s="35"/>
      <c r="Q29" s="35"/>
      <c r="R29" s="35"/>
      <c r="S29" s="35"/>
    </row>
    <row r="30" spans="1:19" ht="15">
      <c r="A30" s="192"/>
      <c r="B30" s="138"/>
      <c r="C30" s="361"/>
      <c r="D30" s="566"/>
      <c r="E30" s="346"/>
      <c r="F30" s="1133" t="str">
        <f>IF(D30&lt;&gt;"",VLOOKUP(D30,staff_costs!$A$5:$H$22,6,0),"")</f>
        <v/>
      </c>
      <c r="G30" s="158"/>
      <c r="H30" s="158"/>
      <c r="J30" s="56"/>
      <c r="K30" s="159" t="str">
        <f t="shared" si="0"/>
        <v/>
      </c>
      <c r="L30" s="1133" t="str">
        <f t="shared" si="1"/>
        <v/>
      </c>
      <c r="M30" s="1275"/>
      <c r="N30" s="36"/>
      <c r="O30" s="35"/>
      <c r="P30" s="35"/>
      <c r="Q30" s="35"/>
      <c r="R30" s="35"/>
      <c r="S30" s="35"/>
    </row>
    <row r="31" spans="1:19" ht="15">
      <c r="A31" s="192"/>
      <c r="B31" s="138"/>
      <c r="C31" s="361"/>
      <c r="D31" s="566"/>
      <c r="E31" s="346"/>
      <c r="F31" s="1133" t="str">
        <f>IF(D31&lt;&gt;"",VLOOKUP(D31,staff_costs!$A$5:$H$22,6,0),"")</f>
        <v/>
      </c>
      <c r="G31" s="158"/>
      <c r="H31" s="158"/>
      <c r="J31" s="56"/>
      <c r="K31" s="159" t="str">
        <f t="shared" si="0"/>
        <v/>
      </c>
      <c r="L31" s="1133" t="str">
        <f t="shared" si="1"/>
        <v/>
      </c>
      <c r="M31" s="1275"/>
      <c r="N31" s="36"/>
      <c r="O31" s="35"/>
      <c r="P31" s="35"/>
      <c r="Q31" s="35"/>
      <c r="R31" s="35"/>
      <c r="S31" s="35"/>
    </row>
    <row r="32" spans="1:19" ht="15">
      <c r="A32" s="192"/>
      <c r="B32" s="138"/>
      <c r="C32" s="361"/>
      <c r="D32" s="566"/>
      <c r="E32" s="346"/>
      <c r="F32" s="1133" t="str">
        <f>IF(D32&lt;&gt;"",VLOOKUP(D32,staff_costs!$A$5:$H$22,6,0),"")</f>
        <v/>
      </c>
      <c r="G32" s="158"/>
      <c r="H32" s="158"/>
      <c r="J32" s="56"/>
      <c r="K32" s="159" t="str">
        <f t="shared" si="0"/>
        <v/>
      </c>
      <c r="L32" s="1133" t="str">
        <f t="shared" si="1"/>
        <v/>
      </c>
      <c r="M32" s="1275"/>
      <c r="N32" s="36"/>
      <c r="O32" s="35"/>
      <c r="P32" s="35"/>
      <c r="Q32" s="35"/>
      <c r="R32" s="35"/>
      <c r="S32" s="35"/>
    </row>
    <row r="33" spans="1:19" ht="15">
      <c r="A33" s="192"/>
      <c r="B33" s="138"/>
      <c r="C33" s="361"/>
      <c r="D33" s="566"/>
      <c r="E33" s="346"/>
      <c r="F33" s="1133" t="str">
        <f>IF(D33&lt;&gt;"",VLOOKUP(D33,staff_costs!$A$5:$H$22,6,0),"")</f>
        <v/>
      </c>
      <c r="G33" s="158"/>
      <c r="H33" s="158"/>
      <c r="J33" s="56"/>
      <c r="K33" s="623" t="str">
        <f t="shared" ref="K33" si="2">IF(C33&gt;"",C33,"")</f>
        <v/>
      </c>
      <c r="L33" s="1133" t="str">
        <f t="shared" si="1"/>
        <v/>
      </c>
      <c r="M33" s="1275"/>
      <c r="N33" s="36"/>
      <c r="O33" s="35"/>
      <c r="P33" s="35"/>
      <c r="Q33" s="35"/>
      <c r="R33" s="35"/>
      <c r="S33" s="35"/>
    </row>
    <row r="34" spans="1:19" ht="15">
      <c r="A34" s="192"/>
      <c r="B34" s="138"/>
      <c r="C34" s="1179" t="s">
        <v>109</v>
      </c>
      <c r="D34" s="780"/>
      <c r="E34" s="198">
        <f>SUM(E26:E33)</f>
        <v>24</v>
      </c>
      <c r="F34" s="62"/>
      <c r="G34" s="62"/>
      <c r="H34" s="62"/>
      <c r="J34" s="56"/>
      <c r="K34" s="159" t="s">
        <v>98</v>
      </c>
      <c r="L34" s="1133">
        <f>SUM(L26:L32)</f>
        <v>769656.86479999998</v>
      </c>
      <c r="M34" s="1275"/>
      <c r="N34" s="36"/>
      <c r="O34" s="35"/>
      <c r="P34" s="35"/>
      <c r="Q34" s="35"/>
      <c r="R34" s="35"/>
      <c r="S34" s="35"/>
    </row>
    <row r="35" spans="1:19" ht="15">
      <c r="A35" s="192"/>
      <c r="B35" s="138"/>
      <c r="C35" s="349"/>
      <c r="D35" s="62"/>
      <c r="E35" s="62"/>
      <c r="F35" s="170"/>
      <c r="G35" s="62"/>
      <c r="H35" s="62"/>
      <c r="I35" s="36"/>
      <c r="J35" s="36"/>
      <c r="K35" s="164"/>
      <c r="L35" s="36"/>
      <c r="M35" s="1275"/>
      <c r="N35" s="36"/>
      <c r="O35" s="35"/>
      <c r="P35" s="35"/>
      <c r="Q35" s="35"/>
      <c r="R35" s="35"/>
      <c r="S35" s="35"/>
    </row>
    <row r="36" spans="1:19" ht="30">
      <c r="A36" s="192"/>
      <c r="B36" s="138"/>
      <c r="C36" s="684" t="s">
        <v>130</v>
      </c>
      <c r="D36" s="684" t="s">
        <v>132</v>
      </c>
      <c r="E36" s="563" t="s">
        <v>131</v>
      </c>
      <c r="H36" s="62"/>
      <c r="I36" s="62"/>
      <c r="J36" s="62"/>
      <c r="K36" s="684" t="s">
        <v>130</v>
      </c>
      <c r="L36" s="563"/>
      <c r="M36" s="1275"/>
      <c r="N36" s="36"/>
      <c r="O36" s="35"/>
      <c r="P36" s="35"/>
      <c r="Q36" s="35"/>
      <c r="R36" s="35"/>
      <c r="S36" s="35"/>
    </row>
    <row r="37" spans="1:19" ht="15">
      <c r="A37" s="192"/>
      <c r="B37" s="138"/>
      <c r="C37" s="196" t="s">
        <v>1049</v>
      </c>
      <c r="D37" s="2132">
        <f>L66</f>
        <v>22770</v>
      </c>
      <c r="E37" s="1539">
        <v>1.5</v>
      </c>
      <c r="H37" s="62"/>
      <c r="I37" s="62"/>
      <c r="J37" s="56"/>
      <c r="K37" s="159" t="str">
        <f t="shared" ref="K37:K43" si="3">IF(C37&gt;"",C37,"")</f>
        <v>Travel</v>
      </c>
      <c r="L37" s="1133">
        <f t="shared" ref="L37:L43" si="4">E37*D37</f>
        <v>34155</v>
      </c>
      <c r="M37" s="1275"/>
      <c r="N37" s="36"/>
      <c r="O37" s="35"/>
      <c r="P37" s="35"/>
      <c r="Q37" s="35"/>
      <c r="R37" s="35"/>
      <c r="S37" s="35"/>
    </row>
    <row r="38" spans="1:19" ht="15">
      <c r="A38" s="192"/>
      <c r="B38" s="138"/>
      <c r="C38" s="196" t="s">
        <v>128</v>
      </c>
      <c r="D38" s="2132">
        <f>E34</f>
        <v>24</v>
      </c>
      <c r="E38" s="1539">
        <v>100</v>
      </c>
      <c r="H38" s="62"/>
      <c r="I38" s="62"/>
      <c r="J38" s="56"/>
      <c r="K38" s="159" t="str">
        <f t="shared" si="3"/>
        <v>Training</v>
      </c>
      <c r="L38" s="1133">
        <f t="shared" si="4"/>
        <v>2400</v>
      </c>
      <c r="M38" s="1275"/>
      <c r="N38" s="36"/>
      <c r="O38" s="35"/>
      <c r="P38" s="35"/>
      <c r="Q38" s="35"/>
      <c r="R38" s="35"/>
      <c r="S38" s="35"/>
    </row>
    <row r="39" spans="1:19" ht="15">
      <c r="A39" s="192"/>
      <c r="B39" s="138"/>
      <c r="C39" s="196" t="s">
        <v>1050</v>
      </c>
      <c r="D39" s="2132">
        <f>E34</f>
        <v>24</v>
      </c>
      <c r="E39" s="1539">
        <v>600</v>
      </c>
      <c r="H39" s="62"/>
      <c r="I39" s="62"/>
      <c r="J39" s="56"/>
      <c r="K39" s="159" t="str">
        <f t="shared" si="3"/>
        <v>Mobile solution (tablet / sim / license)</v>
      </c>
      <c r="L39" s="1133">
        <f t="shared" si="4"/>
        <v>14400</v>
      </c>
      <c r="M39" s="1275"/>
      <c r="N39" s="36"/>
      <c r="O39" s="35"/>
      <c r="P39" s="35"/>
      <c r="Q39" s="35"/>
      <c r="R39" s="35"/>
      <c r="S39" s="35"/>
    </row>
    <row r="40" spans="1:19" ht="15">
      <c r="A40" s="192"/>
      <c r="B40" s="138"/>
      <c r="C40" s="196" t="s">
        <v>717</v>
      </c>
      <c r="D40" s="2132">
        <f>E34</f>
        <v>24</v>
      </c>
      <c r="E40" s="1539">
        <v>250</v>
      </c>
      <c r="H40" s="62"/>
      <c r="I40" s="62"/>
      <c r="J40" s="56"/>
      <c r="K40" s="159" t="str">
        <f t="shared" si="3"/>
        <v>Mobile phone</v>
      </c>
      <c r="L40" s="1133">
        <f t="shared" si="4"/>
        <v>6000</v>
      </c>
      <c r="M40" s="1275"/>
      <c r="N40" s="36"/>
      <c r="O40" s="35"/>
      <c r="P40" s="35"/>
      <c r="Q40" s="35"/>
      <c r="R40" s="35"/>
      <c r="S40" s="35"/>
    </row>
    <row r="41" spans="1:19" ht="15">
      <c r="A41" s="192"/>
      <c r="B41" s="138"/>
      <c r="C41" s="196" t="s">
        <v>1294</v>
      </c>
      <c r="D41" s="729">
        <v>1</v>
      </c>
      <c r="E41" s="1539">
        <v>2000</v>
      </c>
      <c r="H41" s="62"/>
      <c r="I41" s="62"/>
      <c r="J41" s="56"/>
      <c r="K41" s="159" t="str">
        <f t="shared" si="3"/>
        <v>Stationery</v>
      </c>
      <c r="L41" s="1133">
        <f t="shared" si="4"/>
        <v>2000</v>
      </c>
      <c r="M41" s="1275"/>
      <c r="N41" s="36"/>
      <c r="O41" s="35"/>
      <c r="P41" s="35"/>
      <c r="Q41" s="35"/>
      <c r="R41" s="35"/>
      <c r="S41" s="35"/>
    </row>
    <row r="42" spans="1:19" ht="15">
      <c r="A42" s="192"/>
      <c r="B42" s="138"/>
      <c r="C42" s="196" t="s">
        <v>713</v>
      </c>
      <c r="D42" s="2132">
        <f>L66</f>
        <v>22770</v>
      </c>
      <c r="E42" s="1539">
        <v>2</v>
      </c>
      <c r="H42" s="62"/>
      <c r="I42" s="62"/>
      <c r="J42" s="56"/>
      <c r="K42" s="159" t="str">
        <f t="shared" si="3"/>
        <v>Clinical consumables</v>
      </c>
      <c r="L42" s="1133">
        <f t="shared" si="4"/>
        <v>45540</v>
      </c>
      <c r="M42" s="1275"/>
      <c r="N42" s="36"/>
      <c r="O42" s="35"/>
      <c r="P42" s="35"/>
      <c r="Q42" s="35"/>
      <c r="R42" s="35"/>
      <c r="S42" s="35"/>
    </row>
    <row r="43" spans="1:19" ht="15">
      <c r="A43" s="192"/>
      <c r="B43" s="138"/>
      <c r="C43" s="196"/>
      <c r="D43" s="729"/>
      <c r="E43" s="1539"/>
      <c r="H43" s="62"/>
      <c r="I43" s="62"/>
      <c r="J43" s="56"/>
      <c r="K43" s="159" t="str">
        <f t="shared" si="3"/>
        <v/>
      </c>
      <c r="L43" s="1133">
        <f t="shared" si="4"/>
        <v>0</v>
      </c>
      <c r="M43" s="1275"/>
      <c r="N43" s="36"/>
      <c r="O43" s="35"/>
      <c r="P43" s="35"/>
      <c r="Q43" s="35"/>
      <c r="R43" s="35"/>
      <c r="S43" s="35"/>
    </row>
    <row r="44" spans="1:19" ht="15">
      <c r="A44" s="192"/>
      <c r="B44" s="138"/>
      <c r="C44" s="62"/>
      <c r="D44" s="62"/>
      <c r="E44" s="62"/>
      <c r="F44" s="62"/>
      <c r="G44" s="62"/>
      <c r="H44" s="62"/>
      <c r="I44" s="62"/>
      <c r="J44" s="56"/>
      <c r="K44" s="159" t="s">
        <v>127</v>
      </c>
      <c r="L44" s="1133">
        <f>SUM(L37:L43)</f>
        <v>104495</v>
      </c>
      <c r="M44" s="1275"/>
      <c r="N44" s="36"/>
      <c r="O44" s="35"/>
      <c r="P44" s="35"/>
      <c r="Q44" s="35"/>
      <c r="R44" s="35"/>
      <c r="S44" s="35"/>
    </row>
    <row r="45" spans="1:19" ht="15">
      <c r="A45" s="192"/>
      <c r="B45" s="138"/>
      <c r="C45" s="349"/>
      <c r="D45" s="62"/>
      <c r="E45" s="62"/>
      <c r="F45" s="170"/>
      <c r="G45" s="62"/>
      <c r="H45" s="62"/>
      <c r="I45" s="62"/>
      <c r="J45" s="62"/>
      <c r="K45" s="353"/>
      <c r="L45" s="362"/>
      <c r="M45" s="1275"/>
      <c r="N45" s="36"/>
      <c r="O45" s="35"/>
      <c r="P45" s="35"/>
      <c r="Q45" s="35"/>
      <c r="R45" s="35"/>
      <c r="S45" s="35"/>
    </row>
    <row r="46" spans="1:19" ht="15">
      <c r="A46" s="192"/>
      <c r="B46" s="138"/>
      <c r="C46" s="67"/>
      <c r="D46" s="67"/>
      <c r="E46" s="67"/>
      <c r="F46" s="67"/>
      <c r="G46" s="67"/>
      <c r="H46" s="62"/>
      <c r="I46" s="62"/>
      <c r="J46" s="62"/>
      <c r="K46" s="159" t="s">
        <v>25</v>
      </c>
      <c r="L46" s="1133">
        <f>L44+L34</f>
        <v>874151.86479999998</v>
      </c>
      <c r="M46" s="1275"/>
      <c r="N46" s="36"/>
      <c r="O46" s="35"/>
      <c r="P46" s="35"/>
      <c r="Q46" s="137"/>
      <c r="R46" s="35"/>
      <c r="S46" s="35"/>
    </row>
    <row r="47" spans="1:19">
      <c r="A47" s="138"/>
      <c r="B47" s="138"/>
      <c r="C47" s="67"/>
      <c r="D47" s="67"/>
      <c r="E47" s="67"/>
      <c r="F47" s="67"/>
      <c r="G47" s="67"/>
      <c r="H47" s="67"/>
      <c r="I47" s="67"/>
      <c r="J47" s="67"/>
      <c r="K47" s="67"/>
      <c r="L47" s="62"/>
      <c r="M47" s="1275"/>
      <c r="O47" s="35"/>
    </row>
    <row r="48" spans="1:19" ht="15">
      <c r="A48" s="138"/>
      <c r="B48" s="138"/>
      <c r="C48" s="67"/>
      <c r="D48" s="67"/>
      <c r="E48" s="67"/>
      <c r="F48" s="67"/>
      <c r="G48" s="67"/>
      <c r="H48" s="56"/>
      <c r="I48" s="56"/>
      <c r="J48" s="62"/>
      <c r="K48" s="684" t="s">
        <v>699</v>
      </c>
      <c r="L48" s="1298" t="s">
        <v>110</v>
      </c>
      <c r="M48" s="1275"/>
      <c r="O48" s="35"/>
    </row>
    <row r="49" spans="1:15" ht="15">
      <c r="A49" s="138"/>
      <c r="B49" s="138"/>
      <c r="C49" s="2330" t="s">
        <v>108</v>
      </c>
      <c r="D49" s="2331"/>
      <c r="E49" s="2520"/>
      <c r="F49" s="36"/>
      <c r="G49" s="56"/>
      <c r="H49" s="56"/>
      <c r="I49" s="56"/>
      <c r="J49" s="56"/>
      <c r="K49" s="159" t="str">
        <f>IF(C26&gt;"",C26,"")</f>
        <v>Qualified Nurse / therapist</v>
      </c>
      <c r="L49" s="771">
        <f>E26*$E$50*$E$51*$E$52</f>
        <v>3937.5</v>
      </c>
      <c r="M49" s="1275"/>
      <c r="O49" s="35"/>
    </row>
    <row r="50" spans="1:15" ht="15">
      <c r="A50" s="138"/>
      <c r="B50" s="138"/>
      <c r="C50" s="2342" t="s">
        <v>106</v>
      </c>
      <c r="D50" s="2341"/>
      <c r="E50" s="1302">
        <v>42</v>
      </c>
      <c r="G50" s="62"/>
      <c r="H50" s="56"/>
      <c r="I50" s="56"/>
      <c r="J50" s="56"/>
      <c r="K50" s="159" t="str">
        <f>IF(C27&gt;"",C27,"")</f>
        <v>Qualified Nurse / therapist</v>
      </c>
      <c r="L50" s="771">
        <f>E27*$E$50*$E$51*$E$52</f>
        <v>5512.5</v>
      </c>
      <c r="M50" s="1275"/>
      <c r="O50" s="35"/>
    </row>
    <row r="51" spans="1:15" ht="15">
      <c r="A51" s="138"/>
      <c r="B51" s="138"/>
      <c r="C51" s="2342" t="s">
        <v>250</v>
      </c>
      <c r="D51" s="2341"/>
      <c r="E51" s="1301">
        <v>37.5</v>
      </c>
      <c r="G51" s="62"/>
      <c r="H51" s="56"/>
      <c r="I51" s="56"/>
      <c r="J51" s="56"/>
      <c r="K51" s="159" t="str">
        <f>IF(C28&gt;"",C28,"")</f>
        <v>HCA</v>
      </c>
      <c r="L51" s="771">
        <f>E28*$E$50*$E$51*$E$52</f>
        <v>8662.5</v>
      </c>
      <c r="M51" s="1275"/>
      <c r="O51" s="35"/>
    </row>
    <row r="52" spans="1:15" ht="15">
      <c r="A52" s="138"/>
      <c r="B52" s="192"/>
      <c r="C52" s="2342" t="s">
        <v>698</v>
      </c>
      <c r="D52" s="2341"/>
      <c r="E52" s="1301">
        <v>0.5</v>
      </c>
      <c r="G52" s="67"/>
      <c r="H52" s="56"/>
      <c r="I52" s="56"/>
      <c r="J52" s="56"/>
      <c r="K52" s="159" t="str">
        <f>IF(C29&gt;"",C29,"")</f>
        <v>Admin support</v>
      </c>
      <c r="L52" s="771">
        <v>0</v>
      </c>
      <c r="M52" s="1275"/>
      <c r="O52" s="35"/>
    </row>
    <row r="53" spans="1:15" ht="15">
      <c r="A53" s="138"/>
      <c r="B53" s="192"/>
      <c r="C53" s="1359"/>
      <c r="D53" s="1321"/>
      <c r="E53" s="2130"/>
      <c r="G53" s="67"/>
      <c r="H53" s="537"/>
      <c r="I53" s="537"/>
      <c r="J53" s="537"/>
      <c r="K53" s="623" t="str">
        <f t="shared" ref="K53:K56" si="5">IF(C30&gt;"",C30,"")</f>
        <v/>
      </c>
      <c r="L53" s="290">
        <f>E30*$E$50*$E$51*$E$52</f>
        <v>0</v>
      </c>
      <c r="M53" s="1275"/>
      <c r="O53" s="35"/>
    </row>
    <row r="54" spans="1:15" ht="15">
      <c r="A54" s="138"/>
      <c r="B54" s="192"/>
      <c r="C54" s="67"/>
      <c r="D54" s="67"/>
      <c r="E54" s="67"/>
      <c r="F54" s="67"/>
      <c r="G54" s="67"/>
      <c r="H54" s="56"/>
      <c r="I54" s="56"/>
      <c r="J54" s="56"/>
      <c r="K54" s="623" t="str">
        <f t="shared" si="5"/>
        <v/>
      </c>
      <c r="L54" s="290">
        <f t="shared" ref="L54:L55" si="6">E31*$E$50*$E$51*$E$52</f>
        <v>0</v>
      </c>
      <c r="M54" s="1275"/>
      <c r="O54" s="35"/>
    </row>
    <row r="55" spans="1:15" ht="15">
      <c r="A55" s="138"/>
      <c r="B55" s="138"/>
      <c r="C55" s="67"/>
      <c r="D55" s="67"/>
      <c r="E55" s="67"/>
      <c r="F55" s="67"/>
      <c r="G55" s="67"/>
      <c r="H55" s="56"/>
      <c r="I55" s="56"/>
      <c r="J55" s="56"/>
      <c r="K55" s="623" t="str">
        <f t="shared" si="5"/>
        <v/>
      </c>
      <c r="L55" s="290">
        <f t="shared" si="6"/>
        <v>0</v>
      </c>
      <c r="M55" s="1275"/>
      <c r="O55" s="35"/>
    </row>
    <row r="56" spans="1:15" ht="15">
      <c r="A56" s="138"/>
      <c r="B56" s="138"/>
      <c r="C56" s="67"/>
      <c r="D56" s="67"/>
      <c r="E56" s="67"/>
      <c r="F56" s="67"/>
      <c r="G56" s="67"/>
      <c r="H56" s="537"/>
      <c r="I56" s="537"/>
      <c r="J56" s="537"/>
      <c r="K56" s="623" t="str">
        <f t="shared" si="5"/>
        <v/>
      </c>
      <c r="L56" s="290">
        <f>E33*$E$50*$E$51*$E$52</f>
        <v>0</v>
      </c>
      <c r="M56" s="1275"/>
      <c r="O56" s="35"/>
    </row>
    <row r="57" spans="1:15" ht="15">
      <c r="A57" s="138"/>
      <c r="B57" s="138"/>
      <c r="C57" s="67"/>
      <c r="D57" s="67"/>
      <c r="E57" s="67"/>
      <c r="F57" s="67"/>
      <c r="G57" s="36"/>
      <c r="H57" s="36"/>
      <c r="I57" s="36"/>
      <c r="J57" s="36"/>
      <c r="K57" s="159" t="s">
        <v>98</v>
      </c>
      <c r="L57" s="771">
        <f>SUM(L49:L54)</f>
        <v>18112.5</v>
      </c>
      <c r="M57" s="1275"/>
      <c r="O57" s="35"/>
    </row>
    <row r="58" spans="1:15" ht="15">
      <c r="A58" s="138"/>
      <c r="B58" s="138"/>
      <c r="C58" s="819" t="s">
        <v>105</v>
      </c>
      <c r="D58" s="983" t="s">
        <v>100</v>
      </c>
      <c r="E58" s="983" t="s">
        <v>122</v>
      </c>
      <c r="F58" s="684" t="s">
        <v>199</v>
      </c>
      <c r="G58" s="61"/>
      <c r="H58" s="61"/>
      <c r="I58" s="56"/>
      <c r="J58" s="56"/>
      <c r="K58" s="85"/>
      <c r="L58" s="56"/>
      <c r="M58" s="1275"/>
      <c r="O58" s="35"/>
    </row>
    <row r="59" spans="1:15" ht="30">
      <c r="A59" s="138"/>
      <c r="B59" s="138"/>
      <c r="C59" s="572" t="s">
        <v>697</v>
      </c>
      <c r="D59" s="972">
        <v>30</v>
      </c>
      <c r="E59" s="972">
        <v>60</v>
      </c>
      <c r="F59" s="1302">
        <v>45</v>
      </c>
      <c r="G59" s="61"/>
      <c r="H59" s="67"/>
      <c r="I59" s="67"/>
      <c r="J59" s="56"/>
      <c r="K59" s="159" t="s">
        <v>1051</v>
      </c>
      <c r="L59" s="811">
        <f>((F59)*(1+F60))</f>
        <v>45</v>
      </c>
      <c r="M59" s="1275"/>
      <c r="N59" s="1178"/>
      <c r="O59" s="35"/>
    </row>
    <row r="60" spans="1:15" ht="30">
      <c r="A60" s="138"/>
      <c r="B60" s="138"/>
      <c r="C60" s="572" t="s">
        <v>696</v>
      </c>
      <c r="D60" s="972">
        <v>50</v>
      </c>
      <c r="E60" s="972">
        <v>100</v>
      </c>
      <c r="F60" s="1534">
        <v>0</v>
      </c>
      <c r="G60" s="61"/>
      <c r="H60" s="67"/>
      <c r="I60" s="67"/>
      <c r="J60" s="56"/>
      <c r="K60" s="159" t="s">
        <v>1052</v>
      </c>
      <c r="L60" s="811">
        <f>(F61)*(1+F62)*F63</f>
        <v>480</v>
      </c>
      <c r="M60" s="1275"/>
      <c r="O60" s="35"/>
    </row>
    <row r="61" spans="1:15" ht="15">
      <c r="A61" s="138"/>
      <c r="B61" s="138"/>
      <c r="C61" s="159" t="s">
        <v>1121</v>
      </c>
      <c r="D61" s="972">
        <v>15</v>
      </c>
      <c r="E61" s="972">
        <v>45</v>
      </c>
      <c r="F61" s="1302">
        <v>30</v>
      </c>
      <c r="G61" s="61"/>
      <c r="H61" s="62"/>
      <c r="I61" s="67"/>
      <c r="J61" s="56"/>
      <c r="K61" s="159" t="s">
        <v>695</v>
      </c>
      <c r="L61" s="364">
        <f>(L60+L59)/60</f>
        <v>8.75</v>
      </c>
      <c r="M61" s="1275"/>
      <c r="O61" s="35"/>
    </row>
    <row r="62" spans="1:15" ht="15">
      <c r="A62" s="138"/>
      <c r="B62" s="138"/>
      <c r="C62" s="159" t="s">
        <v>694</v>
      </c>
      <c r="D62" s="972">
        <v>20</v>
      </c>
      <c r="E62" s="972">
        <v>70</v>
      </c>
      <c r="F62" s="1534">
        <v>0.6</v>
      </c>
      <c r="G62" s="61"/>
      <c r="H62" s="61"/>
      <c r="I62" s="67"/>
      <c r="J62" s="61"/>
      <c r="K62" s="365"/>
      <c r="L62" s="366"/>
      <c r="M62" s="1275"/>
      <c r="O62" s="35"/>
    </row>
    <row r="63" spans="1:15" ht="15">
      <c r="A63" s="138"/>
      <c r="B63" s="138"/>
      <c r="C63" s="159" t="s">
        <v>693</v>
      </c>
      <c r="D63" s="972">
        <v>6</v>
      </c>
      <c r="E63" s="972">
        <v>20</v>
      </c>
      <c r="F63" s="1302">
        <v>10</v>
      </c>
      <c r="G63" s="61"/>
      <c r="H63" s="62"/>
      <c r="I63" s="67"/>
      <c r="J63" s="56"/>
      <c r="K63" s="159" t="s">
        <v>692</v>
      </c>
      <c r="L63" s="363">
        <f>L57/L61</f>
        <v>2070</v>
      </c>
      <c r="M63" s="1275"/>
      <c r="O63" s="35"/>
    </row>
    <row r="64" spans="1:15" ht="15">
      <c r="A64" s="138"/>
      <c r="B64" s="138"/>
      <c r="C64" s="67"/>
      <c r="D64" s="67"/>
      <c r="E64" s="67"/>
      <c r="F64" s="367"/>
      <c r="G64" s="67"/>
      <c r="H64" s="62"/>
      <c r="I64" s="67"/>
      <c r="J64" s="56"/>
      <c r="K64" s="159" t="s">
        <v>1007</v>
      </c>
      <c r="L64" s="1133">
        <f>L46/L63</f>
        <v>422.29558685990338</v>
      </c>
      <c r="M64" s="1275"/>
      <c r="O64" s="35"/>
    </row>
    <row r="65" spans="1:18" ht="52.5" customHeight="1">
      <c r="A65" s="138"/>
      <c r="B65" s="138"/>
      <c r="C65" s="572" t="s">
        <v>691</v>
      </c>
      <c r="D65" s="972">
        <v>6</v>
      </c>
      <c r="E65" s="972">
        <v>20</v>
      </c>
      <c r="F65" s="1534">
        <v>0.1</v>
      </c>
      <c r="G65" s="61"/>
      <c r="H65" s="62"/>
      <c r="I65" s="62"/>
      <c r="J65" s="62"/>
      <c r="K65" s="572" t="s">
        <v>689</v>
      </c>
      <c r="L65" s="811">
        <f>L63*(1-F65)</f>
        <v>1863</v>
      </c>
      <c r="M65" s="1535" t="s">
        <v>1216</v>
      </c>
      <c r="O65" s="35"/>
    </row>
    <row r="66" spans="1:18" ht="15">
      <c r="A66" s="138"/>
      <c r="B66" s="138"/>
      <c r="C66" s="67"/>
      <c r="D66" s="67"/>
      <c r="E66" s="67"/>
      <c r="F66" s="67"/>
      <c r="G66" s="61"/>
      <c r="H66" s="62"/>
      <c r="I66" s="62"/>
      <c r="J66" s="62"/>
      <c r="K66" s="159" t="s">
        <v>690</v>
      </c>
      <c r="L66" s="363">
        <f>L63*(F63+1)</f>
        <v>22770</v>
      </c>
      <c r="M66" s="1275"/>
      <c r="O66" s="35"/>
    </row>
    <row r="67" spans="1:18" ht="15">
      <c r="A67" s="138"/>
      <c r="B67" s="138"/>
      <c r="C67" s="67"/>
      <c r="D67" s="67"/>
      <c r="E67" s="67"/>
      <c r="F67" s="67"/>
      <c r="G67" s="62"/>
      <c r="H67" s="62"/>
      <c r="I67" s="62"/>
      <c r="J67" s="62"/>
      <c r="K67" s="159" t="s">
        <v>1053</v>
      </c>
      <c r="L67" s="1194">
        <f>L46/L66</f>
        <v>38.390507896354855</v>
      </c>
      <c r="M67" s="1275"/>
      <c r="O67" s="35"/>
    </row>
    <row r="68" spans="1:18">
      <c r="A68" s="138"/>
      <c r="B68" s="138"/>
      <c r="C68" s="67"/>
      <c r="D68" s="67"/>
      <c r="E68" s="67"/>
      <c r="F68" s="67"/>
      <c r="G68" s="62"/>
      <c r="H68" s="62"/>
      <c r="I68" s="62"/>
      <c r="J68" s="62"/>
      <c r="K68" s="62"/>
      <c r="L68" s="62"/>
      <c r="M68" s="1284"/>
      <c r="O68" s="35"/>
    </row>
    <row r="69" spans="1:18" ht="15">
      <c r="A69" s="138"/>
      <c r="B69" s="169"/>
      <c r="C69" s="56"/>
      <c r="D69" s="56"/>
      <c r="E69" s="56"/>
      <c r="F69" s="56"/>
      <c r="G69" s="36"/>
      <c r="H69" s="36"/>
      <c r="I69" s="36"/>
      <c r="J69" s="36"/>
      <c r="K69" s="36"/>
      <c r="L69" s="36"/>
      <c r="M69" s="1306"/>
      <c r="O69" s="35"/>
    </row>
    <row r="70" spans="1:18" ht="15">
      <c r="A70" s="35"/>
      <c r="B70" s="2374" t="s">
        <v>102</v>
      </c>
      <c r="C70" s="2463"/>
      <c r="D70" s="2463"/>
      <c r="E70" s="2463"/>
      <c r="F70" s="2463"/>
      <c r="G70" s="2463"/>
      <c r="H70" s="2463"/>
      <c r="I70" s="2463"/>
      <c r="J70" s="2463"/>
      <c r="K70" s="2463"/>
      <c r="L70" s="2463"/>
      <c r="M70" s="2468"/>
      <c r="N70" s="1282"/>
      <c r="O70" s="35"/>
    </row>
    <row r="71" spans="1:18" ht="15">
      <c r="A71" s="138"/>
      <c r="B71" s="965"/>
      <c r="C71" s="56"/>
      <c r="D71" s="56"/>
      <c r="E71" s="36"/>
      <c r="F71" s="62"/>
      <c r="G71" s="62"/>
      <c r="H71" s="62"/>
      <c r="I71" s="62"/>
      <c r="J71" s="62"/>
      <c r="K71" s="53"/>
      <c r="L71" s="67"/>
      <c r="M71" s="1307"/>
      <c r="O71" s="35"/>
    </row>
    <row r="72" spans="1:18" ht="30" customHeight="1">
      <c r="A72" s="138"/>
      <c r="B72" s="138"/>
      <c r="C72" s="56"/>
      <c r="D72" s="56"/>
      <c r="E72" s="36"/>
      <c r="F72" s="62"/>
      <c r="G72" s="62"/>
      <c r="H72" s="62"/>
      <c r="I72" s="1183"/>
      <c r="J72" s="67"/>
      <c r="K72" s="1451" t="s">
        <v>689</v>
      </c>
      <c r="L72" s="595">
        <f>L65</f>
        <v>1863</v>
      </c>
      <c r="M72" s="1274"/>
      <c r="O72" s="35"/>
    </row>
    <row r="73" spans="1:18" ht="15">
      <c r="A73" s="138"/>
      <c r="B73" s="138"/>
      <c r="C73" s="67"/>
      <c r="D73" s="162"/>
      <c r="E73" s="162"/>
      <c r="F73" s="162"/>
      <c r="G73" s="170"/>
      <c r="H73" s="62"/>
      <c r="I73" s="350"/>
      <c r="J73" s="350"/>
      <c r="K73" s="350"/>
      <c r="L73" s="67"/>
      <c r="M73" s="1274"/>
      <c r="O73" s="4"/>
      <c r="P73" s="5"/>
      <c r="Q73" s="5"/>
      <c r="R73" s="5"/>
    </row>
    <row r="74" spans="1:18" ht="30">
      <c r="A74" s="138"/>
      <c r="B74" s="138"/>
      <c r="C74" s="476" t="s">
        <v>1054</v>
      </c>
      <c r="D74" s="983" t="s">
        <v>122</v>
      </c>
      <c r="E74" s="983" t="s">
        <v>100</v>
      </c>
      <c r="F74" s="684" t="s">
        <v>199</v>
      </c>
      <c r="G74" s="170"/>
      <c r="I74" s="1178"/>
      <c r="J74" s="368"/>
      <c r="K74" s="691" t="s">
        <v>1001</v>
      </c>
      <c r="L74" s="563" t="s">
        <v>121</v>
      </c>
      <c r="M74" s="1134" t="s">
        <v>148</v>
      </c>
      <c r="O74" s="4"/>
      <c r="P74" s="5"/>
      <c r="Q74" s="5"/>
      <c r="R74" s="5"/>
    </row>
    <row r="75" spans="1:18" ht="15">
      <c r="A75" s="138"/>
      <c r="B75" s="138"/>
      <c r="C75" s="160" t="s">
        <v>69</v>
      </c>
      <c r="D75" s="1932">
        <v>0</v>
      </c>
      <c r="E75" s="1932">
        <v>15</v>
      </c>
      <c r="F75" s="354">
        <v>2</v>
      </c>
      <c r="G75" s="170"/>
      <c r="I75" s="1159"/>
      <c r="J75" s="67"/>
      <c r="K75" s="1180" t="str">
        <f>C75</f>
        <v>Emergency bed days</v>
      </c>
      <c r="L75" s="363">
        <f>F75*L$65</f>
        <v>3726</v>
      </c>
      <c r="M75" s="1310">
        <f>SIGN(F75)*INT(ABS(L75)/E90)*E90</f>
        <v>2190</v>
      </c>
      <c r="O75" s="4"/>
      <c r="P75" s="5"/>
      <c r="Q75" s="5"/>
      <c r="R75" s="5"/>
    </row>
    <row r="76" spans="1:18" ht="15">
      <c r="A76" s="138"/>
      <c r="B76" s="138"/>
      <c r="C76" s="160" t="s">
        <v>43</v>
      </c>
      <c r="D76" s="1932">
        <v>0</v>
      </c>
      <c r="E76" s="1932">
        <v>15</v>
      </c>
      <c r="F76" s="354">
        <v>0.95</v>
      </c>
      <c r="G76" s="36"/>
      <c r="I76" s="1159"/>
      <c r="J76" s="67"/>
      <c r="K76" s="1180" t="str">
        <f>C76</f>
        <v>ED attends</v>
      </c>
      <c r="L76" s="363">
        <f>F76*L$65</f>
        <v>1769.85</v>
      </c>
      <c r="M76" s="1310">
        <f>SIGN(F76)*INT(ABS(L76)/E91)*E91</f>
        <v>0</v>
      </c>
      <c r="O76" s="4"/>
      <c r="P76" s="5"/>
      <c r="Q76" s="5"/>
      <c r="R76" s="5"/>
    </row>
    <row r="77" spans="1:18" ht="15">
      <c r="A77" s="138"/>
      <c r="B77" s="138"/>
      <c r="C77" s="369" t="s">
        <v>46</v>
      </c>
      <c r="D77" s="1932">
        <v>0</v>
      </c>
      <c r="E77" s="1932">
        <v>15</v>
      </c>
      <c r="F77" s="354">
        <v>0.95</v>
      </c>
      <c r="G77" s="36"/>
      <c r="I77" s="1159"/>
      <c r="J77" s="67"/>
      <c r="K77" s="1180" t="str">
        <f>C77</f>
        <v>Ambulance - see and convey to ED</v>
      </c>
      <c r="L77" s="363">
        <f>F77*L$65</f>
        <v>1769.85</v>
      </c>
      <c r="M77" s="1310">
        <f>SIGN(F77)*INT(ABS(L77)/E92)*E92</f>
        <v>0</v>
      </c>
      <c r="O77" s="4"/>
      <c r="P77" s="5"/>
      <c r="Q77" s="5"/>
      <c r="R77" s="5"/>
    </row>
    <row r="78" spans="1:18" ht="15">
      <c r="A78" s="138"/>
      <c r="B78" s="138"/>
      <c r="C78" s="369" t="s">
        <v>48</v>
      </c>
      <c r="D78" s="1932">
        <v>0</v>
      </c>
      <c r="E78" s="1932">
        <v>15</v>
      </c>
      <c r="F78" s="354">
        <v>0.12</v>
      </c>
      <c r="G78" s="36"/>
      <c r="I78" s="1159"/>
      <c r="J78" s="67"/>
      <c r="K78" s="1180" t="str">
        <f>C78</f>
        <v>Intermediate care bed days</v>
      </c>
      <c r="L78" s="363">
        <f>F78*L$65</f>
        <v>223.56</v>
      </c>
      <c r="M78" s="1310">
        <f>SIGN(F78)*INT(ABS(L78)/E93)*E93</f>
        <v>0</v>
      </c>
      <c r="O78" s="4"/>
      <c r="P78" s="5"/>
      <c r="Q78" s="5"/>
      <c r="R78" s="5"/>
    </row>
    <row r="79" spans="1:18" s="50" customFormat="1" ht="15">
      <c r="A79" s="933"/>
      <c r="B79" s="933"/>
      <c r="C79" s="67"/>
      <c r="D79" s="67"/>
      <c r="E79" s="67"/>
      <c r="F79" s="67"/>
      <c r="G79" s="37"/>
      <c r="H79" s="370"/>
      <c r="I79" s="370"/>
      <c r="J79" s="195"/>
      <c r="M79" s="1308"/>
      <c r="N79" s="176"/>
      <c r="O79" s="371"/>
      <c r="P79" s="372"/>
      <c r="Q79" s="372"/>
      <c r="R79" s="372"/>
    </row>
    <row r="80" spans="1:18" ht="30">
      <c r="A80" s="138"/>
      <c r="B80" s="138"/>
      <c r="C80" s="67"/>
      <c r="D80" s="67"/>
      <c r="E80" s="67"/>
      <c r="F80" s="67"/>
      <c r="G80" s="36"/>
      <c r="I80" s="741"/>
      <c r="J80" s="36"/>
      <c r="K80" s="1181" t="s">
        <v>1056</v>
      </c>
      <c r="L80" s="691" t="s">
        <v>661</v>
      </c>
      <c r="M80" s="1173" t="s">
        <v>120</v>
      </c>
      <c r="O80" s="4"/>
      <c r="P80" s="5"/>
      <c r="Q80" s="5"/>
      <c r="R80" s="5"/>
    </row>
    <row r="81" spans="1:23" ht="15">
      <c r="A81" s="138"/>
      <c r="B81" s="138"/>
      <c r="C81" s="67"/>
      <c r="D81" s="67"/>
      <c r="E81" s="67"/>
      <c r="F81" s="67"/>
      <c r="G81" s="36"/>
      <c r="I81" s="741"/>
      <c r="J81" s="36"/>
      <c r="K81" s="1312" t="str">
        <f>K75</f>
        <v>Emergency bed days</v>
      </c>
      <c r="L81" s="1133">
        <f>L75*D90</f>
        <v>1757013.2860419275</v>
      </c>
      <c r="M81" s="1135">
        <f>(L75-M75)*F90+M75*G90</f>
        <v>284620.96960519918</v>
      </c>
      <c r="O81" s="4"/>
      <c r="P81" s="5"/>
      <c r="Q81" s="5"/>
      <c r="R81" s="5"/>
    </row>
    <row r="82" spans="1:23" ht="15">
      <c r="A82" s="138"/>
      <c r="B82" s="138"/>
      <c r="C82" s="67"/>
      <c r="D82" s="67"/>
      <c r="E82" s="67"/>
      <c r="F82" s="67"/>
      <c r="G82" s="36"/>
      <c r="I82" s="741"/>
      <c r="J82" s="36"/>
      <c r="K82" s="1312" t="str">
        <f>K76</f>
        <v>ED attends</v>
      </c>
      <c r="L82" s="1133">
        <f>L76*D91</f>
        <v>272901.90377595881</v>
      </c>
      <c r="M82" s="1135">
        <f>(L76-M76)*F91+M76*G91</f>
        <v>23027.963145820642</v>
      </c>
      <c r="O82" s="4"/>
      <c r="P82" s="5"/>
      <c r="Q82" s="5"/>
      <c r="R82" s="5"/>
    </row>
    <row r="83" spans="1:23" ht="15">
      <c r="A83" s="138"/>
      <c r="B83" s="138"/>
      <c r="C83" s="67"/>
      <c r="D83" s="67"/>
      <c r="E83" s="67"/>
      <c r="F83" s="67"/>
      <c r="G83" s="36"/>
      <c r="I83" s="741"/>
      <c r="J83" s="36"/>
      <c r="K83" s="1312" t="str">
        <f>K77</f>
        <v>Ambulance - see and convey to ED</v>
      </c>
      <c r="L83" s="1133">
        <f>L77*D92</f>
        <v>412410.44821618882</v>
      </c>
      <c r="M83" s="1135">
        <f>(L77-M77)*F92+M77*G92</f>
        <v>45569.566844999994</v>
      </c>
      <c r="O83" s="4"/>
      <c r="P83" s="5"/>
      <c r="Q83" s="5"/>
      <c r="R83" s="5"/>
    </row>
    <row r="84" spans="1:23" ht="15">
      <c r="A84" s="138"/>
      <c r="B84" s="138"/>
      <c r="C84" s="67"/>
      <c r="D84" s="67"/>
      <c r="E84" s="67"/>
      <c r="F84" s="67"/>
      <c r="G84" s="36"/>
      <c r="I84" s="741"/>
      <c r="J84" s="36"/>
      <c r="K84" s="1312" t="str">
        <f>K78</f>
        <v>Intermediate care bed days</v>
      </c>
      <c r="L84" s="1133">
        <f>L78*D93</f>
        <v>63102.589729545056</v>
      </c>
      <c r="M84" s="1135">
        <f>(L78-M78)*F93+M78*G93</f>
        <v>4891.3810199506743</v>
      </c>
      <c r="O84" s="4"/>
      <c r="P84" s="5"/>
      <c r="Q84" s="5"/>
      <c r="R84" s="5"/>
    </row>
    <row r="85" spans="1:23" ht="15">
      <c r="A85" s="138"/>
      <c r="B85" s="138"/>
      <c r="C85" s="67"/>
      <c r="D85" s="67"/>
      <c r="E85" s="67"/>
      <c r="F85" s="67"/>
      <c r="G85" s="36"/>
      <c r="I85" s="64"/>
      <c r="J85" s="67"/>
      <c r="K85" s="1312" t="s">
        <v>1057</v>
      </c>
      <c r="L85" s="1133">
        <f>SUM(L81:L84)</f>
        <v>2505428.2277636202</v>
      </c>
      <c r="M85" s="1135">
        <f>SUM(M81:M84)</f>
        <v>358109.88061597053</v>
      </c>
      <c r="O85" s="4"/>
      <c r="P85" s="5"/>
      <c r="Q85" s="5"/>
      <c r="R85" s="5"/>
    </row>
    <row r="86" spans="1:23" ht="15">
      <c r="A86" s="138"/>
      <c r="B86" s="138"/>
      <c r="C86" s="67"/>
      <c r="D86" s="67"/>
      <c r="E86" s="67"/>
      <c r="F86" s="67"/>
      <c r="G86" s="36"/>
      <c r="I86" s="741"/>
      <c r="J86" s="36"/>
      <c r="K86" s="1311"/>
      <c r="L86" s="373"/>
      <c r="M86" s="1313" t="s">
        <v>1055</v>
      </c>
      <c r="O86" s="4"/>
      <c r="P86" s="5"/>
      <c r="Q86" s="5"/>
      <c r="R86" s="5"/>
    </row>
    <row r="87" spans="1:23">
      <c r="A87" s="138"/>
      <c r="B87" s="138"/>
      <c r="C87" s="67"/>
      <c r="D87" s="67"/>
      <c r="E87" s="67"/>
      <c r="F87" s="67"/>
      <c r="G87" s="36"/>
      <c r="H87" s="36"/>
      <c r="I87" s="36"/>
      <c r="J87" s="36"/>
      <c r="M87" s="1275"/>
      <c r="N87" s="36"/>
      <c r="O87" s="4"/>
      <c r="P87" s="5"/>
      <c r="Q87" s="5"/>
      <c r="R87" s="5"/>
    </row>
    <row r="88" spans="1:23">
      <c r="A88" s="138"/>
      <c r="B88" s="138"/>
      <c r="C88" s="67"/>
      <c r="D88" s="67"/>
      <c r="E88" s="67"/>
      <c r="F88" s="67"/>
      <c r="G88" s="36"/>
      <c r="H88" s="36"/>
      <c r="I88" s="36"/>
      <c r="J88" s="36"/>
      <c r="K88" s="36"/>
      <c r="L88" s="36"/>
      <c r="M88" s="153"/>
      <c r="N88" s="36"/>
      <c r="O88" s="4"/>
      <c r="P88" s="5"/>
      <c r="Q88" s="5"/>
      <c r="R88" s="5"/>
    </row>
    <row r="89" spans="1:23" ht="75">
      <c r="A89" s="192"/>
      <c r="B89" s="138"/>
      <c r="C89" s="582" t="s">
        <v>1214</v>
      </c>
      <c r="D89" s="563" t="s">
        <v>660</v>
      </c>
      <c r="E89" s="563" t="s">
        <v>145</v>
      </c>
      <c r="F89" s="563" t="s">
        <v>144</v>
      </c>
      <c r="G89" s="563" t="s">
        <v>688</v>
      </c>
      <c r="J89" s="67"/>
      <c r="K89" s="67"/>
      <c r="L89" s="67"/>
      <c r="M89" s="1309"/>
      <c r="N89" s="36"/>
      <c r="O89" s="35"/>
      <c r="P89" s="35"/>
      <c r="Q89" s="35"/>
      <c r="R89" s="35"/>
      <c r="S89" s="35"/>
      <c r="T89" s="35"/>
      <c r="U89" s="35"/>
      <c r="V89" s="35"/>
      <c r="W89" s="35"/>
    </row>
    <row r="90" spans="1:23" ht="15">
      <c r="A90" s="192"/>
      <c r="B90" s="138"/>
      <c r="C90" s="121" t="str">
        <f>C75</f>
        <v>Emergency bed days</v>
      </c>
      <c r="D90" s="2109">
        <f>VLOOKUP($C90,local_data_input!$B$4:$K$20,2,FALSE)</f>
        <v>471.55482717174652</v>
      </c>
      <c r="E90" s="771">
        <f>VLOOKUP($C90,local_data_input!$B$4:$K$20,7,FALSE)</f>
        <v>2190</v>
      </c>
      <c r="F90" s="2109">
        <f>VLOOKUP($C90,local_data_input!$B$4:$K$20,8,FALSE)</f>
        <v>76.38780719409533</v>
      </c>
      <c r="G90" s="2109">
        <f>VLOOKUP($C90,local_data_input!$B$4:$K$20,9,FALSE)</f>
        <v>76.38780719409533</v>
      </c>
      <c r="J90" s="67"/>
      <c r="K90" s="67"/>
      <c r="L90" s="67"/>
      <c r="M90" s="1275"/>
      <c r="N90" s="36"/>
      <c r="O90" s="35"/>
      <c r="P90" s="35"/>
      <c r="Q90" s="35"/>
      <c r="R90" s="35"/>
      <c r="S90" s="35"/>
      <c r="T90" s="35"/>
      <c r="U90" s="35"/>
      <c r="V90" s="35"/>
      <c r="W90" s="35"/>
    </row>
    <row r="91" spans="1:23" ht="15">
      <c r="A91" s="192"/>
      <c r="B91" s="138"/>
      <c r="C91" s="121" t="str">
        <f>C76</f>
        <v>ED attends</v>
      </c>
      <c r="D91" s="2109">
        <f>VLOOKUP($C91,local_data_input!$B$4:$K$20,2,FALSE)</f>
        <v>154.19493390737</v>
      </c>
      <c r="E91" s="771">
        <f>VLOOKUP($C91,local_data_input!$B$4:$K$20,7,FALSE)</f>
        <v>4725</v>
      </c>
      <c r="F91" s="2109">
        <f>VLOOKUP($C91,local_data_input!$B$4:$K$20,8,FALSE)</f>
        <v>13.011251318371977</v>
      </c>
      <c r="G91" s="2109">
        <f>VLOOKUP($C91,local_data_input!$B$4:$K$20,9,FALSE)</f>
        <v>13.011251318371977</v>
      </c>
      <c r="J91" s="67"/>
      <c r="K91" s="67"/>
      <c r="L91" s="67"/>
      <c r="M91" s="1275"/>
      <c r="N91" s="36"/>
      <c r="O91" s="35"/>
      <c r="P91" s="35"/>
      <c r="Q91" s="35"/>
      <c r="R91" s="35"/>
      <c r="S91" s="35"/>
      <c r="T91" s="35"/>
      <c r="U91" s="35"/>
      <c r="V91" s="35"/>
      <c r="W91" s="35"/>
    </row>
    <row r="92" spans="1:23" ht="15">
      <c r="A92" s="192"/>
      <c r="B92" s="138"/>
      <c r="C92" s="121" t="str">
        <f>C77</f>
        <v>Ambulance - see and convey to ED</v>
      </c>
      <c r="D92" s="2109">
        <f>VLOOKUP($C92,local_data_input!$B$4:$K$20,2,FALSE)</f>
        <v>233.02000068717058</v>
      </c>
      <c r="E92" s="771">
        <f>VLOOKUP($C92,local_data_input!$B$4:$K$20,7,FALSE)</f>
        <v>3150</v>
      </c>
      <c r="F92" s="2109">
        <f>VLOOKUP($C92,local_data_input!$B$4:$K$20,8,FALSE)</f>
        <v>25.747699999999998</v>
      </c>
      <c r="G92" s="2109">
        <f>VLOOKUP($C92,local_data_input!$B$4:$K$20,9,FALSE)</f>
        <v>25.747699999999998</v>
      </c>
      <c r="J92" s="67"/>
      <c r="K92" s="67"/>
      <c r="L92" s="67"/>
      <c r="M92" s="1275"/>
      <c r="N92" s="36"/>
      <c r="O92" s="35"/>
      <c r="P92" s="35"/>
      <c r="Q92" s="35"/>
      <c r="R92" s="35"/>
      <c r="S92" s="35"/>
      <c r="T92" s="35"/>
      <c r="U92" s="35"/>
      <c r="V92" s="35"/>
      <c r="W92" s="35"/>
    </row>
    <row r="93" spans="1:23" ht="15">
      <c r="A93" s="192"/>
      <c r="B93" s="138"/>
      <c r="C93" s="121" t="str">
        <f>C78</f>
        <v>Intermediate care bed days</v>
      </c>
      <c r="D93" s="2109">
        <f>VLOOKUP($C93,local_data_input!$B$4:$K$20,2,FALSE)</f>
        <v>282.26243393069001</v>
      </c>
      <c r="E93" s="771">
        <f>VLOOKUP($C93,local_data_input!$B$4:$K$20,7,FALSE)</f>
        <v>1460</v>
      </c>
      <c r="F93" s="2109">
        <f>VLOOKUP($C93,local_data_input!$B$4:$K$20,8,FALSE)</f>
        <v>21.879499999779362</v>
      </c>
      <c r="G93" s="2109">
        <f>VLOOKUP($C93,local_data_input!$B$4:$K$20,9,FALSE)</f>
        <v>21.879499999779362</v>
      </c>
      <c r="J93" s="67"/>
      <c r="K93" s="67"/>
      <c r="L93" s="67"/>
      <c r="M93" s="1275"/>
      <c r="N93" s="36"/>
      <c r="O93" s="35"/>
      <c r="P93" s="35"/>
      <c r="Q93" s="35"/>
      <c r="R93" s="35"/>
      <c r="S93" s="35"/>
      <c r="T93" s="35"/>
      <c r="U93" s="35"/>
      <c r="V93" s="35"/>
      <c r="W93" s="35"/>
    </row>
    <row r="94" spans="1:23">
      <c r="A94" s="138"/>
      <c r="B94" s="138"/>
      <c r="C94" s="67"/>
      <c r="D94" s="67"/>
      <c r="E94" s="67"/>
      <c r="F94" s="67"/>
      <c r="G94" s="36"/>
      <c r="H94" s="36"/>
      <c r="I94" s="36"/>
      <c r="J94" s="36"/>
      <c r="K94" s="36"/>
      <c r="L94" s="36"/>
      <c r="M94" s="153"/>
      <c r="N94" s="36"/>
      <c r="O94" s="4"/>
      <c r="P94" s="5"/>
      <c r="Q94" s="5"/>
      <c r="R94" s="5"/>
    </row>
    <row r="95" spans="1:23" ht="15">
      <c r="A95" s="138"/>
      <c r="B95" s="169"/>
      <c r="C95" s="36"/>
      <c r="D95" s="36"/>
      <c r="E95" s="36"/>
      <c r="F95" s="98"/>
      <c r="G95" s="62"/>
      <c r="H95" s="36"/>
      <c r="I95" s="36"/>
      <c r="J95" s="36"/>
      <c r="K95" s="36"/>
      <c r="L95" s="36"/>
      <c r="M95" s="153"/>
      <c r="O95" s="35"/>
    </row>
    <row r="96" spans="1:23" ht="15">
      <c r="A96" s="2051"/>
      <c r="B96" s="2511" t="s">
        <v>194</v>
      </c>
      <c r="C96" s="2516"/>
      <c r="D96" s="2516"/>
      <c r="E96" s="2516"/>
      <c r="F96" s="2516"/>
      <c r="G96" s="2516"/>
      <c r="H96" s="2516"/>
      <c r="I96" s="2516"/>
      <c r="J96" s="2516"/>
      <c r="K96" s="2516"/>
      <c r="L96" s="2516"/>
      <c r="M96" s="2517"/>
      <c r="N96" s="1303"/>
      <c r="O96" s="35"/>
    </row>
    <row r="97" spans="1:18">
      <c r="A97" s="35"/>
      <c r="B97" s="965"/>
      <c r="C97" s="67"/>
      <c r="D97" s="67"/>
      <c r="E97" s="36"/>
      <c r="F97" s="62"/>
      <c r="G97" s="62"/>
      <c r="H97" s="36"/>
      <c r="I97" s="36"/>
      <c r="J97" s="36"/>
      <c r="K97" s="36"/>
      <c r="L97" s="36"/>
      <c r="M97" s="1286"/>
      <c r="N97" s="36"/>
      <c r="O97" s="4"/>
      <c r="P97" s="5"/>
      <c r="Q97" s="5"/>
      <c r="R97" s="5"/>
    </row>
    <row r="98" spans="1:18">
      <c r="A98" s="35"/>
      <c r="B98" s="138"/>
      <c r="C98" s="62"/>
      <c r="D98" s="62"/>
      <c r="E98" s="62"/>
      <c r="F98" s="62"/>
      <c r="G98" s="62"/>
      <c r="H98" s="36"/>
      <c r="I98" s="36"/>
      <c r="J98" s="36"/>
      <c r="K98" s="36"/>
      <c r="L98" s="36"/>
      <c r="M98" s="153"/>
      <c r="N98" s="36"/>
      <c r="O98" s="4"/>
      <c r="P98" s="5"/>
      <c r="Q98" s="5"/>
      <c r="R98" s="5"/>
    </row>
    <row r="99" spans="1:18" ht="15">
      <c r="A99" s="35"/>
      <c r="B99" s="138"/>
      <c r="C99" s="62"/>
      <c r="D99" s="62"/>
      <c r="E99" s="62"/>
      <c r="F99" s="62"/>
      <c r="G99" s="62"/>
      <c r="H99" s="36"/>
      <c r="I99" s="162"/>
      <c r="J99" s="162"/>
      <c r="K99" s="162"/>
      <c r="L99" s="162"/>
      <c r="M99" s="153"/>
      <c r="N99" s="36"/>
      <c r="O99" s="4"/>
      <c r="P99" s="5"/>
      <c r="Q99" s="5"/>
      <c r="R99" s="5"/>
    </row>
    <row r="100" spans="1:18">
      <c r="A100" s="35"/>
      <c r="B100" s="138"/>
      <c r="C100" s="62"/>
      <c r="D100" s="62"/>
      <c r="E100" s="62"/>
      <c r="F100" s="62"/>
      <c r="G100" s="62"/>
      <c r="H100" s="62"/>
      <c r="I100" s="62"/>
      <c r="J100" s="62"/>
      <c r="K100" s="62"/>
      <c r="L100" s="62"/>
      <c r="M100" s="1284"/>
      <c r="N100" s="36"/>
      <c r="O100" s="4"/>
      <c r="P100" s="5"/>
      <c r="Q100" s="5"/>
      <c r="R100" s="5"/>
    </row>
    <row r="101" spans="1:18">
      <c r="A101" s="35"/>
      <c r="B101" s="138"/>
      <c r="C101" s="62"/>
      <c r="D101" s="62"/>
      <c r="E101" s="62"/>
      <c r="F101" s="62"/>
      <c r="G101" s="62"/>
      <c r="H101" s="62"/>
      <c r="I101" s="62"/>
      <c r="J101" s="62"/>
      <c r="K101" s="62"/>
      <c r="L101" s="62"/>
      <c r="M101" s="1284"/>
      <c r="N101" s="36"/>
      <c r="O101" s="4"/>
      <c r="P101" s="5"/>
      <c r="Q101" s="5"/>
      <c r="R101" s="5"/>
    </row>
    <row r="102" spans="1:18">
      <c r="A102" s="35"/>
      <c r="B102" s="138"/>
      <c r="C102" s="62"/>
      <c r="D102" s="62"/>
      <c r="E102" s="62"/>
      <c r="F102" s="62"/>
      <c r="G102" s="62"/>
      <c r="H102" s="62"/>
      <c r="I102" s="62"/>
      <c r="J102" s="62"/>
      <c r="K102" s="62"/>
      <c r="L102" s="62"/>
      <c r="M102" s="1284"/>
      <c r="N102" s="36"/>
      <c r="O102" s="4"/>
      <c r="P102" s="5"/>
      <c r="Q102" s="5"/>
      <c r="R102" s="5"/>
    </row>
    <row r="103" spans="1:18">
      <c r="A103" s="35"/>
      <c r="B103" s="138"/>
      <c r="C103" s="62"/>
      <c r="D103" s="62"/>
      <c r="E103" s="62"/>
      <c r="F103" s="62"/>
      <c r="G103" s="62"/>
      <c r="H103" s="62"/>
      <c r="I103" s="62"/>
      <c r="J103" s="62"/>
      <c r="K103" s="62"/>
      <c r="L103" s="62"/>
      <c r="M103" s="1284"/>
      <c r="N103" s="36"/>
      <c r="O103" s="4"/>
      <c r="P103" s="5"/>
      <c r="Q103" s="5"/>
      <c r="R103" s="5"/>
    </row>
    <row r="104" spans="1:18">
      <c r="A104" s="35"/>
      <c r="B104" s="138"/>
      <c r="C104" s="62"/>
      <c r="D104" s="62"/>
      <c r="E104" s="62"/>
      <c r="F104" s="62"/>
      <c r="G104" s="62"/>
      <c r="H104" s="36"/>
      <c r="I104" s="36"/>
      <c r="J104" s="36"/>
      <c r="K104" s="36"/>
      <c r="L104" s="36"/>
      <c r="M104" s="153"/>
      <c r="N104" s="36"/>
      <c r="O104" s="4"/>
      <c r="P104" s="5"/>
      <c r="Q104" s="5"/>
      <c r="R104" s="5"/>
    </row>
    <row r="105" spans="1:18">
      <c r="A105" s="35"/>
      <c r="B105" s="138"/>
      <c r="C105" s="62"/>
      <c r="D105" s="62"/>
      <c r="E105" s="62"/>
      <c r="F105" s="62"/>
      <c r="G105" s="62"/>
      <c r="H105" s="36"/>
      <c r="I105" s="36"/>
      <c r="J105" s="36"/>
      <c r="K105" s="36"/>
      <c r="L105" s="36"/>
      <c r="M105" s="153"/>
      <c r="N105" s="36"/>
      <c r="O105" s="4"/>
      <c r="P105" s="5"/>
      <c r="Q105" s="5"/>
      <c r="R105" s="5"/>
    </row>
    <row r="106" spans="1:18" ht="15">
      <c r="A106" s="35"/>
      <c r="B106" s="138"/>
      <c r="C106" s="62"/>
      <c r="D106" s="62"/>
      <c r="E106" s="36"/>
      <c r="F106" s="62"/>
      <c r="G106" s="62"/>
      <c r="H106" s="36"/>
      <c r="I106" s="36"/>
      <c r="J106" s="36"/>
      <c r="K106" s="36"/>
      <c r="L106" s="374"/>
      <c r="M106" s="153"/>
      <c r="N106" s="537"/>
      <c r="O106" s="35"/>
    </row>
    <row r="107" spans="1:18" ht="15">
      <c r="A107" s="35"/>
      <c r="B107" s="138"/>
      <c r="C107" s="56"/>
      <c r="D107" s="56"/>
      <c r="E107" s="36"/>
      <c r="F107" s="62"/>
      <c r="G107" s="62"/>
      <c r="H107" s="36"/>
      <c r="I107" s="36"/>
      <c r="J107" s="36"/>
      <c r="K107" s="36"/>
      <c r="L107" s="374"/>
      <c r="M107" s="153"/>
      <c r="N107" s="537"/>
      <c r="O107" s="35"/>
    </row>
    <row r="108" spans="1:18" ht="15.75" thickBot="1">
      <c r="A108" s="173"/>
      <c r="B108" s="142"/>
      <c r="C108" s="172"/>
      <c r="D108" s="172"/>
      <c r="E108" s="173"/>
      <c r="F108" s="174"/>
      <c r="G108" s="174"/>
      <c r="H108" s="174"/>
      <c r="I108" s="174"/>
      <c r="J108" s="174"/>
      <c r="K108" s="174"/>
      <c r="L108" s="1125"/>
      <c r="M108" s="175"/>
      <c r="N108" s="537"/>
      <c r="O108" s="35"/>
    </row>
    <row r="109" spans="1:18" ht="15">
      <c r="A109" s="35"/>
      <c r="B109" s="35"/>
      <c r="C109" s="56"/>
      <c r="D109" s="56"/>
      <c r="E109" s="36"/>
      <c r="F109" s="62"/>
      <c r="G109" s="62"/>
      <c r="H109" s="62"/>
      <c r="I109" s="62"/>
      <c r="J109" s="62"/>
      <c r="K109" s="62"/>
      <c r="L109" s="62"/>
      <c r="M109" s="62"/>
      <c r="N109" s="62"/>
      <c r="O109" s="4"/>
      <c r="P109" s="5"/>
      <c r="Q109" s="5"/>
      <c r="R109" s="5"/>
    </row>
    <row r="110" spans="1:18" ht="15">
      <c r="A110" s="35"/>
      <c r="B110" s="35"/>
      <c r="C110" s="56"/>
      <c r="D110" s="56"/>
      <c r="E110" s="35"/>
      <c r="F110" s="62"/>
      <c r="G110" s="62"/>
      <c r="H110" s="62"/>
      <c r="I110" s="62"/>
      <c r="J110" s="62"/>
      <c r="K110" s="62"/>
      <c r="L110" s="62"/>
      <c r="M110" s="62"/>
      <c r="N110" s="62"/>
      <c r="O110" s="4"/>
      <c r="P110" s="5"/>
      <c r="Q110" s="5"/>
      <c r="R110" s="5"/>
    </row>
    <row r="111" spans="1:18" ht="15">
      <c r="A111" s="35"/>
      <c r="B111" s="35"/>
      <c r="C111" s="56"/>
      <c r="D111" s="56"/>
      <c r="E111" s="56"/>
      <c r="F111" s="62"/>
      <c r="G111" s="62"/>
      <c r="H111" s="62"/>
      <c r="I111" s="62"/>
      <c r="J111" s="62"/>
      <c r="K111" s="62"/>
      <c r="L111" s="62"/>
      <c r="M111" s="62"/>
      <c r="N111" s="62"/>
      <c r="O111" s="4"/>
      <c r="P111" s="5"/>
      <c r="Q111" s="5"/>
      <c r="R111" s="5"/>
    </row>
    <row r="112" spans="1:18" ht="15">
      <c r="A112" s="35"/>
      <c r="B112" s="35"/>
      <c r="C112" s="56"/>
      <c r="D112" s="56"/>
      <c r="E112" s="56"/>
      <c r="F112" s="62"/>
      <c r="G112" s="62"/>
      <c r="H112" s="62"/>
      <c r="I112" s="62"/>
      <c r="J112" s="62"/>
      <c r="K112" s="62"/>
      <c r="L112" s="62"/>
      <c r="M112" s="62"/>
      <c r="N112" s="62"/>
      <c r="O112" s="4"/>
      <c r="P112" s="5"/>
      <c r="Q112" s="5"/>
      <c r="R112" s="5"/>
    </row>
    <row r="113" spans="1:18">
      <c r="A113" s="35"/>
      <c r="B113" s="35"/>
      <c r="C113" s="62"/>
      <c r="D113" s="62"/>
      <c r="E113" s="36"/>
      <c r="F113" s="111"/>
      <c r="G113" s="111"/>
      <c r="H113" s="111"/>
      <c r="I113" s="111"/>
      <c r="J113" s="111"/>
      <c r="K113" s="111"/>
      <c r="L113" s="111"/>
      <c r="M113" s="111"/>
      <c r="N113" s="111"/>
      <c r="O113" s="4"/>
      <c r="P113" s="5"/>
      <c r="Q113" s="5"/>
      <c r="R113" s="5"/>
    </row>
    <row r="114" spans="1:18">
      <c r="A114" s="35"/>
      <c r="B114" s="35"/>
      <c r="C114" s="62"/>
      <c r="D114" s="62"/>
      <c r="E114" s="36"/>
      <c r="F114" s="62"/>
      <c r="G114" s="62"/>
      <c r="H114" s="62"/>
      <c r="I114" s="62"/>
      <c r="J114" s="62"/>
      <c r="K114" s="62"/>
      <c r="L114" s="62"/>
      <c r="M114" s="62"/>
      <c r="N114" s="62"/>
      <c r="O114" s="4"/>
      <c r="P114" s="5"/>
      <c r="Q114" s="5"/>
      <c r="R114" s="5"/>
    </row>
    <row r="115" spans="1:18">
      <c r="A115" s="35"/>
      <c r="B115" s="35"/>
      <c r="C115" s="112"/>
      <c r="D115" s="112"/>
      <c r="E115" s="36"/>
      <c r="F115" s="67"/>
      <c r="G115" s="62"/>
      <c r="H115" s="62"/>
      <c r="I115" s="62"/>
      <c r="J115" s="62"/>
      <c r="K115" s="62"/>
      <c r="L115" s="62"/>
      <c r="M115" s="62"/>
      <c r="N115" s="62"/>
      <c r="O115" s="4"/>
      <c r="P115" s="5"/>
      <c r="Q115" s="5"/>
      <c r="R115" s="5"/>
    </row>
    <row r="116" spans="1:18">
      <c r="A116" s="35"/>
      <c r="B116" s="35"/>
      <c r="C116" s="36"/>
      <c r="D116" s="36"/>
      <c r="E116" s="36"/>
      <c r="F116" s="36"/>
      <c r="G116" s="36"/>
      <c r="H116" s="36"/>
      <c r="I116" s="36"/>
      <c r="J116" s="36"/>
      <c r="K116" s="36"/>
      <c r="L116" s="36"/>
      <c r="M116" s="36"/>
      <c r="N116" s="36"/>
      <c r="O116" s="4"/>
      <c r="P116" s="5"/>
      <c r="Q116" s="5"/>
      <c r="R116" s="5"/>
    </row>
    <row r="117" spans="1:18">
      <c r="A117" s="35"/>
      <c r="B117" s="35"/>
      <c r="C117" s="62"/>
      <c r="D117" s="62"/>
      <c r="E117" s="36"/>
      <c r="F117" s="113"/>
      <c r="G117" s="113"/>
      <c r="H117" s="113"/>
      <c r="I117" s="113"/>
      <c r="J117" s="113"/>
      <c r="K117" s="113"/>
      <c r="L117" s="113"/>
      <c r="M117" s="113"/>
      <c r="N117" s="113"/>
      <c r="O117" s="4"/>
      <c r="P117" s="5"/>
      <c r="Q117" s="5"/>
      <c r="R117" s="5"/>
    </row>
    <row r="118" spans="1:18">
      <c r="A118" s="35"/>
      <c r="B118" s="35"/>
      <c r="C118" s="62"/>
      <c r="D118" s="62"/>
      <c r="E118" s="36"/>
      <c r="F118" s="62"/>
      <c r="G118" s="62"/>
      <c r="H118" s="62"/>
      <c r="I118" s="62"/>
      <c r="J118" s="62"/>
      <c r="K118" s="62"/>
      <c r="L118" s="62"/>
      <c r="M118" s="62"/>
      <c r="N118" s="62"/>
      <c r="O118" s="4"/>
      <c r="P118" s="5"/>
      <c r="Q118" s="5"/>
      <c r="R118" s="5"/>
    </row>
    <row r="119" spans="1:18">
      <c r="A119" s="35"/>
      <c r="B119" s="35"/>
      <c r="C119" s="62"/>
      <c r="D119" s="62"/>
      <c r="E119" s="36"/>
      <c r="F119" s="62"/>
      <c r="G119" s="62"/>
      <c r="H119" s="62"/>
      <c r="I119" s="62"/>
      <c r="J119" s="62"/>
      <c r="K119" s="62"/>
      <c r="L119" s="62"/>
      <c r="M119" s="62"/>
      <c r="N119" s="62"/>
      <c r="O119" s="4"/>
      <c r="P119" s="5"/>
      <c r="Q119" s="5"/>
      <c r="R119" s="5"/>
    </row>
    <row r="120" spans="1:18" ht="15">
      <c r="A120" s="35"/>
      <c r="B120" s="35"/>
      <c r="C120" s="56"/>
      <c r="D120" s="56"/>
      <c r="E120" s="36"/>
      <c r="F120" s="62"/>
      <c r="G120" s="62"/>
      <c r="H120" s="62"/>
      <c r="I120" s="62"/>
      <c r="J120" s="62"/>
      <c r="K120" s="62"/>
      <c r="L120" s="62"/>
      <c r="M120" s="62"/>
      <c r="N120" s="62"/>
      <c r="O120" s="4"/>
      <c r="P120" s="5"/>
      <c r="Q120" s="5"/>
      <c r="R120" s="5"/>
    </row>
    <row r="121" spans="1:18">
      <c r="A121" s="35"/>
      <c r="B121" s="35"/>
      <c r="C121" s="62"/>
      <c r="D121" s="62"/>
      <c r="E121" s="36"/>
      <c r="F121" s="113"/>
      <c r="G121" s="113"/>
      <c r="H121" s="113"/>
      <c r="I121" s="113"/>
      <c r="J121" s="113"/>
      <c r="K121" s="113"/>
      <c r="L121" s="113"/>
      <c r="M121" s="113"/>
      <c r="N121" s="113"/>
      <c r="O121" s="4"/>
      <c r="P121" s="5"/>
      <c r="Q121" s="5"/>
      <c r="R121" s="5"/>
    </row>
    <row r="122" spans="1:18">
      <c r="A122" s="35"/>
      <c r="B122" s="35"/>
      <c r="C122" s="62"/>
      <c r="D122" s="62"/>
      <c r="E122" s="36"/>
      <c r="F122" s="62"/>
      <c r="G122" s="62"/>
      <c r="H122" s="62"/>
      <c r="I122" s="62"/>
      <c r="J122" s="62"/>
      <c r="K122" s="62"/>
      <c r="L122" s="62"/>
      <c r="M122" s="62"/>
      <c r="N122" s="62"/>
      <c r="O122" s="4"/>
      <c r="P122" s="5"/>
      <c r="Q122" s="5"/>
      <c r="R122" s="5"/>
    </row>
    <row r="123" spans="1:18">
      <c r="A123" s="35"/>
      <c r="B123" s="35"/>
      <c r="C123" s="62"/>
      <c r="D123" s="62"/>
      <c r="E123" s="36"/>
      <c r="F123" s="62"/>
      <c r="G123" s="62"/>
      <c r="H123" s="62"/>
      <c r="I123" s="62"/>
      <c r="J123" s="62"/>
      <c r="K123" s="62"/>
      <c r="L123" s="62"/>
      <c r="M123" s="62"/>
      <c r="N123" s="62"/>
      <c r="O123" s="4"/>
      <c r="P123" s="5"/>
      <c r="Q123" s="5"/>
      <c r="R123" s="5"/>
    </row>
    <row r="124" spans="1:18">
      <c r="A124" s="35"/>
      <c r="B124" s="35"/>
      <c r="C124" s="62"/>
      <c r="D124" s="62"/>
      <c r="E124" s="62"/>
      <c r="F124" s="113"/>
      <c r="G124" s="113"/>
      <c r="H124" s="113"/>
      <c r="I124" s="113"/>
      <c r="J124" s="113"/>
      <c r="K124" s="113"/>
      <c r="L124" s="113"/>
      <c r="M124" s="113"/>
      <c r="N124" s="113"/>
      <c r="O124" s="4"/>
      <c r="P124" s="5"/>
      <c r="Q124" s="5"/>
      <c r="R124" s="5"/>
    </row>
    <row r="125" spans="1:18">
      <c r="A125" s="35"/>
      <c r="B125" s="35"/>
      <c r="C125" s="62"/>
      <c r="D125" s="62"/>
      <c r="E125" s="62"/>
      <c r="F125" s="111"/>
      <c r="G125" s="111"/>
      <c r="H125" s="111"/>
      <c r="I125" s="111"/>
      <c r="J125" s="111"/>
      <c r="K125" s="111"/>
      <c r="L125" s="111"/>
      <c r="M125" s="111"/>
      <c r="N125" s="111"/>
      <c r="O125" s="4"/>
      <c r="P125" s="5"/>
      <c r="Q125" s="5"/>
      <c r="R125" s="5"/>
    </row>
    <row r="126" spans="1:18">
      <c r="A126" s="35"/>
      <c r="B126" s="35"/>
      <c r="C126" s="62"/>
      <c r="D126" s="62"/>
      <c r="E126" s="62"/>
      <c r="F126" s="111"/>
      <c r="G126" s="111"/>
      <c r="H126" s="111"/>
      <c r="I126" s="111"/>
      <c r="J126" s="111"/>
      <c r="K126" s="111"/>
      <c r="L126" s="111"/>
      <c r="M126" s="111"/>
      <c r="N126" s="111"/>
      <c r="O126" s="4"/>
      <c r="P126" s="5"/>
      <c r="Q126" s="5"/>
      <c r="R126" s="5"/>
    </row>
    <row r="127" spans="1:18" ht="15">
      <c r="A127" s="35"/>
      <c r="B127" s="35"/>
      <c r="C127" s="56"/>
      <c r="D127" s="56"/>
      <c r="E127" s="62"/>
      <c r="F127" s="177"/>
      <c r="G127" s="177"/>
      <c r="H127" s="177"/>
      <c r="I127" s="177"/>
      <c r="J127" s="177"/>
      <c r="K127" s="177"/>
      <c r="L127" s="177"/>
      <c r="M127" s="177"/>
      <c r="N127" s="177"/>
      <c r="O127" s="4"/>
      <c r="P127" s="5"/>
      <c r="Q127" s="5"/>
      <c r="R127" s="5"/>
    </row>
    <row r="128" spans="1:18" ht="15">
      <c r="A128" s="35"/>
      <c r="B128" s="35"/>
      <c r="C128" s="56"/>
      <c r="D128" s="56"/>
      <c r="E128" s="62"/>
      <c r="F128" s="177"/>
      <c r="G128" s="177"/>
      <c r="H128" s="177"/>
      <c r="I128" s="177"/>
      <c r="J128" s="177"/>
      <c r="K128" s="177"/>
      <c r="L128" s="177"/>
      <c r="M128" s="177"/>
      <c r="N128" s="177"/>
      <c r="O128" s="4"/>
      <c r="P128" s="5"/>
      <c r="Q128" s="5"/>
      <c r="R128" s="5"/>
    </row>
    <row r="129" spans="1:18" ht="15">
      <c r="A129" s="35"/>
      <c r="B129" s="35"/>
      <c r="C129" s="56"/>
      <c r="D129" s="56"/>
      <c r="E129" s="62"/>
      <c r="F129" s="177"/>
      <c r="G129" s="177"/>
      <c r="H129" s="177"/>
      <c r="I129" s="177"/>
      <c r="J129" s="177"/>
      <c r="K129" s="177"/>
      <c r="L129" s="177"/>
      <c r="M129" s="177"/>
      <c r="N129" s="177"/>
      <c r="O129" s="4"/>
      <c r="P129" s="5"/>
      <c r="Q129" s="5"/>
      <c r="R129" s="5"/>
    </row>
    <row r="130" spans="1:18">
      <c r="A130" s="35"/>
      <c r="B130" s="35"/>
      <c r="C130" s="62"/>
      <c r="D130" s="62"/>
      <c r="E130" s="62"/>
      <c r="F130" s="111"/>
      <c r="G130" s="111"/>
      <c r="H130" s="111"/>
      <c r="I130" s="111"/>
      <c r="J130" s="111"/>
      <c r="K130" s="111"/>
      <c r="L130" s="111"/>
      <c r="M130" s="111"/>
      <c r="N130" s="111"/>
      <c r="O130" s="4"/>
      <c r="P130" s="5"/>
      <c r="Q130" s="5"/>
      <c r="R130" s="5"/>
    </row>
    <row r="131" spans="1:18">
      <c r="A131" s="35"/>
      <c r="B131" s="35"/>
      <c r="C131" s="62"/>
      <c r="D131" s="62"/>
      <c r="E131" s="62"/>
      <c r="F131" s="62"/>
      <c r="G131" s="62"/>
      <c r="H131" s="62"/>
      <c r="I131" s="62"/>
      <c r="J131" s="62"/>
      <c r="K131" s="62"/>
      <c r="L131" s="203"/>
      <c r="M131" s="62"/>
      <c r="N131" s="62"/>
      <c r="O131" s="4"/>
      <c r="P131" s="5"/>
      <c r="Q131" s="5"/>
      <c r="R131" s="5"/>
    </row>
    <row r="132" spans="1:18">
      <c r="A132" s="35"/>
      <c r="B132" s="35"/>
      <c r="C132" s="35"/>
      <c r="D132" s="35"/>
      <c r="E132" s="35"/>
      <c r="F132" s="35"/>
      <c r="G132" s="35"/>
      <c r="H132" s="35"/>
      <c r="I132" s="35"/>
      <c r="J132" s="35"/>
      <c r="K132" s="35"/>
      <c r="L132" s="35"/>
      <c r="M132" s="35"/>
      <c r="N132" s="36"/>
      <c r="O132" s="35"/>
      <c r="P132" s="35"/>
      <c r="Q132" s="35"/>
      <c r="R132" s="35"/>
    </row>
    <row r="133" spans="1:18">
      <c r="A133" s="35"/>
      <c r="B133" s="35"/>
      <c r="C133" s="35"/>
      <c r="D133" s="35"/>
      <c r="E133" s="35"/>
      <c r="F133" s="35"/>
      <c r="G133" s="35"/>
      <c r="H133" s="35"/>
      <c r="I133" s="35"/>
      <c r="J133" s="35"/>
      <c r="K133" s="35"/>
      <c r="L133" s="35"/>
      <c r="M133" s="35"/>
      <c r="N133" s="36"/>
      <c r="O133" s="35"/>
      <c r="P133" s="35"/>
      <c r="Q133" s="35"/>
      <c r="R133" s="35"/>
    </row>
    <row r="134" spans="1:18">
      <c r="A134" s="35"/>
      <c r="B134" s="35"/>
      <c r="C134" s="35"/>
      <c r="D134" s="35"/>
      <c r="E134" s="35"/>
      <c r="F134" s="35"/>
      <c r="G134" s="35"/>
      <c r="H134" s="35"/>
      <c r="I134" s="35"/>
      <c r="J134" s="35"/>
      <c r="K134" s="35"/>
      <c r="L134" s="35"/>
      <c r="M134" s="35"/>
      <c r="N134" s="36"/>
      <c r="O134" s="35"/>
      <c r="P134" s="35"/>
      <c r="Q134" s="35"/>
      <c r="R134" s="35"/>
    </row>
    <row r="135" spans="1:18">
      <c r="A135" s="35"/>
      <c r="B135" s="35"/>
      <c r="C135" s="35"/>
      <c r="D135" s="35"/>
      <c r="E135" s="35"/>
      <c r="F135" s="35"/>
      <c r="G135" s="35"/>
      <c r="H135" s="35"/>
      <c r="I135" s="35"/>
      <c r="J135" s="35"/>
      <c r="K135" s="35"/>
      <c r="L135" s="35"/>
      <c r="M135" s="35"/>
      <c r="N135" s="36"/>
      <c r="O135" s="35"/>
      <c r="P135" s="35"/>
      <c r="Q135" s="35"/>
      <c r="R135" s="35"/>
    </row>
    <row r="136" spans="1:18">
      <c r="C136" s="35"/>
      <c r="D136" s="35"/>
      <c r="E136" s="35"/>
      <c r="F136" s="35"/>
      <c r="G136" s="35"/>
      <c r="H136" s="35"/>
      <c r="I136" s="35"/>
      <c r="J136" s="35"/>
      <c r="K136" s="35"/>
      <c r="L136" s="35"/>
      <c r="M136" s="35"/>
      <c r="N136" s="36"/>
      <c r="O136" s="35"/>
      <c r="P136" s="35"/>
      <c r="Q136" s="35"/>
      <c r="R136" s="35"/>
    </row>
  </sheetData>
  <mergeCells count="17">
    <mergeCell ref="C49:E49"/>
    <mergeCell ref="C52:D52"/>
    <mergeCell ref="B96:M96"/>
    <mergeCell ref="C17:D17"/>
    <mergeCell ref="C3:D4"/>
    <mergeCell ref="E1:F1"/>
    <mergeCell ref="B70:M70"/>
    <mergeCell ref="D8:F8"/>
    <mergeCell ref="D9:F9"/>
    <mergeCell ref="B13:M13"/>
    <mergeCell ref="B19:M19"/>
    <mergeCell ref="C15:D15"/>
    <mergeCell ref="C16:D16"/>
    <mergeCell ref="H1:I1"/>
    <mergeCell ref="C23:D23"/>
    <mergeCell ref="C50:D50"/>
    <mergeCell ref="C51:D51"/>
  </mergeCells>
  <conditionalFormatting sqref="L65:M65">
    <cfRule type="expression" dxfId="6" priority="34" stopIfTrue="1">
      <formula>$L$65&gt;$E$17</formula>
    </cfRule>
  </conditionalFormatting>
  <dataValidations count="3">
    <dataValidation type="list" allowBlank="1" showInputMessage="1" showErrorMessage="1" sqref="WVL983055:WVL983058 IZ30:IZ33 SV30:SV33 ACR30:ACR33 AMN30:AMN33 AWJ30:AWJ33 BGF30:BGF33 BQB30:BQB33 BZX30:BZX33 CJT30:CJT33 CTP30:CTP33 DDL30:DDL33 DNH30:DNH33 DXD30:DXD33 EGZ30:EGZ33 EQV30:EQV33 FAR30:FAR33 FKN30:FKN33 FUJ30:FUJ33 GEF30:GEF33 GOB30:GOB33 GXX30:GXX33 HHT30:HHT33 HRP30:HRP33 IBL30:IBL33 ILH30:ILH33 IVD30:IVD33 JEZ30:JEZ33 JOV30:JOV33 JYR30:JYR33 KIN30:KIN33 KSJ30:KSJ33 LCF30:LCF33 LMB30:LMB33 LVX30:LVX33 MFT30:MFT33 MPP30:MPP33 MZL30:MZL33 NJH30:NJH33 NTD30:NTD33 OCZ30:OCZ33 OMV30:OMV33 OWR30:OWR33 PGN30:PGN33 PQJ30:PQJ33 QAF30:QAF33 QKB30:QKB33 QTX30:QTX33 RDT30:RDT33 RNP30:RNP33 RXL30:RXL33 SHH30:SHH33 SRD30:SRD33 TAZ30:TAZ33 TKV30:TKV33 TUR30:TUR33 UEN30:UEN33 UOJ30:UOJ33 UYF30:UYF33 VIB30:VIB33 VRX30:VRX33 WBT30:WBT33 WLP30:WLP33 WVL30:WVL33 D65551:D65554 IZ65551:IZ65554 SV65551:SV65554 ACR65551:ACR65554 AMN65551:AMN65554 AWJ65551:AWJ65554 BGF65551:BGF65554 BQB65551:BQB65554 BZX65551:BZX65554 CJT65551:CJT65554 CTP65551:CTP65554 DDL65551:DDL65554 DNH65551:DNH65554 DXD65551:DXD65554 EGZ65551:EGZ65554 EQV65551:EQV65554 FAR65551:FAR65554 FKN65551:FKN65554 FUJ65551:FUJ65554 GEF65551:GEF65554 GOB65551:GOB65554 GXX65551:GXX65554 HHT65551:HHT65554 HRP65551:HRP65554 IBL65551:IBL65554 ILH65551:ILH65554 IVD65551:IVD65554 JEZ65551:JEZ65554 JOV65551:JOV65554 JYR65551:JYR65554 KIN65551:KIN65554 KSJ65551:KSJ65554 LCF65551:LCF65554 LMB65551:LMB65554 LVX65551:LVX65554 MFT65551:MFT65554 MPP65551:MPP65554 MZL65551:MZL65554 NJH65551:NJH65554 NTD65551:NTD65554 OCZ65551:OCZ65554 OMV65551:OMV65554 OWR65551:OWR65554 PGN65551:PGN65554 PQJ65551:PQJ65554 QAF65551:QAF65554 QKB65551:QKB65554 QTX65551:QTX65554 RDT65551:RDT65554 RNP65551:RNP65554 RXL65551:RXL65554 SHH65551:SHH65554 SRD65551:SRD65554 TAZ65551:TAZ65554 TKV65551:TKV65554 TUR65551:TUR65554 UEN65551:UEN65554 UOJ65551:UOJ65554 UYF65551:UYF65554 VIB65551:VIB65554 VRX65551:VRX65554 WBT65551:WBT65554 WLP65551:WLP65554 WVL65551:WVL65554 D131087:D131090 IZ131087:IZ131090 SV131087:SV131090 ACR131087:ACR131090 AMN131087:AMN131090 AWJ131087:AWJ131090 BGF131087:BGF131090 BQB131087:BQB131090 BZX131087:BZX131090 CJT131087:CJT131090 CTP131087:CTP131090 DDL131087:DDL131090 DNH131087:DNH131090 DXD131087:DXD131090 EGZ131087:EGZ131090 EQV131087:EQV131090 FAR131087:FAR131090 FKN131087:FKN131090 FUJ131087:FUJ131090 GEF131087:GEF131090 GOB131087:GOB131090 GXX131087:GXX131090 HHT131087:HHT131090 HRP131087:HRP131090 IBL131087:IBL131090 ILH131087:ILH131090 IVD131087:IVD131090 JEZ131087:JEZ131090 JOV131087:JOV131090 JYR131087:JYR131090 KIN131087:KIN131090 KSJ131087:KSJ131090 LCF131087:LCF131090 LMB131087:LMB131090 LVX131087:LVX131090 MFT131087:MFT131090 MPP131087:MPP131090 MZL131087:MZL131090 NJH131087:NJH131090 NTD131087:NTD131090 OCZ131087:OCZ131090 OMV131087:OMV131090 OWR131087:OWR131090 PGN131087:PGN131090 PQJ131087:PQJ131090 QAF131087:QAF131090 QKB131087:QKB131090 QTX131087:QTX131090 RDT131087:RDT131090 RNP131087:RNP131090 RXL131087:RXL131090 SHH131087:SHH131090 SRD131087:SRD131090 TAZ131087:TAZ131090 TKV131087:TKV131090 TUR131087:TUR131090 UEN131087:UEN131090 UOJ131087:UOJ131090 UYF131087:UYF131090 VIB131087:VIB131090 VRX131087:VRX131090 WBT131087:WBT131090 WLP131087:WLP131090 WVL131087:WVL131090 D196623:D196626 IZ196623:IZ196626 SV196623:SV196626 ACR196623:ACR196626 AMN196623:AMN196626 AWJ196623:AWJ196626 BGF196623:BGF196626 BQB196623:BQB196626 BZX196623:BZX196626 CJT196623:CJT196626 CTP196623:CTP196626 DDL196623:DDL196626 DNH196623:DNH196626 DXD196623:DXD196626 EGZ196623:EGZ196626 EQV196623:EQV196626 FAR196623:FAR196626 FKN196623:FKN196626 FUJ196623:FUJ196626 GEF196623:GEF196626 GOB196623:GOB196626 GXX196623:GXX196626 HHT196623:HHT196626 HRP196623:HRP196626 IBL196623:IBL196626 ILH196623:ILH196626 IVD196623:IVD196626 JEZ196623:JEZ196626 JOV196623:JOV196626 JYR196623:JYR196626 KIN196623:KIN196626 KSJ196623:KSJ196626 LCF196623:LCF196626 LMB196623:LMB196626 LVX196623:LVX196626 MFT196623:MFT196626 MPP196623:MPP196626 MZL196623:MZL196626 NJH196623:NJH196626 NTD196623:NTD196626 OCZ196623:OCZ196626 OMV196623:OMV196626 OWR196623:OWR196626 PGN196623:PGN196626 PQJ196623:PQJ196626 QAF196623:QAF196626 QKB196623:QKB196626 QTX196623:QTX196626 RDT196623:RDT196626 RNP196623:RNP196626 RXL196623:RXL196626 SHH196623:SHH196626 SRD196623:SRD196626 TAZ196623:TAZ196626 TKV196623:TKV196626 TUR196623:TUR196626 UEN196623:UEN196626 UOJ196623:UOJ196626 UYF196623:UYF196626 VIB196623:VIB196626 VRX196623:VRX196626 WBT196623:WBT196626 WLP196623:WLP196626 WVL196623:WVL196626 D262159:D262162 IZ262159:IZ262162 SV262159:SV262162 ACR262159:ACR262162 AMN262159:AMN262162 AWJ262159:AWJ262162 BGF262159:BGF262162 BQB262159:BQB262162 BZX262159:BZX262162 CJT262159:CJT262162 CTP262159:CTP262162 DDL262159:DDL262162 DNH262159:DNH262162 DXD262159:DXD262162 EGZ262159:EGZ262162 EQV262159:EQV262162 FAR262159:FAR262162 FKN262159:FKN262162 FUJ262159:FUJ262162 GEF262159:GEF262162 GOB262159:GOB262162 GXX262159:GXX262162 HHT262159:HHT262162 HRP262159:HRP262162 IBL262159:IBL262162 ILH262159:ILH262162 IVD262159:IVD262162 JEZ262159:JEZ262162 JOV262159:JOV262162 JYR262159:JYR262162 KIN262159:KIN262162 KSJ262159:KSJ262162 LCF262159:LCF262162 LMB262159:LMB262162 LVX262159:LVX262162 MFT262159:MFT262162 MPP262159:MPP262162 MZL262159:MZL262162 NJH262159:NJH262162 NTD262159:NTD262162 OCZ262159:OCZ262162 OMV262159:OMV262162 OWR262159:OWR262162 PGN262159:PGN262162 PQJ262159:PQJ262162 QAF262159:QAF262162 QKB262159:QKB262162 QTX262159:QTX262162 RDT262159:RDT262162 RNP262159:RNP262162 RXL262159:RXL262162 SHH262159:SHH262162 SRD262159:SRD262162 TAZ262159:TAZ262162 TKV262159:TKV262162 TUR262159:TUR262162 UEN262159:UEN262162 UOJ262159:UOJ262162 UYF262159:UYF262162 VIB262159:VIB262162 VRX262159:VRX262162 WBT262159:WBT262162 WLP262159:WLP262162 WVL262159:WVL262162 D327695:D327698 IZ327695:IZ327698 SV327695:SV327698 ACR327695:ACR327698 AMN327695:AMN327698 AWJ327695:AWJ327698 BGF327695:BGF327698 BQB327695:BQB327698 BZX327695:BZX327698 CJT327695:CJT327698 CTP327695:CTP327698 DDL327695:DDL327698 DNH327695:DNH327698 DXD327695:DXD327698 EGZ327695:EGZ327698 EQV327695:EQV327698 FAR327695:FAR327698 FKN327695:FKN327698 FUJ327695:FUJ327698 GEF327695:GEF327698 GOB327695:GOB327698 GXX327695:GXX327698 HHT327695:HHT327698 HRP327695:HRP327698 IBL327695:IBL327698 ILH327695:ILH327698 IVD327695:IVD327698 JEZ327695:JEZ327698 JOV327695:JOV327698 JYR327695:JYR327698 KIN327695:KIN327698 KSJ327695:KSJ327698 LCF327695:LCF327698 LMB327695:LMB327698 LVX327695:LVX327698 MFT327695:MFT327698 MPP327695:MPP327698 MZL327695:MZL327698 NJH327695:NJH327698 NTD327695:NTD327698 OCZ327695:OCZ327698 OMV327695:OMV327698 OWR327695:OWR327698 PGN327695:PGN327698 PQJ327695:PQJ327698 QAF327695:QAF327698 QKB327695:QKB327698 QTX327695:QTX327698 RDT327695:RDT327698 RNP327695:RNP327698 RXL327695:RXL327698 SHH327695:SHH327698 SRD327695:SRD327698 TAZ327695:TAZ327698 TKV327695:TKV327698 TUR327695:TUR327698 UEN327695:UEN327698 UOJ327695:UOJ327698 UYF327695:UYF327698 VIB327695:VIB327698 VRX327695:VRX327698 WBT327695:WBT327698 WLP327695:WLP327698 WVL327695:WVL327698 D393231:D393234 IZ393231:IZ393234 SV393231:SV393234 ACR393231:ACR393234 AMN393231:AMN393234 AWJ393231:AWJ393234 BGF393231:BGF393234 BQB393231:BQB393234 BZX393231:BZX393234 CJT393231:CJT393234 CTP393231:CTP393234 DDL393231:DDL393234 DNH393231:DNH393234 DXD393231:DXD393234 EGZ393231:EGZ393234 EQV393231:EQV393234 FAR393231:FAR393234 FKN393231:FKN393234 FUJ393231:FUJ393234 GEF393231:GEF393234 GOB393231:GOB393234 GXX393231:GXX393234 HHT393231:HHT393234 HRP393231:HRP393234 IBL393231:IBL393234 ILH393231:ILH393234 IVD393231:IVD393234 JEZ393231:JEZ393234 JOV393231:JOV393234 JYR393231:JYR393234 KIN393231:KIN393234 KSJ393231:KSJ393234 LCF393231:LCF393234 LMB393231:LMB393234 LVX393231:LVX393234 MFT393231:MFT393234 MPP393231:MPP393234 MZL393231:MZL393234 NJH393231:NJH393234 NTD393231:NTD393234 OCZ393231:OCZ393234 OMV393231:OMV393234 OWR393231:OWR393234 PGN393231:PGN393234 PQJ393231:PQJ393234 QAF393231:QAF393234 QKB393231:QKB393234 QTX393231:QTX393234 RDT393231:RDT393234 RNP393231:RNP393234 RXL393231:RXL393234 SHH393231:SHH393234 SRD393231:SRD393234 TAZ393231:TAZ393234 TKV393231:TKV393234 TUR393231:TUR393234 UEN393231:UEN393234 UOJ393231:UOJ393234 UYF393231:UYF393234 VIB393231:VIB393234 VRX393231:VRX393234 WBT393231:WBT393234 WLP393231:WLP393234 WVL393231:WVL393234 D458767:D458770 IZ458767:IZ458770 SV458767:SV458770 ACR458767:ACR458770 AMN458767:AMN458770 AWJ458767:AWJ458770 BGF458767:BGF458770 BQB458767:BQB458770 BZX458767:BZX458770 CJT458767:CJT458770 CTP458767:CTP458770 DDL458767:DDL458770 DNH458767:DNH458770 DXD458767:DXD458770 EGZ458767:EGZ458770 EQV458767:EQV458770 FAR458767:FAR458770 FKN458767:FKN458770 FUJ458767:FUJ458770 GEF458767:GEF458770 GOB458767:GOB458770 GXX458767:GXX458770 HHT458767:HHT458770 HRP458767:HRP458770 IBL458767:IBL458770 ILH458767:ILH458770 IVD458767:IVD458770 JEZ458767:JEZ458770 JOV458767:JOV458770 JYR458767:JYR458770 KIN458767:KIN458770 KSJ458767:KSJ458770 LCF458767:LCF458770 LMB458767:LMB458770 LVX458767:LVX458770 MFT458767:MFT458770 MPP458767:MPP458770 MZL458767:MZL458770 NJH458767:NJH458770 NTD458767:NTD458770 OCZ458767:OCZ458770 OMV458767:OMV458770 OWR458767:OWR458770 PGN458767:PGN458770 PQJ458767:PQJ458770 QAF458767:QAF458770 QKB458767:QKB458770 QTX458767:QTX458770 RDT458767:RDT458770 RNP458767:RNP458770 RXL458767:RXL458770 SHH458767:SHH458770 SRD458767:SRD458770 TAZ458767:TAZ458770 TKV458767:TKV458770 TUR458767:TUR458770 UEN458767:UEN458770 UOJ458767:UOJ458770 UYF458767:UYF458770 VIB458767:VIB458770 VRX458767:VRX458770 WBT458767:WBT458770 WLP458767:WLP458770 WVL458767:WVL458770 D524303:D524306 IZ524303:IZ524306 SV524303:SV524306 ACR524303:ACR524306 AMN524303:AMN524306 AWJ524303:AWJ524306 BGF524303:BGF524306 BQB524303:BQB524306 BZX524303:BZX524306 CJT524303:CJT524306 CTP524303:CTP524306 DDL524303:DDL524306 DNH524303:DNH524306 DXD524303:DXD524306 EGZ524303:EGZ524306 EQV524303:EQV524306 FAR524303:FAR524306 FKN524303:FKN524306 FUJ524303:FUJ524306 GEF524303:GEF524306 GOB524303:GOB524306 GXX524303:GXX524306 HHT524303:HHT524306 HRP524303:HRP524306 IBL524303:IBL524306 ILH524303:ILH524306 IVD524303:IVD524306 JEZ524303:JEZ524306 JOV524303:JOV524306 JYR524303:JYR524306 KIN524303:KIN524306 KSJ524303:KSJ524306 LCF524303:LCF524306 LMB524303:LMB524306 LVX524303:LVX524306 MFT524303:MFT524306 MPP524303:MPP524306 MZL524303:MZL524306 NJH524303:NJH524306 NTD524303:NTD524306 OCZ524303:OCZ524306 OMV524303:OMV524306 OWR524303:OWR524306 PGN524303:PGN524306 PQJ524303:PQJ524306 QAF524303:QAF524306 QKB524303:QKB524306 QTX524303:QTX524306 RDT524303:RDT524306 RNP524303:RNP524306 RXL524303:RXL524306 SHH524303:SHH524306 SRD524303:SRD524306 TAZ524303:TAZ524306 TKV524303:TKV524306 TUR524303:TUR524306 UEN524303:UEN524306 UOJ524303:UOJ524306 UYF524303:UYF524306 VIB524303:VIB524306 VRX524303:VRX524306 WBT524303:WBT524306 WLP524303:WLP524306 WVL524303:WVL524306 D589839:D589842 IZ589839:IZ589842 SV589839:SV589842 ACR589839:ACR589842 AMN589839:AMN589842 AWJ589839:AWJ589842 BGF589839:BGF589842 BQB589839:BQB589842 BZX589839:BZX589842 CJT589839:CJT589842 CTP589839:CTP589842 DDL589839:DDL589842 DNH589839:DNH589842 DXD589839:DXD589842 EGZ589839:EGZ589842 EQV589839:EQV589842 FAR589839:FAR589842 FKN589839:FKN589842 FUJ589839:FUJ589842 GEF589839:GEF589842 GOB589839:GOB589842 GXX589839:GXX589842 HHT589839:HHT589842 HRP589839:HRP589842 IBL589839:IBL589842 ILH589839:ILH589842 IVD589839:IVD589842 JEZ589839:JEZ589842 JOV589839:JOV589842 JYR589839:JYR589842 KIN589839:KIN589842 KSJ589839:KSJ589842 LCF589839:LCF589842 LMB589839:LMB589842 LVX589839:LVX589842 MFT589839:MFT589842 MPP589839:MPP589842 MZL589839:MZL589842 NJH589839:NJH589842 NTD589839:NTD589842 OCZ589839:OCZ589842 OMV589839:OMV589842 OWR589839:OWR589842 PGN589839:PGN589842 PQJ589839:PQJ589842 QAF589839:QAF589842 QKB589839:QKB589842 QTX589839:QTX589842 RDT589839:RDT589842 RNP589839:RNP589842 RXL589839:RXL589842 SHH589839:SHH589842 SRD589839:SRD589842 TAZ589839:TAZ589842 TKV589839:TKV589842 TUR589839:TUR589842 UEN589839:UEN589842 UOJ589839:UOJ589842 UYF589839:UYF589842 VIB589839:VIB589842 VRX589839:VRX589842 WBT589839:WBT589842 WLP589839:WLP589842 WVL589839:WVL589842 D655375:D655378 IZ655375:IZ655378 SV655375:SV655378 ACR655375:ACR655378 AMN655375:AMN655378 AWJ655375:AWJ655378 BGF655375:BGF655378 BQB655375:BQB655378 BZX655375:BZX655378 CJT655375:CJT655378 CTP655375:CTP655378 DDL655375:DDL655378 DNH655375:DNH655378 DXD655375:DXD655378 EGZ655375:EGZ655378 EQV655375:EQV655378 FAR655375:FAR655378 FKN655375:FKN655378 FUJ655375:FUJ655378 GEF655375:GEF655378 GOB655375:GOB655378 GXX655375:GXX655378 HHT655375:HHT655378 HRP655375:HRP655378 IBL655375:IBL655378 ILH655375:ILH655378 IVD655375:IVD655378 JEZ655375:JEZ655378 JOV655375:JOV655378 JYR655375:JYR655378 KIN655375:KIN655378 KSJ655375:KSJ655378 LCF655375:LCF655378 LMB655375:LMB655378 LVX655375:LVX655378 MFT655375:MFT655378 MPP655375:MPP655378 MZL655375:MZL655378 NJH655375:NJH655378 NTD655375:NTD655378 OCZ655375:OCZ655378 OMV655375:OMV655378 OWR655375:OWR655378 PGN655375:PGN655378 PQJ655375:PQJ655378 QAF655375:QAF655378 QKB655375:QKB655378 QTX655375:QTX655378 RDT655375:RDT655378 RNP655375:RNP655378 RXL655375:RXL655378 SHH655375:SHH655378 SRD655375:SRD655378 TAZ655375:TAZ655378 TKV655375:TKV655378 TUR655375:TUR655378 UEN655375:UEN655378 UOJ655375:UOJ655378 UYF655375:UYF655378 VIB655375:VIB655378 VRX655375:VRX655378 WBT655375:WBT655378 WLP655375:WLP655378 WVL655375:WVL655378 D720911:D720914 IZ720911:IZ720914 SV720911:SV720914 ACR720911:ACR720914 AMN720911:AMN720914 AWJ720911:AWJ720914 BGF720911:BGF720914 BQB720911:BQB720914 BZX720911:BZX720914 CJT720911:CJT720914 CTP720911:CTP720914 DDL720911:DDL720914 DNH720911:DNH720914 DXD720911:DXD720914 EGZ720911:EGZ720914 EQV720911:EQV720914 FAR720911:FAR720914 FKN720911:FKN720914 FUJ720911:FUJ720914 GEF720911:GEF720914 GOB720911:GOB720914 GXX720911:GXX720914 HHT720911:HHT720914 HRP720911:HRP720914 IBL720911:IBL720914 ILH720911:ILH720914 IVD720911:IVD720914 JEZ720911:JEZ720914 JOV720911:JOV720914 JYR720911:JYR720914 KIN720911:KIN720914 KSJ720911:KSJ720914 LCF720911:LCF720914 LMB720911:LMB720914 LVX720911:LVX720914 MFT720911:MFT720914 MPP720911:MPP720914 MZL720911:MZL720914 NJH720911:NJH720914 NTD720911:NTD720914 OCZ720911:OCZ720914 OMV720911:OMV720914 OWR720911:OWR720914 PGN720911:PGN720914 PQJ720911:PQJ720914 QAF720911:QAF720914 QKB720911:QKB720914 QTX720911:QTX720914 RDT720911:RDT720914 RNP720911:RNP720914 RXL720911:RXL720914 SHH720911:SHH720914 SRD720911:SRD720914 TAZ720911:TAZ720914 TKV720911:TKV720914 TUR720911:TUR720914 UEN720911:UEN720914 UOJ720911:UOJ720914 UYF720911:UYF720914 VIB720911:VIB720914 VRX720911:VRX720914 WBT720911:WBT720914 WLP720911:WLP720914 WVL720911:WVL720914 D786447:D786450 IZ786447:IZ786450 SV786447:SV786450 ACR786447:ACR786450 AMN786447:AMN786450 AWJ786447:AWJ786450 BGF786447:BGF786450 BQB786447:BQB786450 BZX786447:BZX786450 CJT786447:CJT786450 CTP786447:CTP786450 DDL786447:DDL786450 DNH786447:DNH786450 DXD786447:DXD786450 EGZ786447:EGZ786450 EQV786447:EQV786450 FAR786447:FAR786450 FKN786447:FKN786450 FUJ786447:FUJ786450 GEF786447:GEF786450 GOB786447:GOB786450 GXX786447:GXX786450 HHT786447:HHT786450 HRP786447:HRP786450 IBL786447:IBL786450 ILH786447:ILH786450 IVD786447:IVD786450 JEZ786447:JEZ786450 JOV786447:JOV786450 JYR786447:JYR786450 KIN786447:KIN786450 KSJ786447:KSJ786450 LCF786447:LCF786450 LMB786447:LMB786450 LVX786447:LVX786450 MFT786447:MFT786450 MPP786447:MPP786450 MZL786447:MZL786450 NJH786447:NJH786450 NTD786447:NTD786450 OCZ786447:OCZ786450 OMV786447:OMV786450 OWR786447:OWR786450 PGN786447:PGN786450 PQJ786447:PQJ786450 QAF786447:QAF786450 QKB786447:QKB786450 QTX786447:QTX786450 RDT786447:RDT786450 RNP786447:RNP786450 RXL786447:RXL786450 SHH786447:SHH786450 SRD786447:SRD786450 TAZ786447:TAZ786450 TKV786447:TKV786450 TUR786447:TUR786450 UEN786447:UEN786450 UOJ786447:UOJ786450 UYF786447:UYF786450 VIB786447:VIB786450 VRX786447:VRX786450 WBT786447:WBT786450 WLP786447:WLP786450 WVL786447:WVL786450 D851983:D851986 IZ851983:IZ851986 SV851983:SV851986 ACR851983:ACR851986 AMN851983:AMN851986 AWJ851983:AWJ851986 BGF851983:BGF851986 BQB851983:BQB851986 BZX851983:BZX851986 CJT851983:CJT851986 CTP851983:CTP851986 DDL851983:DDL851986 DNH851983:DNH851986 DXD851983:DXD851986 EGZ851983:EGZ851986 EQV851983:EQV851986 FAR851983:FAR851986 FKN851983:FKN851986 FUJ851983:FUJ851986 GEF851983:GEF851986 GOB851983:GOB851986 GXX851983:GXX851986 HHT851983:HHT851986 HRP851983:HRP851986 IBL851983:IBL851986 ILH851983:ILH851986 IVD851983:IVD851986 JEZ851983:JEZ851986 JOV851983:JOV851986 JYR851983:JYR851986 KIN851983:KIN851986 KSJ851983:KSJ851986 LCF851983:LCF851986 LMB851983:LMB851986 LVX851983:LVX851986 MFT851983:MFT851986 MPP851983:MPP851986 MZL851983:MZL851986 NJH851983:NJH851986 NTD851983:NTD851986 OCZ851983:OCZ851986 OMV851983:OMV851986 OWR851983:OWR851986 PGN851983:PGN851986 PQJ851983:PQJ851986 QAF851983:QAF851986 QKB851983:QKB851986 QTX851983:QTX851986 RDT851983:RDT851986 RNP851983:RNP851986 RXL851983:RXL851986 SHH851983:SHH851986 SRD851983:SRD851986 TAZ851983:TAZ851986 TKV851983:TKV851986 TUR851983:TUR851986 UEN851983:UEN851986 UOJ851983:UOJ851986 UYF851983:UYF851986 VIB851983:VIB851986 VRX851983:VRX851986 WBT851983:WBT851986 WLP851983:WLP851986 WVL851983:WVL851986 D917519:D917522 IZ917519:IZ917522 SV917519:SV917522 ACR917519:ACR917522 AMN917519:AMN917522 AWJ917519:AWJ917522 BGF917519:BGF917522 BQB917519:BQB917522 BZX917519:BZX917522 CJT917519:CJT917522 CTP917519:CTP917522 DDL917519:DDL917522 DNH917519:DNH917522 DXD917519:DXD917522 EGZ917519:EGZ917522 EQV917519:EQV917522 FAR917519:FAR917522 FKN917519:FKN917522 FUJ917519:FUJ917522 GEF917519:GEF917522 GOB917519:GOB917522 GXX917519:GXX917522 HHT917519:HHT917522 HRP917519:HRP917522 IBL917519:IBL917522 ILH917519:ILH917522 IVD917519:IVD917522 JEZ917519:JEZ917522 JOV917519:JOV917522 JYR917519:JYR917522 KIN917519:KIN917522 KSJ917519:KSJ917522 LCF917519:LCF917522 LMB917519:LMB917522 LVX917519:LVX917522 MFT917519:MFT917522 MPP917519:MPP917522 MZL917519:MZL917522 NJH917519:NJH917522 NTD917519:NTD917522 OCZ917519:OCZ917522 OMV917519:OMV917522 OWR917519:OWR917522 PGN917519:PGN917522 PQJ917519:PQJ917522 QAF917519:QAF917522 QKB917519:QKB917522 QTX917519:QTX917522 RDT917519:RDT917522 RNP917519:RNP917522 RXL917519:RXL917522 SHH917519:SHH917522 SRD917519:SRD917522 TAZ917519:TAZ917522 TKV917519:TKV917522 TUR917519:TUR917522 UEN917519:UEN917522 UOJ917519:UOJ917522 UYF917519:UYF917522 VIB917519:VIB917522 VRX917519:VRX917522 WBT917519:WBT917522 WLP917519:WLP917522 WVL917519:WVL917522 D983055:D983058 IZ983055:IZ983058 SV983055:SV983058 ACR983055:ACR983058 AMN983055:AMN983058 AWJ983055:AWJ983058 BGF983055:BGF983058 BQB983055:BQB983058 BZX983055:BZX983058 CJT983055:CJT983058 CTP983055:CTP983058 DDL983055:DDL983058 DNH983055:DNH983058 DXD983055:DXD983058 EGZ983055:EGZ983058 EQV983055:EQV983058 FAR983055:FAR983058 FKN983055:FKN983058 FUJ983055:FUJ983058 GEF983055:GEF983058 GOB983055:GOB983058 GXX983055:GXX983058 HHT983055:HHT983058 HRP983055:HRP983058 IBL983055:IBL983058 ILH983055:ILH983058 IVD983055:IVD983058 JEZ983055:JEZ983058 JOV983055:JOV983058 JYR983055:JYR983058 KIN983055:KIN983058 KSJ983055:KSJ983058 LCF983055:LCF983058 LMB983055:LMB983058 LVX983055:LVX983058 MFT983055:MFT983058 MPP983055:MPP983058 MZL983055:MZL983058 NJH983055:NJH983058 NTD983055:NTD983058 OCZ983055:OCZ983058 OMV983055:OMV983058 OWR983055:OWR983058 PGN983055:PGN983058 PQJ983055:PQJ983058 QAF983055:QAF983058 QKB983055:QKB983058 QTX983055:QTX983058 RDT983055:RDT983058 RNP983055:RNP983058 RXL983055:RXL983058 SHH983055:SHH983058 SRD983055:SRD983058 TAZ983055:TAZ983058 TKV983055:TKV983058 TUR983055:TUR983058 UEN983055:UEN983058 UOJ983055:UOJ983058 UYF983055:UYF983058 VIB983055:VIB983058 VRX983055:VRX983058 WBT983055:WBT983058 WLP983055:WLP983058">
      <formula1>AFC_list</formula1>
    </dataValidation>
    <dataValidation type="list" allowBlank="1" showInputMessage="1" showErrorMessage="1" sqref="WVL983051:WVL983054 IZ26:IZ29 SV26:SV29 ACR26:ACR29 AMN26:AMN29 AWJ26:AWJ29 BGF26:BGF29 BQB26:BQB29 BZX26:BZX29 CJT26:CJT29 CTP26:CTP29 DDL26:DDL29 DNH26:DNH29 DXD26:DXD29 EGZ26:EGZ29 EQV26:EQV29 FAR26:FAR29 FKN26:FKN29 FUJ26:FUJ29 GEF26:GEF29 GOB26:GOB29 GXX26:GXX29 HHT26:HHT29 HRP26:HRP29 IBL26:IBL29 ILH26:ILH29 IVD26:IVD29 JEZ26:JEZ29 JOV26:JOV29 JYR26:JYR29 KIN26:KIN29 KSJ26:KSJ29 LCF26:LCF29 LMB26:LMB29 LVX26:LVX29 MFT26:MFT29 MPP26:MPP29 MZL26:MZL29 NJH26:NJH29 NTD26:NTD29 OCZ26:OCZ29 OMV26:OMV29 OWR26:OWR29 PGN26:PGN29 PQJ26:PQJ29 QAF26:QAF29 QKB26:QKB29 QTX26:QTX29 RDT26:RDT29 RNP26:RNP29 RXL26:RXL29 SHH26:SHH29 SRD26:SRD29 TAZ26:TAZ29 TKV26:TKV29 TUR26:TUR29 UEN26:UEN29 UOJ26:UOJ29 UYF26:UYF29 VIB26:VIB29 VRX26:VRX29 WBT26:WBT29 WLP26:WLP29 WVL26:WVL29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formula1>AFC</formula1>
    </dataValidation>
    <dataValidation type="list" allowBlank="1" showInputMessage="1" prompt="Select from list or type in job title" sqref="C26:C33">
      <formula1>Staff_List</formula1>
    </dataValidation>
  </dataValidations>
  <pageMargins left="0.70866141732283472" right="0.70866141732283472" top="0.74803149606299213" bottom="0.74803149606299213" header="0.31496062992125984" footer="0.31496062992125984"/>
  <pageSetup paperSize="9" scale="36"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staff_costs!$A$4:$A$21</xm:f>
          </x14:formula1>
          <xm:sqref>D26:D33</xm:sqref>
        </x14:dataValidation>
      </x14:dataValidations>
    </ex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4" tint="-0.249977111117893"/>
    <pageSetUpPr fitToPage="1"/>
  </sheetPr>
  <dimension ref="A1:BW148"/>
  <sheetViews>
    <sheetView showGridLines="0" zoomScale="75" zoomScaleNormal="75" zoomScaleSheetLayoutView="70" zoomScalePageLayoutView="75" workbookViewId="0">
      <pane ySplit="1" topLeftCell="A2" activePane="bottomLeft" state="frozen"/>
      <selection activeCell="B1" sqref="B1"/>
      <selection pane="bottomLeft" activeCell="E51" sqref="E51"/>
    </sheetView>
  </sheetViews>
  <sheetFormatPr defaultColWidth="8.85546875" defaultRowHeight="14.25" outlineLevelCol="1"/>
  <cols>
    <col min="1" max="1" width="56.140625" style="38" hidden="1" customWidth="1" outlineLevel="1"/>
    <col min="2" max="2" width="15.7109375" style="38" customWidth="1" collapsed="1"/>
    <col min="3" max="3" width="45.7109375" style="38" customWidth="1"/>
    <col min="4" max="4" width="17.85546875" style="38" customWidth="1"/>
    <col min="5" max="8" width="15.7109375" style="38" customWidth="1"/>
    <col min="9" max="9" width="45.7109375" style="38" customWidth="1"/>
    <col min="10" max="10" width="19.140625" style="38" customWidth="1"/>
    <col min="11" max="11" width="15.7109375" style="38" customWidth="1"/>
    <col min="12" max="12" width="15" style="38" bestFit="1" customWidth="1"/>
    <col min="13" max="13" width="15.7109375" style="38" customWidth="1"/>
    <col min="14" max="14" width="58.140625" style="38" bestFit="1" customWidth="1"/>
    <col min="15" max="15" width="30.42578125" style="38" bestFit="1" customWidth="1"/>
    <col min="16" max="16" width="25.7109375" style="38" customWidth="1"/>
    <col min="17" max="17" width="30.42578125" style="38" bestFit="1" customWidth="1"/>
    <col min="18" max="18" width="24.28515625" style="38" customWidth="1"/>
    <col min="19" max="19" width="16.7109375" style="38" customWidth="1"/>
    <col min="20" max="20" width="8.7109375" style="38" customWidth="1"/>
    <col min="21" max="22" width="34.7109375" style="38" customWidth="1"/>
    <col min="23" max="23" width="14.7109375" style="38" customWidth="1"/>
    <col min="24" max="24" width="17.7109375" style="38" customWidth="1"/>
    <col min="25" max="25" width="15.42578125" style="38" customWidth="1"/>
    <col min="26" max="16384" width="8.85546875" style="38"/>
  </cols>
  <sheetData>
    <row r="1" spans="1:75" s="51" customFormat="1" ht="42.75" customHeight="1" thickBot="1">
      <c r="B1" s="1767"/>
      <c r="C1" s="1850" t="str">
        <f>HYPERLINK("[.\]Menu!A1", "To Menu")</f>
        <v>To Menu</v>
      </c>
      <c r="D1" s="1768"/>
      <c r="E1" s="2311" t="str">
        <f>HYPERLINK("[.\]control_sheet_and_graphs!A1", "To Control sheet and graphical results")</f>
        <v>To Control sheet and graphical results</v>
      </c>
      <c r="F1" s="2312"/>
      <c r="G1" s="1769"/>
      <c r="H1" s="2311" t="str">
        <f>HYPERLINK("[.\]outputs_by_channel!A1", "To Intervention data outputs by channel")</f>
        <v>To Intervention data outputs by channel</v>
      </c>
      <c r="I1" s="2312"/>
      <c r="J1" s="2096"/>
      <c r="K1" s="2096"/>
      <c r="L1" s="1770"/>
      <c r="M1"/>
      <c r="N1"/>
      <c r="O1" s="52"/>
      <c r="Q1" s="52"/>
      <c r="R1" s="52"/>
      <c r="S1" s="52"/>
      <c r="T1" s="52"/>
      <c r="V1" s="52"/>
      <c r="W1" s="52"/>
      <c r="X1" s="52"/>
      <c r="Y1" s="52"/>
      <c r="AA1" s="52"/>
      <c r="AB1" s="52"/>
      <c r="AC1" s="52"/>
      <c r="AD1" s="52"/>
      <c r="AF1" s="52"/>
      <c r="AG1" s="52"/>
      <c r="AH1" s="52"/>
      <c r="AI1" s="52"/>
      <c r="AK1" s="52"/>
      <c r="AL1" s="52"/>
      <c r="AM1" s="52"/>
      <c r="AN1" s="52"/>
      <c r="AP1" s="52"/>
      <c r="AQ1" s="52"/>
      <c r="AR1" s="52"/>
      <c r="AS1" s="52"/>
      <c r="AU1" s="52"/>
      <c r="AV1" s="52"/>
      <c r="AW1" s="52"/>
      <c r="AX1" s="52"/>
      <c r="AZ1" s="52"/>
      <c r="BA1" s="52"/>
      <c r="BB1" s="52"/>
      <c r="BC1" s="52"/>
      <c r="BE1" s="52"/>
      <c r="BF1" s="52"/>
      <c r="BG1" s="52"/>
      <c r="BH1" s="52"/>
      <c r="BJ1" s="52"/>
      <c r="BK1" s="52"/>
      <c r="BL1" s="52"/>
      <c r="BM1" s="52"/>
      <c r="BO1" s="52"/>
      <c r="BP1" s="52"/>
      <c r="BQ1" s="52"/>
      <c r="BR1" s="52"/>
      <c r="BT1" s="52"/>
      <c r="BU1" s="52"/>
      <c r="BV1" s="52"/>
      <c r="BW1" s="52"/>
    </row>
    <row r="2" spans="1:75" ht="15.75" thickBot="1">
      <c r="A2" s="1427"/>
      <c r="B2" s="138"/>
      <c r="C2" s="613"/>
      <c r="D2" s="613"/>
      <c r="E2" s="613"/>
      <c r="F2" s="2499"/>
      <c r="G2" s="2499"/>
      <c r="H2" s="2499"/>
      <c r="I2" s="2087"/>
      <c r="J2" s="2072"/>
      <c r="K2" s="2072"/>
      <c r="L2" s="1275"/>
      <c r="M2"/>
      <c r="N2"/>
      <c r="O2" s="335"/>
      <c r="P2" s="64"/>
      <c r="Q2" s="335"/>
      <c r="R2" s="336"/>
      <c r="S2" s="35"/>
      <c r="T2" s="35"/>
      <c r="U2" s="137"/>
      <c r="V2" s="35"/>
      <c r="W2" s="35"/>
    </row>
    <row r="3" spans="1:75" ht="15">
      <c r="A3" s="1427"/>
      <c r="B3" s="138"/>
      <c r="C3" s="2438" t="str">
        <f>Menu!$B36</f>
        <v>Care homes: Falls response training</v>
      </c>
      <c r="D3" s="2439"/>
      <c r="E3" s="613"/>
      <c r="F3" s="2521"/>
      <c r="G3" s="950"/>
      <c r="H3" s="977"/>
      <c r="I3" s="2070"/>
      <c r="J3" s="2074"/>
      <c r="K3" s="2074"/>
      <c r="L3" s="1275"/>
      <c r="M3"/>
      <c r="N3"/>
      <c r="O3" s="337"/>
      <c r="P3" s="336"/>
      <c r="Q3" s="337"/>
      <c r="R3" s="336"/>
      <c r="S3" s="35"/>
      <c r="T3" s="35"/>
      <c r="U3" s="137"/>
      <c r="V3" s="35"/>
      <c r="W3" s="35"/>
    </row>
    <row r="4" spans="1:75" ht="15.75" thickBot="1">
      <c r="A4" s="192"/>
      <c r="B4" s="138"/>
      <c r="C4" s="2440"/>
      <c r="D4" s="2399"/>
      <c r="E4" s="613"/>
      <c r="F4" s="2521"/>
      <c r="G4" s="64"/>
      <c r="H4" s="613"/>
      <c r="I4" s="2070"/>
      <c r="J4" s="2074"/>
      <c r="K4" s="2074"/>
      <c r="L4" s="1275"/>
      <c r="M4"/>
      <c r="N4"/>
      <c r="O4" s="341"/>
      <c r="P4" s="342"/>
      <c r="Q4" s="341"/>
      <c r="R4" s="336"/>
      <c r="S4" s="35"/>
      <c r="T4" s="35"/>
      <c r="U4" s="137"/>
      <c r="V4" s="35"/>
      <c r="W4" s="35"/>
    </row>
    <row r="5" spans="1:75" ht="14.45" customHeight="1" thickBot="1">
      <c r="A5" s="192"/>
      <c r="B5" s="138"/>
      <c r="D5" s="613"/>
      <c r="E5" s="613"/>
      <c r="F5" s="1259"/>
      <c r="G5" s="1259"/>
      <c r="H5" s="2067"/>
      <c r="I5" s="2070"/>
      <c r="J5" s="2076"/>
      <c r="K5" s="2075"/>
      <c r="L5" s="1275"/>
      <c r="M5"/>
      <c r="N5"/>
      <c r="O5" s="338"/>
      <c r="P5" s="336"/>
      <c r="Q5" s="338"/>
      <c r="R5" s="336"/>
      <c r="S5" s="35"/>
      <c r="T5" s="35"/>
      <c r="U5" s="137"/>
      <c r="V5" s="35"/>
      <c r="W5" s="35"/>
    </row>
    <row r="6" spans="1:75" ht="15.75" thickBot="1">
      <c r="A6" s="192"/>
      <c r="B6" s="138"/>
      <c r="C6" s="797" t="s">
        <v>582</v>
      </c>
      <c r="D6" s="1536">
        <v>3043165</v>
      </c>
      <c r="H6" s="2067"/>
      <c r="I6" s="2070"/>
      <c r="J6" s="2077"/>
      <c r="K6" s="2077"/>
      <c r="L6" s="1275"/>
      <c r="M6"/>
      <c r="N6"/>
      <c r="O6" s="337"/>
      <c r="P6" s="336"/>
      <c r="Q6" s="337"/>
      <c r="R6" s="336"/>
      <c r="S6" s="35"/>
      <c r="T6" s="35"/>
      <c r="U6" s="137"/>
      <c r="V6" s="35"/>
      <c r="W6" s="35"/>
    </row>
    <row r="7" spans="1:75" ht="15" customHeight="1" thickBot="1">
      <c r="A7" s="192"/>
      <c r="B7" s="138"/>
      <c r="E7" s="613"/>
      <c r="F7" s="614"/>
      <c r="G7" s="613"/>
      <c r="H7" s="613"/>
      <c r="I7" s="2070"/>
      <c r="J7" s="2074"/>
      <c r="K7" s="2078"/>
      <c r="L7" s="1275"/>
      <c r="M7"/>
      <c r="N7"/>
      <c r="O7" s="341"/>
      <c r="P7" s="342"/>
      <c r="Q7" s="341"/>
      <c r="R7" s="336"/>
      <c r="S7" s="35"/>
      <c r="T7" s="35"/>
      <c r="U7" s="137"/>
      <c r="V7" s="35"/>
      <c r="W7" s="35"/>
    </row>
    <row r="8" spans="1:75" ht="33" customHeight="1" thickBot="1">
      <c r="A8" s="192"/>
      <c r="B8" s="138"/>
      <c r="C8" s="1414" t="s">
        <v>1047</v>
      </c>
      <c r="D8" s="2504" t="s">
        <v>791</v>
      </c>
      <c r="E8" s="2522"/>
      <c r="F8" s="2505"/>
      <c r="G8" s="2506"/>
      <c r="H8" s="613"/>
      <c r="I8" s="2070"/>
      <c r="J8" s="2076"/>
      <c r="K8" s="2075"/>
      <c r="L8" s="1275"/>
      <c r="M8"/>
      <c r="N8"/>
      <c r="O8" s="338"/>
      <c r="P8" s="336"/>
      <c r="Q8" s="338"/>
      <c r="R8" s="336"/>
      <c r="S8" s="35"/>
      <c r="T8" s="35"/>
      <c r="U8" s="137"/>
      <c r="V8" s="35"/>
      <c r="W8" s="35"/>
    </row>
    <row r="9" spans="1:75" ht="15.75" thickBot="1">
      <c r="A9" s="192"/>
      <c r="B9" s="138"/>
      <c r="C9" s="797" t="s">
        <v>1078</v>
      </c>
      <c r="D9" s="2504" t="s">
        <v>790</v>
      </c>
      <c r="E9" s="2522"/>
      <c r="F9" s="2505"/>
      <c r="G9" s="2506"/>
      <c r="H9" s="613"/>
      <c r="I9" s="1320"/>
      <c r="J9" s="1000"/>
      <c r="K9" s="500"/>
      <c r="L9" s="1275"/>
      <c r="M9" s="516"/>
      <c r="N9" s="516"/>
      <c r="O9" s="338"/>
      <c r="P9" s="336"/>
      <c r="Q9" s="338"/>
      <c r="R9" s="336"/>
      <c r="S9" s="35"/>
      <c r="T9" s="35"/>
      <c r="U9" s="137"/>
      <c r="V9" s="35"/>
      <c r="W9" s="35"/>
    </row>
    <row r="10" spans="1:75" ht="15">
      <c r="A10" s="192"/>
      <c r="B10" s="138"/>
      <c r="C10" s="535"/>
      <c r="D10" s="535"/>
      <c r="E10" s="535"/>
      <c r="F10" s="613"/>
      <c r="G10" s="613"/>
      <c r="H10" s="613"/>
      <c r="I10" s="1320"/>
      <c r="J10" s="1000"/>
      <c r="K10" s="500"/>
      <c r="L10" s="1275"/>
      <c r="M10" s="516"/>
      <c r="N10" s="516"/>
      <c r="O10" s="338"/>
      <c r="P10" s="336"/>
      <c r="Q10" s="338"/>
      <c r="R10" s="336"/>
      <c r="S10" s="35"/>
      <c r="T10" s="35"/>
      <c r="U10" s="137"/>
      <c r="V10" s="35"/>
      <c r="W10" s="35"/>
    </row>
    <row r="11" spans="1:75" ht="15">
      <c r="A11" s="2051"/>
      <c r="B11" s="138"/>
      <c r="C11" s="1777" t="str">
        <f>HYPERLINK("[.\]E_Falls!A2","To Evidence")</f>
        <v>To Evidence</v>
      </c>
      <c r="D11" s="535"/>
      <c r="E11" s="535"/>
      <c r="F11" s="613"/>
      <c r="G11" s="613"/>
      <c r="H11" s="613"/>
      <c r="I11" s="1320"/>
      <c r="J11" s="1000"/>
      <c r="K11" s="500"/>
      <c r="L11" s="1275"/>
      <c r="M11" s="516"/>
      <c r="N11" s="516"/>
      <c r="O11" s="338"/>
      <c r="P11" s="336"/>
      <c r="Q11" s="338"/>
      <c r="R11" s="336"/>
      <c r="S11" s="35"/>
      <c r="T11" s="35"/>
      <c r="U11" s="137"/>
      <c r="V11" s="35"/>
      <c r="W11" s="35"/>
    </row>
    <row r="12" spans="1:75" ht="15">
      <c r="A12" s="1489"/>
      <c r="B12" s="169"/>
      <c r="C12" s="535"/>
      <c r="D12" s="535"/>
      <c r="E12" s="535"/>
      <c r="F12" s="613"/>
      <c r="G12" s="613"/>
      <c r="H12" s="613"/>
      <c r="I12" s="1320"/>
      <c r="J12" s="1000"/>
      <c r="K12" s="500"/>
      <c r="L12" s="1418"/>
      <c r="M12" s="516"/>
      <c r="N12" s="516"/>
      <c r="O12" s="338"/>
      <c r="P12" s="336"/>
      <c r="Q12" s="338"/>
      <c r="R12" s="336"/>
      <c r="S12" s="35"/>
      <c r="T12" s="35"/>
      <c r="U12" s="137"/>
      <c r="V12" s="35"/>
      <c r="W12" s="35"/>
    </row>
    <row r="13" spans="1:75" ht="15">
      <c r="A13" s="343" t="s">
        <v>103</v>
      </c>
      <c r="B13" s="2374" t="s">
        <v>119</v>
      </c>
      <c r="C13" s="2484"/>
      <c r="D13" s="2484"/>
      <c r="E13" s="2484"/>
      <c r="F13" s="2484"/>
      <c r="G13" s="2484"/>
      <c r="H13" s="2484"/>
      <c r="I13" s="2484"/>
      <c r="J13" s="2484"/>
      <c r="K13" s="2484"/>
      <c r="L13" s="2485"/>
      <c r="M13"/>
      <c r="N13"/>
      <c r="O13" s="36"/>
      <c r="P13" s="35"/>
      <c r="Q13" s="35"/>
      <c r="S13" s="35"/>
      <c r="T13" s="137"/>
      <c r="U13" s="35"/>
      <c r="V13" s="35"/>
      <c r="W13" s="35"/>
    </row>
    <row r="14" spans="1:75" s="35" customFormat="1" ht="15">
      <c r="A14" s="965"/>
      <c r="B14" s="1289"/>
      <c r="C14" s="1035"/>
      <c r="D14" s="1035"/>
      <c r="E14" s="1035"/>
      <c r="F14" s="1035"/>
      <c r="G14" s="1035"/>
      <c r="H14" s="1035"/>
      <c r="I14" s="1036"/>
      <c r="J14" s="1036"/>
      <c r="K14" s="1036"/>
      <c r="L14" s="1419"/>
      <c r="M14"/>
      <c r="N14"/>
      <c r="T14" s="137"/>
    </row>
    <row r="15" spans="1:75" s="35" customFormat="1" ht="15">
      <c r="A15" s="138"/>
      <c r="B15" s="1290"/>
      <c r="C15" s="1260" t="s">
        <v>789</v>
      </c>
      <c r="D15" s="621">
        <v>713</v>
      </c>
      <c r="E15" s="190"/>
      <c r="F15" s="612"/>
      <c r="G15" s="36"/>
      <c r="H15" s="533"/>
      <c r="I15" s="36"/>
      <c r="J15" s="36"/>
      <c r="K15" s="36"/>
      <c r="L15" s="153"/>
      <c r="M15"/>
      <c r="N15"/>
      <c r="T15" s="137"/>
    </row>
    <row r="16" spans="1:75" s="35" customFormat="1" ht="15">
      <c r="A16" s="138"/>
      <c r="B16" s="1290"/>
      <c r="C16" s="1260" t="s">
        <v>788</v>
      </c>
      <c r="D16" s="621">
        <v>100</v>
      </c>
      <c r="E16" s="190"/>
      <c r="F16" s="612"/>
      <c r="G16" s="36"/>
      <c r="H16" s="533"/>
      <c r="I16" s="36"/>
      <c r="J16" s="36"/>
      <c r="K16" s="551"/>
      <c r="L16" s="552" t="s">
        <v>141</v>
      </c>
      <c r="M16"/>
      <c r="N16"/>
      <c r="V16" s="137"/>
    </row>
    <row r="17" spans="1:22" s="35" customFormat="1" ht="15">
      <c r="A17" s="138"/>
      <c r="B17" s="1290"/>
      <c r="C17" s="1260" t="s">
        <v>787</v>
      </c>
      <c r="D17" s="621">
        <v>14.59</v>
      </c>
      <c r="E17" s="190"/>
      <c r="F17" s="612"/>
      <c r="G17" s="36"/>
      <c r="H17" s="533"/>
      <c r="I17" s="36"/>
      <c r="J17" s="36"/>
      <c r="K17" s="63"/>
      <c r="L17" s="552" t="s">
        <v>143</v>
      </c>
      <c r="M17"/>
      <c r="N17"/>
      <c r="V17" s="137"/>
    </row>
    <row r="18" spans="1:22" s="35" customFormat="1" ht="15">
      <c r="A18" s="138"/>
      <c r="B18" s="1290"/>
      <c r="C18" s="743"/>
      <c r="D18" s="743"/>
      <c r="E18" s="612"/>
      <c r="F18" s="612"/>
      <c r="G18" s="1187"/>
      <c r="H18" s="533"/>
      <c r="I18" s="36"/>
      <c r="J18" s="36"/>
      <c r="K18" s="728" t="s">
        <v>556</v>
      </c>
      <c r="L18" s="552" t="s">
        <v>143</v>
      </c>
      <c r="M18"/>
      <c r="N18"/>
      <c r="V18" s="137"/>
    </row>
    <row r="19" spans="1:22" s="35" customFormat="1" ht="42.75">
      <c r="A19" s="138"/>
      <c r="B19" s="1290"/>
      <c r="C19" s="1260" t="s">
        <v>786</v>
      </c>
      <c r="D19" s="744">
        <v>0.6</v>
      </c>
      <c r="E19" s="190"/>
      <c r="F19" s="612"/>
      <c r="G19" s="36"/>
      <c r="H19" s="533"/>
      <c r="I19" s="36"/>
      <c r="J19" s="36"/>
      <c r="K19" s="2193"/>
      <c r="L19" s="507" t="s">
        <v>1299</v>
      </c>
      <c r="M19"/>
      <c r="N19"/>
      <c r="V19" s="137"/>
    </row>
    <row r="20" spans="1:22" s="35" customFormat="1" ht="15">
      <c r="A20" s="138"/>
      <c r="B20" s="1290"/>
      <c r="C20" s="1260" t="s">
        <v>785</v>
      </c>
      <c r="D20" s="744">
        <v>0.4</v>
      </c>
      <c r="E20" s="190"/>
      <c r="F20" s="612"/>
      <c r="G20" s="36"/>
      <c r="H20" s="533"/>
      <c r="I20" s="36"/>
      <c r="J20" s="36"/>
      <c r="K20" s="36"/>
      <c r="L20" s="153"/>
      <c r="M20"/>
      <c r="N20"/>
      <c r="V20" s="137"/>
    </row>
    <row r="21" spans="1:22" s="35" customFormat="1" ht="15">
      <c r="A21" s="138"/>
      <c r="B21" s="1290"/>
      <c r="C21" s="1260" t="s">
        <v>784</v>
      </c>
      <c r="D21" s="746">
        <f>1-D19-D20</f>
        <v>0</v>
      </c>
      <c r="E21" s="190"/>
      <c r="F21" s="612"/>
      <c r="G21" s="36"/>
      <c r="H21" s="612"/>
      <c r="I21" s="36"/>
      <c r="J21" s="36"/>
      <c r="K21" s="36"/>
      <c r="L21" s="153"/>
      <c r="M21"/>
      <c r="N21"/>
      <c r="V21" s="137"/>
    </row>
    <row r="22" spans="1:22" s="35" customFormat="1" ht="15">
      <c r="A22" s="138"/>
      <c r="B22" s="1290"/>
      <c r="C22" s="36"/>
      <c r="D22" s="36"/>
      <c r="E22" s="36"/>
      <c r="F22" s="36"/>
      <c r="G22" s="36"/>
      <c r="H22" s="612"/>
      <c r="I22" s="36"/>
      <c r="J22" s="36"/>
      <c r="K22" s="36"/>
      <c r="L22" s="153"/>
      <c r="M22"/>
      <c r="N22"/>
      <c r="V22" s="137"/>
    </row>
    <row r="23" spans="1:22" s="35" customFormat="1" ht="30">
      <c r="A23" s="138"/>
      <c r="B23" s="1290"/>
      <c r="C23" s="1415" t="s">
        <v>783</v>
      </c>
      <c r="D23" s="1416">
        <v>0</v>
      </c>
      <c r="E23" s="190"/>
      <c r="F23" s="612"/>
      <c r="H23" s="533"/>
      <c r="I23" s="36"/>
      <c r="J23" s="36"/>
      <c r="K23" s="36"/>
      <c r="L23" s="153"/>
      <c r="M23"/>
      <c r="N23"/>
      <c r="V23" s="137"/>
    </row>
    <row r="24" spans="1:22" s="35" customFormat="1" ht="15">
      <c r="A24" s="138"/>
      <c r="B24" s="1290"/>
      <c r="C24" s="1415" t="s">
        <v>982</v>
      </c>
      <c r="D24" s="1537">
        <f>1-D23</f>
        <v>1</v>
      </c>
      <c r="E24" s="190"/>
      <c r="F24" s="612"/>
      <c r="H24" s="533"/>
      <c r="I24" s="36"/>
      <c r="J24" s="36"/>
      <c r="K24" s="36"/>
      <c r="L24" s="153"/>
      <c r="M24"/>
      <c r="N24"/>
      <c r="V24" s="137"/>
    </row>
    <row r="25" spans="1:22" s="35" customFormat="1" ht="30">
      <c r="A25" s="138"/>
      <c r="B25" s="1290"/>
      <c r="C25" s="1415" t="s">
        <v>782</v>
      </c>
      <c r="D25" s="1416">
        <v>1</v>
      </c>
      <c r="E25" s="190"/>
      <c r="F25" s="612"/>
      <c r="H25" s="612"/>
      <c r="I25" s="36"/>
      <c r="J25" s="36"/>
      <c r="K25" s="36"/>
      <c r="L25" s="153"/>
      <c r="M25"/>
      <c r="N25"/>
      <c r="V25" s="137"/>
    </row>
    <row r="26" spans="1:22" s="35" customFormat="1" ht="15">
      <c r="A26" s="138"/>
      <c r="B26" s="1290"/>
      <c r="C26" s="1415" t="s">
        <v>1295</v>
      </c>
      <c r="D26" s="2133">
        <v>4</v>
      </c>
      <c r="E26" s="36"/>
      <c r="F26" s="612"/>
      <c r="H26" s="612"/>
      <c r="I26" s="36"/>
      <c r="J26" s="36"/>
      <c r="K26" s="36"/>
      <c r="L26" s="153"/>
      <c r="M26" s="516"/>
      <c r="N26" s="516"/>
      <c r="V26" s="137"/>
    </row>
    <row r="27" spans="1:22" s="35" customFormat="1" ht="15">
      <c r="A27" s="138"/>
      <c r="B27" s="1290"/>
      <c r="C27" s="612"/>
      <c r="D27" s="612"/>
      <c r="E27" s="612"/>
      <c r="F27" s="612"/>
      <c r="H27" s="533"/>
      <c r="I27" s="36"/>
      <c r="J27" s="36"/>
      <c r="K27" s="36"/>
      <c r="L27" s="153"/>
      <c r="M27"/>
      <c r="N27"/>
      <c r="V27" s="137"/>
    </row>
    <row r="28" spans="1:22" s="35" customFormat="1" ht="15">
      <c r="A28" s="138"/>
      <c r="B28" s="1290"/>
      <c r="C28" s="2278" t="s">
        <v>781</v>
      </c>
      <c r="D28" s="2470"/>
      <c r="E28" s="2470"/>
      <c r="F28" s="2470"/>
      <c r="G28" s="2470"/>
      <c r="H28" s="2523"/>
      <c r="I28" s="533"/>
      <c r="J28" s="533"/>
      <c r="K28" s="533"/>
      <c r="L28" s="153"/>
      <c r="M28"/>
      <c r="N28"/>
      <c r="T28" s="137"/>
    </row>
    <row r="29" spans="1:22" s="35" customFormat="1" ht="30">
      <c r="A29" s="138"/>
      <c r="B29" s="1290"/>
      <c r="C29" s="684" t="s">
        <v>780</v>
      </c>
      <c r="D29" s="684" t="s">
        <v>779</v>
      </c>
      <c r="E29" s="1298" t="s">
        <v>778</v>
      </c>
      <c r="F29" s="1298" t="s">
        <v>777</v>
      </c>
      <c r="G29" s="684" t="s">
        <v>1323</v>
      </c>
      <c r="H29" s="2216" t="s">
        <v>1322</v>
      </c>
      <c r="I29" s="533"/>
      <c r="J29" s="533"/>
      <c r="L29" s="153"/>
      <c r="M29"/>
      <c r="N29"/>
      <c r="T29" s="137"/>
    </row>
    <row r="30" spans="1:22" s="36" customFormat="1" ht="15">
      <c r="A30" s="138"/>
      <c r="B30" s="1290"/>
      <c r="C30" s="978" t="s">
        <v>775</v>
      </c>
      <c r="D30" s="745">
        <f>D15*D17</f>
        <v>10402.67</v>
      </c>
      <c r="E30" s="746">
        <f>F30/D30</f>
        <v>0.46</v>
      </c>
      <c r="F30" s="745">
        <f>F31+F32</f>
        <v>4785.2282000000005</v>
      </c>
      <c r="G30" s="746">
        <f>H30/F30</f>
        <v>0.56939130434782603</v>
      </c>
      <c r="H30" s="659">
        <f>H31+H32</f>
        <v>2724.6673264000001</v>
      </c>
      <c r="I30" s="533"/>
      <c r="J30" s="533"/>
      <c r="L30" s="153"/>
      <c r="M30"/>
      <c r="N30"/>
    </row>
    <row r="31" spans="1:22" s="36" customFormat="1" ht="15">
      <c r="A31" s="138"/>
      <c r="B31" s="1290"/>
      <c r="C31" s="978" t="s">
        <v>774</v>
      </c>
      <c r="D31" s="745">
        <f>D15*D17*D20</f>
        <v>4161.0680000000002</v>
      </c>
      <c r="E31" s="744">
        <v>1</v>
      </c>
      <c r="F31" s="745">
        <f>D31*E31</f>
        <v>4161.0680000000002</v>
      </c>
      <c r="G31" s="744">
        <v>0.50480000000000003</v>
      </c>
      <c r="H31" s="659">
        <f>F31*G31</f>
        <v>2100.5071264000003</v>
      </c>
      <c r="I31" s="533"/>
      <c r="J31" s="533"/>
      <c r="L31" s="153"/>
      <c r="M31"/>
      <c r="N31"/>
    </row>
    <row r="32" spans="1:22" s="36" customFormat="1" ht="15">
      <c r="A32" s="138"/>
      <c r="B32" s="1290"/>
      <c r="C32" s="978" t="s">
        <v>773</v>
      </c>
      <c r="D32" s="745">
        <f>D15*D17*D19</f>
        <v>6241.6019999999999</v>
      </c>
      <c r="E32" s="744">
        <v>0.1</v>
      </c>
      <c r="F32" s="745">
        <f>D32*E32</f>
        <v>624.16020000000003</v>
      </c>
      <c r="G32" s="744">
        <v>1</v>
      </c>
      <c r="H32" s="659">
        <f>F32*G32</f>
        <v>624.16020000000003</v>
      </c>
      <c r="I32" s="533"/>
      <c r="J32" s="533"/>
      <c r="K32" s="533"/>
      <c r="L32" s="153"/>
      <c r="M32"/>
      <c r="N32"/>
      <c r="O32" s="35"/>
      <c r="P32" s="35"/>
      <c r="Q32" s="35"/>
      <c r="R32" s="35"/>
      <c r="S32" s="35"/>
    </row>
    <row r="33" spans="1:23" s="36" customFormat="1" ht="15">
      <c r="A33" s="138"/>
      <c r="B33" s="1290"/>
      <c r="C33" s="978" t="s">
        <v>1253</v>
      </c>
      <c r="D33" s="745">
        <f>(D15*D17*D19)*D24</f>
        <v>6241.6019999999999</v>
      </c>
      <c r="E33" s="746">
        <f>E32</f>
        <v>0.1</v>
      </c>
      <c r="F33" s="745">
        <f>D33*E33</f>
        <v>624.16020000000003</v>
      </c>
      <c r="G33" s="744">
        <v>1</v>
      </c>
      <c r="H33" s="659">
        <f>F33*G33</f>
        <v>624.16020000000003</v>
      </c>
      <c r="I33" s="533"/>
      <c r="J33" s="533"/>
      <c r="K33" s="533"/>
      <c r="L33" s="153"/>
      <c r="M33"/>
      <c r="N33"/>
      <c r="O33" s="35"/>
      <c r="P33" s="35"/>
      <c r="Q33" s="35"/>
      <c r="R33" s="35"/>
      <c r="S33" s="35"/>
    </row>
    <row r="34" spans="1:23" s="36" customFormat="1" ht="15">
      <c r="A34" s="138"/>
      <c r="B34" s="1290"/>
      <c r="C34" s="1260" t="s">
        <v>368</v>
      </c>
      <c r="D34" s="745">
        <f>D15*D17*D19*D25</f>
        <v>6241.6019999999999</v>
      </c>
      <c r="E34" s="746">
        <v>0.1</v>
      </c>
      <c r="F34" s="745">
        <f>D34*E34</f>
        <v>624.16020000000003</v>
      </c>
      <c r="G34" s="744">
        <v>1</v>
      </c>
      <c r="H34" s="659">
        <f>F34*G34</f>
        <v>624.16020000000003</v>
      </c>
      <c r="I34" s="533"/>
      <c r="J34" s="533"/>
      <c r="K34" s="533"/>
      <c r="L34" s="153"/>
      <c r="M34" s="516"/>
      <c r="N34" s="516"/>
      <c r="O34" s="35"/>
      <c r="P34" s="35"/>
      <c r="Q34" s="35"/>
      <c r="R34" s="35"/>
      <c r="S34" s="35"/>
    </row>
    <row r="35" spans="1:23" s="36" customFormat="1" ht="15">
      <c r="A35" s="138"/>
      <c r="B35" s="1290"/>
      <c r="C35" s="978" t="s">
        <v>69</v>
      </c>
      <c r="D35" s="745">
        <f>D15*D17*D19*D25*D26</f>
        <v>24966.407999999999</v>
      </c>
      <c r="E35" s="744">
        <v>0.1</v>
      </c>
      <c r="F35" s="745">
        <f>D35*E35</f>
        <v>2496.6408000000001</v>
      </c>
      <c r="G35" s="744">
        <v>1</v>
      </c>
      <c r="H35" s="659">
        <f>F35*G35</f>
        <v>2496.6408000000001</v>
      </c>
      <c r="I35" s="533"/>
      <c r="J35" s="533"/>
      <c r="K35" s="533"/>
      <c r="L35" s="153"/>
      <c r="M35"/>
      <c r="N35"/>
    </row>
    <row r="36" spans="1:23" s="36" customFormat="1" ht="15">
      <c r="A36" s="138"/>
      <c r="B36" s="1290"/>
      <c r="C36" s="612"/>
      <c r="D36" s="612"/>
      <c r="E36" s="612"/>
      <c r="F36" s="612"/>
      <c r="G36" s="612"/>
      <c r="H36" s="533"/>
      <c r="I36" s="533"/>
      <c r="J36" s="533"/>
      <c r="K36" s="533"/>
      <c r="L36" s="153"/>
      <c r="M36"/>
      <c r="N36"/>
    </row>
    <row r="37" spans="1:23" s="36" customFormat="1" ht="15">
      <c r="A37" s="138"/>
      <c r="B37" s="1290"/>
      <c r="C37" s="612"/>
      <c r="D37" s="612"/>
      <c r="E37" s="612"/>
      <c r="F37" s="612"/>
      <c r="G37" s="612"/>
      <c r="H37" s="533"/>
      <c r="I37" s="533"/>
      <c r="J37" s="533"/>
      <c r="K37" s="533"/>
      <c r="L37" s="153"/>
      <c r="M37"/>
      <c r="N37"/>
    </row>
    <row r="38" spans="1:23" s="35" customFormat="1" ht="15">
      <c r="A38" s="138"/>
      <c r="B38" s="1291"/>
      <c r="C38" s="748"/>
      <c r="D38" s="748"/>
      <c r="E38" s="748"/>
      <c r="F38" s="749"/>
      <c r="G38" s="749"/>
      <c r="H38" s="749"/>
      <c r="I38" s="749"/>
      <c r="J38" s="749"/>
      <c r="K38" s="749"/>
      <c r="L38" s="1276"/>
      <c r="M38"/>
      <c r="N38"/>
      <c r="O38" s="36"/>
      <c r="P38" s="36"/>
      <c r="Q38" s="36"/>
      <c r="R38" s="36"/>
      <c r="S38" s="36"/>
    </row>
    <row r="39" spans="1:23" ht="15">
      <c r="B39" s="2374" t="s">
        <v>117</v>
      </c>
      <c r="C39" s="2484"/>
      <c r="D39" s="2484"/>
      <c r="E39" s="2484"/>
      <c r="F39" s="2484"/>
      <c r="G39" s="2484"/>
      <c r="H39" s="2484"/>
      <c r="I39" s="2484"/>
      <c r="J39" s="2484"/>
      <c r="K39" s="2484"/>
      <c r="L39" s="2485"/>
      <c r="M39"/>
      <c r="N39"/>
      <c r="O39" s="36"/>
      <c r="P39" s="36"/>
      <c r="Q39" s="36"/>
      <c r="R39" s="36"/>
      <c r="S39" s="36"/>
      <c r="T39" s="35"/>
      <c r="U39" s="35"/>
      <c r="V39" s="35"/>
      <c r="W39" s="35"/>
    </row>
    <row r="40" spans="1:23" ht="15">
      <c r="B40" s="965"/>
      <c r="C40" s="537"/>
      <c r="D40" s="36"/>
      <c r="E40" s="36"/>
      <c r="F40" s="658"/>
      <c r="G40" s="537"/>
      <c r="H40" s="62"/>
      <c r="I40" s="975"/>
      <c r="J40" s="533"/>
      <c r="K40" s="67"/>
      <c r="L40" s="1419"/>
      <c r="M40"/>
      <c r="N40"/>
      <c r="O40" s="36"/>
      <c r="P40" s="36"/>
      <c r="Q40" s="36"/>
      <c r="R40" s="36"/>
      <c r="S40" s="36"/>
      <c r="T40" s="35"/>
      <c r="U40" s="35"/>
      <c r="V40" s="35"/>
    </row>
    <row r="41" spans="1:23" s="35" customFormat="1" ht="15">
      <c r="A41" s="138"/>
      <c r="B41" s="1290"/>
      <c r="C41" s="1775" t="str">
        <f>HYPERLINK("[.\]Set_up_Falls!B3","To Set up costs template")</f>
        <v>To Set up costs template</v>
      </c>
      <c r="D41" s="36"/>
      <c r="E41" s="36"/>
      <c r="F41" s="36"/>
      <c r="G41" s="36"/>
      <c r="H41" s="36"/>
      <c r="I41" s="533"/>
      <c r="J41" s="533"/>
      <c r="K41" s="533"/>
      <c r="L41" s="153"/>
      <c r="M41" s="516"/>
      <c r="N41" s="516"/>
      <c r="T41" s="137"/>
    </row>
    <row r="42" spans="1:23" s="35" customFormat="1" ht="15">
      <c r="A42" s="138"/>
      <c r="B42" s="1290"/>
      <c r="C42" s="36"/>
      <c r="D42" s="36"/>
      <c r="E42" s="36"/>
      <c r="F42" s="36"/>
      <c r="G42" s="36"/>
      <c r="H42" s="36"/>
      <c r="I42" s="533"/>
      <c r="J42" s="533"/>
      <c r="K42" s="533"/>
      <c r="L42" s="153"/>
      <c r="M42" s="516"/>
      <c r="N42" s="516"/>
      <c r="T42" s="137"/>
    </row>
    <row r="43" spans="1:23" ht="30">
      <c r="B43" s="138"/>
      <c r="C43" s="684" t="s">
        <v>1093</v>
      </c>
      <c r="D43" s="684" t="s">
        <v>116</v>
      </c>
      <c r="E43" s="1144" t="s">
        <v>115</v>
      </c>
      <c r="F43" s="1298" t="s">
        <v>114</v>
      </c>
      <c r="G43" s="628"/>
      <c r="H43" s="537"/>
      <c r="I43" s="639" t="s">
        <v>741</v>
      </c>
      <c r="J43" s="975"/>
      <c r="K43" s="533"/>
      <c r="L43" s="153"/>
      <c r="M43"/>
      <c r="N43"/>
      <c r="O43" s="36"/>
      <c r="P43" s="36"/>
      <c r="Q43" s="36"/>
      <c r="R43" s="36"/>
      <c r="S43" s="36"/>
      <c r="T43" s="137"/>
      <c r="U43" s="35"/>
      <c r="V43" s="35"/>
      <c r="W43" s="35"/>
    </row>
    <row r="44" spans="1:23" ht="15">
      <c r="B44" s="138"/>
      <c r="C44" s="657" t="s">
        <v>772</v>
      </c>
      <c r="D44" s="740">
        <v>5</v>
      </c>
      <c r="E44" s="750">
        <v>5.2877952755905513</v>
      </c>
      <c r="F44" s="1133">
        <f>IF(D44&lt;&gt;"",VLOOKUP(D44,staff_costs!$A$5:$F$22,6,0),"")</f>
        <v>31369.52</v>
      </c>
      <c r="H44" s="62"/>
      <c r="I44" s="572" t="str">
        <f>IF(C44&gt;"",C44,"")</f>
        <v>Training Staff</v>
      </c>
      <c r="J44" s="1133">
        <f>IF($D44="","",E44*F44)</f>
        <v>165875.59965354332</v>
      </c>
      <c r="L44" s="153"/>
      <c r="M44"/>
      <c r="N44"/>
      <c r="O44" s="35"/>
      <c r="P44" s="35"/>
      <c r="Q44" s="35"/>
      <c r="R44" s="35"/>
      <c r="S44" s="35"/>
      <c r="T44" s="35"/>
      <c r="U44" s="35"/>
      <c r="V44" s="35"/>
      <c r="W44" s="35"/>
    </row>
    <row r="45" spans="1:23" ht="15">
      <c r="B45" s="138"/>
      <c r="C45" s="657"/>
      <c r="D45" s="740"/>
      <c r="E45" s="750"/>
      <c r="F45" s="1133" t="str">
        <f>IF(D45&lt;&gt;"",VLOOKUP(D45,staff_costs!$A$5:$F$22,6,0),"")</f>
        <v/>
      </c>
      <c r="H45" s="62"/>
      <c r="I45" s="639" t="str">
        <f>IF(C45&gt;"",C45,"")</f>
        <v/>
      </c>
      <c r="J45" s="1133" t="str">
        <f>IF($D45="","",E45*F45)</f>
        <v/>
      </c>
      <c r="L45" s="153"/>
      <c r="M45"/>
      <c r="N45"/>
      <c r="O45" s="36"/>
      <c r="P45" s="35"/>
      <c r="Q45" s="35"/>
      <c r="S45" s="35"/>
      <c r="T45" s="35"/>
      <c r="U45" s="35"/>
      <c r="V45" s="35"/>
    </row>
    <row r="46" spans="1:23" ht="15">
      <c r="B46" s="138"/>
      <c r="C46" s="657"/>
      <c r="D46" s="740"/>
      <c r="E46" s="750"/>
      <c r="F46" s="1133" t="str">
        <f>IF(D46&lt;&gt;"",VLOOKUP(D46,staff_costs!$A$5:$F$22,6,0),"")</f>
        <v/>
      </c>
      <c r="H46" s="62"/>
      <c r="I46" s="623" t="str">
        <f>IF(C46&gt;"",C46,"")</f>
        <v/>
      </c>
      <c r="J46" s="1133" t="str">
        <f>IF($D46="","",E46*F46)</f>
        <v/>
      </c>
      <c r="L46" s="153"/>
      <c r="M46" s="516"/>
      <c r="N46"/>
      <c r="O46" s="56"/>
      <c r="P46" s="35"/>
      <c r="Q46" s="35"/>
      <c r="R46" s="35"/>
      <c r="S46" s="35"/>
      <c r="T46" s="35"/>
      <c r="U46" s="35"/>
      <c r="V46" s="35"/>
    </row>
    <row r="47" spans="1:23" ht="15">
      <c r="B47" s="138"/>
      <c r="C47" s="657"/>
      <c r="D47" s="740"/>
      <c r="E47" s="750"/>
      <c r="F47" s="1133" t="str">
        <f>IF(D47&lt;&gt;"",VLOOKUP(D47,staff_costs!$A$5:$F$22,6,0),"")</f>
        <v/>
      </c>
      <c r="H47" s="62"/>
      <c r="I47" s="623" t="str">
        <f>IF(C47&gt;"",C47,"")</f>
        <v/>
      </c>
      <c r="J47" s="1133" t="str">
        <f>IF($D47="","",E47*F47)</f>
        <v/>
      </c>
      <c r="L47" s="153"/>
      <c r="M47"/>
      <c r="N47"/>
      <c r="O47" s="56"/>
      <c r="P47" s="35"/>
      <c r="Q47" s="35"/>
      <c r="R47" s="35"/>
      <c r="S47" s="35"/>
      <c r="T47" s="35"/>
      <c r="U47" s="35"/>
      <c r="V47" s="35"/>
    </row>
    <row r="48" spans="1:23" ht="15">
      <c r="B48" s="138"/>
      <c r="C48" s="1250" t="s">
        <v>109</v>
      </c>
      <c r="D48" s="780"/>
      <c r="E48" s="1538">
        <f>SUM(E44:E47)</f>
        <v>5.2877952755905513</v>
      </c>
      <c r="F48" s="537"/>
      <c r="H48" s="62"/>
      <c r="I48" s="623" t="s">
        <v>1321</v>
      </c>
      <c r="J48" s="1133">
        <f>SUM(J44:J47)</f>
        <v>165875.59965354332</v>
      </c>
      <c r="L48" s="153"/>
      <c r="M48"/>
      <c r="N48"/>
      <c r="O48" s="56"/>
      <c r="P48" s="35"/>
      <c r="Q48" s="35"/>
      <c r="R48" s="35"/>
      <c r="S48" s="35"/>
      <c r="T48" s="35"/>
      <c r="U48" s="35"/>
      <c r="V48" s="35"/>
    </row>
    <row r="49" spans="2:22" ht="15">
      <c r="B49" s="138"/>
      <c r="C49" s="36"/>
      <c r="D49" s="36"/>
      <c r="E49" s="36"/>
      <c r="F49" s="658"/>
      <c r="G49" s="537"/>
      <c r="H49" s="62"/>
      <c r="I49" s="741"/>
      <c r="J49" s="533"/>
      <c r="K49" s="975"/>
      <c r="L49" s="153"/>
      <c r="M49"/>
      <c r="N49"/>
      <c r="O49" s="56"/>
      <c r="P49" s="35"/>
      <c r="Q49" s="35"/>
      <c r="R49" s="35"/>
      <c r="S49" s="35"/>
      <c r="T49" s="35"/>
      <c r="U49" s="35"/>
      <c r="V49" s="35"/>
    </row>
    <row r="50" spans="2:22" s="70" customFormat="1" ht="30">
      <c r="B50" s="1288"/>
      <c r="C50" s="684" t="s">
        <v>142</v>
      </c>
      <c r="D50" s="684" t="s">
        <v>116</v>
      </c>
      <c r="E50" s="1144" t="s">
        <v>115</v>
      </c>
      <c r="F50" s="1298" t="s">
        <v>114</v>
      </c>
      <c r="H50" s="62"/>
      <c r="I50" s="639" t="s">
        <v>1308</v>
      </c>
      <c r="J50" s="563" t="s">
        <v>110</v>
      </c>
      <c r="L50" s="1420"/>
      <c r="M50"/>
      <c r="N50"/>
      <c r="O50" s="36"/>
      <c r="P50" s="56"/>
      <c r="Q50" s="35"/>
      <c r="R50" s="35"/>
      <c r="S50" s="35"/>
      <c r="T50" s="68"/>
      <c r="U50" s="68"/>
      <c r="V50" s="68"/>
    </row>
    <row r="51" spans="2:22" ht="15">
      <c r="B51" s="138"/>
      <c r="C51" s="657" t="s">
        <v>772</v>
      </c>
      <c r="D51" s="740">
        <v>5</v>
      </c>
      <c r="E51" s="750">
        <v>2.2913779527559055</v>
      </c>
      <c r="F51" s="1133">
        <f>IF(D51&lt;&gt;"",VLOOKUP(D51,staff_costs!$A$5:$F$22,6,0),"")</f>
        <v>31369.52</v>
      </c>
      <c r="H51" s="62"/>
      <c r="I51" s="623" t="str">
        <f>IF(C51&gt;"",C51,"")</f>
        <v>Training Staff</v>
      </c>
      <c r="J51" s="1133">
        <f>IF($D51="","",E51*F51)</f>
        <v>71879.42651653543</v>
      </c>
      <c r="L51" s="153"/>
      <c r="M51"/>
      <c r="N51"/>
      <c r="O51" s="36"/>
      <c r="P51" s="56"/>
      <c r="Q51" s="35"/>
      <c r="R51" s="35"/>
      <c r="S51" s="35"/>
      <c r="T51" s="35"/>
      <c r="U51" s="35"/>
      <c r="V51" s="35"/>
    </row>
    <row r="52" spans="2:22" ht="15">
      <c r="B52" s="138"/>
      <c r="C52" s="657"/>
      <c r="D52" s="740"/>
      <c r="E52" s="750"/>
      <c r="F52" s="1133" t="str">
        <f>IF(D52&lt;&gt;"",VLOOKUP(D52,staff_costs!$A$5:$F$22,6,0),"")</f>
        <v/>
      </c>
      <c r="H52" s="62"/>
      <c r="I52" s="623" t="str">
        <f>IF(C52&gt;"",C52,"")</f>
        <v/>
      </c>
      <c r="J52" s="1133" t="str">
        <f>IF($D52="","",E52*F52)</f>
        <v/>
      </c>
      <c r="L52" s="153"/>
      <c r="M52"/>
      <c r="N52"/>
      <c r="O52" s="56"/>
      <c r="P52" s="35"/>
      <c r="Q52" s="35"/>
      <c r="R52" s="35"/>
      <c r="S52" s="35"/>
      <c r="T52" s="35"/>
      <c r="U52" s="35"/>
      <c r="V52" s="35"/>
    </row>
    <row r="53" spans="2:22" ht="15">
      <c r="B53" s="138"/>
      <c r="C53" s="657"/>
      <c r="D53" s="740"/>
      <c r="E53" s="750"/>
      <c r="F53" s="1133" t="str">
        <f>IF(D53&lt;&gt;"",VLOOKUP(D53,staff_costs!$A$5:$F$22,6,0),"")</f>
        <v/>
      </c>
      <c r="H53" s="62"/>
      <c r="I53" s="623" t="str">
        <f>IF(C53&gt;"",C53,"")</f>
        <v/>
      </c>
      <c r="J53" s="1133" t="str">
        <f>IF($D53="","",E53*F53)</f>
        <v/>
      </c>
      <c r="L53" s="153"/>
      <c r="M53"/>
      <c r="N53"/>
      <c r="O53" s="56"/>
      <c r="P53" s="35"/>
      <c r="Q53" s="35"/>
      <c r="R53" s="35"/>
      <c r="S53" s="35"/>
      <c r="T53" s="35"/>
      <c r="U53" s="35"/>
      <c r="V53" s="35"/>
    </row>
    <row r="54" spans="2:22" ht="15">
      <c r="B54" s="138"/>
      <c r="C54" s="657"/>
      <c r="D54" s="740"/>
      <c r="E54" s="750"/>
      <c r="F54" s="1133" t="str">
        <f>IF(D54&lt;&gt;"",VLOOKUP(D54,staff_costs!$A$5:$F$22,6,0),"")</f>
        <v/>
      </c>
      <c r="H54" s="62"/>
      <c r="I54" s="623" t="str">
        <f>IF(C54&gt;"",C54,"")</f>
        <v/>
      </c>
      <c r="J54" s="1133" t="str">
        <f>IF($D54="","",E54*F54)</f>
        <v/>
      </c>
      <c r="L54" s="153"/>
      <c r="M54"/>
      <c r="N54"/>
      <c r="O54" s="200"/>
      <c r="P54" s="68"/>
      <c r="Q54" s="68"/>
      <c r="R54" s="68"/>
      <c r="S54" s="68"/>
      <c r="T54" s="35"/>
      <c r="U54" s="35"/>
      <c r="V54" s="35"/>
    </row>
    <row r="55" spans="2:22" ht="15">
      <c r="B55" s="138"/>
      <c r="C55" s="1250" t="s">
        <v>109</v>
      </c>
      <c r="D55" s="780"/>
      <c r="E55" s="1538">
        <f>SUM(E51:E54)</f>
        <v>2.2913779527559055</v>
      </c>
      <c r="F55" s="537"/>
      <c r="H55" s="62"/>
      <c r="I55" s="623" t="s">
        <v>184</v>
      </c>
      <c r="J55" s="1133">
        <f>SUM(J51:J54)</f>
        <v>71879.42651653543</v>
      </c>
      <c r="L55" s="153"/>
      <c r="M55"/>
      <c r="N55"/>
      <c r="O55" s="56"/>
      <c r="P55" s="35"/>
      <c r="Q55" s="35"/>
      <c r="R55" s="35"/>
      <c r="S55" s="35"/>
      <c r="T55" s="35"/>
      <c r="U55" s="35"/>
      <c r="V55" s="35"/>
    </row>
    <row r="56" spans="2:22" ht="15">
      <c r="B56" s="138"/>
      <c r="C56" s="537"/>
      <c r="D56" s="36"/>
      <c r="E56" s="36"/>
      <c r="F56" s="62"/>
      <c r="G56" s="537"/>
      <c r="H56" s="62"/>
      <c r="I56" s="741"/>
      <c r="J56" s="533"/>
      <c r="K56" s="975"/>
      <c r="L56" s="153"/>
      <c r="M56"/>
      <c r="N56"/>
      <c r="O56" s="56"/>
      <c r="P56" s="35"/>
      <c r="Q56" s="35"/>
      <c r="R56" s="35"/>
      <c r="S56" s="35"/>
      <c r="T56" s="35"/>
      <c r="U56" s="35"/>
      <c r="V56" s="35"/>
    </row>
    <row r="57" spans="2:22" ht="15">
      <c r="B57" s="138"/>
      <c r="C57" s="349"/>
      <c r="D57" s="62"/>
      <c r="E57" s="62"/>
      <c r="F57" s="170"/>
      <c r="G57" s="62"/>
      <c r="H57" s="62"/>
      <c r="I57" s="735"/>
      <c r="J57" s="628"/>
      <c r="K57" s="36"/>
      <c r="L57" s="153"/>
      <c r="M57"/>
      <c r="N57"/>
      <c r="O57" s="56"/>
      <c r="P57" s="35"/>
      <c r="Q57" s="35"/>
      <c r="R57" s="35"/>
      <c r="S57" s="35"/>
      <c r="T57" s="35"/>
      <c r="U57" s="35"/>
      <c r="V57" s="35"/>
    </row>
    <row r="58" spans="2:22" s="70" customFormat="1" ht="30">
      <c r="B58" s="1288"/>
      <c r="C58" s="684" t="s">
        <v>130</v>
      </c>
      <c r="D58" s="684" t="s">
        <v>132</v>
      </c>
      <c r="E58" s="1298" t="s">
        <v>131</v>
      </c>
      <c r="H58" s="979"/>
      <c r="I58" s="972" t="s">
        <v>130</v>
      </c>
      <c r="J58" s="1298"/>
      <c r="K58" s="733"/>
      <c r="L58" s="1420"/>
      <c r="M58"/>
      <c r="N58"/>
      <c r="O58" s="56"/>
      <c r="P58" s="35"/>
      <c r="Q58" s="35"/>
      <c r="R58" s="35"/>
      <c r="S58" s="35"/>
      <c r="T58" s="68"/>
      <c r="U58" s="68"/>
      <c r="V58" s="68"/>
    </row>
    <row r="59" spans="2:22" ht="15">
      <c r="B59" s="138"/>
      <c r="C59" s="657" t="s">
        <v>771</v>
      </c>
      <c r="D59" s="751">
        <v>1</v>
      </c>
      <c r="E59" s="1539">
        <v>10000</v>
      </c>
      <c r="H59" s="62"/>
      <c r="I59" s="623" t="str">
        <f>IF(C59&gt;"",C59,"")</f>
        <v>Travel and training materials</v>
      </c>
      <c r="J59" s="1133">
        <f>E59*D59</f>
        <v>10000</v>
      </c>
      <c r="L59" s="153"/>
      <c r="M59"/>
      <c r="N59"/>
      <c r="O59" s="56"/>
      <c r="P59" s="35"/>
      <c r="Q59" s="35"/>
      <c r="R59" s="35"/>
      <c r="S59" s="35"/>
      <c r="T59" s="35"/>
      <c r="U59" s="35"/>
      <c r="V59" s="35"/>
    </row>
    <row r="60" spans="2:22" ht="15">
      <c r="B60" s="138"/>
      <c r="C60" s="657"/>
      <c r="D60" s="621"/>
      <c r="E60" s="752"/>
      <c r="H60" s="62"/>
      <c r="I60" s="623" t="str">
        <f>IF(C60&gt;"",C60,"")</f>
        <v/>
      </c>
      <c r="J60" s="1133">
        <f>E60*D60</f>
        <v>0</v>
      </c>
      <c r="L60" s="153"/>
      <c r="M60"/>
      <c r="N60"/>
      <c r="O60" s="56"/>
      <c r="P60" s="35"/>
      <c r="Q60" s="35"/>
      <c r="R60" s="35"/>
      <c r="S60" s="35"/>
      <c r="T60" s="35"/>
      <c r="U60" s="35"/>
      <c r="V60" s="35"/>
    </row>
    <row r="61" spans="2:22" ht="15">
      <c r="B61" s="138"/>
      <c r="C61" s="657"/>
      <c r="D61" s="729"/>
      <c r="E61" s="752"/>
      <c r="H61" s="62"/>
      <c r="I61" s="623" t="str">
        <f>IF(C61&gt;"",C61,"")</f>
        <v/>
      </c>
      <c r="J61" s="1133">
        <f>E61*D61</f>
        <v>0</v>
      </c>
      <c r="L61" s="153"/>
      <c r="M61"/>
      <c r="N61"/>
      <c r="O61" s="35"/>
      <c r="P61" s="35"/>
      <c r="Q61" s="35"/>
      <c r="R61" s="35"/>
      <c r="S61" s="35"/>
      <c r="T61" s="35"/>
      <c r="U61" s="35"/>
      <c r="V61" s="35"/>
    </row>
    <row r="62" spans="2:22" ht="15">
      <c r="B62" s="138"/>
      <c r="C62" s="62"/>
      <c r="D62" s="62"/>
      <c r="E62" s="62"/>
      <c r="F62" s="62"/>
      <c r="G62" s="62"/>
      <c r="H62" s="62"/>
      <c r="I62" s="623" t="s">
        <v>127</v>
      </c>
      <c r="J62" s="1133">
        <f>SUM(J59:J61)</f>
        <v>10000</v>
      </c>
      <c r="L62" s="153"/>
      <c r="M62"/>
      <c r="N62"/>
      <c r="O62" s="68"/>
      <c r="P62" s="68"/>
      <c r="Q62" s="68"/>
      <c r="R62" s="68"/>
      <c r="S62" s="68"/>
      <c r="T62" s="35"/>
      <c r="U62" s="35"/>
      <c r="V62" s="35"/>
    </row>
    <row r="63" spans="2:22" ht="15">
      <c r="B63" s="138"/>
      <c r="C63" s="349"/>
      <c r="D63" s="62"/>
      <c r="E63" s="62"/>
      <c r="F63" s="170"/>
      <c r="G63" s="62"/>
      <c r="H63" s="62"/>
      <c r="I63" s="735"/>
      <c r="J63" s="628"/>
      <c r="K63" s="62"/>
      <c r="L63" s="153"/>
      <c r="M63"/>
      <c r="N63"/>
      <c r="O63" s="35"/>
      <c r="P63" s="35"/>
      <c r="Q63" s="35"/>
      <c r="R63" s="35"/>
      <c r="S63" s="35"/>
      <c r="T63" s="35"/>
      <c r="U63" s="35"/>
      <c r="V63" s="35"/>
    </row>
    <row r="64" spans="2:22" ht="15">
      <c r="B64" s="138"/>
      <c r="C64" s="36"/>
      <c r="D64" s="36"/>
      <c r="E64" s="36"/>
      <c r="F64" s="36"/>
      <c r="G64" s="36"/>
      <c r="H64" s="36"/>
      <c r="I64" s="623" t="s">
        <v>770</v>
      </c>
      <c r="J64" s="1133">
        <f>J62+J55</f>
        <v>81879.42651653543</v>
      </c>
      <c r="L64" s="153"/>
      <c r="M64"/>
      <c r="N64"/>
      <c r="O64" s="56"/>
      <c r="P64" s="35"/>
      <c r="Q64" s="35"/>
      <c r="R64" s="35"/>
      <c r="S64" s="35"/>
      <c r="T64" s="137"/>
      <c r="U64" s="35"/>
      <c r="V64" s="35"/>
    </row>
    <row r="65" spans="1:23" ht="15">
      <c r="B65" s="138"/>
      <c r="C65" s="36"/>
      <c r="D65" s="36"/>
      <c r="E65" s="36"/>
      <c r="F65" s="67"/>
      <c r="G65" s="67"/>
      <c r="H65" s="62"/>
      <c r="I65" s="623" t="s">
        <v>769</v>
      </c>
      <c r="J65" s="1133">
        <f>J64/D15</f>
        <v>114.83790535278462</v>
      </c>
      <c r="L65" s="153"/>
      <c r="M65"/>
      <c r="N65"/>
      <c r="O65" s="56"/>
      <c r="P65" s="35"/>
      <c r="Q65" s="35"/>
      <c r="R65" s="35"/>
      <c r="S65" s="35"/>
      <c r="T65" s="137"/>
      <c r="U65" s="35"/>
      <c r="V65" s="35"/>
    </row>
    <row r="66" spans="1:23" ht="15">
      <c r="B66" s="138"/>
      <c r="C66" s="36"/>
      <c r="D66" s="36"/>
      <c r="E66" s="36"/>
      <c r="F66" s="67"/>
      <c r="G66" s="67"/>
      <c r="H66" s="62"/>
      <c r="I66" s="623" t="s">
        <v>768</v>
      </c>
      <c r="J66" s="1194">
        <f>J65/D16</f>
        <v>1.1483790535278462</v>
      </c>
      <c r="L66" s="153"/>
      <c r="M66"/>
      <c r="N66"/>
      <c r="O66" s="56"/>
      <c r="P66" s="35"/>
      <c r="Q66" s="35"/>
      <c r="R66" s="35"/>
      <c r="S66" s="35"/>
      <c r="T66" s="137"/>
      <c r="U66" s="35"/>
      <c r="V66" s="35"/>
    </row>
    <row r="67" spans="1:23" s="62" customFormat="1" ht="15">
      <c r="B67" s="1423"/>
      <c r="L67" s="1285"/>
      <c r="M67"/>
      <c r="N67"/>
      <c r="T67" s="35"/>
    </row>
    <row r="68" spans="1:23" ht="15">
      <c r="A68" s="192"/>
      <c r="B68" s="2374" t="s">
        <v>102</v>
      </c>
      <c r="C68" s="2484"/>
      <c r="D68" s="2484"/>
      <c r="E68" s="2484"/>
      <c r="F68" s="2484"/>
      <c r="G68" s="2484"/>
      <c r="H68" s="2484"/>
      <c r="I68" s="2484"/>
      <c r="J68" s="2484"/>
      <c r="K68" s="2484"/>
      <c r="L68" s="2485"/>
      <c r="M68"/>
      <c r="N68"/>
      <c r="O68" s="35"/>
      <c r="P68" s="35"/>
      <c r="Q68" s="35"/>
      <c r="R68" s="35"/>
      <c r="S68" s="35"/>
      <c r="T68" s="35"/>
      <c r="U68" s="35"/>
      <c r="V68" s="35"/>
      <c r="W68" s="35"/>
    </row>
    <row r="69" spans="1:23" ht="15">
      <c r="A69" s="192"/>
      <c r="B69" s="965"/>
      <c r="C69" s="67"/>
      <c r="D69" s="67"/>
      <c r="E69" s="67"/>
      <c r="F69" s="67"/>
      <c r="G69" s="170"/>
      <c r="H69" s="170"/>
      <c r="I69" s="170"/>
      <c r="J69" s="62"/>
      <c r="K69" s="974"/>
      <c r="L69" s="1421"/>
      <c r="M69"/>
      <c r="N69"/>
      <c r="O69" s="35"/>
      <c r="P69" s="35"/>
      <c r="Q69" s="35"/>
      <c r="R69" s="35"/>
      <c r="S69" s="35"/>
      <c r="T69" s="35"/>
      <c r="U69" s="35"/>
      <c r="V69" s="35"/>
      <c r="W69" s="35"/>
    </row>
    <row r="70" spans="1:23" ht="30">
      <c r="A70" s="192"/>
      <c r="B70" s="138"/>
      <c r="C70" s="623" t="s">
        <v>767</v>
      </c>
      <c r="D70" s="969">
        <f>(D35/D26)/D15</f>
        <v>8.7539999999999996</v>
      </c>
      <c r="E70" s="36"/>
      <c r="G70" s="67"/>
      <c r="H70" s="170"/>
      <c r="I70" s="623" t="s">
        <v>1087</v>
      </c>
      <c r="J70" s="577">
        <f>D70*D15</f>
        <v>6241.6019999999999</v>
      </c>
      <c r="L70" s="153"/>
      <c r="M70"/>
      <c r="N70"/>
      <c r="O70" s="35"/>
      <c r="P70" s="35"/>
      <c r="Q70" s="35"/>
      <c r="R70" s="35"/>
      <c r="S70" s="35"/>
      <c r="T70" s="35"/>
      <c r="U70" s="35"/>
      <c r="V70" s="35"/>
      <c r="W70" s="35"/>
    </row>
    <row r="71" spans="1:23" ht="15">
      <c r="A71" s="192"/>
      <c r="B71" s="138"/>
      <c r="C71" s="623" t="s">
        <v>766</v>
      </c>
      <c r="D71" s="1417">
        <f>(D35/D26)/(D15*D16)</f>
        <v>8.7539999999999993E-2</v>
      </c>
      <c r="E71" s="36"/>
      <c r="G71" s="170"/>
      <c r="H71" s="170"/>
      <c r="I71" s="356"/>
      <c r="J71" s="356"/>
      <c r="K71" s="170"/>
      <c r="L71" s="1295"/>
      <c r="M71"/>
      <c r="N71"/>
      <c r="O71" s="62"/>
      <c r="P71" s="62"/>
      <c r="Q71" s="62"/>
      <c r="R71" s="62"/>
      <c r="S71" s="62"/>
      <c r="T71" s="35"/>
      <c r="U71" s="35"/>
      <c r="V71" s="35"/>
      <c r="W71" s="35"/>
    </row>
    <row r="72" spans="1:23" ht="15">
      <c r="A72" s="192"/>
      <c r="B72" s="138"/>
      <c r="C72" s="67"/>
      <c r="D72" s="67"/>
      <c r="E72" s="67"/>
      <c r="F72" s="67"/>
      <c r="G72" s="170"/>
      <c r="H72" s="170"/>
      <c r="I72" s="356"/>
      <c r="J72" s="356"/>
      <c r="K72" s="170"/>
      <c r="L72" s="1295"/>
      <c r="M72"/>
      <c r="N72"/>
      <c r="O72" s="36"/>
      <c r="P72" s="35"/>
      <c r="Q72" s="35"/>
      <c r="S72" s="35"/>
      <c r="T72" s="35"/>
      <c r="U72" s="35"/>
      <c r="V72" s="35"/>
      <c r="W72" s="35"/>
    </row>
    <row r="73" spans="1:23" ht="15">
      <c r="A73" s="192"/>
      <c r="B73" s="138"/>
      <c r="C73" s="67"/>
      <c r="D73" s="67"/>
      <c r="E73" s="67"/>
      <c r="F73" s="67"/>
      <c r="G73" s="170"/>
      <c r="H73" s="170"/>
      <c r="I73" s="356"/>
      <c r="J73" s="356"/>
      <c r="K73" s="170"/>
      <c r="L73" s="1295"/>
      <c r="M73"/>
      <c r="N73"/>
      <c r="O73" s="35"/>
      <c r="P73" s="35"/>
      <c r="Q73" s="35"/>
      <c r="R73" s="35"/>
      <c r="S73" s="35"/>
      <c r="T73" s="35"/>
      <c r="U73" s="35"/>
      <c r="V73" s="35"/>
      <c r="W73" s="35"/>
    </row>
    <row r="74" spans="1:23" ht="15">
      <c r="A74" s="192"/>
      <c r="B74" s="138"/>
      <c r="C74" s="349"/>
      <c r="D74" s="62"/>
      <c r="E74" s="62"/>
      <c r="F74" s="170"/>
      <c r="G74" s="170"/>
      <c r="H74" s="170"/>
      <c r="I74" s="356"/>
      <c r="J74" s="356"/>
      <c r="K74" s="170"/>
      <c r="L74" s="1284"/>
      <c r="M74"/>
      <c r="N74"/>
      <c r="O74" s="35"/>
      <c r="P74" s="35"/>
      <c r="Q74" s="35"/>
      <c r="R74" s="35"/>
      <c r="S74" s="35"/>
      <c r="T74" s="35"/>
      <c r="U74" s="35"/>
      <c r="V74" s="35"/>
      <c r="W74" s="35"/>
    </row>
    <row r="75" spans="1:23" ht="15">
      <c r="A75" s="192"/>
      <c r="B75" s="138"/>
      <c r="C75" s="349"/>
      <c r="D75" s="62"/>
      <c r="E75" s="62"/>
      <c r="F75" s="170"/>
      <c r="G75" s="170"/>
      <c r="H75" s="170"/>
      <c r="I75" s="356"/>
      <c r="J75" s="199"/>
      <c r="K75" s="974"/>
      <c r="L75" s="1284"/>
      <c r="M75"/>
      <c r="N75"/>
      <c r="O75" s="35"/>
      <c r="P75" s="35"/>
      <c r="Q75" s="35"/>
      <c r="R75" s="35"/>
      <c r="S75" s="35"/>
      <c r="T75" s="35"/>
      <c r="U75" s="35"/>
      <c r="V75" s="35"/>
      <c r="W75" s="35"/>
    </row>
    <row r="76" spans="1:23" ht="45">
      <c r="A76" s="192"/>
      <c r="B76" s="138"/>
      <c r="C76" s="973" t="s">
        <v>765</v>
      </c>
      <c r="D76" s="1298" t="s">
        <v>101</v>
      </c>
      <c r="E76" s="1298" t="s">
        <v>100</v>
      </c>
      <c r="F76" s="1298" t="s">
        <v>149</v>
      </c>
      <c r="G76" s="170"/>
      <c r="H76" s="67"/>
      <c r="I76" s="976" t="s">
        <v>1001</v>
      </c>
      <c r="J76" s="1298" t="s">
        <v>121</v>
      </c>
      <c r="K76" s="1298" t="s">
        <v>148</v>
      </c>
      <c r="L76" s="1275"/>
      <c r="M76"/>
      <c r="N76"/>
      <c r="O76" s="35"/>
      <c r="P76" s="35"/>
      <c r="Q76" s="35"/>
      <c r="R76" s="35"/>
      <c r="S76" s="35"/>
      <c r="T76" s="35"/>
      <c r="U76" s="35"/>
      <c r="V76" s="35"/>
      <c r="W76" s="35"/>
    </row>
    <row r="77" spans="1:23" ht="15">
      <c r="A77" s="192"/>
      <c r="B77" s="138"/>
      <c r="C77" s="623" t="s">
        <v>69</v>
      </c>
      <c r="D77" s="1397"/>
      <c r="E77" s="1397"/>
      <c r="F77" s="753">
        <f>0.8754*4</f>
        <v>3.5015999999999998</v>
      </c>
      <c r="G77" s="170"/>
      <c r="H77" s="67"/>
      <c r="I77" s="963" t="str">
        <f>C77</f>
        <v>Emergency bed days</v>
      </c>
      <c r="J77" s="771">
        <f>$D$15*F77</f>
        <v>2496.6407999999997</v>
      </c>
      <c r="K77" s="577">
        <f>SIGN(F77)*INT(ABS(J77)/E97)*E97</f>
        <v>2190</v>
      </c>
      <c r="L77" s="1422" t="str">
        <f>IF(J77&gt;H35,"Number bigger than target!","OK")</f>
        <v>OK</v>
      </c>
      <c r="N77" s="35"/>
      <c r="O77" s="35"/>
      <c r="P77" s="35"/>
      <c r="Q77" s="35"/>
      <c r="R77" s="35"/>
      <c r="S77" s="35"/>
      <c r="T77" s="35"/>
      <c r="U77" s="35"/>
      <c r="V77" s="35"/>
      <c r="W77" s="35"/>
    </row>
    <row r="78" spans="1:23" ht="14.25" customHeight="1">
      <c r="A78" s="192"/>
      <c r="B78" s="138"/>
      <c r="C78" s="624" t="s">
        <v>43</v>
      </c>
      <c r="D78" s="1397"/>
      <c r="E78" s="1397"/>
      <c r="F78" s="753">
        <v>0.87540000000000007</v>
      </c>
      <c r="G78" s="170"/>
      <c r="H78" s="67"/>
      <c r="I78" s="623" t="str">
        <f>C78</f>
        <v>ED attends</v>
      </c>
      <c r="J78" s="771">
        <f>$D$15*F78</f>
        <v>624.16020000000003</v>
      </c>
      <c r="K78" s="577">
        <f>SIGN(F78)*INT(ABS(J78)/E98)*E98</f>
        <v>0</v>
      </c>
      <c r="L78" s="1422" t="str">
        <f>IF(J78&gt;H33,"Number bigger than target!","OK")</f>
        <v>OK</v>
      </c>
      <c r="N78" s="35"/>
      <c r="O78" s="35"/>
      <c r="P78" s="35"/>
      <c r="Q78" s="35"/>
      <c r="R78" s="35"/>
      <c r="S78" s="35"/>
      <c r="T78" s="35"/>
      <c r="U78" s="35"/>
      <c r="V78" s="35"/>
      <c r="W78" s="35"/>
    </row>
    <row r="79" spans="1:23" ht="15">
      <c r="A79" s="192"/>
      <c r="B79" s="138"/>
      <c r="C79" s="624" t="s">
        <v>46</v>
      </c>
      <c r="D79" s="1397"/>
      <c r="E79" s="1397"/>
      <c r="F79" s="753">
        <v>0.87540000000000007</v>
      </c>
      <c r="G79" s="170"/>
      <c r="H79" s="67"/>
      <c r="I79" s="623" t="str">
        <f>C79</f>
        <v>Ambulance - see and convey to ED</v>
      </c>
      <c r="J79" s="771">
        <f>$D$15*F79</f>
        <v>624.16020000000003</v>
      </c>
      <c r="K79" s="577">
        <f>SIGN(F79)*INT(ABS(J79)/E99)*E99</f>
        <v>0</v>
      </c>
      <c r="L79" s="1422" t="str">
        <f>IF(J79&gt;H32,"Number bigger than target!","OK")</f>
        <v>OK</v>
      </c>
      <c r="N79" s="35"/>
      <c r="O79" s="35"/>
      <c r="P79" s="35"/>
      <c r="Q79" s="35"/>
      <c r="R79" s="35"/>
      <c r="S79" s="35"/>
      <c r="T79" s="35"/>
      <c r="U79" s="35"/>
      <c r="V79" s="35"/>
      <c r="W79" s="35"/>
    </row>
    <row r="80" spans="1:23" ht="15">
      <c r="A80" s="192"/>
      <c r="B80" s="138"/>
      <c r="C80" s="624" t="s">
        <v>77</v>
      </c>
      <c r="D80" s="1397"/>
      <c r="E80" s="1397"/>
      <c r="F80" s="753">
        <v>-0.87540000000000007</v>
      </c>
      <c r="G80" s="170"/>
      <c r="H80" s="67"/>
      <c r="I80" s="623" t="str">
        <f>C80</f>
        <v>Ambulance - see and treat</v>
      </c>
      <c r="J80" s="771">
        <f>$D$15*F80</f>
        <v>-624.16020000000003</v>
      </c>
      <c r="K80" s="577">
        <f>SIGN(F80)*INT(ABS(J80)/E100)*E100</f>
        <v>0</v>
      </c>
      <c r="L80" s="1275"/>
      <c r="M80"/>
      <c r="N80" s="35"/>
      <c r="O80" s="35"/>
      <c r="P80" s="35"/>
      <c r="Q80" s="35"/>
      <c r="R80" s="35"/>
      <c r="S80" s="35"/>
      <c r="T80" s="35"/>
      <c r="U80" s="35"/>
      <c r="V80" s="35"/>
      <c r="W80" s="35"/>
    </row>
    <row r="81" spans="1:23" ht="15">
      <c r="A81" s="192"/>
      <c r="B81" s="138"/>
      <c r="C81" s="754" t="s">
        <v>50</v>
      </c>
      <c r="D81" s="1397"/>
      <c r="E81" s="1397"/>
      <c r="F81" s="753">
        <v>2.9460128000000005</v>
      </c>
      <c r="G81" s="170"/>
      <c r="H81" s="67"/>
      <c r="I81" s="623" t="str">
        <f>C81</f>
        <v>111 calls (call handler)</v>
      </c>
      <c r="J81" s="771">
        <f>$D$15*F81</f>
        <v>2100.5071264000003</v>
      </c>
      <c r="K81" s="577">
        <f>SIGN(F81)*INT(ABS(J81)/E101)*E101</f>
        <v>0</v>
      </c>
      <c r="L81" s="1275"/>
      <c r="M81"/>
      <c r="N81" s="35"/>
      <c r="O81" s="35"/>
      <c r="P81" s="35"/>
      <c r="Q81" s="35"/>
      <c r="R81" s="35"/>
      <c r="S81" s="35"/>
      <c r="T81" s="35"/>
      <c r="U81" s="35"/>
      <c r="V81" s="35"/>
      <c r="W81" s="35"/>
    </row>
    <row r="82" spans="1:23" ht="15">
      <c r="A82" s="192"/>
      <c r="B82" s="138"/>
      <c r="C82" s="754"/>
      <c r="D82" s="1397"/>
      <c r="E82" s="1397"/>
      <c r="F82" s="753"/>
      <c r="G82" s="170"/>
      <c r="H82" s="67"/>
      <c r="I82" s="2134"/>
      <c r="J82" s="771"/>
      <c r="K82" s="577"/>
      <c r="L82" s="1284"/>
      <c r="M82"/>
      <c r="N82" s="35"/>
      <c r="O82" s="35"/>
      <c r="P82" s="35"/>
      <c r="Q82" s="35"/>
      <c r="R82" s="35"/>
      <c r="S82" s="35"/>
      <c r="T82" s="35"/>
      <c r="U82" s="35"/>
      <c r="V82" s="35"/>
      <c r="W82" s="35"/>
    </row>
    <row r="83" spans="1:23" ht="15">
      <c r="A83" s="192"/>
      <c r="B83" s="138"/>
      <c r="C83" s="170"/>
      <c r="D83" s="170"/>
      <c r="E83" s="170"/>
      <c r="F83" s="170"/>
      <c r="G83" s="170"/>
      <c r="H83" s="67"/>
      <c r="I83" s="64"/>
      <c r="J83" s="199"/>
      <c r="K83" s="67"/>
      <c r="L83" s="1284"/>
      <c r="M83"/>
      <c r="N83" s="35"/>
      <c r="O83" s="35"/>
      <c r="P83" s="35"/>
      <c r="Q83" s="35"/>
      <c r="R83" s="35"/>
      <c r="S83" s="35"/>
      <c r="T83" s="35"/>
      <c r="U83" s="35"/>
      <c r="V83" s="35"/>
      <c r="W83" s="35"/>
    </row>
    <row r="84" spans="1:23" ht="15">
      <c r="A84" s="192"/>
      <c r="B84" s="138"/>
      <c r="C84" s="349"/>
      <c r="D84" s="349"/>
      <c r="E84" s="349"/>
      <c r="F84" s="349"/>
      <c r="G84" s="349"/>
      <c r="H84" s="170"/>
      <c r="I84" s="356"/>
      <c r="J84" s="199"/>
      <c r="K84" s="974"/>
      <c r="L84" s="1284"/>
      <c r="M84"/>
      <c r="N84" s="35"/>
      <c r="O84" s="35"/>
      <c r="P84" s="35"/>
      <c r="Q84" s="35"/>
      <c r="R84" s="35"/>
      <c r="S84" s="35"/>
      <c r="T84" s="35"/>
      <c r="U84" s="35"/>
      <c r="V84" s="35"/>
      <c r="W84" s="35"/>
    </row>
    <row r="85" spans="1:23" ht="30">
      <c r="A85" s="192"/>
      <c r="B85" s="138"/>
      <c r="C85" s="349"/>
      <c r="D85" s="349"/>
      <c r="E85" s="349"/>
      <c r="F85" s="349"/>
      <c r="G85" s="349"/>
      <c r="H85" s="170"/>
      <c r="I85" s="1255" t="s">
        <v>1056</v>
      </c>
      <c r="J85" s="691" t="s">
        <v>661</v>
      </c>
      <c r="K85" s="691" t="s">
        <v>120</v>
      </c>
      <c r="L85" s="1275"/>
      <c r="M85"/>
      <c r="N85" s="35"/>
      <c r="O85" s="35"/>
      <c r="P85" s="35"/>
      <c r="Q85" s="35"/>
      <c r="R85" s="35"/>
      <c r="S85" s="35"/>
      <c r="T85" s="35"/>
      <c r="U85" s="35"/>
      <c r="V85" s="35"/>
      <c r="W85" s="35"/>
    </row>
    <row r="86" spans="1:23" ht="15">
      <c r="A86" s="192"/>
      <c r="B86" s="138"/>
      <c r="C86" s="349"/>
      <c r="D86" s="349"/>
      <c r="E86" s="349"/>
      <c r="F86" s="349"/>
      <c r="G86" s="349"/>
      <c r="H86" s="67"/>
      <c r="I86" s="623" t="str">
        <f>I77</f>
        <v>Emergency bed days</v>
      </c>
      <c r="J86" s="1133">
        <f>J77*D97</f>
        <v>1177303.0209539309</v>
      </c>
      <c r="K86" s="1133">
        <f>(J77-K77)*F97+K77*G97</f>
        <v>190712.91606331192</v>
      </c>
      <c r="L86" s="1275"/>
      <c r="M86"/>
      <c r="N86" s="35"/>
      <c r="O86" s="35"/>
      <c r="P86" s="35"/>
      <c r="Q86" s="35"/>
      <c r="R86" s="35"/>
      <c r="S86" s="35"/>
      <c r="T86" s="35"/>
      <c r="U86" s="35"/>
      <c r="V86" s="35"/>
      <c r="W86" s="35"/>
    </row>
    <row r="87" spans="1:23" ht="15">
      <c r="A87" s="192"/>
      <c r="B87" s="138"/>
      <c r="C87" s="349"/>
      <c r="D87" s="349"/>
      <c r="E87" s="349"/>
      <c r="F87" s="349"/>
      <c r="G87" s="349"/>
      <c r="H87" s="67"/>
      <c r="I87" s="623" t="str">
        <f>I78</f>
        <v>ED attends</v>
      </c>
      <c r="J87" s="1133">
        <f>J78*D98</f>
        <v>96242.340786610846</v>
      </c>
      <c r="K87" s="1133">
        <f>(J78-K78)*F98+K78*G98</f>
        <v>8121.1052251253177</v>
      </c>
      <c r="L87" s="1275"/>
      <c r="M87"/>
      <c r="N87" s="35"/>
      <c r="O87" s="35"/>
      <c r="P87" s="35"/>
      <c r="Q87" s="35"/>
      <c r="R87" s="35"/>
      <c r="S87" s="35"/>
      <c r="T87" s="35"/>
      <c r="U87" s="35"/>
      <c r="V87" s="35"/>
      <c r="W87" s="35"/>
    </row>
    <row r="88" spans="1:23" ht="15">
      <c r="A88" s="192"/>
      <c r="B88" s="138"/>
      <c r="C88" s="349"/>
      <c r="D88" s="349"/>
      <c r="E88" s="349"/>
      <c r="F88" s="349"/>
      <c r="G88" s="349"/>
      <c r="H88" s="67"/>
      <c r="I88" s="623" t="str">
        <f>I79</f>
        <v>Ambulance - see and convey to ED</v>
      </c>
      <c r="J88" s="1133">
        <f>J79*D99</f>
        <v>145441.81023290454</v>
      </c>
      <c r="K88" s="1133">
        <f>(J79-K79)*F99+K79*G99</f>
        <v>16070.68958154</v>
      </c>
      <c r="L88" s="1275"/>
      <c r="M88"/>
      <c r="N88" s="35"/>
      <c r="O88" s="35"/>
      <c r="P88" s="35"/>
      <c r="Q88" s="35"/>
      <c r="R88" s="35"/>
      <c r="S88" s="35"/>
      <c r="T88" s="35"/>
      <c r="U88" s="35"/>
      <c r="V88" s="35"/>
      <c r="W88" s="35"/>
    </row>
    <row r="89" spans="1:23" ht="15">
      <c r="A89" s="192"/>
      <c r="B89" s="138"/>
      <c r="C89" s="349"/>
      <c r="D89" s="349"/>
      <c r="E89" s="349"/>
      <c r="F89" s="349"/>
      <c r="G89" s="349"/>
      <c r="H89" s="67"/>
      <c r="I89" s="623" t="str">
        <f>I80</f>
        <v>Ambulance - see and treat</v>
      </c>
      <c r="J89" s="1133">
        <f>J80*D100</f>
        <v>-112243.73788174987</v>
      </c>
      <c r="K89" s="1133">
        <f>(J80-K80)*F100+K80*G100</f>
        <v>-10082.371790699999</v>
      </c>
      <c r="L89" s="1275"/>
      <c r="M89"/>
      <c r="N89" s="35"/>
      <c r="O89" s="35"/>
      <c r="P89" s="35"/>
      <c r="Q89" s="35"/>
      <c r="R89" s="35"/>
      <c r="S89" s="35"/>
      <c r="T89" s="35"/>
      <c r="U89" s="35"/>
      <c r="V89" s="35"/>
      <c r="W89" s="35"/>
    </row>
    <row r="90" spans="1:23" ht="15">
      <c r="A90" s="192"/>
      <c r="B90" s="138"/>
      <c r="C90" s="349"/>
      <c r="D90" s="349"/>
      <c r="E90" s="349"/>
      <c r="F90" s="349"/>
      <c r="G90" s="349"/>
      <c r="H90" s="67"/>
      <c r="I90" s="623" t="str">
        <f>I81</f>
        <v>111 calls (call handler)</v>
      </c>
      <c r="J90" s="1133">
        <f>J81*D101</f>
        <v>14703.549884800002</v>
      </c>
      <c r="K90" s="1133">
        <f>(J81-K81)*F101+K81*G101</f>
        <v>736.647849228479</v>
      </c>
      <c r="L90" s="1275"/>
      <c r="M90"/>
      <c r="N90" s="35"/>
      <c r="O90" s="35"/>
      <c r="P90" s="35"/>
      <c r="Q90" s="35"/>
      <c r="R90" s="35"/>
      <c r="S90" s="35"/>
      <c r="T90" s="35"/>
      <c r="U90" s="35"/>
      <c r="V90" s="35"/>
      <c r="W90" s="35"/>
    </row>
    <row r="91" spans="1:23" ht="15">
      <c r="A91" s="192"/>
      <c r="B91" s="138"/>
      <c r="C91" s="349"/>
      <c r="D91" s="349"/>
      <c r="E91" s="349"/>
      <c r="F91" s="349"/>
      <c r="G91" s="349"/>
      <c r="H91" s="67"/>
      <c r="I91" s="623" t="s">
        <v>98</v>
      </c>
      <c r="J91" s="1133">
        <f>SUM(J86:J90)</f>
        <v>1321446.9839764964</v>
      </c>
      <c r="K91" s="1133">
        <f>SUM(K86:K90)</f>
        <v>205558.98692850571</v>
      </c>
      <c r="L91" s="1275"/>
      <c r="M91"/>
      <c r="N91" s="35"/>
      <c r="O91" s="35"/>
      <c r="P91" s="35"/>
      <c r="Q91" s="35"/>
      <c r="R91" s="35"/>
      <c r="S91" s="35"/>
      <c r="T91" s="35"/>
      <c r="U91" s="35"/>
      <c r="V91" s="35"/>
      <c r="W91" s="35"/>
    </row>
    <row r="92" spans="1:23" ht="15">
      <c r="A92" s="192"/>
      <c r="B92" s="138"/>
      <c r="C92" s="533"/>
      <c r="D92" s="533"/>
      <c r="E92" s="533"/>
      <c r="F92" s="533"/>
      <c r="G92" s="533"/>
      <c r="H92" s="67"/>
      <c r="I92" s="64"/>
      <c r="J92" s="67"/>
      <c r="K92" s="1540"/>
      <c r="L92" s="1275"/>
      <c r="M92"/>
      <c r="N92" s="35"/>
      <c r="O92" s="35"/>
      <c r="P92" s="35"/>
      <c r="Q92" s="35"/>
      <c r="R92" s="35"/>
      <c r="S92" s="35"/>
      <c r="T92" s="35"/>
      <c r="U92" s="35"/>
      <c r="V92" s="35"/>
    </row>
    <row r="93" spans="1:23" ht="15">
      <c r="A93" s="192"/>
      <c r="B93" s="191"/>
      <c r="C93" s="537"/>
      <c r="D93" s="537"/>
      <c r="E93" s="537"/>
      <c r="F93" s="67"/>
      <c r="G93" s="537"/>
      <c r="H93" s="67"/>
      <c r="I93" s="64"/>
      <c r="J93" s="67"/>
      <c r="K93" s="59"/>
      <c r="L93" s="1275"/>
      <c r="M93"/>
      <c r="N93" s="35"/>
      <c r="O93" s="35"/>
      <c r="P93" s="35"/>
      <c r="Q93" s="35"/>
      <c r="R93" s="35"/>
      <c r="S93" s="35"/>
      <c r="T93" s="35"/>
      <c r="U93" s="35"/>
      <c r="V93" s="35"/>
      <c r="W93" s="35"/>
    </row>
    <row r="94" spans="1:23" ht="15">
      <c r="A94" s="192"/>
      <c r="B94" s="138"/>
      <c r="C94" s="533"/>
      <c r="D94" s="533"/>
      <c r="E94" s="533"/>
      <c r="F94" s="533"/>
      <c r="G94" s="533"/>
      <c r="H94" s="67"/>
      <c r="I94" s="67"/>
      <c r="J94" s="67"/>
      <c r="K94" s="67"/>
      <c r="L94" s="153"/>
      <c r="M94"/>
      <c r="N94" s="35"/>
      <c r="O94" s="35"/>
      <c r="P94" s="35"/>
      <c r="Q94" s="35"/>
      <c r="R94" s="35"/>
      <c r="S94" s="35"/>
      <c r="T94" s="35"/>
      <c r="U94" s="35"/>
      <c r="V94" s="35"/>
    </row>
    <row r="95" spans="1:23" ht="15">
      <c r="A95" s="192"/>
      <c r="B95" s="138"/>
      <c r="C95" s="533"/>
      <c r="D95" s="533"/>
      <c r="E95" s="533"/>
      <c r="F95" s="533"/>
      <c r="G95" s="533"/>
      <c r="H95" s="67"/>
      <c r="I95" s="67"/>
      <c r="J95" s="67"/>
      <c r="K95" s="67"/>
      <c r="L95" s="153"/>
      <c r="M95"/>
      <c r="N95" s="35"/>
      <c r="O95" s="35"/>
      <c r="P95" s="35"/>
      <c r="Q95" s="35"/>
      <c r="R95" s="35"/>
      <c r="S95" s="35"/>
      <c r="T95" s="35"/>
      <c r="U95" s="35"/>
      <c r="V95" s="35"/>
    </row>
    <row r="96" spans="1:23" ht="75">
      <c r="A96" s="192"/>
      <c r="B96" s="138"/>
      <c r="C96" s="582" t="s">
        <v>1214</v>
      </c>
      <c r="D96" s="1298" t="s">
        <v>660</v>
      </c>
      <c r="E96" s="1298" t="s">
        <v>145</v>
      </c>
      <c r="F96" s="1298" t="s">
        <v>144</v>
      </c>
      <c r="G96" s="1298" t="s">
        <v>688</v>
      </c>
      <c r="J96" s="62"/>
      <c r="K96" s="67"/>
      <c r="L96" s="1284"/>
      <c r="M96"/>
      <c r="N96" s="35"/>
      <c r="O96" s="35"/>
      <c r="P96" s="35"/>
      <c r="Q96" s="35"/>
      <c r="R96" s="35"/>
      <c r="S96" s="35"/>
      <c r="T96" s="35"/>
      <c r="U96" s="35"/>
      <c r="V96" s="35"/>
      <c r="W96" s="35"/>
    </row>
    <row r="97" spans="1:23" ht="15">
      <c r="A97" s="192"/>
      <c r="B97" s="138"/>
      <c r="C97" s="597" t="str">
        <f>C77</f>
        <v>Emergency bed days</v>
      </c>
      <c r="D97" s="1194">
        <f>VLOOKUP($C97,local_data_input!$B$4:$K$20,2,FALSE)</f>
        <v>471.55482717174652</v>
      </c>
      <c r="E97" s="771">
        <f>VLOOKUP($C97,local_data_input!$B$4:$K$20,7,FALSE)</f>
        <v>2190</v>
      </c>
      <c r="F97" s="1194">
        <f>VLOOKUP($C97,local_data_input!$B$4:$K$20,8,FALSE)</f>
        <v>76.38780719409533</v>
      </c>
      <c r="G97" s="1194">
        <f>VLOOKUP($C97,local_data_input!$B$4:$K$20,9,FALSE)</f>
        <v>76.38780719409533</v>
      </c>
      <c r="J97" s="62"/>
      <c r="K97" s="67"/>
      <c r="L97" s="1284"/>
      <c r="M97"/>
      <c r="N97" s="35"/>
      <c r="O97" s="35"/>
      <c r="P97" s="35"/>
      <c r="Q97" s="35"/>
      <c r="R97" s="35"/>
      <c r="S97" s="35"/>
      <c r="T97" s="35"/>
      <c r="U97" s="35"/>
      <c r="V97" s="35"/>
      <c r="W97" s="35"/>
    </row>
    <row r="98" spans="1:23" ht="15">
      <c r="A98" s="192"/>
      <c r="B98" s="138"/>
      <c r="C98" s="597" t="str">
        <f>C78</f>
        <v>ED attends</v>
      </c>
      <c r="D98" s="1194">
        <f>VLOOKUP($C98,local_data_input!$B$4:$K$20,2,FALSE)</f>
        <v>154.19493390737</v>
      </c>
      <c r="E98" s="771">
        <f>VLOOKUP($C98,local_data_input!$B$4:$K$20,7,FALSE)</f>
        <v>4725</v>
      </c>
      <c r="F98" s="1194">
        <f>VLOOKUP($C98,local_data_input!$B$4:$K$20,8,FALSE)</f>
        <v>13.011251318371977</v>
      </c>
      <c r="G98" s="1194">
        <f>VLOOKUP($C98,local_data_input!$B$4:$K$20,9,FALSE)</f>
        <v>13.011251318371977</v>
      </c>
      <c r="J98" s="62"/>
      <c r="K98" s="67"/>
      <c r="L98" s="1284"/>
      <c r="M98"/>
      <c r="N98" s="35"/>
      <c r="O98" s="35"/>
      <c r="P98" s="35"/>
      <c r="Q98" s="35"/>
      <c r="R98" s="35"/>
      <c r="S98" s="35"/>
      <c r="T98" s="35"/>
      <c r="U98" s="35"/>
      <c r="V98" s="35"/>
      <c r="W98" s="35"/>
    </row>
    <row r="99" spans="1:23" ht="15">
      <c r="A99" s="192"/>
      <c r="B99" s="138"/>
      <c r="C99" s="597" t="str">
        <f>C79</f>
        <v>Ambulance - see and convey to ED</v>
      </c>
      <c r="D99" s="1194">
        <f>VLOOKUP($C99,local_data_input!$B$4:$K$20,2,FALSE)</f>
        <v>233.02000068717058</v>
      </c>
      <c r="E99" s="771">
        <f>VLOOKUP($C99,local_data_input!$B$4:$K$20,7,FALSE)</f>
        <v>3150</v>
      </c>
      <c r="F99" s="1194">
        <f>VLOOKUP($C99,local_data_input!$B$4:$K$20,8,FALSE)</f>
        <v>25.747699999999998</v>
      </c>
      <c r="G99" s="1194">
        <f>VLOOKUP($C99,local_data_input!$B$4:$K$20,9,FALSE)</f>
        <v>25.747699999999998</v>
      </c>
      <c r="J99" s="62"/>
      <c r="K99" s="67"/>
      <c r="L99" s="1284"/>
      <c r="M99"/>
      <c r="N99" s="35"/>
      <c r="O99" s="35"/>
      <c r="P99" s="35"/>
      <c r="Q99" s="35"/>
      <c r="R99" s="35"/>
      <c r="S99" s="35"/>
      <c r="T99" s="35"/>
      <c r="U99" s="35"/>
      <c r="V99" s="35"/>
      <c r="W99" s="35"/>
    </row>
    <row r="100" spans="1:23" ht="15">
      <c r="A100" s="192"/>
      <c r="B100" s="138"/>
      <c r="C100" s="597" t="str">
        <f>C80</f>
        <v>Ambulance - see and treat</v>
      </c>
      <c r="D100" s="1194">
        <f>VLOOKUP($C100,local_data_input!$B$4:$K$20,2,FALSE)</f>
        <v>179.83161675760465</v>
      </c>
      <c r="E100" s="771">
        <f>VLOOKUP($C100,local_data_input!$B$4:$K$20,7,FALSE)</f>
        <v>3150</v>
      </c>
      <c r="F100" s="1194">
        <f>VLOOKUP($C100,local_data_input!$B$4:$K$20,8,FALSE)</f>
        <v>16.153499999999998</v>
      </c>
      <c r="G100" s="1194">
        <f>VLOOKUP($C100,local_data_input!$B$4:$K$20,9,FALSE)</f>
        <v>16.153499999999998</v>
      </c>
      <c r="J100" s="62"/>
      <c r="K100" s="67"/>
      <c r="L100" s="1284"/>
      <c r="M100"/>
      <c r="N100" s="35"/>
      <c r="O100" s="35"/>
      <c r="P100" s="35"/>
      <c r="Q100" s="35"/>
      <c r="R100" s="35"/>
      <c r="S100" s="35"/>
      <c r="T100" s="35"/>
      <c r="U100" s="35"/>
      <c r="V100" s="35"/>
      <c r="W100" s="35"/>
    </row>
    <row r="101" spans="1:23" ht="15">
      <c r="A101" s="192"/>
      <c r="B101" s="138"/>
      <c r="C101" s="597" t="str">
        <f>C81</f>
        <v>111 calls (call handler)</v>
      </c>
      <c r="D101" s="1194">
        <f>VLOOKUP($C101,local_data_input!$B$4:$K$20,2,FALSE)</f>
        <v>7</v>
      </c>
      <c r="E101" s="771">
        <f>VLOOKUP($C101,local_data_input!$B$4:$K$20,7,FALSE)</f>
        <v>9450</v>
      </c>
      <c r="F101" s="1194">
        <f>VLOOKUP($C101,local_data_input!$B$4:$K$20,8,FALSE)</f>
        <v>0.35069999999999946</v>
      </c>
      <c r="G101" s="1194">
        <f>VLOOKUP($C101,local_data_input!$B$4:$K$20,9,FALSE)</f>
        <v>0.35069999999999946</v>
      </c>
      <c r="J101" s="62"/>
      <c r="K101" s="67"/>
      <c r="L101" s="1284"/>
      <c r="M101"/>
      <c r="N101" s="35"/>
      <c r="O101" s="35"/>
      <c r="P101" s="35"/>
      <c r="Q101" s="35"/>
      <c r="R101" s="35"/>
      <c r="S101" s="35"/>
      <c r="T101" s="35"/>
      <c r="U101" s="35"/>
      <c r="V101" s="35"/>
      <c r="W101" s="35"/>
    </row>
    <row r="102" spans="1:23" ht="15">
      <c r="A102" s="192"/>
      <c r="B102" s="138"/>
      <c r="C102" s="533"/>
      <c r="D102" s="533"/>
      <c r="E102" s="533"/>
      <c r="F102" s="533"/>
      <c r="G102" s="533"/>
      <c r="H102" s="67"/>
      <c r="I102" s="67"/>
      <c r="J102" s="67"/>
      <c r="K102" s="67"/>
      <c r="L102" s="153"/>
      <c r="M102"/>
      <c r="N102" s="35"/>
      <c r="O102" s="35"/>
      <c r="P102" s="35"/>
      <c r="Q102" s="35"/>
      <c r="R102" s="35"/>
      <c r="S102" s="35"/>
      <c r="T102" s="35"/>
      <c r="U102" s="35"/>
      <c r="V102" s="35"/>
    </row>
    <row r="103" spans="1:23" ht="15">
      <c r="A103" s="192"/>
      <c r="B103" s="138"/>
      <c r="C103" s="533"/>
      <c r="D103" s="533"/>
      <c r="E103" s="533"/>
      <c r="F103" s="533"/>
      <c r="G103" s="533"/>
      <c r="H103" s="67"/>
      <c r="I103" s="67"/>
      <c r="J103" s="67"/>
      <c r="K103" s="67"/>
      <c r="L103" s="153"/>
      <c r="M103"/>
      <c r="N103" s="35"/>
      <c r="O103" s="35"/>
      <c r="P103" s="35"/>
      <c r="Q103" s="35"/>
      <c r="R103" s="35"/>
      <c r="S103" s="35"/>
      <c r="T103" s="35"/>
      <c r="U103" s="35"/>
      <c r="V103" s="35"/>
    </row>
    <row r="104" spans="1:23" ht="15">
      <c r="A104" s="192"/>
      <c r="B104" s="138"/>
      <c r="C104" s="533"/>
      <c r="D104" s="533"/>
      <c r="E104" s="533"/>
      <c r="F104" s="533"/>
      <c r="G104" s="533"/>
      <c r="H104" s="67"/>
      <c r="I104" s="67"/>
      <c r="J104" s="67"/>
      <c r="K104" s="67"/>
      <c r="L104" s="153"/>
      <c r="M104"/>
      <c r="N104" s="35"/>
      <c r="O104" s="35"/>
      <c r="P104" s="35"/>
      <c r="Q104" s="35"/>
      <c r="R104" s="35"/>
      <c r="S104" s="35"/>
      <c r="T104" s="35"/>
      <c r="U104" s="35"/>
      <c r="V104" s="35"/>
    </row>
    <row r="105" spans="1:23" ht="15">
      <c r="A105" s="192"/>
      <c r="B105" s="138"/>
      <c r="C105" s="533"/>
      <c r="D105" s="533"/>
      <c r="E105" s="533"/>
      <c r="F105" s="533"/>
      <c r="G105" s="533"/>
      <c r="H105" s="67"/>
      <c r="I105" s="67"/>
      <c r="J105" s="67"/>
      <c r="K105" s="67"/>
      <c r="L105" s="153"/>
      <c r="M105"/>
      <c r="N105" s="35"/>
      <c r="O105" s="35"/>
      <c r="P105" s="35"/>
      <c r="Q105" s="35"/>
      <c r="R105" s="35"/>
      <c r="S105" s="35"/>
      <c r="T105" s="35"/>
      <c r="U105" s="35"/>
      <c r="V105" s="35"/>
    </row>
    <row r="106" spans="1:23" ht="15">
      <c r="A106" s="192"/>
      <c r="B106" s="138"/>
      <c r="C106" s="533"/>
      <c r="D106" s="533"/>
      <c r="E106" s="533"/>
      <c r="F106" s="533"/>
      <c r="G106" s="533"/>
      <c r="H106" s="67"/>
      <c r="I106" s="67"/>
      <c r="J106" s="67"/>
      <c r="K106" s="67"/>
      <c r="L106" s="153"/>
      <c r="M106"/>
      <c r="N106" s="35"/>
      <c r="O106" s="35"/>
      <c r="P106" s="35"/>
      <c r="Q106" s="35"/>
      <c r="R106" s="35"/>
      <c r="S106" s="35"/>
      <c r="T106" s="35"/>
      <c r="U106" s="35"/>
      <c r="V106" s="35"/>
    </row>
    <row r="107" spans="1:23" ht="15">
      <c r="A107" s="192"/>
      <c r="B107" s="138"/>
      <c r="C107" s="533"/>
      <c r="D107" s="533"/>
      <c r="E107" s="533"/>
      <c r="F107" s="533"/>
      <c r="G107" s="533"/>
      <c r="H107" s="67"/>
      <c r="I107" s="67"/>
      <c r="J107" s="67"/>
      <c r="K107" s="67"/>
      <c r="L107" s="153"/>
      <c r="M107"/>
      <c r="N107" s="35"/>
      <c r="O107" s="35"/>
      <c r="P107" s="35"/>
      <c r="Q107" s="35"/>
      <c r="R107" s="35"/>
      <c r="S107" s="35"/>
      <c r="T107" s="35"/>
      <c r="U107" s="35"/>
      <c r="V107" s="35"/>
    </row>
    <row r="108" spans="1:23" ht="15">
      <c r="A108" s="192"/>
      <c r="B108" s="138"/>
      <c r="C108" s="533"/>
      <c r="D108" s="533"/>
      <c r="E108" s="533"/>
      <c r="F108" s="533"/>
      <c r="G108" s="533"/>
      <c r="H108" s="67"/>
      <c r="I108" s="67"/>
      <c r="J108" s="67"/>
      <c r="K108" s="67"/>
      <c r="L108" s="153"/>
      <c r="M108"/>
      <c r="N108" s="35"/>
      <c r="O108" s="35"/>
      <c r="P108" s="35"/>
      <c r="Q108" s="35"/>
      <c r="R108" s="35"/>
      <c r="S108" s="35"/>
      <c r="T108" s="35"/>
      <c r="U108" s="35"/>
      <c r="V108" s="35"/>
    </row>
    <row r="109" spans="1:23" ht="15">
      <c r="A109" s="192"/>
      <c r="B109" s="138"/>
      <c r="C109" s="533"/>
      <c r="D109" s="533"/>
      <c r="E109" s="533"/>
      <c r="F109" s="533"/>
      <c r="G109" s="533"/>
      <c r="H109" s="67"/>
      <c r="I109" s="67"/>
      <c r="J109" s="67"/>
      <c r="K109" s="67"/>
      <c r="L109" s="153"/>
      <c r="M109"/>
      <c r="N109" s="35"/>
      <c r="O109" s="35"/>
      <c r="P109" s="35"/>
      <c r="Q109" s="35"/>
      <c r="R109" s="35"/>
      <c r="S109" s="35"/>
      <c r="T109" s="35"/>
      <c r="U109" s="35"/>
      <c r="V109" s="35"/>
    </row>
    <row r="110" spans="1:23" ht="15">
      <c r="A110" s="192"/>
      <c r="B110" s="138"/>
      <c r="C110" s="533"/>
      <c r="D110" s="533"/>
      <c r="E110" s="533"/>
      <c r="F110" s="533"/>
      <c r="G110" s="533"/>
      <c r="H110" s="67"/>
      <c r="I110" s="67"/>
      <c r="J110" s="67"/>
      <c r="K110" s="67"/>
      <c r="L110" s="153"/>
      <c r="M110"/>
      <c r="N110" s="35"/>
      <c r="O110" s="35"/>
      <c r="P110" s="35"/>
      <c r="Q110" s="35"/>
      <c r="R110" s="35"/>
      <c r="S110" s="35"/>
      <c r="T110" s="35"/>
      <c r="U110" s="35"/>
      <c r="V110" s="35"/>
    </row>
    <row r="111" spans="1:23" ht="15">
      <c r="A111" s="192"/>
      <c r="B111" s="138"/>
      <c r="C111" s="533"/>
      <c r="D111" s="533"/>
      <c r="E111" s="533"/>
      <c r="F111" s="533"/>
      <c r="G111" s="533"/>
      <c r="H111" s="67"/>
      <c r="I111" s="67"/>
      <c r="J111" s="67"/>
      <c r="K111" s="67"/>
      <c r="L111" s="153"/>
      <c r="M111"/>
      <c r="N111" s="35"/>
      <c r="O111" s="35"/>
      <c r="P111" s="35"/>
      <c r="Q111" s="35"/>
      <c r="R111" s="35"/>
      <c r="S111" s="35"/>
      <c r="T111" s="35"/>
      <c r="U111" s="35"/>
      <c r="V111" s="35"/>
    </row>
    <row r="112" spans="1:23" ht="15">
      <c r="A112" s="192"/>
      <c r="B112" s="138"/>
      <c r="C112" s="533"/>
      <c r="D112" s="533"/>
      <c r="E112" s="533"/>
      <c r="F112" s="533"/>
      <c r="G112" s="533"/>
      <c r="H112" s="67"/>
      <c r="I112" s="67"/>
      <c r="J112" s="67"/>
      <c r="K112" s="67"/>
      <c r="L112" s="153"/>
      <c r="M112"/>
      <c r="N112" s="35"/>
      <c r="O112" s="35"/>
      <c r="P112" s="35"/>
      <c r="Q112" s="35"/>
      <c r="R112" s="35"/>
      <c r="S112" s="35"/>
      <c r="T112" s="35"/>
      <c r="U112" s="35"/>
      <c r="V112" s="35"/>
    </row>
    <row r="113" spans="1:25" ht="15">
      <c r="A113" s="192"/>
      <c r="B113" s="138"/>
      <c r="C113" s="533"/>
      <c r="D113" s="533"/>
      <c r="E113" s="533"/>
      <c r="F113" s="533"/>
      <c r="G113" s="533"/>
      <c r="H113" s="67"/>
      <c r="I113" s="67"/>
      <c r="J113" s="67"/>
      <c r="K113" s="67"/>
      <c r="L113" s="153"/>
      <c r="M113"/>
      <c r="N113" s="35"/>
      <c r="O113" s="35"/>
      <c r="P113" s="35"/>
      <c r="Q113" s="35"/>
      <c r="R113" s="35"/>
      <c r="S113" s="35"/>
      <c r="T113" s="35"/>
      <c r="U113" s="35"/>
      <c r="V113" s="35"/>
    </row>
    <row r="114" spans="1:25" ht="15">
      <c r="A114" s="192"/>
      <c r="B114" s="138"/>
      <c r="C114" s="533"/>
      <c r="D114" s="533"/>
      <c r="E114" s="533"/>
      <c r="F114" s="533"/>
      <c r="G114" s="533"/>
      <c r="H114" s="67"/>
      <c r="I114" s="67"/>
      <c r="J114" s="67"/>
      <c r="K114" s="67"/>
      <c r="L114" s="153"/>
      <c r="M114"/>
      <c r="N114" s="35"/>
      <c r="O114" s="35"/>
      <c r="P114" s="35"/>
      <c r="Q114" s="35"/>
      <c r="R114" s="35"/>
      <c r="S114" s="35"/>
      <c r="T114" s="35"/>
      <c r="U114" s="35"/>
      <c r="V114" s="35"/>
    </row>
    <row r="115" spans="1:25" ht="15">
      <c r="A115" s="192"/>
      <c r="B115" s="169"/>
      <c r="C115" s="533"/>
      <c r="D115" s="533"/>
      <c r="E115" s="533"/>
      <c r="F115" s="533"/>
      <c r="G115" s="533"/>
      <c r="H115" s="67"/>
      <c r="I115" s="67"/>
      <c r="J115" s="67"/>
      <c r="K115" s="67"/>
      <c r="L115" s="1276"/>
      <c r="M115"/>
      <c r="N115" s="35"/>
      <c r="O115" s="35"/>
      <c r="P115" s="35"/>
      <c r="Q115" s="35"/>
      <c r="R115" s="35"/>
      <c r="S115" s="35"/>
      <c r="T115" s="35"/>
      <c r="U115" s="35"/>
      <c r="V115" s="35"/>
    </row>
    <row r="116" spans="1:25" ht="15">
      <c r="B116" s="2374" t="s">
        <v>97</v>
      </c>
      <c r="C116" s="2484"/>
      <c r="D116" s="2484"/>
      <c r="E116" s="2484"/>
      <c r="F116" s="2484"/>
      <c r="G116" s="2484"/>
      <c r="H116" s="2484"/>
      <c r="I116" s="2484"/>
      <c r="J116" s="2484"/>
      <c r="K116" s="2484"/>
      <c r="L116" s="2485"/>
      <c r="M116"/>
      <c r="N116" s="36"/>
      <c r="O116" s="56"/>
      <c r="P116" s="35"/>
      <c r="Q116" s="35"/>
      <c r="R116" s="35"/>
      <c r="S116" s="35"/>
      <c r="T116" s="35"/>
      <c r="U116" s="35"/>
      <c r="V116" s="35"/>
      <c r="W116" s="35"/>
    </row>
    <row r="117" spans="1:25" ht="15">
      <c r="B117" s="965"/>
      <c r="C117" s="1424"/>
      <c r="D117" s="1425"/>
      <c r="E117" s="1425"/>
      <c r="F117" s="1426"/>
      <c r="G117" s="1426"/>
      <c r="H117" s="1425"/>
      <c r="I117" s="1425"/>
      <c r="J117" s="1425"/>
      <c r="K117" s="1425"/>
      <c r="L117" s="1419"/>
      <c r="M117"/>
      <c r="N117" s="35"/>
      <c r="O117" s="35"/>
      <c r="P117" s="35"/>
      <c r="Q117" s="35"/>
      <c r="R117" s="35"/>
      <c r="S117" s="35"/>
      <c r="T117" s="35"/>
      <c r="U117" s="4"/>
      <c r="V117" s="4"/>
      <c r="W117" s="5"/>
      <c r="X117" s="5"/>
      <c r="Y117" s="5"/>
    </row>
    <row r="118" spans="1:25" ht="15">
      <c r="B118" s="138"/>
      <c r="C118" s="62"/>
      <c r="D118" s="36"/>
      <c r="E118" s="36"/>
      <c r="F118" s="62"/>
      <c r="G118" s="62"/>
      <c r="H118" s="36"/>
      <c r="I118" s="36"/>
      <c r="J118" s="36"/>
      <c r="K118" s="36"/>
      <c r="L118" s="153"/>
      <c r="M118"/>
      <c r="N118" s="35"/>
      <c r="O118" s="35"/>
      <c r="P118" s="35"/>
      <c r="Q118" s="35"/>
      <c r="R118" s="35"/>
      <c r="S118" s="35"/>
      <c r="T118" s="35"/>
      <c r="U118" s="4"/>
      <c r="V118" s="4"/>
      <c r="W118" s="5"/>
      <c r="X118" s="5"/>
      <c r="Y118" s="5"/>
    </row>
    <row r="119" spans="1:25" ht="15.75" thickBot="1">
      <c r="B119" s="142"/>
      <c r="C119" s="174"/>
      <c r="D119" s="173"/>
      <c r="E119" s="173"/>
      <c r="F119" s="174"/>
      <c r="G119" s="174"/>
      <c r="H119" s="173"/>
      <c r="I119" s="173"/>
      <c r="J119" s="173"/>
      <c r="K119" s="173"/>
      <c r="L119" s="202"/>
      <c r="M119"/>
      <c r="N119" s="36"/>
      <c r="O119" s="56"/>
      <c r="P119" s="35"/>
      <c r="Q119" s="35"/>
      <c r="R119" s="35"/>
      <c r="S119" s="35"/>
      <c r="T119" s="35"/>
      <c r="U119" s="4"/>
      <c r="V119" s="4"/>
      <c r="W119" s="5"/>
      <c r="X119" s="5"/>
      <c r="Y119" s="5"/>
    </row>
    <row r="120" spans="1:25" ht="15">
      <c r="B120" s="2054"/>
      <c r="C120" s="62"/>
      <c r="D120" s="36"/>
      <c r="E120" s="36"/>
      <c r="F120" s="62"/>
      <c r="G120" s="62"/>
      <c r="H120" s="36"/>
      <c r="I120" s="36"/>
      <c r="J120" s="36"/>
      <c r="K120" s="36"/>
      <c r="L120" s="36"/>
      <c r="M120"/>
      <c r="N120" s="36"/>
      <c r="O120" s="36"/>
      <c r="P120" s="35"/>
      <c r="Q120" s="35"/>
      <c r="S120" s="35"/>
      <c r="T120" s="35"/>
      <c r="U120" s="4"/>
      <c r="V120" s="4"/>
      <c r="W120" s="5"/>
      <c r="X120" s="5"/>
      <c r="Y120" s="5"/>
    </row>
    <row r="121" spans="1:25" ht="15">
      <c r="B121" s="36"/>
      <c r="C121" s="62"/>
      <c r="D121" s="36"/>
      <c r="E121" s="36"/>
      <c r="F121" s="62"/>
      <c r="G121" s="62"/>
      <c r="H121" s="36"/>
      <c r="I121" s="36"/>
      <c r="J121" s="36"/>
      <c r="K121" s="36"/>
      <c r="L121" s="36"/>
      <c r="M121"/>
      <c r="N121" s="35"/>
      <c r="O121" s="35"/>
      <c r="P121" s="35"/>
      <c r="Q121" s="35"/>
      <c r="R121" s="35"/>
      <c r="S121" s="35"/>
      <c r="T121" s="35"/>
      <c r="U121" s="4"/>
      <c r="V121" s="4"/>
      <c r="W121" s="5"/>
      <c r="X121" s="5"/>
      <c r="Y121" s="5"/>
    </row>
    <row r="122" spans="1:25" ht="15">
      <c r="B122" s="36"/>
      <c r="C122" s="62"/>
      <c r="D122" s="36"/>
      <c r="E122" s="36"/>
      <c r="F122" s="62"/>
      <c r="G122" s="62"/>
      <c r="H122" s="36"/>
      <c r="I122" s="36"/>
      <c r="J122" s="36"/>
      <c r="K122" s="36"/>
      <c r="L122" s="36"/>
      <c r="M122"/>
      <c r="N122" s="35"/>
      <c r="O122" s="35"/>
      <c r="P122" s="35"/>
      <c r="Q122" s="35"/>
      <c r="R122" s="35"/>
      <c r="S122" s="35"/>
      <c r="T122" s="35"/>
      <c r="U122" s="4"/>
      <c r="V122" s="4"/>
      <c r="W122" s="5"/>
      <c r="X122" s="5"/>
      <c r="Y122" s="5"/>
    </row>
    <row r="123" spans="1:25" ht="15">
      <c r="A123"/>
      <c r="B123"/>
      <c r="C123"/>
      <c r="D123"/>
      <c r="E123"/>
      <c r="F123"/>
      <c r="G123"/>
      <c r="H123"/>
      <c r="I123"/>
      <c r="J123"/>
      <c r="K123"/>
      <c r="L123"/>
      <c r="M123"/>
      <c r="N123" s="35"/>
      <c r="O123" s="35"/>
      <c r="P123" s="35"/>
      <c r="Q123" s="35"/>
      <c r="R123" s="35"/>
      <c r="S123" s="35"/>
      <c r="T123" s="35"/>
      <c r="U123" s="4"/>
      <c r="V123" s="4"/>
      <c r="W123" s="5"/>
      <c r="X123" s="5"/>
      <c r="Y123" s="5"/>
    </row>
    <row r="124" spans="1:25" ht="15">
      <c r="A124"/>
      <c r="B124"/>
      <c r="C124"/>
      <c r="D124"/>
      <c r="E124"/>
      <c r="F124"/>
      <c r="G124"/>
      <c r="H124"/>
      <c r="I124"/>
      <c r="J124"/>
      <c r="K124"/>
      <c r="L124"/>
      <c r="M124"/>
      <c r="N124" s="35"/>
      <c r="O124" s="35"/>
      <c r="P124" s="35"/>
      <c r="Q124" s="35"/>
      <c r="R124" s="35"/>
      <c r="S124" s="35"/>
      <c r="T124" s="35"/>
      <c r="U124" s="4"/>
      <c r="V124" s="4"/>
      <c r="W124" s="5"/>
      <c r="X124" s="5"/>
      <c r="Y124" s="5"/>
    </row>
    <row r="125" spans="1:25" ht="15">
      <c r="A125"/>
      <c r="B125"/>
      <c r="C125"/>
      <c r="D125"/>
      <c r="E125"/>
      <c r="F125"/>
      <c r="G125"/>
      <c r="H125"/>
      <c r="I125"/>
      <c r="J125"/>
      <c r="K125"/>
      <c r="L125"/>
      <c r="M125"/>
      <c r="N125" s="35"/>
      <c r="O125" s="35"/>
      <c r="P125" s="35"/>
      <c r="Q125" s="35"/>
      <c r="R125" s="35"/>
      <c r="S125" s="35"/>
      <c r="T125" s="35"/>
      <c r="U125" s="4"/>
      <c r="V125" s="4"/>
      <c r="W125" s="5"/>
      <c r="X125" s="5"/>
      <c r="Y125" s="5"/>
    </row>
    <row r="126" spans="1:25" ht="15">
      <c r="A126"/>
      <c r="B126"/>
      <c r="C126"/>
      <c r="D126"/>
      <c r="E126"/>
      <c r="F126"/>
      <c r="G126"/>
      <c r="H126"/>
      <c r="I126"/>
      <c r="J126"/>
      <c r="K126"/>
      <c r="L126"/>
      <c r="M126"/>
      <c r="N126" s="35"/>
      <c r="O126" s="35"/>
      <c r="P126" s="35"/>
      <c r="Q126" s="35"/>
      <c r="R126" s="35"/>
      <c r="S126" s="35"/>
      <c r="T126" s="35"/>
      <c r="U126" s="4"/>
      <c r="V126" s="4"/>
      <c r="W126" s="5"/>
      <c r="X126" s="5"/>
      <c r="Y126" s="5"/>
    </row>
    <row r="127" spans="1:25" ht="15">
      <c r="A127"/>
      <c r="B127"/>
      <c r="C127"/>
      <c r="D127"/>
      <c r="E127"/>
      <c r="F127"/>
      <c r="G127"/>
      <c r="H127"/>
      <c r="I127"/>
      <c r="J127"/>
      <c r="K127"/>
      <c r="L127"/>
      <c r="M127"/>
      <c r="N127" s="35"/>
      <c r="O127" s="35"/>
      <c r="P127" s="35"/>
      <c r="Q127" s="35"/>
      <c r="R127" s="35"/>
      <c r="S127" s="35"/>
      <c r="T127" s="35"/>
      <c r="U127" s="35"/>
      <c r="V127" s="35"/>
    </row>
    <row r="128" spans="1:25" ht="15">
      <c r="A128"/>
      <c r="B128"/>
      <c r="C128"/>
      <c r="D128"/>
      <c r="E128"/>
      <c r="F128"/>
      <c r="G128"/>
      <c r="H128"/>
      <c r="I128"/>
      <c r="J128"/>
      <c r="K128"/>
      <c r="L128"/>
      <c r="M128"/>
      <c r="N128" s="35"/>
      <c r="O128" s="35"/>
      <c r="P128" s="35"/>
      <c r="Q128" s="35"/>
      <c r="R128" s="35"/>
      <c r="S128" s="35"/>
      <c r="T128" s="35"/>
      <c r="U128" s="35"/>
      <c r="V128" s="35"/>
    </row>
    <row r="129" spans="1:25" ht="15">
      <c r="A129"/>
      <c r="B129"/>
      <c r="C129"/>
      <c r="D129"/>
      <c r="E129"/>
      <c r="F129"/>
      <c r="G129"/>
      <c r="H129"/>
      <c r="I129"/>
      <c r="J129"/>
      <c r="K129"/>
      <c r="L129"/>
      <c r="M129"/>
      <c r="N129" s="35"/>
      <c r="O129" s="35"/>
      <c r="P129" s="35"/>
      <c r="Q129" s="35"/>
      <c r="R129" s="35"/>
      <c r="S129" s="35"/>
      <c r="T129" s="35"/>
      <c r="U129" s="35"/>
      <c r="V129" s="35"/>
    </row>
    <row r="130" spans="1:25" ht="15">
      <c r="A130"/>
      <c r="B130"/>
      <c r="C130"/>
      <c r="D130"/>
      <c r="E130"/>
      <c r="F130"/>
      <c r="G130"/>
      <c r="H130"/>
      <c r="I130"/>
      <c r="J130"/>
      <c r="K130"/>
      <c r="L130"/>
      <c r="M130"/>
      <c r="N130" s="35"/>
      <c r="O130" s="35"/>
      <c r="P130" s="35"/>
      <c r="Q130" s="35"/>
      <c r="R130" s="35"/>
      <c r="S130" s="35"/>
      <c r="T130" s="35"/>
      <c r="U130" s="4"/>
      <c r="V130" s="4"/>
      <c r="W130" s="5"/>
      <c r="X130" s="5"/>
      <c r="Y130" s="5"/>
    </row>
    <row r="131" spans="1:25" ht="15">
      <c r="A131"/>
      <c r="B131"/>
      <c r="C131"/>
      <c r="D131"/>
      <c r="E131"/>
      <c r="F131"/>
      <c r="G131"/>
      <c r="H131"/>
      <c r="I131"/>
      <c r="J131"/>
      <c r="K131"/>
      <c r="L131"/>
      <c r="M131"/>
      <c r="N131" s="35"/>
      <c r="O131" s="35"/>
      <c r="P131" s="35"/>
      <c r="Q131" s="35"/>
      <c r="R131" s="35"/>
      <c r="S131" s="35"/>
      <c r="T131" s="35"/>
      <c r="U131" s="4"/>
      <c r="V131" s="4"/>
      <c r="W131" s="5"/>
      <c r="X131" s="5"/>
      <c r="Y131" s="5"/>
    </row>
    <row r="132" spans="1:25" ht="15">
      <c r="A132"/>
      <c r="B132"/>
      <c r="C132"/>
      <c r="D132"/>
      <c r="E132"/>
      <c r="F132"/>
      <c r="G132"/>
      <c r="H132"/>
      <c r="I132"/>
      <c r="J132"/>
      <c r="K132"/>
      <c r="L132"/>
      <c r="M132"/>
      <c r="N132" s="35"/>
      <c r="O132" s="35"/>
      <c r="P132" s="35"/>
      <c r="Q132" s="35"/>
      <c r="R132" s="35"/>
      <c r="S132" s="35"/>
      <c r="T132" s="35"/>
      <c r="U132" s="4"/>
      <c r="V132" s="4"/>
      <c r="W132" s="5"/>
      <c r="X132" s="5"/>
      <c r="Y132" s="5"/>
    </row>
    <row r="133" spans="1:25" ht="15">
      <c r="A133"/>
      <c r="B133"/>
      <c r="C133"/>
      <c r="D133"/>
      <c r="E133"/>
      <c r="F133"/>
      <c r="G133"/>
      <c r="H133"/>
      <c r="I133"/>
      <c r="J133"/>
      <c r="K133"/>
      <c r="L133"/>
      <c r="M133"/>
      <c r="N133" s="35"/>
      <c r="O133" s="35"/>
      <c r="P133" s="35"/>
      <c r="Q133" s="35"/>
      <c r="R133" s="35"/>
      <c r="S133" s="35"/>
      <c r="U133" s="4"/>
      <c r="V133" s="4"/>
      <c r="W133" s="5"/>
      <c r="X133" s="5"/>
      <c r="Y133" s="5"/>
    </row>
    <row r="134" spans="1:25" ht="15">
      <c r="A134"/>
      <c r="B134"/>
      <c r="C134"/>
      <c r="D134"/>
      <c r="E134"/>
      <c r="F134"/>
      <c r="G134"/>
      <c r="H134"/>
      <c r="I134"/>
      <c r="J134"/>
      <c r="K134"/>
      <c r="L134"/>
      <c r="M134"/>
      <c r="N134" s="35"/>
      <c r="O134" s="35"/>
      <c r="P134" s="35"/>
      <c r="Q134" s="35"/>
      <c r="R134" s="35"/>
      <c r="S134" s="35"/>
      <c r="U134" s="4"/>
      <c r="V134" s="4"/>
      <c r="W134" s="5"/>
      <c r="X134" s="5"/>
      <c r="Y134" s="5"/>
    </row>
    <row r="135" spans="1:25" ht="15">
      <c r="A135"/>
      <c r="B135"/>
      <c r="C135"/>
      <c r="D135"/>
      <c r="E135"/>
      <c r="F135"/>
      <c r="G135"/>
      <c r="H135"/>
      <c r="I135"/>
      <c r="J135"/>
      <c r="K135"/>
      <c r="L135"/>
      <c r="M135"/>
      <c r="N135" s="35"/>
      <c r="O135" s="35"/>
      <c r="P135" s="35"/>
      <c r="Q135" s="35"/>
      <c r="R135" s="35"/>
      <c r="S135" s="35"/>
      <c r="U135" s="4"/>
      <c r="V135" s="4"/>
      <c r="W135" s="5"/>
      <c r="X135" s="5"/>
      <c r="Y135" s="5"/>
    </row>
    <row r="136" spans="1:25">
      <c r="B136" s="35"/>
      <c r="C136" s="112"/>
      <c r="D136" s="36"/>
      <c r="E136" s="36"/>
      <c r="F136" s="67"/>
      <c r="G136" s="62"/>
      <c r="H136" s="62"/>
      <c r="I136" s="62"/>
      <c r="J136" s="62"/>
      <c r="K136" s="62"/>
      <c r="L136" s="36"/>
      <c r="M136" s="35"/>
      <c r="N136" s="35"/>
      <c r="O136" s="35"/>
      <c r="P136" s="35"/>
      <c r="Q136" s="35"/>
      <c r="R136" s="35"/>
      <c r="S136" s="35"/>
      <c r="U136" s="4"/>
      <c r="V136" s="4"/>
      <c r="W136" s="5"/>
      <c r="X136" s="5"/>
      <c r="Y136" s="5"/>
    </row>
    <row r="137" spans="1:25">
      <c r="B137" s="35"/>
      <c r="C137" s="36"/>
      <c r="D137" s="36"/>
      <c r="E137" s="36"/>
      <c r="F137" s="36"/>
      <c r="G137" s="36"/>
      <c r="H137" s="36"/>
      <c r="I137" s="36"/>
      <c r="J137" s="36"/>
      <c r="K137" s="36"/>
      <c r="L137" s="36"/>
      <c r="M137" s="35"/>
      <c r="N137" s="35"/>
      <c r="O137" s="35"/>
      <c r="P137" s="35"/>
      <c r="Q137" s="35"/>
      <c r="R137" s="35"/>
      <c r="S137" s="35"/>
      <c r="U137" s="4"/>
      <c r="V137" s="4"/>
      <c r="W137" s="5"/>
      <c r="X137" s="5"/>
      <c r="Y137" s="5"/>
    </row>
    <row r="138" spans="1:25">
      <c r="B138" s="35"/>
      <c r="C138" s="62"/>
      <c r="D138" s="36"/>
      <c r="E138" s="36"/>
      <c r="F138" s="113"/>
      <c r="G138" s="113"/>
      <c r="H138" s="113"/>
      <c r="I138" s="113"/>
      <c r="J138" s="113"/>
      <c r="K138" s="113"/>
      <c r="L138" s="36"/>
      <c r="M138" s="35"/>
      <c r="N138" s="35"/>
      <c r="O138" s="35"/>
      <c r="P138" s="35"/>
      <c r="Q138" s="35"/>
      <c r="R138" s="35"/>
      <c r="S138" s="35"/>
      <c r="U138" s="4"/>
      <c r="V138" s="4"/>
      <c r="W138" s="5"/>
      <c r="X138" s="5"/>
      <c r="Y138" s="5"/>
    </row>
    <row r="139" spans="1:25">
      <c r="B139" s="35"/>
      <c r="C139" s="62"/>
      <c r="D139" s="36"/>
      <c r="E139" s="36"/>
      <c r="F139" s="62"/>
      <c r="G139" s="62"/>
      <c r="H139" s="62"/>
      <c r="I139" s="62"/>
      <c r="J139" s="62"/>
      <c r="K139" s="62"/>
      <c r="L139" s="36"/>
      <c r="M139" s="35"/>
      <c r="N139" s="35"/>
      <c r="O139" s="35"/>
      <c r="P139" s="35"/>
      <c r="Q139" s="35"/>
      <c r="R139" s="35"/>
      <c r="S139" s="35"/>
      <c r="U139" s="4"/>
      <c r="V139" s="4"/>
      <c r="W139" s="5"/>
      <c r="X139" s="5"/>
      <c r="Y139" s="5"/>
    </row>
    <row r="140" spans="1:25">
      <c r="B140" s="35"/>
      <c r="C140" s="62"/>
      <c r="D140" s="36"/>
      <c r="E140" s="36"/>
      <c r="F140" s="62"/>
      <c r="G140" s="62"/>
      <c r="H140" s="62"/>
      <c r="I140" s="62"/>
      <c r="J140" s="62"/>
      <c r="K140" s="62"/>
      <c r="L140" s="36"/>
      <c r="M140" s="35"/>
      <c r="N140" s="35"/>
      <c r="O140" s="35"/>
      <c r="P140" s="35"/>
      <c r="Q140" s="35"/>
      <c r="R140" s="35"/>
      <c r="S140" s="35"/>
      <c r="U140" s="4"/>
      <c r="V140" s="4"/>
      <c r="W140" s="5"/>
      <c r="X140" s="5"/>
      <c r="Y140" s="5"/>
    </row>
    <row r="141" spans="1:25" ht="15">
      <c r="B141" s="35"/>
      <c r="C141" s="56"/>
      <c r="D141" s="36"/>
      <c r="E141" s="36"/>
      <c r="F141" s="62"/>
      <c r="G141" s="62"/>
      <c r="H141" s="62"/>
      <c r="I141" s="62"/>
      <c r="J141" s="62"/>
      <c r="K141" s="62"/>
      <c r="L141" s="35"/>
      <c r="M141" s="35"/>
      <c r="N141" s="35"/>
      <c r="O141" s="35"/>
      <c r="P141" s="35"/>
      <c r="Q141" s="35"/>
      <c r="R141" s="35"/>
      <c r="S141" s="35"/>
      <c r="U141" s="4"/>
      <c r="V141" s="4"/>
      <c r="W141" s="5"/>
      <c r="X141" s="5"/>
      <c r="Y141" s="5"/>
    </row>
    <row r="142" spans="1:25">
      <c r="B142" s="35"/>
      <c r="C142" s="62"/>
      <c r="D142" s="36"/>
      <c r="E142" s="36"/>
      <c r="F142" s="113"/>
      <c r="G142" s="113"/>
      <c r="H142" s="113"/>
      <c r="I142" s="113"/>
      <c r="J142" s="113"/>
      <c r="K142" s="113"/>
      <c r="L142" s="35"/>
      <c r="M142" s="35"/>
      <c r="N142" s="35"/>
      <c r="O142" s="35"/>
      <c r="P142" s="35"/>
      <c r="Q142" s="35"/>
      <c r="R142" s="35"/>
      <c r="S142" s="35"/>
      <c r="U142" s="4"/>
      <c r="V142" s="4"/>
      <c r="W142" s="5"/>
      <c r="X142" s="5"/>
      <c r="Y142" s="5"/>
    </row>
    <row r="143" spans="1:25">
      <c r="B143" s="35"/>
      <c r="C143" s="62"/>
      <c r="D143" s="36"/>
      <c r="E143" s="36"/>
      <c r="F143" s="62"/>
      <c r="G143" s="62"/>
      <c r="H143" s="62"/>
      <c r="I143" s="62"/>
      <c r="J143" s="62"/>
      <c r="K143" s="62"/>
      <c r="L143" s="35"/>
      <c r="M143" s="35"/>
      <c r="N143" s="35"/>
      <c r="O143" s="35"/>
      <c r="P143" s="35"/>
      <c r="Q143" s="35"/>
      <c r="R143" s="35"/>
      <c r="S143" s="35"/>
      <c r="U143" s="4"/>
      <c r="V143" s="4"/>
      <c r="W143" s="5"/>
      <c r="X143" s="5"/>
      <c r="Y143" s="5"/>
    </row>
    <row r="144" spans="1:25">
      <c r="C144" s="35"/>
      <c r="D144" s="35"/>
      <c r="E144" s="35"/>
      <c r="F144" s="35"/>
      <c r="G144" s="35"/>
      <c r="H144" s="35"/>
      <c r="I144" s="35"/>
      <c r="J144" s="35"/>
      <c r="K144" s="35"/>
      <c r="L144" s="35"/>
      <c r="M144" s="35"/>
      <c r="N144" s="35"/>
      <c r="O144" s="35"/>
      <c r="P144" s="35"/>
      <c r="Q144" s="35"/>
      <c r="R144" s="35"/>
      <c r="S144" s="35"/>
    </row>
    <row r="145" spans="14:19">
      <c r="N145" s="35"/>
      <c r="O145" s="35"/>
      <c r="P145" s="35"/>
      <c r="Q145" s="35"/>
      <c r="R145" s="35"/>
      <c r="S145" s="35"/>
    </row>
    <row r="146" spans="14:19">
      <c r="N146" s="35"/>
      <c r="O146" s="35"/>
      <c r="P146" s="35"/>
      <c r="Q146" s="35"/>
      <c r="R146" s="35"/>
      <c r="S146" s="35"/>
    </row>
    <row r="147" spans="14:19">
      <c r="N147" s="35"/>
      <c r="O147" s="35"/>
      <c r="P147" s="35"/>
      <c r="Q147" s="35"/>
      <c r="R147" s="35"/>
      <c r="S147" s="35"/>
    </row>
    <row r="148" spans="14:19">
      <c r="N148" s="35"/>
      <c r="O148" s="35"/>
      <c r="P148" s="35"/>
      <c r="Q148" s="35"/>
      <c r="R148" s="35"/>
      <c r="S148" s="35"/>
    </row>
  </sheetData>
  <mergeCells count="12">
    <mergeCell ref="B116:L116"/>
    <mergeCell ref="B39:L39"/>
    <mergeCell ref="B68:L68"/>
    <mergeCell ref="E1:F1"/>
    <mergeCell ref="F2:H2"/>
    <mergeCell ref="F3:F4"/>
    <mergeCell ref="B13:L13"/>
    <mergeCell ref="C3:D4"/>
    <mergeCell ref="D9:G9"/>
    <mergeCell ref="D8:G8"/>
    <mergeCell ref="C28:H28"/>
    <mergeCell ref="H1:I1"/>
  </mergeCells>
  <conditionalFormatting sqref="L77:L79">
    <cfRule type="containsText" dxfId="5" priority="1" operator="containsText" text="Number bigger than target">
      <formula>NOT(ISERROR(SEARCH("Number bigger than target",L77)))</formula>
    </cfRule>
    <cfRule type="containsText" dxfId="4" priority="2" stopIfTrue="1" operator="containsText" text="Number bigger than target">
      <formula>NOT(ISERROR(SEARCH("Number bigger than target",L77)))</formula>
    </cfRule>
    <cfRule type="containsText" dxfId="3" priority="3" stopIfTrue="1" operator="containsText" text="OK">
      <formula>NOT(ISERROR(SEARCH("OK",L77)))</formula>
    </cfRule>
  </conditionalFormatting>
  <dataValidations disablePrompts="1" count="1">
    <dataValidation type="list" allowBlank="1" showInputMessage="1" showErrorMessage="1" sqref="D51:D54 IZ51:IZ54 SV51:SV54 ACR51:ACR54 AMN51:AMN54 AWJ51:AWJ54 BGF51:BGF54 BQB51:BQB54 BZX51:BZX54 CJT51:CJT54 CTP51:CTP54 DDL51:DDL54 DNH51:DNH54 DXD51:DXD54 EGZ51:EGZ54 EQV51:EQV54 FAR51:FAR54 FKN51:FKN54 FUJ51:FUJ54 GEF51:GEF54 GOB51:GOB54 GXX51:GXX54 HHT51:HHT54 HRP51:HRP54 IBL51:IBL54 ILH51:ILH54 IVD51:IVD54 JEZ51:JEZ54 JOV51:JOV54 JYR51:JYR54 KIN51:KIN54 KSJ51:KSJ54 LCF51:LCF54 LMB51:LMB54 LVX51:LVX54 MFT51:MFT54 MPP51:MPP54 MZL51:MZL54 NJH51:NJH54 NTD51:NTD54 OCZ51:OCZ54 OMV51:OMV54 OWR51:OWR54 PGN51:PGN54 PQJ51:PQJ54 QAF51:QAF54 QKB51:QKB54 QTX51:QTX54 RDT51:RDT54 RNP51:RNP54 RXL51:RXL54 SHH51:SHH54 SRD51:SRD54 TAZ51:TAZ54 TKV51:TKV54 TUR51:TUR54 UEN51:UEN54 UOJ51:UOJ54 UYF51:UYF54 VIB51:VIB54 VRX51:VRX54 WBT51:WBT54 WLP51:WLP54 WVL51:WVL54 D65586:D65589 IZ65586:IZ65589 SV65586:SV65589 ACR65586:ACR65589 AMN65586:AMN65589 AWJ65586:AWJ65589 BGF65586:BGF65589 BQB65586:BQB65589 BZX65586:BZX65589 CJT65586:CJT65589 CTP65586:CTP65589 DDL65586:DDL65589 DNH65586:DNH65589 DXD65586:DXD65589 EGZ65586:EGZ65589 EQV65586:EQV65589 FAR65586:FAR65589 FKN65586:FKN65589 FUJ65586:FUJ65589 GEF65586:GEF65589 GOB65586:GOB65589 GXX65586:GXX65589 HHT65586:HHT65589 HRP65586:HRP65589 IBL65586:IBL65589 ILH65586:ILH65589 IVD65586:IVD65589 JEZ65586:JEZ65589 JOV65586:JOV65589 JYR65586:JYR65589 KIN65586:KIN65589 KSJ65586:KSJ65589 LCF65586:LCF65589 LMB65586:LMB65589 LVX65586:LVX65589 MFT65586:MFT65589 MPP65586:MPP65589 MZL65586:MZL65589 NJH65586:NJH65589 NTD65586:NTD65589 OCZ65586:OCZ65589 OMV65586:OMV65589 OWR65586:OWR65589 PGN65586:PGN65589 PQJ65586:PQJ65589 QAF65586:QAF65589 QKB65586:QKB65589 QTX65586:QTX65589 RDT65586:RDT65589 RNP65586:RNP65589 RXL65586:RXL65589 SHH65586:SHH65589 SRD65586:SRD65589 TAZ65586:TAZ65589 TKV65586:TKV65589 TUR65586:TUR65589 UEN65586:UEN65589 UOJ65586:UOJ65589 UYF65586:UYF65589 VIB65586:VIB65589 VRX65586:VRX65589 WBT65586:WBT65589 WLP65586:WLP65589 WVL65586:WVL65589 D131122:D131125 IZ131122:IZ131125 SV131122:SV131125 ACR131122:ACR131125 AMN131122:AMN131125 AWJ131122:AWJ131125 BGF131122:BGF131125 BQB131122:BQB131125 BZX131122:BZX131125 CJT131122:CJT131125 CTP131122:CTP131125 DDL131122:DDL131125 DNH131122:DNH131125 DXD131122:DXD131125 EGZ131122:EGZ131125 EQV131122:EQV131125 FAR131122:FAR131125 FKN131122:FKN131125 FUJ131122:FUJ131125 GEF131122:GEF131125 GOB131122:GOB131125 GXX131122:GXX131125 HHT131122:HHT131125 HRP131122:HRP131125 IBL131122:IBL131125 ILH131122:ILH131125 IVD131122:IVD131125 JEZ131122:JEZ131125 JOV131122:JOV131125 JYR131122:JYR131125 KIN131122:KIN131125 KSJ131122:KSJ131125 LCF131122:LCF131125 LMB131122:LMB131125 LVX131122:LVX131125 MFT131122:MFT131125 MPP131122:MPP131125 MZL131122:MZL131125 NJH131122:NJH131125 NTD131122:NTD131125 OCZ131122:OCZ131125 OMV131122:OMV131125 OWR131122:OWR131125 PGN131122:PGN131125 PQJ131122:PQJ131125 QAF131122:QAF131125 QKB131122:QKB131125 QTX131122:QTX131125 RDT131122:RDT131125 RNP131122:RNP131125 RXL131122:RXL131125 SHH131122:SHH131125 SRD131122:SRD131125 TAZ131122:TAZ131125 TKV131122:TKV131125 TUR131122:TUR131125 UEN131122:UEN131125 UOJ131122:UOJ131125 UYF131122:UYF131125 VIB131122:VIB131125 VRX131122:VRX131125 WBT131122:WBT131125 WLP131122:WLP131125 WVL131122:WVL131125 D196658:D196661 IZ196658:IZ196661 SV196658:SV196661 ACR196658:ACR196661 AMN196658:AMN196661 AWJ196658:AWJ196661 BGF196658:BGF196661 BQB196658:BQB196661 BZX196658:BZX196661 CJT196658:CJT196661 CTP196658:CTP196661 DDL196658:DDL196661 DNH196658:DNH196661 DXD196658:DXD196661 EGZ196658:EGZ196661 EQV196658:EQV196661 FAR196658:FAR196661 FKN196658:FKN196661 FUJ196658:FUJ196661 GEF196658:GEF196661 GOB196658:GOB196661 GXX196658:GXX196661 HHT196658:HHT196661 HRP196658:HRP196661 IBL196658:IBL196661 ILH196658:ILH196661 IVD196658:IVD196661 JEZ196658:JEZ196661 JOV196658:JOV196661 JYR196658:JYR196661 KIN196658:KIN196661 KSJ196658:KSJ196661 LCF196658:LCF196661 LMB196658:LMB196661 LVX196658:LVX196661 MFT196658:MFT196661 MPP196658:MPP196661 MZL196658:MZL196661 NJH196658:NJH196661 NTD196658:NTD196661 OCZ196658:OCZ196661 OMV196658:OMV196661 OWR196658:OWR196661 PGN196658:PGN196661 PQJ196658:PQJ196661 QAF196658:QAF196661 QKB196658:QKB196661 QTX196658:QTX196661 RDT196658:RDT196661 RNP196658:RNP196661 RXL196658:RXL196661 SHH196658:SHH196661 SRD196658:SRD196661 TAZ196658:TAZ196661 TKV196658:TKV196661 TUR196658:TUR196661 UEN196658:UEN196661 UOJ196658:UOJ196661 UYF196658:UYF196661 VIB196658:VIB196661 VRX196658:VRX196661 WBT196658:WBT196661 WLP196658:WLP196661 WVL196658:WVL196661 D262194:D262197 IZ262194:IZ262197 SV262194:SV262197 ACR262194:ACR262197 AMN262194:AMN262197 AWJ262194:AWJ262197 BGF262194:BGF262197 BQB262194:BQB262197 BZX262194:BZX262197 CJT262194:CJT262197 CTP262194:CTP262197 DDL262194:DDL262197 DNH262194:DNH262197 DXD262194:DXD262197 EGZ262194:EGZ262197 EQV262194:EQV262197 FAR262194:FAR262197 FKN262194:FKN262197 FUJ262194:FUJ262197 GEF262194:GEF262197 GOB262194:GOB262197 GXX262194:GXX262197 HHT262194:HHT262197 HRP262194:HRP262197 IBL262194:IBL262197 ILH262194:ILH262197 IVD262194:IVD262197 JEZ262194:JEZ262197 JOV262194:JOV262197 JYR262194:JYR262197 KIN262194:KIN262197 KSJ262194:KSJ262197 LCF262194:LCF262197 LMB262194:LMB262197 LVX262194:LVX262197 MFT262194:MFT262197 MPP262194:MPP262197 MZL262194:MZL262197 NJH262194:NJH262197 NTD262194:NTD262197 OCZ262194:OCZ262197 OMV262194:OMV262197 OWR262194:OWR262197 PGN262194:PGN262197 PQJ262194:PQJ262197 QAF262194:QAF262197 QKB262194:QKB262197 QTX262194:QTX262197 RDT262194:RDT262197 RNP262194:RNP262197 RXL262194:RXL262197 SHH262194:SHH262197 SRD262194:SRD262197 TAZ262194:TAZ262197 TKV262194:TKV262197 TUR262194:TUR262197 UEN262194:UEN262197 UOJ262194:UOJ262197 UYF262194:UYF262197 VIB262194:VIB262197 VRX262194:VRX262197 WBT262194:WBT262197 WLP262194:WLP262197 WVL262194:WVL262197 D327730:D327733 IZ327730:IZ327733 SV327730:SV327733 ACR327730:ACR327733 AMN327730:AMN327733 AWJ327730:AWJ327733 BGF327730:BGF327733 BQB327730:BQB327733 BZX327730:BZX327733 CJT327730:CJT327733 CTP327730:CTP327733 DDL327730:DDL327733 DNH327730:DNH327733 DXD327730:DXD327733 EGZ327730:EGZ327733 EQV327730:EQV327733 FAR327730:FAR327733 FKN327730:FKN327733 FUJ327730:FUJ327733 GEF327730:GEF327733 GOB327730:GOB327733 GXX327730:GXX327733 HHT327730:HHT327733 HRP327730:HRP327733 IBL327730:IBL327733 ILH327730:ILH327733 IVD327730:IVD327733 JEZ327730:JEZ327733 JOV327730:JOV327733 JYR327730:JYR327733 KIN327730:KIN327733 KSJ327730:KSJ327733 LCF327730:LCF327733 LMB327730:LMB327733 LVX327730:LVX327733 MFT327730:MFT327733 MPP327730:MPP327733 MZL327730:MZL327733 NJH327730:NJH327733 NTD327730:NTD327733 OCZ327730:OCZ327733 OMV327730:OMV327733 OWR327730:OWR327733 PGN327730:PGN327733 PQJ327730:PQJ327733 QAF327730:QAF327733 QKB327730:QKB327733 QTX327730:QTX327733 RDT327730:RDT327733 RNP327730:RNP327733 RXL327730:RXL327733 SHH327730:SHH327733 SRD327730:SRD327733 TAZ327730:TAZ327733 TKV327730:TKV327733 TUR327730:TUR327733 UEN327730:UEN327733 UOJ327730:UOJ327733 UYF327730:UYF327733 VIB327730:VIB327733 VRX327730:VRX327733 WBT327730:WBT327733 WLP327730:WLP327733 WVL327730:WVL327733 D393266:D393269 IZ393266:IZ393269 SV393266:SV393269 ACR393266:ACR393269 AMN393266:AMN393269 AWJ393266:AWJ393269 BGF393266:BGF393269 BQB393266:BQB393269 BZX393266:BZX393269 CJT393266:CJT393269 CTP393266:CTP393269 DDL393266:DDL393269 DNH393266:DNH393269 DXD393266:DXD393269 EGZ393266:EGZ393269 EQV393266:EQV393269 FAR393266:FAR393269 FKN393266:FKN393269 FUJ393266:FUJ393269 GEF393266:GEF393269 GOB393266:GOB393269 GXX393266:GXX393269 HHT393266:HHT393269 HRP393266:HRP393269 IBL393266:IBL393269 ILH393266:ILH393269 IVD393266:IVD393269 JEZ393266:JEZ393269 JOV393266:JOV393269 JYR393266:JYR393269 KIN393266:KIN393269 KSJ393266:KSJ393269 LCF393266:LCF393269 LMB393266:LMB393269 LVX393266:LVX393269 MFT393266:MFT393269 MPP393266:MPP393269 MZL393266:MZL393269 NJH393266:NJH393269 NTD393266:NTD393269 OCZ393266:OCZ393269 OMV393266:OMV393269 OWR393266:OWR393269 PGN393266:PGN393269 PQJ393266:PQJ393269 QAF393266:QAF393269 QKB393266:QKB393269 QTX393266:QTX393269 RDT393266:RDT393269 RNP393266:RNP393269 RXL393266:RXL393269 SHH393266:SHH393269 SRD393266:SRD393269 TAZ393266:TAZ393269 TKV393266:TKV393269 TUR393266:TUR393269 UEN393266:UEN393269 UOJ393266:UOJ393269 UYF393266:UYF393269 VIB393266:VIB393269 VRX393266:VRX393269 WBT393266:WBT393269 WLP393266:WLP393269 WVL393266:WVL393269 D458802:D458805 IZ458802:IZ458805 SV458802:SV458805 ACR458802:ACR458805 AMN458802:AMN458805 AWJ458802:AWJ458805 BGF458802:BGF458805 BQB458802:BQB458805 BZX458802:BZX458805 CJT458802:CJT458805 CTP458802:CTP458805 DDL458802:DDL458805 DNH458802:DNH458805 DXD458802:DXD458805 EGZ458802:EGZ458805 EQV458802:EQV458805 FAR458802:FAR458805 FKN458802:FKN458805 FUJ458802:FUJ458805 GEF458802:GEF458805 GOB458802:GOB458805 GXX458802:GXX458805 HHT458802:HHT458805 HRP458802:HRP458805 IBL458802:IBL458805 ILH458802:ILH458805 IVD458802:IVD458805 JEZ458802:JEZ458805 JOV458802:JOV458805 JYR458802:JYR458805 KIN458802:KIN458805 KSJ458802:KSJ458805 LCF458802:LCF458805 LMB458802:LMB458805 LVX458802:LVX458805 MFT458802:MFT458805 MPP458802:MPP458805 MZL458802:MZL458805 NJH458802:NJH458805 NTD458802:NTD458805 OCZ458802:OCZ458805 OMV458802:OMV458805 OWR458802:OWR458805 PGN458802:PGN458805 PQJ458802:PQJ458805 QAF458802:QAF458805 QKB458802:QKB458805 QTX458802:QTX458805 RDT458802:RDT458805 RNP458802:RNP458805 RXL458802:RXL458805 SHH458802:SHH458805 SRD458802:SRD458805 TAZ458802:TAZ458805 TKV458802:TKV458805 TUR458802:TUR458805 UEN458802:UEN458805 UOJ458802:UOJ458805 UYF458802:UYF458805 VIB458802:VIB458805 VRX458802:VRX458805 WBT458802:WBT458805 WLP458802:WLP458805 WVL458802:WVL458805 D524338:D524341 IZ524338:IZ524341 SV524338:SV524341 ACR524338:ACR524341 AMN524338:AMN524341 AWJ524338:AWJ524341 BGF524338:BGF524341 BQB524338:BQB524341 BZX524338:BZX524341 CJT524338:CJT524341 CTP524338:CTP524341 DDL524338:DDL524341 DNH524338:DNH524341 DXD524338:DXD524341 EGZ524338:EGZ524341 EQV524338:EQV524341 FAR524338:FAR524341 FKN524338:FKN524341 FUJ524338:FUJ524341 GEF524338:GEF524341 GOB524338:GOB524341 GXX524338:GXX524341 HHT524338:HHT524341 HRP524338:HRP524341 IBL524338:IBL524341 ILH524338:ILH524341 IVD524338:IVD524341 JEZ524338:JEZ524341 JOV524338:JOV524341 JYR524338:JYR524341 KIN524338:KIN524341 KSJ524338:KSJ524341 LCF524338:LCF524341 LMB524338:LMB524341 LVX524338:LVX524341 MFT524338:MFT524341 MPP524338:MPP524341 MZL524338:MZL524341 NJH524338:NJH524341 NTD524338:NTD524341 OCZ524338:OCZ524341 OMV524338:OMV524341 OWR524338:OWR524341 PGN524338:PGN524341 PQJ524338:PQJ524341 QAF524338:QAF524341 QKB524338:QKB524341 QTX524338:QTX524341 RDT524338:RDT524341 RNP524338:RNP524341 RXL524338:RXL524341 SHH524338:SHH524341 SRD524338:SRD524341 TAZ524338:TAZ524341 TKV524338:TKV524341 TUR524338:TUR524341 UEN524338:UEN524341 UOJ524338:UOJ524341 UYF524338:UYF524341 VIB524338:VIB524341 VRX524338:VRX524341 WBT524338:WBT524341 WLP524338:WLP524341 WVL524338:WVL524341 D589874:D589877 IZ589874:IZ589877 SV589874:SV589877 ACR589874:ACR589877 AMN589874:AMN589877 AWJ589874:AWJ589877 BGF589874:BGF589877 BQB589874:BQB589877 BZX589874:BZX589877 CJT589874:CJT589877 CTP589874:CTP589877 DDL589874:DDL589877 DNH589874:DNH589877 DXD589874:DXD589877 EGZ589874:EGZ589877 EQV589874:EQV589877 FAR589874:FAR589877 FKN589874:FKN589877 FUJ589874:FUJ589877 GEF589874:GEF589877 GOB589874:GOB589877 GXX589874:GXX589877 HHT589874:HHT589877 HRP589874:HRP589877 IBL589874:IBL589877 ILH589874:ILH589877 IVD589874:IVD589877 JEZ589874:JEZ589877 JOV589874:JOV589877 JYR589874:JYR589877 KIN589874:KIN589877 KSJ589874:KSJ589877 LCF589874:LCF589877 LMB589874:LMB589877 LVX589874:LVX589877 MFT589874:MFT589877 MPP589874:MPP589877 MZL589874:MZL589877 NJH589874:NJH589877 NTD589874:NTD589877 OCZ589874:OCZ589877 OMV589874:OMV589877 OWR589874:OWR589877 PGN589874:PGN589877 PQJ589874:PQJ589877 QAF589874:QAF589877 QKB589874:QKB589877 QTX589874:QTX589877 RDT589874:RDT589877 RNP589874:RNP589877 RXL589874:RXL589877 SHH589874:SHH589877 SRD589874:SRD589877 TAZ589874:TAZ589877 TKV589874:TKV589877 TUR589874:TUR589877 UEN589874:UEN589877 UOJ589874:UOJ589877 UYF589874:UYF589877 VIB589874:VIB589877 VRX589874:VRX589877 WBT589874:WBT589877 WLP589874:WLP589877 WVL589874:WVL589877 D655410:D655413 IZ655410:IZ655413 SV655410:SV655413 ACR655410:ACR655413 AMN655410:AMN655413 AWJ655410:AWJ655413 BGF655410:BGF655413 BQB655410:BQB655413 BZX655410:BZX655413 CJT655410:CJT655413 CTP655410:CTP655413 DDL655410:DDL655413 DNH655410:DNH655413 DXD655410:DXD655413 EGZ655410:EGZ655413 EQV655410:EQV655413 FAR655410:FAR655413 FKN655410:FKN655413 FUJ655410:FUJ655413 GEF655410:GEF655413 GOB655410:GOB655413 GXX655410:GXX655413 HHT655410:HHT655413 HRP655410:HRP655413 IBL655410:IBL655413 ILH655410:ILH655413 IVD655410:IVD655413 JEZ655410:JEZ655413 JOV655410:JOV655413 JYR655410:JYR655413 KIN655410:KIN655413 KSJ655410:KSJ655413 LCF655410:LCF655413 LMB655410:LMB655413 LVX655410:LVX655413 MFT655410:MFT655413 MPP655410:MPP655413 MZL655410:MZL655413 NJH655410:NJH655413 NTD655410:NTD655413 OCZ655410:OCZ655413 OMV655410:OMV655413 OWR655410:OWR655413 PGN655410:PGN655413 PQJ655410:PQJ655413 QAF655410:QAF655413 QKB655410:QKB655413 QTX655410:QTX655413 RDT655410:RDT655413 RNP655410:RNP655413 RXL655410:RXL655413 SHH655410:SHH655413 SRD655410:SRD655413 TAZ655410:TAZ655413 TKV655410:TKV655413 TUR655410:TUR655413 UEN655410:UEN655413 UOJ655410:UOJ655413 UYF655410:UYF655413 VIB655410:VIB655413 VRX655410:VRX655413 WBT655410:WBT655413 WLP655410:WLP655413 WVL655410:WVL655413 D720946:D720949 IZ720946:IZ720949 SV720946:SV720949 ACR720946:ACR720949 AMN720946:AMN720949 AWJ720946:AWJ720949 BGF720946:BGF720949 BQB720946:BQB720949 BZX720946:BZX720949 CJT720946:CJT720949 CTP720946:CTP720949 DDL720946:DDL720949 DNH720946:DNH720949 DXD720946:DXD720949 EGZ720946:EGZ720949 EQV720946:EQV720949 FAR720946:FAR720949 FKN720946:FKN720949 FUJ720946:FUJ720949 GEF720946:GEF720949 GOB720946:GOB720949 GXX720946:GXX720949 HHT720946:HHT720949 HRP720946:HRP720949 IBL720946:IBL720949 ILH720946:ILH720949 IVD720946:IVD720949 JEZ720946:JEZ720949 JOV720946:JOV720949 JYR720946:JYR720949 KIN720946:KIN720949 KSJ720946:KSJ720949 LCF720946:LCF720949 LMB720946:LMB720949 LVX720946:LVX720949 MFT720946:MFT720949 MPP720946:MPP720949 MZL720946:MZL720949 NJH720946:NJH720949 NTD720946:NTD720949 OCZ720946:OCZ720949 OMV720946:OMV720949 OWR720946:OWR720949 PGN720946:PGN720949 PQJ720946:PQJ720949 QAF720946:QAF720949 QKB720946:QKB720949 QTX720946:QTX720949 RDT720946:RDT720949 RNP720946:RNP720949 RXL720946:RXL720949 SHH720946:SHH720949 SRD720946:SRD720949 TAZ720946:TAZ720949 TKV720946:TKV720949 TUR720946:TUR720949 UEN720946:UEN720949 UOJ720946:UOJ720949 UYF720946:UYF720949 VIB720946:VIB720949 VRX720946:VRX720949 WBT720946:WBT720949 WLP720946:WLP720949 WVL720946:WVL720949 D786482:D786485 IZ786482:IZ786485 SV786482:SV786485 ACR786482:ACR786485 AMN786482:AMN786485 AWJ786482:AWJ786485 BGF786482:BGF786485 BQB786482:BQB786485 BZX786482:BZX786485 CJT786482:CJT786485 CTP786482:CTP786485 DDL786482:DDL786485 DNH786482:DNH786485 DXD786482:DXD786485 EGZ786482:EGZ786485 EQV786482:EQV786485 FAR786482:FAR786485 FKN786482:FKN786485 FUJ786482:FUJ786485 GEF786482:GEF786485 GOB786482:GOB786485 GXX786482:GXX786485 HHT786482:HHT786485 HRP786482:HRP786485 IBL786482:IBL786485 ILH786482:ILH786485 IVD786482:IVD786485 JEZ786482:JEZ786485 JOV786482:JOV786485 JYR786482:JYR786485 KIN786482:KIN786485 KSJ786482:KSJ786485 LCF786482:LCF786485 LMB786482:LMB786485 LVX786482:LVX786485 MFT786482:MFT786485 MPP786482:MPP786485 MZL786482:MZL786485 NJH786482:NJH786485 NTD786482:NTD786485 OCZ786482:OCZ786485 OMV786482:OMV786485 OWR786482:OWR786485 PGN786482:PGN786485 PQJ786482:PQJ786485 QAF786482:QAF786485 QKB786482:QKB786485 QTX786482:QTX786485 RDT786482:RDT786485 RNP786482:RNP786485 RXL786482:RXL786485 SHH786482:SHH786485 SRD786482:SRD786485 TAZ786482:TAZ786485 TKV786482:TKV786485 TUR786482:TUR786485 UEN786482:UEN786485 UOJ786482:UOJ786485 UYF786482:UYF786485 VIB786482:VIB786485 VRX786482:VRX786485 WBT786482:WBT786485 WLP786482:WLP786485 WVL786482:WVL786485 D852018:D852021 IZ852018:IZ852021 SV852018:SV852021 ACR852018:ACR852021 AMN852018:AMN852021 AWJ852018:AWJ852021 BGF852018:BGF852021 BQB852018:BQB852021 BZX852018:BZX852021 CJT852018:CJT852021 CTP852018:CTP852021 DDL852018:DDL852021 DNH852018:DNH852021 DXD852018:DXD852021 EGZ852018:EGZ852021 EQV852018:EQV852021 FAR852018:FAR852021 FKN852018:FKN852021 FUJ852018:FUJ852021 GEF852018:GEF852021 GOB852018:GOB852021 GXX852018:GXX852021 HHT852018:HHT852021 HRP852018:HRP852021 IBL852018:IBL852021 ILH852018:ILH852021 IVD852018:IVD852021 JEZ852018:JEZ852021 JOV852018:JOV852021 JYR852018:JYR852021 KIN852018:KIN852021 KSJ852018:KSJ852021 LCF852018:LCF852021 LMB852018:LMB852021 LVX852018:LVX852021 MFT852018:MFT852021 MPP852018:MPP852021 MZL852018:MZL852021 NJH852018:NJH852021 NTD852018:NTD852021 OCZ852018:OCZ852021 OMV852018:OMV852021 OWR852018:OWR852021 PGN852018:PGN852021 PQJ852018:PQJ852021 QAF852018:QAF852021 QKB852018:QKB852021 QTX852018:QTX852021 RDT852018:RDT852021 RNP852018:RNP852021 RXL852018:RXL852021 SHH852018:SHH852021 SRD852018:SRD852021 TAZ852018:TAZ852021 TKV852018:TKV852021 TUR852018:TUR852021 UEN852018:UEN852021 UOJ852018:UOJ852021 UYF852018:UYF852021 VIB852018:VIB852021 VRX852018:VRX852021 WBT852018:WBT852021 WLP852018:WLP852021 WVL852018:WVL852021 D917554:D917557 IZ917554:IZ917557 SV917554:SV917557 ACR917554:ACR917557 AMN917554:AMN917557 AWJ917554:AWJ917557 BGF917554:BGF917557 BQB917554:BQB917557 BZX917554:BZX917557 CJT917554:CJT917557 CTP917554:CTP917557 DDL917554:DDL917557 DNH917554:DNH917557 DXD917554:DXD917557 EGZ917554:EGZ917557 EQV917554:EQV917557 FAR917554:FAR917557 FKN917554:FKN917557 FUJ917554:FUJ917557 GEF917554:GEF917557 GOB917554:GOB917557 GXX917554:GXX917557 HHT917554:HHT917557 HRP917554:HRP917557 IBL917554:IBL917557 ILH917554:ILH917557 IVD917554:IVD917557 JEZ917554:JEZ917557 JOV917554:JOV917557 JYR917554:JYR917557 KIN917554:KIN917557 KSJ917554:KSJ917557 LCF917554:LCF917557 LMB917554:LMB917557 LVX917554:LVX917557 MFT917554:MFT917557 MPP917554:MPP917557 MZL917554:MZL917557 NJH917554:NJH917557 NTD917554:NTD917557 OCZ917554:OCZ917557 OMV917554:OMV917557 OWR917554:OWR917557 PGN917554:PGN917557 PQJ917554:PQJ917557 QAF917554:QAF917557 QKB917554:QKB917557 QTX917554:QTX917557 RDT917554:RDT917557 RNP917554:RNP917557 RXL917554:RXL917557 SHH917554:SHH917557 SRD917554:SRD917557 TAZ917554:TAZ917557 TKV917554:TKV917557 TUR917554:TUR917557 UEN917554:UEN917557 UOJ917554:UOJ917557 UYF917554:UYF917557 VIB917554:VIB917557 VRX917554:VRX917557 WBT917554:WBT917557 WLP917554:WLP917557 WVL917554:WVL917557 D983090:D983093 IZ983090:IZ983093 SV983090:SV983093 ACR983090:ACR983093 AMN983090:AMN983093 AWJ983090:AWJ983093 BGF983090:BGF983093 BQB983090:BQB983093 BZX983090:BZX983093 CJT983090:CJT983093 CTP983090:CTP983093 DDL983090:DDL983093 DNH983090:DNH983093 DXD983090:DXD983093 EGZ983090:EGZ983093 EQV983090:EQV983093 FAR983090:FAR983093 FKN983090:FKN983093 FUJ983090:FUJ983093 GEF983090:GEF983093 GOB983090:GOB983093 GXX983090:GXX983093 HHT983090:HHT983093 HRP983090:HRP983093 IBL983090:IBL983093 ILH983090:ILH983093 IVD983090:IVD983093 JEZ983090:JEZ983093 JOV983090:JOV983093 JYR983090:JYR983093 KIN983090:KIN983093 KSJ983090:KSJ983093 LCF983090:LCF983093 LMB983090:LMB983093 LVX983090:LVX983093 MFT983090:MFT983093 MPP983090:MPP983093 MZL983090:MZL983093 NJH983090:NJH983093 NTD983090:NTD983093 OCZ983090:OCZ983093 OMV983090:OMV983093 OWR983090:OWR983093 PGN983090:PGN983093 PQJ983090:PQJ983093 QAF983090:QAF983093 QKB983090:QKB983093 QTX983090:QTX983093 RDT983090:RDT983093 RNP983090:RNP983093 RXL983090:RXL983093 SHH983090:SHH983093 SRD983090:SRD983093 TAZ983090:TAZ983093 TKV983090:TKV983093 TUR983090:TUR983093 UEN983090:UEN983093 UOJ983090:UOJ983093 UYF983090:UYF983093 VIB983090:VIB983093 VRX983090:VRX983093 WBT983090:WBT983093 WLP983090:WLP983093 WVL983090:WVL983093 WVL983083:WVL983086 IZ44:IZ47 SV44:SV47 ACR44:ACR47 AMN44:AMN47 AWJ44:AWJ47 BGF44:BGF47 BQB44:BQB47 BZX44:BZX47 CJT44:CJT47 CTP44:CTP47 DDL44:DDL47 DNH44:DNH47 DXD44:DXD47 EGZ44:EGZ47 EQV44:EQV47 FAR44:FAR47 FKN44:FKN47 FUJ44:FUJ47 GEF44:GEF47 GOB44:GOB47 GXX44:GXX47 HHT44:HHT47 HRP44:HRP47 IBL44:IBL47 ILH44:ILH47 IVD44:IVD47 JEZ44:JEZ47 JOV44:JOV47 JYR44:JYR47 KIN44:KIN47 KSJ44:KSJ47 LCF44:LCF47 LMB44:LMB47 LVX44:LVX47 MFT44:MFT47 MPP44:MPP47 MZL44:MZL47 NJH44:NJH47 NTD44:NTD47 OCZ44:OCZ47 OMV44:OMV47 OWR44:OWR47 PGN44:PGN47 PQJ44:PQJ47 QAF44:QAF47 QKB44:QKB47 QTX44:QTX47 RDT44:RDT47 RNP44:RNP47 RXL44:RXL47 SHH44:SHH47 SRD44:SRD47 TAZ44:TAZ47 TKV44:TKV47 TUR44:TUR47 UEN44:UEN47 UOJ44:UOJ47 UYF44:UYF47 VIB44:VIB47 VRX44:VRX47 WBT44:WBT47 WLP44:WLP47 WVL44:WVL47 D65579:D65582 IZ65579:IZ65582 SV65579:SV65582 ACR65579:ACR65582 AMN65579:AMN65582 AWJ65579:AWJ65582 BGF65579:BGF65582 BQB65579:BQB65582 BZX65579:BZX65582 CJT65579:CJT65582 CTP65579:CTP65582 DDL65579:DDL65582 DNH65579:DNH65582 DXD65579:DXD65582 EGZ65579:EGZ65582 EQV65579:EQV65582 FAR65579:FAR65582 FKN65579:FKN65582 FUJ65579:FUJ65582 GEF65579:GEF65582 GOB65579:GOB65582 GXX65579:GXX65582 HHT65579:HHT65582 HRP65579:HRP65582 IBL65579:IBL65582 ILH65579:ILH65582 IVD65579:IVD65582 JEZ65579:JEZ65582 JOV65579:JOV65582 JYR65579:JYR65582 KIN65579:KIN65582 KSJ65579:KSJ65582 LCF65579:LCF65582 LMB65579:LMB65582 LVX65579:LVX65582 MFT65579:MFT65582 MPP65579:MPP65582 MZL65579:MZL65582 NJH65579:NJH65582 NTD65579:NTD65582 OCZ65579:OCZ65582 OMV65579:OMV65582 OWR65579:OWR65582 PGN65579:PGN65582 PQJ65579:PQJ65582 QAF65579:QAF65582 QKB65579:QKB65582 QTX65579:QTX65582 RDT65579:RDT65582 RNP65579:RNP65582 RXL65579:RXL65582 SHH65579:SHH65582 SRD65579:SRD65582 TAZ65579:TAZ65582 TKV65579:TKV65582 TUR65579:TUR65582 UEN65579:UEN65582 UOJ65579:UOJ65582 UYF65579:UYF65582 VIB65579:VIB65582 VRX65579:VRX65582 WBT65579:WBT65582 WLP65579:WLP65582 WVL65579:WVL65582 D131115:D131118 IZ131115:IZ131118 SV131115:SV131118 ACR131115:ACR131118 AMN131115:AMN131118 AWJ131115:AWJ131118 BGF131115:BGF131118 BQB131115:BQB131118 BZX131115:BZX131118 CJT131115:CJT131118 CTP131115:CTP131118 DDL131115:DDL131118 DNH131115:DNH131118 DXD131115:DXD131118 EGZ131115:EGZ131118 EQV131115:EQV131118 FAR131115:FAR131118 FKN131115:FKN131118 FUJ131115:FUJ131118 GEF131115:GEF131118 GOB131115:GOB131118 GXX131115:GXX131118 HHT131115:HHT131118 HRP131115:HRP131118 IBL131115:IBL131118 ILH131115:ILH131118 IVD131115:IVD131118 JEZ131115:JEZ131118 JOV131115:JOV131118 JYR131115:JYR131118 KIN131115:KIN131118 KSJ131115:KSJ131118 LCF131115:LCF131118 LMB131115:LMB131118 LVX131115:LVX131118 MFT131115:MFT131118 MPP131115:MPP131118 MZL131115:MZL131118 NJH131115:NJH131118 NTD131115:NTD131118 OCZ131115:OCZ131118 OMV131115:OMV131118 OWR131115:OWR131118 PGN131115:PGN131118 PQJ131115:PQJ131118 QAF131115:QAF131118 QKB131115:QKB131118 QTX131115:QTX131118 RDT131115:RDT131118 RNP131115:RNP131118 RXL131115:RXL131118 SHH131115:SHH131118 SRD131115:SRD131118 TAZ131115:TAZ131118 TKV131115:TKV131118 TUR131115:TUR131118 UEN131115:UEN131118 UOJ131115:UOJ131118 UYF131115:UYF131118 VIB131115:VIB131118 VRX131115:VRX131118 WBT131115:WBT131118 WLP131115:WLP131118 WVL131115:WVL131118 D196651:D196654 IZ196651:IZ196654 SV196651:SV196654 ACR196651:ACR196654 AMN196651:AMN196654 AWJ196651:AWJ196654 BGF196651:BGF196654 BQB196651:BQB196654 BZX196651:BZX196654 CJT196651:CJT196654 CTP196651:CTP196654 DDL196651:DDL196654 DNH196651:DNH196654 DXD196651:DXD196654 EGZ196651:EGZ196654 EQV196651:EQV196654 FAR196651:FAR196654 FKN196651:FKN196654 FUJ196651:FUJ196654 GEF196651:GEF196654 GOB196651:GOB196654 GXX196651:GXX196654 HHT196651:HHT196654 HRP196651:HRP196654 IBL196651:IBL196654 ILH196651:ILH196654 IVD196651:IVD196654 JEZ196651:JEZ196654 JOV196651:JOV196654 JYR196651:JYR196654 KIN196651:KIN196654 KSJ196651:KSJ196654 LCF196651:LCF196654 LMB196651:LMB196654 LVX196651:LVX196654 MFT196651:MFT196654 MPP196651:MPP196654 MZL196651:MZL196654 NJH196651:NJH196654 NTD196651:NTD196654 OCZ196651:OCZ196654 OMV196651:OMV196654 OWR196651:OWR196654 PGN196651:PGN196654 PQJ196651:PQJ196654 QAF196651:QAF196654 QKB196651:QKB196654 QTX196651:QTX196654 RDT196651:RDT196654 RNP196651:RNP196654 RXL196651:RXL196654 SHH196651:SHH196654 SRD196651:SRD196654 TAZ196651:TAZ196654 TKV196651:TKV196654 TUR196651:TUR196654 UEN196651:UEN196654 UOJ196651:UOJ196654 UYF196651:UYF196654 VIB196651:VIB196654 VRX196651:VRX196654 WBT196651:WBT196654 WLP196651:WLP196654 WVL196651:WVL196654 D262187:D262190 IZ262187:IZ262190 SV262187:SV262190 ACR262187:ACR262190 AMN262187:AMN262190 AWJ262187:AWJ262190 BGF262187:BGF262190 BQB262187:BQB262190 BZX262187:BZX262190 CJT262187:CJT262190 CTP262187:CTP262190 DDL262187:DDL262190 DNH262187:DNH262190 DXD262187:DXD262190 EGZ262187:EGZ262190 EQV262187:EQV262190 FAR262187:FAR262190 FKN262187:FKN262190 FUJ262187:FUJ262190 GEF262187:GEF262190 GOB262187:GOB262190 GXX262187:GXX262190 HHT262187:HHT262190 HRP262187:HRP262190 IBL262187:IBL262190 ILH262187:ILH262190 IVD262187:IVD262190 JEZ262187:JEZ262190 JOV262187:JOV262190 JYR262187:JYR262190 KIN262187:KIN262190 KSJ262187:KSJ262190 LCF262187:LCF262190 LMB262187:LMB262190 LVX262187:LVX262190 MFT262187:MFT262190 MPP262187:MPP262190 MZL262187:MZL262190 NJH262187:NJH262190 NTD262187:NTD262190 OCZ262187:OCZ262190 OMV262187:OMV262190 OWR262187:OWR262190 PGN262187:PGN262190 PQJ262187:PQJ262190 QAF262187:QAF262190 QKB262187:QKB262190 QTX262187:QTX262190 RDT262187:RDT262190 RNP262187:RNP262190 RXL262187:RXL262190 SHH262187:SHH262190 SRD262187:SRD262190 TAZ262187:TAZ262190 TKV262187:TKV262190 TUR262187:TUR262190 UEN262187:UEN262190 UOJ262187:UOJ262190 UYF262187:UYF262190 VIB262187:VIB262190 VRX262187:VRX262190 WBT262187:WBT262190 WLP262187:WLP262190 WVL262187:WVL262190 D327723:D327726 IZ327723:IZ327726 SV327723:SV327726 ACR327723:ACR327726 AMN327723:AMN327726 AWJ327723:AWJ327726 BGF327723:BGF327726 BQB327723:BQB327726 BZX327723:BZX327726 CJT327723:CJT327726 CTP327723:CTP327726 DDL327723:DDL327726 DNH327723:DNH327726 DXD327723:DXD327726 EGZ327723:EGZ327726 EQV327723:EQV327726 FAR327723:FAR327726 FKN327723:FKN327726 FUJ327723:FUJ327726 GEF327723:GEF327726 GOB327723:GOB327726 GXX327723:GXX327726 HHT327723:HHT327726 HRP327723:HRP327726 IBL327723:IBL327726 ILH327723:ILH327726 IVD327723:IVD327726 JEZ327723:JEZ327726 JOV327723:JOV327726 JYR327723:JYR327726 KIN327723:KIN327726 KSJ327723:KSJ327726 LCF327723:LCF327726 LMB327723:LMB327726 LVX327723:LVX327726 MFT327723:MFT327726 MPP327723:MPP327726 MZL327723:MZL327726 NJH327723:NJH327726 NTD327723:NTD327726 OCZ327723:OCZ327726 OMV327723:OMV327726 OWR327723:OWR327726 PGN327723:PGN327726 PQJ327723:PQJ327726 QAF327723:QAF327726 QKB327723:QKB327726 QTX327723:QTX327726 RDT327723:RDT327726 RNP327723:RNP327726 RXL327723:RXL327726 SHH327723:SHH327726 SRD327723:SRD327726 TAZ327723:TAZ327726 TKV327723:TKV327726 TUR327723:TUR327726 UEN327723:UEN327726 UOJ327723:UOJ327726 UYF327723:UYF327726 VIB327723:VIB327726 VRX327723:VRX327726 WBT327723:WBT327726 WLP327723:WLP327726 WVL327723:WVL327726 D393259:D393262 IZ393259:IZ393262 SV393259:SV393262 ACR393259:ACR393262 AMN393259:AMN393262 AWJ393259:AWJ393262 BGF393259:BGF393262 BQB393259:BQB393262 BZX393259:BZX393262 CJT393259:CJT393262 CTP393259:CTP393262 DDL393259:DDL393262 DNH393259:DNH393262 DXD393259:DXD393262 EGZ393259:EGZ393262 EQV393259:EQV393262 FAR393259:FAR393262 FKN393259:FKN393262 FUJ393259:FUJ393262 GEF393259:GEF393262 GOB393259:GOB393262 GXX393259:GXX393262 HHT393259:HHT393262 HRP393259:HRP393262 IBL393259:IBL393262 ILH393259:ILH393262 IVD393259:IVD393262 JEZ393259:JEZ393262 JOV393259:JOV393262 JYR393259:JYR393262 KIN393259:KIN393262 KSJ393259:KSJ393262 LCF393259:LCF393262 LMB393259:LMB393262 LVX393259:LVX393262 MFT393259:MFT393262 MPP393259:MPP393262 MZL393259:MZL393262 NJH393259:NJH393262 NTD393259:NTD393262 OCZ393259:OCZ393262 OMV393259:OMV393262 OWR393259:OWR393262 PGN393259:PGN393262 PQJ393259:PQJ393262 QAF393259:QAF393262 QKB393259:QKB393262 QTX393259:QTX393262 RDT393259:RDT393262 RNP393259:RNP393262 RXL393259:RXL393262 SHH393259:SHH393262 SRD393259:SRD393262 TAZ393259:TAZ393262 TKV393259:TKV393262 TUR393259:TUR393262 UEN393259:UEN393262 UOJ393259:UOJ393262 UYF393259:UYF393262 VIB393259:VIB393262 VRX393259:VRX393262 WBT393259:WBT393262 WLP393259:WLP393262 WVL393259:WVL393262 D458795:D458798 IZ458795:IZ458798 SV458795:SV458798 ACR458795:ACR458798 AMN458795:AMN458798 AWJ458795:AWJ458798 BGF458795:BGF458798 BQB458795:BQB458798 BZX458795:BZX458798 CJT458795:CJT458798 CTP458795:CTP458798 DDL458795:DDL458798 DNH458795:DNH458798 DXD458795:DXD458798 EGZ458795:EGZ458798 EQV458795:EQV458798 FAR458795:FAR458798 FKN458795:FKN458798 FUJ458795:FUJ458798 GEF458795:GEF458798 GOB458795:GOB458798 GXX458795:GXX458798 HHT458795:HHT458798 HRP458795:HRP458798 IBL458795:IBL458798 ILH458795:ILH458798 IVD458795:IVD458798 JEZ458795:JEZ458798 JOV458795:JOV458798 JYR458795:JYR458798 KIN458795:KIN458798 KSJ458795:KSJ458798 LCF458795:LCF458798 LMB458795:LMB458798 LVX458795:LVX458798 MFT458795:MFT458798 MPP458795:MPP458798 MZL458795:MZL458798 NJH458795:NJH458798 NTD458795:NTD458798 OCZ458795:OCZ458798 OMV458795:OMV458798 OWR458795:OWR458798 PGN458795:PGN458798 PQJ458795:PQJ458798 QAF458795:QAF458798 QKB458795:QKB458798 QTX458795:QTX458798 RDT458795:RDT458798 RNP458795:RNP458798 RXL458795:RXL458798 SHH458795:SHH458798 SRD458795:SRD458798 TAZ458795:TAZ458798 TKV458795:TKV458798 TUR458795:TUR458798 UEN458795:UEN458798 UOJ458795:UOJ458798 UYF458795:UYF458798 VIB458795:VIB458798 VRX458795:VRX458798 WBT458795:WBT458798 WLP458795:WLP458798 WVL458795:WVL458798 D524331:D524334 IZ524331:IZ524334 SV524331:SV524334 ACR524331:ACR524334 AMN524331:AMN524334 AWJ524331:AWJ524334 BGF524331:BGF524334 BQB524331:BQB524334 BZX524331:BZX524334 CJT524331:CJT524334 CTP524331:CTP524334 DDL524331:DDL524334 DNH524331:DNH524334 DXD524331:DXD524334 EGZ524331:EGZ524334 EQV524331:EQV524334 FAR524331:FAR524334 FKN524331:FKN524334 FUJ524331:FUJ524334 GEF524331:GEF524334 GOB524331:GOB524334 GXX524331:GXX524334 HHT524331:HHT524334 HRP524331:HRP524334 IBL524331:IBL524334 ILH524331:ILH524334 IVD524331:IVD524334 JEZ524331:JEZ524334 JOV524331:JOV524334 JYR524331:JYR524334 KIN524331:KIN524334 KSJ524331:KSJ524334 LCF524331:LCF524334 LMB524331:LMB524334 LVX524331:LVX524334 MFT524331:MFT524334 MPP524331:MPP524334 MZL524331:MZL524334 NJH524331:NJH524334 NTD524331:NTD524334 OCZ524331:OCZ524334 OMV524331:OMV524334 OWR524331:OWR524334 PGN524331:PGN524334 PQJ524331:PQJ524334 QAF524331:QAF524334 QKB524331:QKB524334 QTX524331:QTX524334 RDT524331:RDT524334 RNP524331:RNP524334 RXL524331:RXL524334 SHH524331:SHH524334 SRD524331:SRD524334 TAZ524331:TAZ524334 TKV524331:TKV524334 TUR524331:TUR524334 UEN524331:UEN524334 UOJ524331:UOJ524334 UYF524331:UYF524334 VIB524331:VIB524334 VRX524331:VRX524334 WBT524331:WBT524334 WLP524331:WLP524334 WVL524331:WVL524334 D589867:D589870 IZ589867:IZ589870 SV589867:SV589870 ACR589867:ACR589870 AMN589867:AMN589870 AWJ589867:AWJ589870 BGF589867:BGF589870 BQB589867:BQB589870 BZX589867:BZX589870 CJT589867:CJT589870 CTP589867:CTP589870 DDL589867:DDL589870 DNH589867:DNH589870 DXD589867:DXD589870 EGZ589867:EGZ589870 EQV589867:EQV589870 FAR589867:FAR589870 FKN589867:FKN589870 FUJ589867:FUJ589870 GEF589867:GEF589870 GOB589867:GOB589870 GXX589867:GXX589870 HHT589867:HHT589870 HRP589867:HRP589870 IBL589867:IBL589870 ILH589867:ILH589870 IVD589867:IVD589870 JEZ589867:JEZ589870 JOV589867:JOV589870 JYR589867:JYR589870 KIN589867:KIN589870 KSJ589867:KSJ589870 LCF589867:LCF589870 LMB589867:LMB589870 LVX589867:LVX589870 MFT589867:MFT589870 MPP589867:MPP589870 MZL589867:MZL589870 NJH589867:NJH589870 NTD589867:NTD589870 OCZ589867:OCZ589870 OMV589867:OMV589870 OWR589867:OWR589870 PGN589867:PGN589870 PQJ589867:PQJ589870 QAF589867:QAF589870 QKB589867:QKB589870 QTX589867:QTX589870 RDT589867:RDT589870 RNP589867:RNP589870 RXL589867:RXL589870 SHH589867:SHH589870 SRD589867:SRD589870 TAZ589867:TAZ589870 TKV589867:TKV589870 TUR589867:TUR589870 UEN589867:UEN589870 UOJ589867:UOJ589870 UYF589867:UYF589870 VIB589867:VIB589870 VRX589867:VRX589870 WBT589867:WBT589870 WLP589867:WLP589870 WVL589867:WVL589870 D655403:D655406 IZ655403:IZ655406 SV655403:SV655406 ACR655403:ACR655406 AMN655403:AMN655406 AWJ655403:AWJ655406 BGF655403:BGF655406 BQB655403:BQB655406 BZX655403:BZX655406 CJT655403:CJT655406 CTP655403:CTP655406 DDL655403:DDL655406 DNH655403:DNH655406 DXD655403:DXD655406 EGZ655403:EGZ655406 EQV655403:EQV655406 FAR655403:FAR655406 FKN655403:FKN655406 FUJ655403:FUJ655406 GEF655403:GEF655406 GOB655403:GOB655406 GXX655403:GXX655406 HHT655403:HHT655406 HRP655403:HRP655406 IBL655403:IBL655406 ILH655403:ILH655406 IVD655403:IVD655406 JEZ655403:JEZ655406 JOV655403:JOV655406 JYR655403:JYR655406 KIN655403:KIN655406 KSJ655403:KSJ655406 LCF655403:LCF655406 LMB655403:LMB655406 LVX655403:LVX655406 MFT655403:MFT655406 MPP655403:MPP655406 MZL655403:MZL655406 NJH655403:NJH655406 NTD655403:NTD655406 OCZ655403:OCZ655406 OMV655403:OMV655406 OWR655403:OWR655406 PGN655403:PGN655406 PQJ655403:PQJ655406 QAF655403:QAF655406 QKB655403:QKB655406 QTX655403:QTX655406 RDT655403:RDT655406 RNP655403:RNP655406 RXL655403:RXL655406 SHH655403:SHH655406 SRD655403:SRD655406 TAZ655403:TAZ655406 TKV655403:TKV655406 TUR655403:TUR655406 UEN655403:UEN655406 UOJ655403:UOJ655406 UYF655403:UYF655406 VIB655403:VIB655406 VRX655403:VRX655406 WBT655403:WBT655406 WLP655403:WLP655406 WVL655403:WVL655406 D720939:D720942 IZ720939:IZ720942 SV720939:SV720942 ACR720939:ACR720942 AMN720939:AMN720942 AWJ720939:AWJ720942 BGF720939:BGF720942 BQB720939:BQB720942 BZX720939:BZX720942 CJT720939:CJT720942 CTP720939:CTP720942 DDL720939:DDL720942 DNH720939:DNH720942 DXD720939:DXD720942 EGZ720939:EGZ720942 EQV720939:EQV720942 FAR720939:FAR720942 FKN720939:FKN720942 FUJ720939:FUJ720942 GEF720939:GEF720942 GOB720939:GOB720942 GXX720939:GXX720942 HHT720939:HHT720942 HRP720939:HRP720942 IBL720939:IBL720942 ILH720939:ILH720942 IVD720939:IVD720942 JEZ720939:JEZ720942 JOV720939:JOV720942 JYR720939:JYR720942 KIN720939:KIN720942 KSJ720939:KSJ720942 LCF720939:LCF720942 LMB720939:LMB720942 LVX720939:LVX720942 MFT720939:MFT720942 MPP720939:MPP720942 MZL720939:MZL720942 NJH720939:NJH720942 NTD720939:NTD720942 OCZ720939:OCZ720942 OMV720939:OMV720942 OWR720939:OWR720942 PGN720939:PGN720942 PQJ720939:PQJ720942 QAF720939:QAF720942 QKB720939:QKB720942 QTX720939:QTX720942 RDT720939:RDT720942 RNP720939:RNP720942 RXL720939:RXL720942 SHH720939:SHH720942 SRD720939:SRD720942 TAZ720939:TAZ720942 TKV720939:TKV720942 TUR720939:TUR720942 UEN720939:UEN720942 UOJ720939:UOJ720942 UYF720939:UYF720942 VIB720939:VIB720942 VRX720939:VRX720942 WBT720939:WBT720942 WLP720939:WLP720942 WVL720939:WVL720942 D786475:D786478 IZ786475:IZ786478 SV786475:SV786478 ACR786475:ACR786478 AMN786475:AMN786478 AWJ786475:AWJ786478 BGF786475:BGF786478 BQB786475:BQB786478 BZX786475:BZX786478 CJT786475:CJT786478 CTP786475:CTP786478 DDL786475:DDL786478 DNH786475:DNH786478 DXD786475:DXD786478 EGZ786475:EGZ786478 EQV786475:EQV786478 FAR786475:FAR786478 FKN786475:FKN786478 FUJ786475:FUJ786478 GEF786475:GEF786478 GOB786475:GOB786478 GXX786475:GXX786478 HHT786475:HHT786478 HRP786475:HRP786478 IBL786475:IBL786478 ILH786475:ILH786478 IVD786475:IVD786478 JEZ786475:JEZ786478 JOV786475:JOV786478 JYR786475:JYR786478 KIN786475:KIN786478 KSJ786475:KSJ786478 LCF786475:LCF786478 LMB786475:LMB786478 LVX786475:LVX786478 MFT786475:MFT786478 MPP786475:MPP786478 MZL786475:MZL786478 NJH786475:NJH786478 NTD786475:NTD786478 OCZ786475:OCZ786478 OMV786475:OMV786478 OWR786475:OWR786478 PGN786475:PGN786478 PQJ786475:PQJ786478 QAF786475:QAF786478 QKB786475:QKB786478 QTX786475:QTX786478 RDT786475:RDT786478 RNP786475:RNP786478 RXL786475:RXL786478 SHH786475:SHH786478 SRD786475:SRD786478 TAZ786475:TAZ786478 TKV786475:TKV786478 TUR786475:TUR786478 UEN786475:UEN786478 UOJ786475:UOJ786478 UYF786475:UYF786478 VIB786475:VIB786478 VRX786475:VRX786478 WBT786475:WBT786478 WLP786475:WLP786478 WVL786475:WVL786478 D852011:D852014 IZ852011:IZ852014 SV852011:SV852014 ACR852011:ACR852014 AMN852011:AMN852014 AWJ852011:AWJ852014 BGF852011:BGF852014 BQB852011:BQB852014 BZX852011:BZX852014 CJT852011:CJT852014 CTP852011:CTP852014 DDL852011:DDL852014 DNH852011:DNH852014 DXD852011:DXD852014 EGZ852011:EGZ852014 EQV852011:EQV852014 FAR852011:FAR852014 FKN852011:FKN852014 FUJ852011:FUJ852014 GEF852011:GEF852014 GOB852011:GOB852014 GXX852011:GXX852014 HHT852011:HHT852014 HRP852011:HRP852014 IBL852011:IBL852014 ILH852011:ILH852014 IVD852011:IVD852014 JEZ852011:JEZ852014 JOV852011:JOV852014 JYR852011:JYR852014 KIN852011:KIN852014 KSJ852011:KSJ852014 LCF852011:LCF852014 LMB852011:LMB852014 LVX852011:LVX852014 MFT852011:MFT852014 MPP852011:MPP852014 MZL852011:MZL852014 NJH852011:NJH852014 NTD852011:NTD852014 OCZ852011:OCZ852014 OMV852011:OMV852014 OWR852011:OWR852014 PGN852011:PGN852014 PQJ852011:PQJ852014 QAF852011:QAF852014 QKB852011:QKB852014 QTX852011:QTX852014 RDT852011:RDT852014 RNP852011:RNP852014 RXL852011:RXL852014 SHH852011:SHH852014 SRD852011:SRD852014 TAZ852011:TAZ852014 TKV852011:TKV852014 TUR852011:TUR852014 UEN852011:UEN852014 UOJ852011:UOJ852014 UYF852011:UYF852014 VIB852011:VIB852014 VRX852011:VRX852014 WBT852011:WBT852014 WLP852011:WLP852014 WVL852011:WVL852014 D917547:D917550 IZ917547:IZ917550 SV917547:SV917550 ACR917547:ACR917550 AMN917547:AMN917550 AWJ917547:AWJ917550 BGF917547:BGF917550 BQB917547:BQB917550 BZX917547:BZX917550 CJT917547:CJT917550 CTP917547:CTP917550 DDL917547:DDL917550 DNH917547:DNH917550 DXD917547:DXD917550 EGZ917547:EGZ917550 EQV917547:EQV917550 FAR917547:FAR917550 FKN917547:FKN917550 FUJ917547:FUJ917550 GEF917547:GEF917550 GOB917547:GOB917550 GXX917547:GXX917550 HHT917547:HHT917550 HRP917547:HRP917550 IBL917547:IBL917550 ILH917547:ILH917550 IVD917547:IVD917550 JEZ917547:JEZ917550 JOV917547:JOV917550 JYR917547:JYR917550 KIN917547:KIN917550 KSJ917547:KSJ917550 LCF917547:LCF917550 LMB917547:LMB917550 LVX917547:LVX917550 MFT917547:MFT917550 MPP917547:MPP917550 MZL917547:MZL917550 NJH917547:NJH917550 NTD917547:NTD917550 OCZ917547:OCZ917550 OMV917547:OMV917550 OWR917547:OWR917550 PGN917547:PGN917550 PQJ917547:PQJ917550 QAF917547:QAF917550 QKB917547:QKB917550 QTX917547:QTX917550 RDT917547:RDT917550 RNP917547:RNP917550 RXL917547:RXL917550 SHH917547:SHH917550 SRD917547:SRD917550 TAZ917547:TAZ917550 TKV917547:TKV917550 TUR917547:TUR917550 UEN917547:UEN917550 UOJ917547:UOJ917550 UYF917547:UYF917550 VIB917547:VIB917550 VRX917547:VRX917550 WBT917547:WBT917550 WLP917547:WLP917550 WVL917547:WVL917550 D983083:D983086 IZ983083:IZ983086 SV983083:SV983086 ACR983083:ACR983086 AMN983083:AMN983086 AWJ983083:AWJ983086 BGF983083:BGF983086 BQB983083:BQB983086 BZX983083:BZX983086 CJT983083:CJT983086 CTP983083:CTP983086 DDL983083:DDL983086 DNH983083:DNH983086 DXD983083:DXD983086 EGZ983083:EGZ983086 EQV983083:EQV983086 FAR983083:FAR983086 FKN983083:FKN983086 FUJ983083:FUJ983086 GEF983083:GEF983086 GOB983083:GOB983086 GXX983083:GXX983086 HHT983083:HHT983086 HRP983083:HRP983086 IBL983083:IBL983086 ILH983083:ILH983086 IVD983083:IVD983086 JEZ983083:JEZ983086 JOV983083:JOV983086 JYR983083:JYR983086 KIN983083:KIN983086 KSJ983083:KSJ983086 LCF983083:LCF983086 LMB983083:LMB983086 LVX983083:LVX983086 MFT983083:MFT983086 MPP983083:MPP983086 MZL983083:MZL983086 NJH983083:NJH983086 NTD983083:NTD983086 OCZ983083:OCZ983086 OMV983083:OMV983086 OWR983083:OWR983086 PGN983083:PGN983086 PQJ983083:PQJ983086 QAF983083:QAF983086 QKB983083:QKB983086 QTX983083:QTX983086 RDT983083:RDT983086 RNP983083:RNP983086 RXL983083:RXL983086 SHH983083:SHH983086 SRD983083:SRD983086 TAZ983083:TAZ983086 TKV983083:TKV983086 TUR983083:TUR983086 UEN983083:UEN983086 UOJ983083:UOJ983086 UYF983083:UYF983086 VIB983083:VIB983086 VRX983083:VRX983086 WBT983083:WBT983086 WLP983083:WLP983086">
      <formula1>AFC_list</formula1>
    </dataValidation>
  </dataValidations>
  <pageMargins left="0.70866141732283472" right="0.70866141732283472" top="0.74803149606299213" bottom="0.74803149606299213" header="0.31496062992125984" footer="0.31496062992125984"/>
  <pageSetup paperSize="9" scale="38" orientation="portrait"/>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staff_costs!$A$4:$A$21</xm:f>
          </x14:formula1>
          <xm:sqref>D44:D47</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W294"/>
  <sheetViews>
    <sheetView showGridLines="0" zoomScale="75" zoomScaleNormal="75" zoomScaleSheetLayoutView="25" zoomScalePageLayoutView="75" workbookViewId="0">
      <selection activeCell="K3" sqref="K3"/>
    </sheetView>
  </sheetViews>
  <sheetFormatPr defaultColWidth="9.28515625" defaultRowHeight="15"/>
  <cols>
    <col min="1" max="1" width="15.42578125" style="1120" customWidth="1"/>
    <col min="2" max="2" width="50.85546875" style="1120" customWidth="1"/>
    <col min="3" max="3" width="19.85546875" style="1871" customWidth="1"/>
    <col min="4" max="4" width="19.28515625" style="1875" customWidth="1"/>
    <col min="5" max="7" width="20.42578125" style="1871" customWidth="1"/>
    <col min="8" max="8" width="20.42578125" style="1874" customWidth="1"/>
    <col min="9" max="9" width="17.140625" style="1876" customWidth="1"/>
    <col min="10" max="10" width="15" style="1876" customWidth="1"/>
    <col min="11" max="11" width="23" style="1871" customWidth="1"/>
    <col min="12" max="12" width="41" style="1872" customWidth="1"/>
    <col min="13" max="13" width="32" style="1873" customWidth="1"/>
    <col min="14" max="14" width="23.42578125" style="1859" customWidth="1"/>
    <col min="15" max="16" width="23.42578125" style="1120" customWidth="1"/>
    <col min="17" max="17" width="14" style="1120" customWidth="1"/>
    <col min="18" max="16384" width="9.28515625" style="1120"/>
  </cols>
  <sheetData>
    <row r="1" spans="1:75" s="1078" customFormat="1">
      <c r="A1" s="2012" t="str">
        <f>HYPERLINK("[.\]Menu!A1", "To Menu")</f>
        <v>To Menu</v>
      </c>
      <c r="B1" s="528"/>
      <c r="C1" s="2013" t="str">
        <f>HYPERLINK("[.\]control_sheet_and_graphs!A1", "To Control sheet and graphical results")</f>
        <v>To Control sheet and graphical results</v>
      </c>
      <c r="D1" s="1551"/>
      <c r="E1" s="528"/>
      <c r="F1" s="1551"/>
      <c r="G1" s="2013" t="str">
        <f>HYPERLINK("[.\]projections!A1", "To Results projected over 5 years")</f>
        <v>To Results projected over 5 years</v>
      </c>
      <c r="I1" s="532"/>
      <c r="O1" s="532"/>
      <c r="Q1" s="532"/>
      <c r="R1" s="532"/>
      <c r="S1" s="532"/>
      <c r="T1" s="532"/>
      <c r="V1" s="532"/>
      <c r="W1" s="532"/>
      <c r="X1" s="532"/>
      <c r="Y1" s="532"/>
      <c r="AA1" s="532"/>
      <c r="AB1" s="532"/>
      <c r="AC1" s="532"/>
      <c r="AD1" s="532"/>
      <c r="AF1" s="532"/>
      <c r="AG1" s="532"/>
      <c r="AH1" s="532"/>
      <c r="AI1" s="532"/>
      <c r="AK1" s="532"/>
      <c r="AL1" s="532"/>
      <c r="AM1" s="532"/>
      <c r="AN1" s="532"/>
      <c r="AP1" s="532"/>
      <c r="AQ1" s="532"/>
      <c r="AR1" s="532"/>
      <c r="AS1" s="532"/>
      <c r="AU1" s="532"/>
      <c r="AV1" s="532"/>
      <c r="AW1" s="532"/>
      <c r="AX1" s="532"/>
      <c r="AZ1" s="532"/>
      <c r="BA1" s="532"/>
      <c r="BB1" s="532"/>
      <c r="BC1" s="532"/>
      <c r="BE1" s="532"/>
      <c r="BF1" s="532"/>
      <c r="BG1" s="532"/>
      <c r="BH1" s="532"/>
      <c r="BJ1" s="532"/>
      <c r="BK1" s="532"/>
      <c r="BL1" s="532"/>
      <c r="BM1" s="532"/>
      <c r="BO1" s="532"/>
      <c r="BP1" s="532"/>
      <c r="BQ1" s="532"/>
      <c r="BR1" s="532"/>
      <c r="BT1" s="532"/>
      <c r="BU1" s="532"/>
      <c r="BV1" s="532"/>
      <c r="BW1" s="532"/>
    </row>
    <row r="2" spans="1:75" ht="54.6" customHeight="1">
      <c r="A2" s="1851"/>
      <c r="B2" s="1908" t="s">
        <v>565</v>
      </c>
      <c r="C2" s="1853"/>
      <c r="D2" s="1854"/>
      <c r="E2" s="1853"/>
      <c r="F2" s="1853"/>
      <c r="G2" s="1853"/>
      <c r="H2" s="1855"/>
      <c r="I2" s="1856"/>
      <c r="J2" s="1857"/>
      <c r="K2" s="1853"/>
      <c r="L2" s="1857"/>
      <c r="M2" s="1858"/>
    </row>
    <row r="3" spans="1:75" ht="60">
      <c r="A3" s="1851"/>
      <c r="B3" s="1885" t="s">
        <v>1101</v>
      </c>
      <c r="C3" s="1881" t="s">
        <v>1102</v>
      </c>
      <c r="D3" s="1882" t="s">
        <v>564</v>
      </c>
      <c r="E3" s="1881" t="s">
        <v>1103</v>
      </c>
      <c r="F3" s="1881" t="s">
        <v>1104</v>
      </c>
      <c r="G3" s="1881" t="s">
        <v>1105</v>
      </c>
      <c r="H3" s="1883" t="s">
        <v>1106</v>
      </c>
      <c r="I3" s="1884" t="s">
        <v>1107</v>
      </c>
      <c r="J3" s="1884" t="s">
        <v>1108</v>
      </c>
      <c r="K3" s="1884" t="s">
        <v>1330</v>
      </c>
      <c r="L3" s="1884" t="s">
        <v>1109</v>
      </c>
      <c r="M3" s="1884" t="s">
        <v>1110</v>
      </c>
    </row>
    <row r="4" spans="1:75" ht="20.25">
      <c r="A4" s="1861"/>
      <c r="B4" s="1878" t="s">
        <v>69</v>
      </c>
      <c r="C4" s="1209">
        <v>471.55482717174652</v>
      </c>
      <c r="D4" s="1209">
        <v>485</v>
      </c>
      <c r="E4" s="2059">
        <f>1-(F4+G4)</f>
        <v>0.13497890006108437</v>
      </c>
      <c r="F4" s="1879">
        <v>0.70752046654902834</v>
      </c>
      <c r="G4" s="1879">
        <v>0.15750063338988729</v>
      </c>
      <c r="H4" s="1880">
        <f>6*365</f>
        <v>2190</v>
      </c>
      <c r="I4" s="1887">
        <f t="shared" ref="I4:I20" si="0">D4*G4</f>
        <v>76.38780719409533</v>
      </c>
      <c r="J4" s="1887">
        <f t="shared" ref="J4:J20" si="1">(G4+(F4*K4))*D4</f>
        <v>76.38780719409533</v>
      </c>
      <c r="K4" s="1888">
        <v>0</v>
      </c>
      <c r="L4" s="1889" t="s">
        <v>47</v>
      </c>
      <c r="M4" s="1890" t="s">
        <v>647</v>
      </c>
    </row>
    <row r="5" spans="1:75" ht="20.25">
      <c r="A5" s="1862"/>
      <c r="B5" s="1878" t="s">
        <v>43</v>
      </c>
      <c r="C5" s="1209">
        <v>154.19493390737</v>
      </c>
      <c r="D5" s="1209">
        <v>130</v>
      </c>
      <c r="E5" s="2059">
        <f t="shared" ref="E5:E20" si="2">1-(F5+G5)</f>
        <v>0.21420931777602814</v>
      </c>
      <c r="F5" s="1879">
        <v>0.68570413362111049</v>
      </c>
      <c r="G5" s="1879">
        <v>0.10008654860286137</v>
      </c>
      <c r="H5" s="1880">
        <f>42*37.5*3</f>
        <v>4725</v>
      </c>
      <c r="I5" s="489">
        <f t="shared" si="0"/>
        <v>13.011251318371977</v>
      </c>
      <c r="J5" s="489">
        <f t="shared" si="1"/>
        <v>13.011251318371977</v>
      </c>
      <c r="K5" s="1888">
        <v>0</v>
      </c>
      <c r="L5" s="1889" t="s">
        <v>52</v>
      </c>
      <c r="M5" s="1890" t="s">
        <v>648</v>
      </c>
    </row>
    <row r="6" spans="1:75" ht="20.25">
      <c r="A6" s="1862"/>
      <c r="B6" s="1878" t="s">
        <v>49</v>
      </c>
      <c r="C6" s="1209">
        <v>89.533100846051653</v>
      </c>
      <c r="D6" s="1209">
        <v>109</v>
      </c>
      <c r="E6" s="2059">
        <f t="shared" si="2"/>
        <v>0.21420931777602814</v>
      </c>
      <c r="F6" s="1879">
        <v>0.68570413362111049</v>
      </c>
      <c r="G6" s="1879">
        <v>0.10008654860286137</v>
      </c>
      <c r="H6" s="1880">
        <f>42*37.5*4</f>
        <v>6300</v>
      </c>
      <c r="I6" s="489">
        <f t="shared" si="0"/>
        <v>10.909433797711889</v>
      </c>
      <c r="J6" s="489">
        <f t="shared" si="1"/>
        <v>10.909433797711889</v>
      </c>
      <c r="K6" s="1888">
        <v>0</v>
      </c>
      <c r="L6" s="1889" t="s">
        <v>53</v>
      </c>
      <c r="M6" s="1890" t="s">
        <v>649</v>
      </c>
    </row>
    <row r="7" spans="1:75" ht="20.25">
      <c r="A7" s="1862"/>
      <c r="B7" s="1878" t="s">
        <v>67</v>
      </c>
      <c r="C7" s="1209">
        <v>57</v>
      </c>
      <c r="D7" s="1209">
        <v>40</v>
      </c>
      <c r="E7" s="2059">
        <f t="shared" si="2"/>
        <v>0.19300000000000006</v>
      </c>
      <c r="F7" s="1879">
        <v>0.69799999999999995</v>
      </c>
      <c r="G7" s="1879">
        <v>0.10899999999999999</v>
      </c>
      <c r="H7" s="1880">
        <f>42*37.5*3</f>
        <v>4725</v>
      </c>
      <c r="I7" s="489">
        <f t="shared" si="0"/>
        <v>4.3599999999999994</v>
      </c>
      <c r="J7" s="489">
        <f t="shared" si="1"/>
        <v>4.3599999999999994</v>
      </c>
      <c r="K7" s="1888">
        <v>0</v>
      </c>
      <c r="L7" s="1889" t="s">
        <v>54</v>
      </c>
      <c r="M7" s="1890" t="s">
        <v>650</v>
      </c>
    </row>
    <row r="8" spans="1:75" ht="20.25">
      <c r="A8" s="1862"/>
      <c r="B8" s="1878" t="s">
        <v>44</v>
      </c>
      <c r="C8" s="1209">
        <v>68.3</v>
      </c>
      <c r="D8" s="1209">
        <v>70</v>
      </c>
      <c r="E8" s="2059">
        <f t="shared" si="2"/>
        <v>0.14656288536463624</v>
      </c>
      <c r="F8" s="1879">
        <v>0.74403961463646695</v>
      </c>
      <c r="G8" s="1879">
        <v>0.10939749999889681</v>
      </c>
      <c r="H8" s="1880">
        <f>37.5*4*42</f>
        <v>6300</v>
      </c>
      <c r="I8" s="489">
        <f t="shared" si="0"/>
        <v>7.6578249999227763</v>
      </c>
      <c r="J8" s="489">
        <f t="shared" si="1"/>
        <v>7.6578249999227763</v>
      </c>
      <c r="K8" s="1888">
        <v>0</v>
      </c>
      <c r="L8" s="1889" t="s">
        <v>53</v>
      </c>
      <c r="M8" s="1890" t="s">
        <v>28</v>
      </c>
    </row>
    <row r="9" spans="1:75" ht="20.25">
      <c r="A9" s="1863"/>
      <c r="B9" s="1878" t="s">
        <v>45</v>
      </c>
      <c r="C9" s="1209">
        <v>150</v>
      </c>
      <c r="D9" s="1209">
        <v>153</v>
      </c>
      <c r="E9" s="2059">
        <f t="shared" si="2"/>
        <v>0.14656288536463624</v>
      </c>
      <c r="F9" s="1879">
        <v>0.74403961463646695</v>
      </c>
      <c r="G9" s="1879">
        <v>0.10939749999889681</v>
      </c>
      <c r="H9" s="1880">
        <f>37.5*1*42</f>
        <v>1575</v>
      </c>
      <c r="I9" s="489">
        <f t="shared" si="0"/>
        <v>16.737817499831213</v>
      </c>
      <c r="J9" s="489">
        <f t="shared" si="1"/>
        <v>16.737817499831213</v>
      </c>
      <c r="K9" s="1888">
        <v>0</v>
      </c>
      <c r="L9" s="1889" t="s">
        <v>55</v>
      </c>
      <c r="M9" s="1890" t="s">
        <v>27</v>
      </c>
    </row>
    <row r="10" spans="1:75" ht="20.25">
      <c r="A10" s="1862"/>
      <c r="B10" s="1878" t="s">
        <v>50</v>
      </c>
      <c r="C10" s="1209">
        <v>7</v>
      </c>
      <c r="D10" s="1209">
        <v>7</v>
      </c>
      <c r="E10" s="2059">
        <f t="shared" si="2"/>
        <v>9.1500000000000026E-2</v>
      </c>
      <c r="F10" s="1879">
        <v>0.85840000000000005</v>
      </c>
      <c r="G10" s="1879">
        <v>5.0099999999999922E-2</v>
      </c>
      <c r="H10" s="1880">
        <f>37.5*42*6</f>
        <v>9450</v>
      </c>
      <c r="I10" s="489">
        <f t="shared" si="0"/>
        <v>0.35069999999999946</v>
      </c>
      <c r="J10" s="489">
        <f t="shared" si="1"/>
        <v>0.35069999999999946</v>
      </c>
      <c r="K10" s="1888">
        <v>0</v>
      </c>
      <c r="L10" s="1889" t="s">
        <v>56</v>
      </c>
      <c r="M10" s="1890" t="s">
        <v>29</v>
      </c>
    </row>
    <row r="11" spans="1:75" ht="20.25">
      <c r="A11" s="1862"/>
      <c r="B11" s="1878" t="s">
        <v>51</v>
      </c>
      <c r="C11" s="1209">
        <v>20</v>
      </c>
      <c r="D11" s="1209">
        <v>20</v>
      </c>
      <c r="E11" s="2059">
        <f t="shared" si="2"/>
        <v>9.1500000000000026E-2</v>
      </c>
      <c r="F11" s="1879">
        <v>0.85840000000000005</v>
      </c>
      <c r="G11" s="1879">
        <v>5.0099999999999922E-2</v>
      </c>
      <c r="H11" s="1880">
        <f>37.5*42*6</f>
        <v>9450</v>
      </c>
      <c r="I11" s="489">
        <f t="shared" si="0"/>
        <v>1.0019999999999984</v>
      </c>
      <c r="J11" s="489">
        <f t="shared" si="1"/>
        <v>1.0019999999999984</v>
      </c>
      <c r="K11" s="1888">
        <v>0</v>
      </c>
      <c r="L11" s="1889" t="s">
        <v>56</v>
      </c>
      <c r="M11" s="1890" t="s">
        <v>29</v>
      </c>
    </row>
    <row r="12" spans="1:75" ht="20.25">
      <c r="A12" s="1862"/>
      <c r="B12" s="1878" t="s">
        <v>41</v>
      </c>
      <c r="C12" s="1209">
        <v>14</v>
      </c>
      <c r="D12" s="1209">
        <v>14</v>
      </c>
      <c r="E12" s="2059">
        <f t="shared" si="2"/>
        <v>0</v>
      </c>
      <c r="F12" s="1879">
        <v>0</v>
      </c>
      <c r="G12" s="1879">
        <v>1</v>
      </c>
      <c r="H12" s="1880">
        <v>1</v>
      </c>
      <c r="I12" s="489">
        <f t="shared" si="0"/>
        <v>14</v>
      </c>
      <c r="J12" s="489">
        <f t="shared" si="1"/>
        <v>14</v>
      </c>
      <c r="K12" s="1888">
        <v>0</v>
      </c>
      <c r="L12" s="1889" t="s">
        <v>57</v>
      </c>
      <c r="M12" s="1890" t="s">
        <v>61</v>
      </c>
    </row>
    <row r="13" spans="1:75" ht="20.25">
      <c r="A13" s="1862"/>
      <c r="B13" s="1878" t="s">
        <v>567</v>
      </c>
      <c r="C13" s="1209">
        <v>35.249604011349732</v>
      </c>
      <c r="D13" s="1209">
        <v>33</v>
      </c>
      <c r="E13" s="2059">
        <f t="shared" si="2"/>
        <v>9.1500000000000026E-2</v>
      </c>
      <c r="F13" s="1879">
        <v>0.85840000000000005</v>
      </c>
      <c r="G13" s="1879">
        <v>5.0099999999999922E-2</v>
      </c>
      <c r="H13" s="1880">
        <f>37.5*42*1*2</f>
        <v>3150</v>
      </c>
      <c r="I13" s="489">
        <f>D13*G13</f>
        <v>1.6532999999999975</v>
      </c>
      <c r="J13" s="489">
        <f>(G13+(F13*K13))*D13</f>
        <v>1.6532999999999975</v>
      </c>
      <c r="K13" s="1888">
        <v>0</v>
      </c>
      <c r="L13" s="1889" t="s">
        <v>58</v>
      </c>
      <c r="M13" s="1891" t="s">
        <v>653</v>
      </c>
    </row>
    <row r="14" spans="1:75" ht="20.25">
      <c r="A14" s="1862"/>
      <c r="B14" s="1878" t="s">
        <v>77</v>
      </c>
      <c r="C14" s="1209">
        <v>179.83161675760465</v>
      </c>
      <c r="D14" s="1209">
        <v>165</v>
      </c>
      <c r="E14" s="2059">
        <f t="shared" si="2"/>
        <v>0.11829999999999996</v>
      </c>
      <c r="F14" s="1879">
        <v>0.78380000000000005</v>
      </c>
      <c r="G14" s="1879">
        <v>9.7899999999999987E-2</v>
      </c>
      <c r="H14" s="1880">
        <f>37.5*42*1*2</f>
        <v>3150</v>
      </c>
      <c r="I14" s="489">
        <f t="shared" si="0"/>
        <v>16.153499999999998</v>
      </c>
      <c r="J14" s="489">
        <f t="shared" si="1"/>
        <v>16.153499999999998</v>
      </c>
      <c r="K14" s="1888">
        <v>0</v>
      </c>
      <c r="L14" s="1889" t="s">
        <v>58</v>
      </c>
      <c r="M14" s="1890" t="s">
        <v>653</v>
      </c>
      <c r="P14" s="1860"/>
      <c r="R14" s="1860"/>
      <c r="S14" s="1860"/>
    </row>
    <row r="15" spans="1:75" ht="20.25">
      <c r="A15" s="1862"/>
      <c r="B15" s="1878" t="s">
        <v>46</v>
      </c>
      <c r="C15" s="1209">
        <v>233.02000068717058</v>
      </c>
      <c r="D15" s="1209">
        <v>263</v>
      </c>
      <c r="E15" s="2059">
        <f t="shared" si="2"/>
        <v>0.11829999999999996</v>
      </c>
      <c r="F15" s="1879">
        <v>0.78380000000000005</v>
      </c>
      <c r="G15" s="1879">
        <v>9.7899999999999987E-2</v>
      </c>
      <c r="H15" s="1880">
        <f>37.5*42*1*2</f>
        <v>3150</v>
      </c>
      <c r="I15" s="489">
        <f t="shared" si="0"/>
        <v>25.747699999999998</v>
      </c>
      <c r="J15" s="489">
        <f t="shared" si="1"/>
        <v>25.747699999999998</v>
      </c>
      <c r="K15" s="1888">
        <v>0</v>
      </c>
      <c r="L15" s="1889" t="s">
        <v>58</v>
      </c>
      <c r="M15" s="1890" t="s">
        <v>653</v>
      </c>
      <c r="P15" s="1860"/>
      <c r="R15" s="1860"/>
      <c r="S15" s="1860"/>
    </row>
    <row r="16" spans="1:75" ht="20.25">
      <c r="A16" s="1862"/>
      <c r="B16" s="1878" t="s">
        <v>30</v>
      </c>
      <c r="C16" s="1209">
        <v>37.264451156891667</v>
      </c>
      <c r="D16" s="1209">
        <v>35</v>
      </c>
      <c r="E16" s="2059">
        <f t="shared" si="2"/>
        <v>0.14656288536463624</v>
      </c>
      <c r="F16" s="1879">
        <v>0.74403961463646695</v>
      </c>
      <c r="G16" s="1879">
        <v>0.10939749999889681</v>
      </c>
      <c r="H16" s="1880">
        <f>37.5*42*2</f>
        <v>3150</v>
      </c>
      <c r="I16" s="489">
        <f t="shared" si="0"/>
        <v>3.8289124999613882</v>
      </c>
      <c r="J16" s="489">
        <f t="shared" si="1"/>
        <v>3.8289124999613882</v>
      </c>
      <c r="K16" s="1888">
        <v>0</v>
      </c>
      <c r="L16" s="1889" t="s">
        <v>60</v>
      </c>
      <c r="M16" s="1891" t="s">
        <v>654</v>
      </c>
      <c r="N16" s="1864"/>
      <c r="O16" s="1865"/>
      <c r="P16" s="1865"/>
      <c r="R16" s="1865"/>
    </row>
    <row r="17" spans="1:18" ht="20.25">
      <c r="A17" s="1863"/>
      <c r="B17" s="1878" t="s">
        <v>48</v>
      </c>
      <c r="C17" s="1209">
        <v>282.26243393069001</v>
      </c>
      <c r="D17" s="1209">
        <v>200</v>
      </c>
      <c r="E17" s="2059">
        <f t="shared" si="2"/>
        <v>0.14656288536463624</v>
      </c>
      <c r="F17" s="1879">
        <v>0.74403961463646695</v>
      </c>
      <c r="G17" s="1879">
        <v>0.10939749999889681</v>
      </c>
      <c r="H17" s="1880">
        <f>365*4</f>
        <v>1460</v>
      </c>
      <c r="I17" s="489">
        <f t="shared" si="0"/>
        <v>21.879499999779362</v>
      </c>
      <c r="J17" s="489">
        <f t="shared" si="1"/>
        <v>21.879499999779362</v>
      </c>
      <c r="K17" s="1888">
        <v>0</v>
      </c>
      <c r="L17" s="1889" t="s">
        <v>59</v>
      </c>
      <c r="M17" s="1891" t="s">
        <v>655</v>
      </c>
      <c r="N17" s="1864"/>
      <c r="O17" s="1865"/>
      <c r="P17" s="1865"/>
      <c r="R17" s="1865"/>
    </row>
    <row r="18" spans="1:18" ht="20.25">
      <c r="A18" s="1862"/>
      <c r="B18" s="1878" t="s">
        <v>225</v>
      </c>
      <c r="C18" s="1209">
        <v>24</v>
      </c>
      <c r="D18" s="1209">
        <v>25</v>
      </c>
      <c r="E18" s="2059">
        <f t="shared" si="2"/>
        <v>0.14656288536463624</v>
      </c>
      <c r="F18" s="1879">
        <v>0.74403961463646695</v>
      </c>
      <c r="G18" s="1879">
        <v>0.10939749999889681</v>
      </c>
      <c r="H18" s="1880">
        <f>37.5*42*2</f>
        <v>3150</v>
      </c>
      <c r="I18" s="489">
        <f t="shared" si="0"/>
        <v>2.7349374999724203</v>
      </c>
      <c r="J18" s="489">
        <f t="shared" si="1"/>
        <v>2.7349374999724203</v>
      </c>
      <c r="K18" s="1888">
        <v>0</v>
      </c>
      <c r="L18" s="1889" t="s">
        <v>60</v>
      </c>
      <c r="M18" s="1891" t="s">
        <v>31</v>
      </c>
      <c r="N18" s="1864"/>
      <c r="O18" s="1865"/>
      <c r="P18" s="1865"/>
      <c r="R18" s="1865"/>
    </row>
    <row r="19" spans="1:18" ht="20.25">
      <c r="A19" s="1862"/>
      <c r="B19" s="1878" t="s">
        <v>32</v>
      </c>
      <c r="C19" s="1209">
        <v>37</v>
      </c>
      <c r="D19" s="1209">
        <v>38</v>
      </c>
      <c r="E19" s="2059">
        <f t="shared" si="2"/>
        <v>0.14656288536463624</v>
      </c>
      <c r="F19" s="1879">
        <v>0.74403961463646695</v>
      </c>
      <c r="G19" s="1879">
        <v>0.10939749999889681</v>
      </c>
      <c r="H19" s="1880">
        <v>1</v>
      </c>
      <c r="I19" s="489">
        <f t="shared" si="0"/>
        <v>4.1571049999580785</v>
      </c>
      <c r="J19" s="489">
        <f t="shared" si="1"/>
        <v>4.1571049999580785</v>
      </c>
      <c r="K19" s="1888">
        <v>0</v>
      </c>
      <c r="L19" s="1889" t="s">
        <v>91</v>
      </c>
      <c r="M19" s="1891" t="s">
        <v>33</v>
      </c>
      <c r="N19" s="1864"/>
      <c r="O19" s="1865"/>
      <c r="P19" s="1865"/>
      <c r="R19" s="1865"/>
    </row>
    <row r="20" spans="1:18" ht="20.25">
      <c r="A20" s="1862"/>
      <c r="B20" s="1878" t="s">
        <v>34</v>
      </c>
      <c r="C20" s="1209">
        <v>61</v>
      </c>
      <c r="D20" s="1209">
        <v>61</v>
      </c>
      <c r="E20" s="2059">
        <f t="shared" si="2"/>
        <v>0.14656288536463624</v>
      </c>
      <c r="F20" s="1879">
        <v>0.74403961463646695</v>
      </c>
      <c r="G20" s="1879">
        <v>0.10939749999889681</v>
      </c>
      <c r="H20" s="1880">
        <v>1</v>
      </c>
      <c r="I20" s="489">
        <f t="shared" si="0"/>
        <v>6.6732474999327049</v>
      </c>
      <c r="J20" s="489">
        <f t="shared" si="1"/>
        <v>6.6732474999327049</v>
      </c>
      <c r="K20" s="1888">
        <v>0</v>
      </c>
      <c r="L20" s="1889" t="s">
        <v>91</v>
      </c>
      <c r="M20" s="1891" t="s">
        <v>35</v>
      </c>
    </row>
    <row r="21" spans="1:18">
      <c r="A21" s="2012" t="str">
        <f>HYPERLINK("[.\]Menu!A1", "To Menu")</f>
        <v>To Menu</v>
      </c>
      <c r="B21" s="1909"/>
      <c r="C21" s="1928"/>
      <c r="D21" s="1928"/>
      <c r="E21" s="1929"/>
      <c r="F21" s="1929"/>
      <c r="G21" s="1910"/>
      <c r="H21" s="1930"/>
      <c r="I21" s="1697"/>
      <c r="J21" s="1697"/>
      <c r="K21" s="1931"/>
      <c r="L21" s="1911"/>
      <c r="M21" s="1912"/>
    </row>
    <row r="22" spans="1:18" s="1859" customFormat="1" ht="23.25">
      <c r="A22" s="1864"/>
      <c r="B22" s="1885" t="s">
        <v>566</v>
      </c>
      <c r="D22" s="1867"/>
      <c r="E22" s="1867"/>
      <c r="F22" s="1867"/>
      <c r="G22" s="1867"/>
      <c r="H22" s="1867"/>
      <c r="I22" s="1868"/>
      <c r="J22" s="1868"/>
      <c r="K22" s="1867"/>
      <c r="L22" s="1869"/>
      <c r="M22" s="1866"/>
    </row>
    <row r="23" spans="1:18" s="1859" customFormat="1" ht="20.25">
      <c r="A23" s="1864"/>
      <c r="B23" s="1860"/>
      <c r="C23" s="1881" t="s">
        <v>92</v>
      </c>
      <c r="D23" s="1867"/>
      <c r="E23" s="1867"/>
      <c r="F23" s="1867"/>
      <c r="G23" s="1867"/>
      <c r="H23" s="1867"/>
      <c r="I23" s="1867"/>
      <c r="J23" s="1867"/>
      <c r="K23" s="1867"/>
      <c r="L23" s="1869"/>
      <c r="M23" s="1866"/>
    </row>
    <row r="24" spans="1:18" s="1898" customFormat="1">
      <c r="A24" s="1893"/>
      <c r="B24" s="1878" t="s">
        <v>69</v>
      </c>
      <c r="C24" s="1894">
        <v>1430353</v>
      </c>
      <c r="D24" s="1895" t="s">
        <v>569</v>
      </c>
      <c r="E24" s="1895"/>
      <c r="F24" s="1895"/>
      <c r="G24" s="1895"/>
      <c r="H24" s="1895"/>
      <c r="I24" s="1895"/>
      <c r="J24" s="1895"/>
      <c r="K24" s="1895"/>
      <c r="L24" s="1896"/>
      <c r="M24" s="1897"/>
    </row>
    <row r="25" spans="1:18" s="1898" customFormat="1">
      <c r="A25" s="1893"/>
      <c r="B25" s="1878" t="s">
        <v>43</v>
      </c>
      <c r="C25" s="1894">
        <v>924082</v>
      </c>
      <c r="D25" s="1895" t="s">
        <v>669</v>
      </c>
      <c r="E25" s="1895"/>
      <c r="F25" s="1895"/>
      <c r="G25" s="1895"/>
      <c r="H25" s="1895"/>
      <c r="I25" s="1895"/>
      <c r="J25" s="1895"/>
      <c r="K25" s="1895"/>
      <c r="L25" s="1896"/>
      <c r="M25" s="1897"/>
    </row>
    <row r="26" spans="1:18" s="1898" customFormat="1">
      <c r="A26" s="1893"/>
      <c r="B26" s="1878" t="s">
        <v>49</v>
      </c>
      <c r="C26" s="1894">
        <v>622612</v>
      </c>
      <c r="D26" s="1895" t="s">
        <v>670</v>
      </c>
      <c r="E26" s="1895"/>
      <c r="F26" s="1895"/>
      <c r="G26" s="1895"/>
      <c r="H26" s="1895"/>
      <c r="I26" s="1895"/>
      <c r="J26" s="1895"/>
      <c r="K26" s="1895"/>
      <c r="L26" s="1896"/>
      <c r="M26" s="1897"/>
    </row>
    <row r="27" spans="1:18" s="1898" customFormat="1">
      <c r="A27" s="1893"/>
      <c r="B27" s="1878" t="s">
        <v>67</v>
      </c>
      <c r="C27" s="1894">
        <v>51438</v>
      </c>
      <c r="D27" s="1895" t="s">
        <v>568</v>
      </c>
      <c r="E27" s="1895"/>
      <c r="F27" s="1895"/>
      <c r="G27" s="1895"/>
      <c r="H27" s="1895"/>
      <c r="I27" s="1895"/>
      <c r="J27" s="1895"/>
      <c r="K27" s="1895"/>
      <c r="L27" s="1896"/>
      <c r="M27" s="1897"/>
    </row>
    <row r="28" spans="1:18" s="1898" customFormat="1">
      <c r="A28" s="1893"/>
      <c r="B28" s="1878" t="s">
        <v>44</v>
      </c>
      <c r="C28" s="1894">
        <v>98834.560000000012</v>
      </c>
      <c r="D28" s="1895"/>
      <c r="E28" s="1895"/>
      <c r="F28" s="1895"/>
      <c r="G28" s="1895"/>
      <c r="H28" s="1895"/>
      <c r="I28" s="1895"/>
      <c r="J28" s="1895"/>
      <c r="K28" s="1895"/>
      <c r="L28" s="1896"/>
      <c r="M28" s="1897"/>
    </row>
    <row r="29" spans="1:18" s="1898" customFormat="1">
      <c r="A29" s="1893"/>
      <c r="B29" s="1878" t="s">
        <v>45</v>
      </c>
      <c r="C29" s="1894">
        <v>34485.440000000002</v>
      </c>
      <c r="D29" s="1895"/>
      <c r="E29" s="1895"/>
      <c r="F29" s="1895"/>
      <c r="G29" s="1895"/>
      <c r="H29" s="1895"/>
      <c r="I29" s="1895"/>
      <c r="J29" s="1895"/>
      <c r="K29" s="1895"/>
      <c r="L29" s="1896"/>
      <c r="M29" s="1897"/>
    </row>
    <row r="30" spans="1:18" s="1898" customFormat="1">
      <c r="A30" s="1893"/>
      <c r="B30" s="1878" t="s">
        <v>50</v>
      </c>
      <c r="C30" s="1894">
        <v>594402.64537961897</v>
      </c>
      <c r="D30" s="1895"/>
      <c r="E30" s="1895"/>
      <c r="F30" s="1895"/>
      <c r="G30" s="1895"/>
      <c r="H30" s="1895"/>
      <c r="I30" s="1895"/>
      <c r="J30" s="1895"/>
      <c r="K30" s="1895"/>
      <c r="L30" s="1896"/>
      <c r="M30" s="1897"/>
    </row>
    <row r="31" spans="1:18" s="1898" customFormat="1">
      <c r="A31" s="1893"/>
      <c r="B31" s="1878" t="s">
        <v>51</v>
      </c>
      <c r="C31" s="1894">
        <v>111786.58468424212</v>
      </c>
      <c r="D31" s="1895"/>
      <c r="E31" s="1895"/>
      <c r="F31" s="1895"/>
      <c r="G31" s="1895"/>
      <c r="H31" s="1895"/>
      <c r="I31" s="1895"/>
      <c r="J31" s="1895"/>
      <c r="K31" s="1895"/>
      <c r="L31" s="1896"/>
      <c r="M31" s="1897"/>
    </row>
    <row r="32" spans="1:18" s="1898" customFormat="1">
      <c r="A32" s="1893"/>
      <c r="B32" s="1878" t="s">
        <v>567</v>
      </c>
      <c r="C32" s="1894">
        <v>21347</v>
      </c>
      <c r="D32" s="1895"/>
      <c r="E32" s="1895"/>
      <c r="F32" s="1895"/>
      <c r="G32" s="1895"/>
      <c r="H32" s="1895"/>
      <c r="I32" s="1895"/>
      <c r="J32" s="1895"/>
      <c r="K32" s="1895"/>
      <c r="L32" s="1896"/>
      <c r="M32" s="1897"/>
    </row>
    <row r="33" spans="1:13" s="1898" customFormat="1">
      <c r="A33" s="1893"/>
      <c r="B33" s="1878" t="s">
        <v>77</v>
      </c>
      <c r="C33" s="1894">
        <v>92498.096479791391</v>
      </c>
      <c r="D33" s="1895"/>
      <c r="E33" s="1895"/>
      <c r="I33" s="1895"/>
      <c r="J33" s="1895"/>
      <c r="K33" s="1895"/>
      <c r="L33" s="1896"/>
      <c r="M33" s="1897"/>
    </row>
    <row r="34" spans="1:13" s="1898" customFormat="1">
      <c r="A34" s="1893"/>
      <c r="B34" s="1878" t="s">
        <v>46</v>
      </c>
      <c r="C34" s="1894">
        <v>253610</v>
      </c>
      <c r="D34" s="1895"/>
      <c r="E34" s="1895"/>
      <c r="F34" s="1895"/>
      <c r="G34" s="1895"/>
      <c r="H34" s="1895"/>
      <c r="I34" s="1895"/>
      <c r="J34" s="1895"/>
      <c r="K34" s="1895"/>
      <c r="L34" s="1896"/>
      <c r="M34" s="1897"/>
    </row>
    <row r="35" spans="1:13" s="1859" customFormat="1" ht="20.25">
      <c r="A35" s="1864"/>
      <c r="B35" s="1870"/>
      <c r="C35" s="1867"/>
      <c r="D35" s="1867"/>
      <c r="E35" s="1867"/>
      <c r="F35" s="1867"/>
      <c r="G35" s="1867"/>
      <c r="H35" s="1867"/>
      <c r="I35" s="1867"/>
      <c r="J35" s="1867"/>
      <c r="K35" s="1867"/>
      <c r="L35" s="1869"/>
      <c r="M35" s="1866"/>
    </row>
    <row r="36" spans="1:13" s="1859" customFormat="1">
      <c r="A36" s="1864"/>
      <c r="B36" s="1867"/>
      <c r="C36" s="1867"/>
      <c r="D36" s="1867"/>
      <c r="E36" s="1867"/>
      <c r="F36" s="1867"/>
      <c r="G36" s="1867"/>
      <c r="H36" s="1867"/>
      <c r="I36" s="1867"/>
      <c r="J36" s="1867"/>
      <c r="K36" s="1867"/>
      <c r="L36" s="1869"/>
      <c r="M36" s="1866"/>
    </row>
    <row r="37" spans="1:13" s="1859" customFormat="1">
      <c r="A37" s="1864"/>
      <c r="B37" s="1867"/>
      <c r="C37" s="1867"/>
      <c r="D37" s="1867"/>
      <c r="E37" s="1867"/>
      <c r="F37" s="1867"/>
      <c r="G37" s="1867"/>
      <c r="H37" s="1867"/>
      <c r="I37" s="1867"/>
      <c r="J37" s="1867"/>
      <c r="K37" s="1867"/>
      <c r="L37" s="1869"/>
      <c r="M37" s="1866"/>
    </row>
    <row r="38" spans="1:13" s="1859" customFormat="1">
      <c r="A38" s="1864"/>
      <c r="B38" s="1867"/>
      <c r="C38" s="1867"/>
      <c r="D38" s="1867"/>
      <c r="E38" s="1867"/>
      <c r="F38" s="1867"/>
      <c r="G38" s="1867"/>
      <c r="H38" s="1867"/>
      <c r="I38" s="1867"/>
      <c r="J38" s="1867"/>
      <c r="K38" s="1867"/>
      <c r="L38" s="1869"/>
      <c r="M38" s="1866"/>
    </row>
    <row r="39" spans="1:13" s="1859" customFormat="1" ht="20.25">
      <c r="A39" s="1864"/>
      <c r="B39" s="1870"/>
      <c r="C39" s="1867"/>
      <c r="D39" s="1867"/>
      <c r="E39" s="1867"/>
      <c r="F39" s="1867"/>
      <c r="G39" s="1867"/>
      <c r="H39" s="1867"/>
      <c r="I39" s="1867"/>
      <c r="J39" s="1867"/>
      <c r="K39" s="1867"/>
      <c r="L39" s="1869"/>
      <c r="M39" s="1866"/>
    </row>
    <row r="40" spans="1:13" s="1859" customFormat="1">
      <c r="C40" s="1871"/>
      <c r="D40" s="1871"/>
      <c r="E40" s="1871"/>
      <c r="F40" s="1867"/>
      <c r="G40" s="1867"/>
      <c r="H40" s="1867"/>
      <c r="I40" s="1871"/>
      <c r="J40" s="1871"/>
      <c r="K40" s="1871"/>
      <c r="L40" s="1872"/>
      <c r="M40" s="1873"/>
    </row>
    <row r="41" spans="1:13">
      <c r="A41" s="2012" t="str">
        <f>HYPERLINK("[.\]Menu!A1", "To Menu")</f>
        <v>To Menu</v>
      </c>
      <c r="B41" s="1892"/>
      <c r="C41" s="1892"/>
      <c r="D41" s="1892"/>
      <c r="E41" s="1892"/>
      <c r="F41" s="1892"/>
      <c r="G41" s="1892"/>
      <c r="H41" s="1892"/>
      <c r="I41" s="1892"/>
      <c r="J41" s="1892"/>
      <c r="K41" s="1892"/>
      <c r="L41" s="1892"/>
      <c r="M41" s="1866"/>
    </row>
    <row r="42" spans="1:13" s="1859" customFormat="1" ht="36" customHeight="1">
      <c r="B42" s="1885" t="s">
        <v>570</v>
      </c>
      <c r="C42" s="2057">
        <v>1200000</v>
      </c>
      <c r="D42" s="2058"/>
      <c r="E42" s="2263" t="s">
        <v>603</v>
      </c>
      <c r="F42" s="2263"/>
      <c r="G42" s="2263"/>
      <c r="H42" s="2263"/>
      <c r="I42" s="2263"/>
      <c r="J42" s="2263"/>
      <c r="K42" s="1871"/>
      <c r="L42" s="1872"/>
      <c r="M42" s="1873"/>
    </row>
    <row r="43" spans="1:13" s="1859" customFormat="1">
      <c r="C43" s="1871"/>
      <c r="D43" s="1871"/>
      <c r="E43" s="2263"/>
      <c r="F43" s="2263"/>
      <c r="G43" s="2263"/>
      <c r="H43" s="2263"/>
      <c r="I43" s="2263"/>
      <c r="J43" s="2263"/>
      <c r="K43" s="1871"/>
      <c r="L43" s="1872"/>
      <c r="M43" s="1873"/>
    </row>
    <row r="44" spans="1:13" s="1859" customFormat="1">
      <c r="C44" s="1871"/>
      <c r="D44" s="1871"/>
      <c r="E44" s="2263"/>
      <c r="F44" s="2263"/>
      <c r="G44" s="2263"/>
      <c r="H44" s="2263"/>
      <c r="I44" s="2263"/>
      <c r="J44" s="2263"/>
      <c r="K44" s="1871"/>
      <c r="L44" s="1872"/>
      <c r="M44" s="1873"/>
    </row>
    <row r="45" spans="1:13" s="1859" customFormat="1" ht="23.45" customHeight="1">
      <c r="C45" s="1871"/>
      <c r="D45" s="1871"/>
      <c r="E45" s="2263"/>
      <c r="F45" s="2263"/>
      <c r="G45" s="2263"/>
      <c r="H45" s="2263"/>
      <c r="I45" s="2263"/>
      <c r="J45" s="2263"/>
      <c r="K45" s="1871"/>
      <c r="L45" s="1872"/>
      <c r="M45" s="1873"/>
    </row>
    <row r="46" spans="1:13">
      <c r="A46" s="2012" t="str">
        <f>HYPERLINK("[.\]Menu!A1", "To Menu")</f>
        <v>To Menu</v>
      </c>
      <c r="B46" s="1892"/>
      <c r="C46" s="1892"/>
      <c r="D46" s="1892"/>
      <c r="E46" s="1892"/>
      <c r="F46" s="1892"/>
      <c r="G46" s="1892"/>
      <c r="H46" s="1892"/>
      <c r="I46" s="1892"/>
      <c r="J46" s="1892"/>
      <c r="K46" s="1892"/>
      <c r="L46" s="1892"/>
      <c r="M46" s="1866"/>
    </row>
    <row r="47" spans="1:13" s="1859" customFormat="1" ht="20.25">
      <c r="B47" s="1885" t="s">
        <v>571</v>
      </c>
      <c r="C47" s="1871"/>
      <c r="D47" s="1871"/>
      <c r="E47" s="1871"/>
      <c r="F47" s="1871"/>
      <c r="G47" s="1871"/>
      <c r="H47" s="1874"/>
      <c r="I47" s="1871"/>
      <c r="J47" s="1871"/>
      <c r="K47" s="1871"/>
      <c r="L47" s="1872"/>
      <c r="M47" s="1873"/>
    </row>
    <row r="48" spans="1:13" s="1859" customFormat="1">
      <c r="A48" s="1871"/>
      <c r="B48" s="1874"/>
      <c r="C48" s="1874"/>
      <c r="D48" s="1871"/>
      <c r="E48" s="1871"/>
      <c r="F48" s="1871"/>
      <c r="G48" s="1871"/>
      <c r="H48" s="1874"/>
      <c r="I48" s="1871"/>
      <c r="J48" s="1871"/>
      <c r="K48" s="1871"/>
      <c r="L48" s="1872"/>
      <c r="M48" s="1873"/>
    </row>
    <row r="49" spans="2:17" s="1859" customFormat="1">
      <c r="C49" s="1871"/>
      <c r="D49" s="1871"/>
      <c r="E49" s="1871"/>
      <c r="F49" s="1871"/>
      <c r="G49" s="1871"/>
      <c r="H49" s="1874"/>
      <c r="I49" s="1871"/>
      <c r="J49" s="1871"/>
      <c r="K49" s="1871"/>
      <c r="L49" s="1872"/>
      <c r="M49" s="1873"/>
    </row>
    <row r="50" spans="2:17" s="1859" customFormat="1" ht="15.75">
      <c r="B50" s="1886" t="s">
        <v>596</v>
      </c>
      <c r="C50" s="1871"/>
      <c r="D50" s="1871"/>
      <c r="E50" s="1871"/>
      <c r="F50" s="1871"/>
      <c r="G50" s="1871"/>
      <c r="H50" s="1874"/>
      <c r="I50" s="1871"/>
      <c r="J50" s="1871"/>
      <c r="K50" s="1871"/>
      <c r="L50" s="1858" t="s">
        <v>598</v>
      </c>
      <c r="M50" s="1873"/>
    </row>
    <row r="51" spans="2:17" s="1859" customFormat="1">
      <c r="C51" s="1871"/>
      <c r="D51" s="1871"/>
      <c r="E51" s="1871"/>
      <c r="F51" s="1871"/>
      <c r="G51" s="1871"/>
      <c r="H51" s="1874"/>
      <c r="I51" s="1871"/>
      <c r="J51" s="1871"/>
      <c r="K51" s="1871"/>
      <c r="L51" s="1872"/>
      <c r="M51" s="1873"/>
    </row>
    <row r="52" spans="2:17" s="1859" customFormat="1">
      <c r="C52" s="1882" t="s">
        <v>78</v>
      </c>
      <c r="D52" s="1882" t="s">
        <v>79</v>
      </c>
      <c r="E52" s="1882" t="s">
        <v>80</v>
      </c>
      <c r="F52" s="1882" t="s">
        <v>81</v>
      </c>
      <c r="G52" s="1882" t="s">
        <v>82</v>
      </c>
      <c r="H52" s="1900" t="s">
        <v>574</v>
      </c>
      <c r="I52" s="1871"/>
      <c r="J52" s="1871"/>
      <c r="K52" s="1871"/>
      <c r="L52" s="1877" t="s">
        <v>562</v>
      </c>
      <c r="M52" s="1899" t="s">
        <v>78</v>
      </c>
      <c r="N52" s="1899" t="s">
        <v>79</v>
      </c>
      <c r="O52" s="1899" t="s">
        <v>80</v>
      </c>
      <c r="P52" s="1899" t="s">
        <v>81</v>
      </c>
      <c r="Q52" s="1899" t="s">
        <v>82</v>
      </c>
    </row>
    <row r="53" spans="2:17" s="1859" customFormat="1">
      <c r="B53" s="1878" t="s">
        <v>69</v>
      </c>
      <c r="C53" s="1901">
        <v>1.927713387970198E-2</v>
      </c>
      <c r="D53" s="1901">
        <v>1.9135717852605039E-2</v>
      </c>
      <c r="E53" s="1901">
        <v>2.0476515532544148E-2</v>
      </c>
      <c r="F53" s="1901">
        <v>2.0315543676747039E-2</v>
      </c>
      <c r="G53" s="1901">
        <v>1.9505206719000689E-2</v>
      </c>
      <c r="H53" s="1902" t="s">
        <v>573</v>
      </c>
      <c r="I53" s="1871"/>
      <c r="J53" s="2264" t="s">
        <v>69</v>
      </c>
      <c r="K53" s="2265"/>
      <c r="L53" s="1903">
        <f t="shared" ref="L53:L63" si="3">C24</f>
        <v>1430353</v>
      </c>
      <c r="M53" s="1903">
        <f t="shared" ref="M53:M63" si="4">L53*(1+C53)</f>
        <v>1457926.1062762334</v>
      </c>
      <c r="N53" s="1903">
        <f t="shared" ref="N53:N63" si="5">M53*(1+D53)</f>
        <v>1485824.5688958825</v>
      </c>
      <c r="O53" s="1903">
        <f t="shared" ref="O53:O63" si="6">N53*(1+E53)</f>
        <v>1516249.0787595147</v>
      </c>
      <c r="P53" s="1903">
        <f t="shared" ref="P53:P63" si="7">O53*(1+F53)</f>
        <v>1547052.5031438812</v>
      </c>
      <c r="Q53" s="1903">
        <f t="shared" ref="Q53:Q63" si="8">P53*(1+G53)</f>
        <v>1577228.0820228502</v>
      </c>
    </row>
    <row r="54" spans="2:17" s="1859" customFormat="1">
      <c r="B54" s="1878" t="s">
        <v>43</v>
      </c>
      <c r="C54" s="1901">
        <v>2.2082545518210095E-2</v>
      </c>
      <c r="D54" s="1901">
        <v>2.118873975113944E-2</v>
      </c>
      <c r="E54" s="1901">
        <v>2.2120024373266212E-2</v>
      </c>
      <c r="F54" s="1901">
        <v>2.2126009216867581E-2</v>
      </c>
      <c r="G54" s="1901">
        <v>2.1141701729033624E-2</v>
      </c>
      <c r="H54" s="1902" t="s">
        <v>66</v>
      </c>
      <c r="I54" s="1871"/>
      <c r="J54" s="2264" t="s">
        <v>43</v>
      </c>
      <c r="K54" s="2265"/>
      <c r="L54" s="1903">
        <f t="shared" si="3"/>
        <v>924082</v>
      </c>
      <c r="M54" s="1903">
        <f t="shared" si="4"/>
        <v>944488.08282755862</v>
      </c>
      <c r="N54" s="1903">
        <f t="shared" si="5"/>
        <v>964500.59501264442</v>
      </c>
      <c r="O54" s="1903">
        <f t="shared" si="6"/>
        <v>985835.3716823539</v>
      </c>
      <c r="P54" s="1903">
        <f t="shared" si="7"/>
        <v>1007647.9742025117</v>
      </c>
      <c r="Q54" s="1903">
        <f t="shared" si="8"/>
        <v>1028951.3671209662</v>
      </c>
    </row>
    <row r="55" spans="2:17" s="1859" customFormat="1">
      <c r="B55" s="1878" t="s">
        <v>49</v>
      </c>
      <c r="C55" s="1901">
        <v>2.2082545518210095E-2</v>
      </c>
      <c r="D55" s="1901">
        <v>2.118873975113944E-2</v>
      </c>
      <c r="E55" s="1901">
        <v>2.2120024373266212E-2</v>
      </c>
      <c r="F55" s="1901">
        <v>2.2126009216867581E-2</v>
      </c>
      <c r="G55" s="1901">
        <v>2.1141701729033624E-2</v>
      </c>
      <c r="H55" s="1902" t="s">
        <v>66</v>
      </c>
      <c r="I55" s="1871"/>
      <c r="J55" s="2264" t="s">
        <v>49</v>
      </c>
      <c r="K55" s="2265"/>
      <c r="L55" s="1903">
        <f t="shared" si="3"/>
        <v>622612</v>
      </c>
      <c r="M55" s="1903">
        <f t="shared" si="4"/>
        <v>636360.85783018381</v>
      </c>
      <c r="N55" s="1903">
        <f t="shared" si="5"/>
        <v>649844.54243455944</v>
      </c>
      <c r="O55" s="1903">
        <f t="shared" si="6"/>
        <v>664219.11955204594</v>
      </c>
      <c r="P55" s="1903">
        <f t="shared" si="7"/>
        <v>678915.63791327423</v>
      </c>
      <c r="Q55" s="1903">
        <f t="shared" si="8"/>
        <v>693269.06982921332</v>
      </c>
    </row>
    <row r="56" spans="2:17" s="1859" customFormat="1">
      <c r="B56" s="1878" t="s">
        <v>67</v>
      </c>
      <c r="C56" s="1901">
        <v>2.2082545518210095E-2</v>
      </c>
      <c r="D56" s="1901">
        <v>2.118873975113944E-2</v>
      </c>
      <c r="E56" s="1901">
        <v>2.2120024373266212E-2</v>
      </c>
      <c r="F56" s="1901">
        <v>2.2126009216867581E-2</v>
      </c>
      <c r="G56" s="1901">
        <v>2.1141701729033624E-2</v>
      </c>
      <c r="H56" s="1902" t="s">
        <v>66</v>
      </c>
      <c r="I56" s="1871"/>
      <c r="J56" s="2264" t="s">
        <v>67</v>
      </c>
      <c r="K56" s="2265"/>
      <c r="L56" s="1903">
        <f t="shared" si="3"/>
        <v>51438</v>
      </c>
      <c r="M56" s="1903">
        <f t="shared" si="4"/>
        <v>52573.881976365694</v>
      </c>
      <c r="N56" s="1903">
        <f t="shared" si="5"/>
        <v>53687.856279270025</v>
      </c>
      <c r="O56" s="1903">
        <f t="shared" si="6"/>
        <v>54875.43296871589</v>
      </c>
      <c r="P56" s="1903">
        <f t="shared" si="7"/>
        <v>56089.6073043613</v>
      </c>
      <c r="Q56" s="1903">
        <f t="shared" si="8"/>
        <v>57275.437052088731</v>
      </c>
    </row>
    <row r="57" spans="2:17" s="1859" customFormat="1">
      <c r="B57" s="1878" t="s">
        <v>44</v>
      </c>
      <c r="C57" s="1901">
        <v>2.2082545518210095E-2</v>
      </c>
      <c r="D57" s="1901">
        <v>2.118873975113944E-2</v>
      </c>
      <c r="E57" s="1901">
        <v>2.2120024373266212E-2</v>
      </c>
      <c r="F57" s="1901">
        <v>2.2126009216867581E-2</v>
      </c>
      <c r="G57" s="1901">
        <v>2.1141701729033624E-2</v>
      </c>
      <c r="H57" s="1902" t="s">
        <v>66</v>
      </c>
      <c r="I57" s="1871"/>
      <c r="J57" s="2264" t="s">
        <v>44</v>
      </c>
      <c r="K57" s="2265"/>
      <c r="L57" s="1903">
        <f t="shared" si="3"/>
        <v>98834.560000000012</v>
      </c>
      <c r="M57" s="1903">
        <f t="shared" si="4"/>
        <v>101017.07866997228</v>
      </c>
      <c r="N57" s="1903">
        <f t="shared" si="5"/>
        <v>103157.5032603307</v>
      </c>
      <c r="O57" s="1903">
        <f t="shared" si="6"/>
        <v>105439.34974673452</v>
      </c>
      <c r="P57" s="1903">
        <f t="shared" si="7"/>
        <v>107772.30177105129</v>
      </c>
      <c r="Q57" s="1903">
        <f t="shared" si="8"/>
        <v>110050.79162974627</v>
      </c>
    </row>
    <row r="58" spans="2:17" s="1859" customFormat="1">
      <c r="B58" s="1878" t="s">
        <v>45</v>
      </c>
      <c r="C58" s="1901">
        <v>2.2082545518210095E-2</v>
      </c>
      <c r="D58" s="1901">
        <v>2.118873975113944E-2</v>
      </c>
      <c r="E58" s="1901">
        <v>2.2120024373266212E-2</v>
      </c>
      <c r="F58" s="1901">
        <v>2.2126009216867581E-2</v>
      </c>
      <c r="G58" s="1901">
        <v>2.1141701729033624E-2</v>
      </c>
      <c r="H58" s="1902" t="s">
        <v>66</v>
      </c>
      <c r="I58" s="1871"/>
      <c r="J58" s="2264" t="s">
        <v>45</v>
      </c>
      <c r="K58" s="2265"/>
      <c r="L58" s="1903">
        <f t="shared" si="3"/>
        <v>34485.440000000002</v>
      </c>
      <c r="M58" s="1903">
        <f t="shared" si="4"/>
        <v>35246.966298515508</v>
      </c>
      <c r="N58" s="1903">
        <f t="shared" si="5"/>
        <v>35993.805094431933</v>
      </c>
      <c r="O58" s="1903">
        <f t="shared" si="6"/>
        <v>36789.988940407362</v>
      </c>
      <c r="P58" s="1903">
        <f t="shared" si="7"/>
        <v>37604.004574791274</v>
      </c>
      <c r="Q58" s="1903">
        <f t="shared" si="8"/>
        <v>38399.017223328723</v>
      </c>
    </row>
    <row r="59" spans="2:17" s="1859" customFormat="1">
      <c r="B59" s="1878" t="s">
        <v>50</v>
      </c>
      <c r="C59" s="1901">
        <v>2.2082545518210095E-2</v>
      </c>
      <c r="D59" s="1901">
        <v>2.118873975113944E-2</v>
      </c>
      <c r="E59" s="1901">
        <v>2.2120024373266212E-2</v>
      </c>
      <c r="F59" s="1901">
        <v>2.2126009216867581E-2</v>
      </c>
      <c r="G59" s="1901">
        <v>2.1141701729033624E-2</v>
      </c>
      <c r="H59" s="1902" t="s">
        <v>66</v>
      </c>
      <c r="I59" s="1871"/>
      <c r="J59" s="2264" t="s">
        <v>50</v>
      </c>
      <c r="K59" s="2265"/>
      <c r="L59" s="1903">
        <f t="shared" si="3"/>
        <v>594402.64537961897</v>
      </c>
      <c r="M59" s="1903">
        <f t="shared" si="4"/>
        <v>607528.56885235885</v>
      </c>
      <c r="N59" s="1903">
        <f t="shared" si="5"/>
        <v>620401.33358915371</v>
      </c>
      <c r="O59" s="1903">
        <f t="shared" si="6"/>
        <v>634124.62620935263</v>
      </c>
      <c r="P59" s="1903">
        <f t="shared" si="7"/>
        <v>648155.27353350352</v>
      </c>
      <c r="Q59" s="1903">
        <f t="shared" si="8"/>
        <v>661858.37900064909</v>
      </c>
    </row>
    <row r="60" spans="2:17" s="1859" customFormat="1">
      <c r="B60" s="1878" t="s">
        <v>51</v>
      </c>
      <c r="C60" s="1901">
        <v>2.2082545518210095E-2</v>
      </c>
      <c r="D60" s="1901">
        <v>2.118873975113944E-2</v>
      </c>
      <c r="E60" s="1901">
        <v>2.2120024373266212E-2</v>
      </c>
      <c r="F60" s="1901">
        <v>2.2126009216867581E-2</v>
      </c>
      <c r="G60" s="1901">
        <v>2.1141701729033624E-2</v>
      </c>
      <c r="H60" s="1902" t="s">
        <v>66</v>
      </c>
      <c r="I60" s="1871"/>
      <c r="J60" s="2264" t="s">
        <v>51</v>
      </c>
      <c r="K60" s="2265"/>
      <c r="L60" s="1903">
        <f t="shared" si="3"/>
        <v>111786.58468424212</v>
      </c>
      <c r="M60" s="1903">
        <f t="shared" si="4"/>
        <v>114255.11702885714</v>
      </c>
      <c r="N60" s="1903">
        <f t="shared" si="5"/>
        <v>116676.03896881758</v>
      </c>
      <c r="O60" s="1903">
        <f t="shared" si="6"/>
        <v>119256.91579458398</v>
      </c>
      <c r="P60" s="1903">
        <f t="shared" si="7"/>
        <v>121895.59541263015</v>
      </c>
      <c r="Q60" s="1903">
        <f t="shared" si="8"/>
        <v>124472.67573292693</v>
      </c>
    </row>
    <row r="61" spans="2:17" s="1859" customFormat="1">
      <c r="B61" s="1878" t="s">
        <v>567</v>
      </c>
      <c r="C61" s="1901">
        <v>2.2082545518210095E-2</v>
      </c>
      <c r="D61" s="1901">
        <v>2.118873975113944E-2</v>
      </c>
      <c r="E61" s="1901">
        <v>2.2120024373266212E-2</v>
      </c>
      <c r="F61" s="1901">
        <v>2.2126009216867581E-2</v>
      </c>
      <c r="G61" s="1901">
        <v>2.1141701729033624E-2</v>
      </c>
      <c r="H61" s="1902" t="s">
        <v>66</v>
      </c>
      <c r="I61" s="1871"/>
      <c r="J61" s="2264" t="s">
        <v>567</v>
      </c>
      <c r="K61" s="2265"/>
      <c r="L61" s="1903">
        <f t="shared" si="3"/>
        <v>21347</v>
      </c>
      <c r="M61" s="1903">
        <f t="shared" si="4"/>
        <v>21818.396099177229</v>
      </c>
      <c r="N61" s="1903">
        <f t="shared" si="5"/>
        <v>22280.700415909971</v>
      </c>
      <c r="O61" s="1903">
        <f t="shared" si="6"/>
        <v>22773.55005216334</v>
      </c>
      <c r="P61" s="1903">
        <f t="shared" si="7"/>
        <v>23277.437830518302</v>
      </c>
      <c r="Q61" s="1903">
        <f t="shared" si="8"/>
        <v>23769.562478147243</v>
      </c>
    </row>
    <row r="62" spans="2:17" s="1859" customFormat="1">
      <c r="B62" s="1878" t="s">
        <v>77</v>
      </c>
      <c r="C62" s="1901">
        <v>2.2082545518210095E-2</v>
      </c>
      <c r="D62" s="1901">
        <v>2.118873975113944E-2</v>
      </c>
      <c r="E62" s="1901">
        <v>2.2120024373266212E-2</v>
      </c>
      <c r="F62" s="1901">
        <v>2.2126009216867581E-2</v>
      </c>
      <c r="G62" s="1901">
        <v>2.1141701729033624E-2</v>
      </c>
      <c r="H62" s="1902" t="s">
        <v>66</v>
      </c>
      <c r="I62" s="1871"/>
      <c r="J62" s="2264" t="s">
        <v>77</v>
      </c>
      <c r="K62" s="2265"/>
      <c r="L62" s="1903">
        <f t="shared" si="3"/>
        <v>92498.096479791391</v>
      </c>
      <c r="M62" s="1903">
        <f t="shared" si="4"/>
        <v>94540.689905654173</v>
      </c>
      <c r="N62" s="1903">
        <f t="shared" si="5"/>
        <v>96543.88797995825</v>
      </c>
      <c r="O62" s="1903">
        <f t="shared" si="6"/>
        <v>98679.441135164816</v>
      </c>
      <c r="P62" s="1903">
        <f t="shared" si="7"/>
        <v>100862.82335923682</v>
      </c>
      <c r="Q62" s="1903">
        <f t="shared" si="8"/>
        <v>102995.23508624602</v>
      </c>
    </row>
    <row r="63" spans="2:17" s="1859" customFormat="1">
      <c r="B63" s="1878" t="s">
        <v>46</v>
      </c>
      <c r="C63" s="1901">
        <v>2.2082545518210095E-2</v>
      </c>
      <c r="D63" s="1901">
        <v>2.118873975113944E-2</v>
      </c>
      <c r="E63" s="1901">
        <v>2.2120024373266212E-2</v>
      </c>
      <c r="F63" s="1901">
        <v>2.2126009216867581E-2</v>
      </c>
      <c r="G63" s="1901">
        <v>2.1141701729033624E-2</v>
      </c>
      <c r="H63" s="1902" t="s">
        <v>66</v>
      </c>
      <c r="I63" s="1871"/>
      <c r="J63" s="2264" t="s">
        <v>46</v>
      </c>
      <c r="K63" s="2265"/>
      <c r="L63" s="1903">
        <f t="shared" si="3"/>
        <v>253610</v>
      </c>
      <c r="M63" s="1903">
        <f t="shared" si="4"/>
        <v>259210.35436887326</v>
      </c>
      <c r="N63" s="1903">
        <f t="shared" si="5"/>
        <v>264702.69510839594</v>
      </c>
      <c r="O63" s="1903">
        <f t="shared" si="6"/>
        <v>270557.92517586291</v>
      </c>
      <c r="P63" s="1903">
        <f t="shared" si="7"/>
        <v>276544.29232200061</v>
      </c>
      <c r="Q63" s="1903">
        <f t="shared" si="8"/>
        <v>282390.90926513902</v>
      </c>
    </row>
    <row r="64" spans="2:17" s="1859" customFormat="1" ht="21.95" customHeight="1">
      <c r="C64" s="1871"/>
      <c r="D64" s="1871"/>
      <c r="E64" s="1871"/>
      <c r="F64" s="1871"/>
      <c r="G64" s="1871"/>
      <c r="H64" s="1874"/>
      <c r="I64" s="1871"/>
      <c r="J64" s="1871"/>
      <c r="K64" s="1871"/>
      <c r="L64" s="1872"/>
      <c r="M64" s="1873"/>
    </row>
    <row r="65" spans="2:17" s="1859" customFormat="1" ht="21.95" customHeight="1"/>
    <row r="66" spans="2:17" s="1859" customFormat="1" ht="21.95" customHeight="1"/>
    <row r="67" spans="2:17" s="1859" customFormat="1" ht="21.95" customHeight="1">
      <c r="C67" s="1871"/>
      <c r="D67" s="1871"/>
      <c r="E67" s="1871"/>
      <c r="F67" s="1871"/>
      <c r="G67" s="1871"/>
      <c r="H67" s="1874"/>
      <c r="I67" s="1871"/>
      <c r="J67" s="1871"/>
      <c r="K67" s="1871"/>
      <c r="L67" s="1872"/>
      <c r="M67" s="1873"/>
    </row>
    <row r="68" spans="2:17" s="1859" customFormat="1" ht="69" customHeight="1">
      <c r="B68" s="2262" t="s">
        <v>1238</v>
      </c>
      <c r="C68" s="2262"/>
      <c r="D68" s="2262"/>
      <c r="E68" s="2262"/>
      <c r="F68" s="2262"/>
      <c r="G68" s="2262"/>
      <c r="H68" s="2262"/>
      <c r="I68" s="1871"/>
      <c r="J68" s="1871"/>
      <c r="K68" s="1871"/>
      <c r="L68" s="1872"/>
      <c r="M68" s="1873"/>
    </row>
    <row r="69" spans="2:17" s="1859" customFormat="1">
      <c r="C69" s="1871"/>
      <c r="D69" s="1871"/>
      <c r="E69" s="1871"/>
      <c r="F69" s="1871"/>
      <c r="G69" s="1871"/>
      <c r="H69" s="1874"/>
      <c r="I69" s="1871"/>
      <c r="J69" s="1871"/>
      <c r="K69" s="1871"/>
      <c r="L69" s="1872"/>
      <c r="M69" s="1873"/>
    </row>
    <row r="70" spans="2:17" s="1859" customFormat="1" ht="34.5">
      <c r="C70" s="1871"/>
      <c r="D70" s="1871"/>
      <c r="E70" s="1871"/>
      <c r="F70" s="1871"/>
      <c r="G70" s="1871"/>
      <c r="H70" s="1874"/>
      <c r="I70" s="1871"/>
      <c r="J70" s="1852"/>
      <c r="K70" s="1852"/>
    </row>
    <row r="71" spans="2:17" s="1859" customFormat="1" ht="20.25">
      <c r="B71" s="1904" t="s">
        <v>597</v>
      </c>
      <c r="C71" s="1079"/>
      <c r="D71" s="1079"/>
      <c r="E71" s="1079"/>
      <c r="F71" s="1079"/>
      <c r="G71" s="1079"/>
      <c r="H71" s="1874"/>
      <c r="I71" s="1871"/>
      <c r="J71" s="1860"/>
      <c r="K71" s="1860"/>
      <c r="L71" s="1881" t="s">
        <v>601</v>
      </c>
      <c r="M71" s="1882" t="s">
        <v>1111</v>
      </c>
      <c r="N71" s="1882" t="s">
        <v>87</v>
      </c>
      <c r="O71" s="1882" t="s">
        <v>88</v>
      </c>
      <c r="P71" s="1882" t="s">
        <v>89</v>
      </c>
      <c r="Q71" s="1882" t="s">
        <v>90</v>
      </c>
    </row>
    <row r="72" spans="2:17" s="1859" customFormat="1" ht="20.25">
      <c r="B72" s="1853"/>
      <c r="C72" s="1905" t="s">
        <v>86</v>
      </c>
      <c r="D72" s="1905" t="s">
        <v>87</v>
      </c>
      <c r="E72" s="1905" t="s">
        <v>88</v>
      </c>
      <c r="F72" s="1905" t="s">
        <v>89</v>
      </c>
      <c r="G72" s="1905" t="s">
        <v>90</v>
      </c>
      <c r="H72" s="1874"/>
      <c r="I72" s="2056"/>
      <c r="J72" s="2260" t="s">
        <v>69</v>
      </c>
      <c r="K72" s="2261"/>
      <c r="L72" s="489">
        <f>VLOOKUP(J72,$B$4:$C$20,2,FALSE)</f>
        <v>471.55482717174652</v>
      </c>
      <c r="M72" s="1072">
        <f>L72</f>
        <v>471.55482717174652</v>
      </c>
      <c r="N72" s="1072">
        <f t="shared" ref="N72:N88" si="9">L72*(1+D$73)</f>
        <v>482.40058819669667</v>
      </c>
      <c r="O72" s="1072">
        <f t="shared" ref="O72:O88" si="10">N72*(1+E$73)</f>
        <v>492.04859996063061</v>
      </c>
      <c r="P72" s="1072">
        <f t="shared" ref="P72:P88" si="11">O72*(1+F$73)</f>
        <v>501.88957195984324</v>
      </c>
      <c r="Q72" s="1072">
        <f t="shared" ref="Q72:Q88" si="12">P72*(1+G$73)</f>
        <v>516.44436954667867</v>
      </c>
    </row>
    <row r="73" spans="2:17" s="1859" customFormat="1" ht="15.75">
      <c r="B73" s="1907" t="s">
        <v>572</v>
      </c>
      <c r="C73" s="1906">
        <v>3.1E-2</v>
      </c>
      <c r="D73" s="1906">
        <v>2.3E-2</v>
      </c>
      <c r="E73" s="1906">
        <v>0.02</v>
      </c>
      <c r="F73" s="1906">
        <v>0.02</v>
      </c>
      <c r="G73" s="1906">
        <v>2.9000000000000001E-2</v>
      </c>
      <c r="H73" s="1874"/>
      <c r="I73" s="2056"/>
      <c r="J73" s="2260" t="s">
        <v>43</v>
      </c>
      <c r="K73" s="2261"/>
      <c r="L73" s="489">
        <f t="shared" ref="L73:L88" si="13">VLOOKUP(J73,$B$4:$C$20,2,FALSE)</f>
        <v>154.19493390737</v>
      </c>
      <c r="M73" s="1072">
        <f t="shared" ref="M73:M88" si="14">L73</f>
        <v>154.19493390737</v>
      </c>
      <c r="N73" s="1072">
        <f t="shared" si="9"/>
        <v>157.74141738723949</v>
      </c>
      <c r="O73" s="1072">
        <f t="shared" si="10"/>
        <v>160.89624573498429</v>
      </c>
      <c r="P73" s="1072">
        <f t="shared" si="11"/>
        <v>164.11417064968398</v>
      </c>
      <c r="Q73" s="1072">
        <f t="shared" si="12"/>
        <v>168.87348159852482</v>
      </c>
    </row>
    <row r="74" spans="2:17" s="1859" customFormat="1">
      <c r="C74" s="1871"/>
      <c r="D74" s="1871"/>
      <c r="E74" s="1871"/>
      <c r="F74" s="1871"/>
      <c r="G74" s="1871"/>
      <c r="H74" s="1874"/>
      <c r="I74" s="2056"/>
      <c r="J74" s="2260" t="s">
        <v>49</v>
      </c>
      <c r="K74" s="2261"/>
      <c r="L74" s="489">
        <f t="shared" si="13"/>
        <v>89.533100846051653</v>
      </c>
      <c r="M74" s="1072">
        <f t="shared" si="14"/>
        <v>89.533100846051653</v>
      </c>
      <c r="N74" s="1072">
        <f t="shared" si="9"/>
        <v>91.592362165510835</v>
      </c>
      <c r="O74" s="1072">
        <f t="shared" si="10"/>
        <v>93.424209408821056</v>
      </c>
      <c r="P74" s="1072">
        <f t="shared" si="11"/>
        <v>95.292693596997481</v>
      </c>
      <c r="Q74" s="1072">
        <f t="shared" si="12"/>
        <v>98.056181711310401</v>
      </c>
    </row>
    <row r="75" spans="2:17" s="1859" customFormat="1">
      <c r="B75" s="1900" t="s">
        <v>1112</v>
      </c>
      <c r="C75" s="1871"/>
      <c r="D75" s="1871"/>
      <c r="E75" s="1871"/>
      <c r="F75" s="1871"/>
      <c r="G75" s="1871"/>
      <c r="H75" s="1874"/>
      <c r="I75" s="2056"/>
      <c r="J75" s="2260" t="s">
        <v>67</v>
      </c>
      <c r="K75" s="2261"/>
      <c r="L75" s="489">
        <f t="shared" si="13"/>
        <v>57</v>
      </c>
      <c r="M75" s="1072">
        <f t="shared" si="14"/>
        <v>57</v>
      </c>
      <c r="N75" s="1072">
        <f t="shared" si="9"/>
        <v>58.310999999999993</v>
      </c>
      <c r="O75" s="1072">
        <f t="shared" si="10"/>
        <v>59.477219999999996</v>
      </c>
      <c r="P75" s="1072">
        <f t="shared" si="11"/>
        <v>60.666764399999998</v>
      </c>
      <c r="Q75" s="1072">
        <f t="shared" si="12"/>
        <v>62.426100567599995</v>
      </c>
    </row>
    <row r="76" spans="2:17" s="1859" customFormat="1">
      <c r="B76" s="1900" t="s">
        <v>599</v>
      </c>
      <c r="C76" s="1871"/>
      <c r="D76" s="1871"/>
      <c r="E76" s="1871"/>
      <c r="F76" s="1871"/>
      <c r="G76" s="1871"/>
      <c r="H76" s="1874"/>
      <c r="I76" s="2056"/>
      <c r="J76" s="2260" t="s">
        <v>44</v>
      </c>
      <c r="K76" s="2261"/>
      <c r="L76" s="489">
        <f t="shared" si="13"/>
        <v>68.3</v>
      </c>
      <c r="M76" s="1072">
        <f t="shared" si="14"/>
        <v>68.3</v>
      </c>
      <c r="N76" s="1072">
        <f t="shared" si="9"/>
        <v>69.870899999999992</v>
      </c>
      <c r="O76" s="1072">
        <f t="shared" si="10"/>
        <v>71.268317999999994</v>
      </c>
      <c r="P76" s="1072">
        <f t="shared" si="11"/>
        <v>72.693684359999992</v>
      </c>
      <c r="Q76" s="1072">
        <f t="shared" si="12"/>
        <v>74.80180120643999</v>
      </c>
    </row>
    <row r="77" spans="2:17" s="1859" customFormat="1">
      <c r="C77" s="1871"/>
      <c r="D77" s="1871"/>
      <c r="E77" s="1871"/>
      <c r="F77" s="1871"/>
      <c r="G77" s="1871"/>
      <c r="H77" s="1874"/>
      <c r="I77" s="2056"/>
      <c r="J77" s="2260" t="s">
        <v>45</v>
      </c>
      <c r="K77" s="2261"/>
      <c r="L77" s="489">
        <f t="shared" si="13"/>
        <v>150</v>
      </c>
      <c r="M77" s="1072">
        <f t="shared" si="14"/>
        <v>150</v>
      </c>
      <c r="N77" s="1072">
        <f t="shared" si="9"/>
        <v>153.44999999999999</v>
      </c>
      <c r="O77" s="1072">
        <f t="shared" si="10"/>
        <v>156.51899999999998</v>
      </c>
      <c r="P77" s="1072">
        <f t="shared" si="11"/>
        <v>159.64937999999998</v>
      </c>
      <c r="Q77" s="1072">
        <f t="shared" si="12"/>
        <v>164.27921201999996</v>
      </c>
    </row>
    <row r="78" spans="2:17" s="1859" customFormat="1">
      <c r="C78" s="1871"/>
      <c r="D78" s="1871"/>
      <c r="E78" s="1871"/>
      <c r="F78" s="1871"/>
      <c r="G78" s="1871"/>
      <c r="H78" s="1874"/>
      <c r="I78" s="2056"/>
      <c r="J78" s="2260" t="s">
        <v>50</v>
      </c>
      <c r="K78" s="2261"/>
      <c r="L78" s="489">
        <f t="shared" si="13"/>
        <v>7</v>
      </c>
      <c r="M78" s="1072">
        <f t="shared" si="14"/>
        <v>7</v>
      </c>
      <c r="N78" s="1072">
        <f t="shared" si="9"/>
        <v>7.1609999999999996</v>
      </c>
      <c r="O78" s="1072">
        <f t="shared" si="10"/>
        <v>7.3042199999999999</v>
      </c>
      <c r="P78" s="1072">
        <f t="shared" si="11"/>
        <v>7.4503044000000003</v>
      </c>
      <c r="Q78" s="1072">
        <f t="shared" si="12"/>
        <v>7.6663632275999998</v>
      </c>
    </row>
    <row r="79" spans="2:17" s="1859" customFormat="1">
      <c r="C79" s="1871"/>
      <c r="D79" s="1871"/>
      <c r="E79" s="1871"/>
      <c r="F79" s="1871"/>
      <c r="G79" s="1871"/>
      <c r="H79" s="1871"/>
      <c r="I79" s="2056"/>
      <c r="J79" s="2260" t="s">
        <v>51</v>
      </c>
      <c r="K79" s="2261"/>
      <c r="L79" s="489">
        <f t="shared" si="13"/>
        <v>20</v>
      </c>
      <c r="M79" s="1072">
        <f t="shared" si="14"/>
        <v>20</v>
      </c>
      <c r="N79" s="1072">
        <f t="shared" si="9"/>
        <v>20.459999999999997</v>
      </c>
      <c r="O79" s="1072">
        <f t="shared" si="10"/>
        <v>20.869199999999999</v>
      </c>
      <c r="P79" s="1072">
        <f t="shared" si="11"/>
        <v>21.286584000000001</v>
      </c>
      <c r="Q79" s="1072">
        <f t="shared" si="12"/>
        <v>21.903894936</v>
      </c>
    </row>
    <row r="80" spans="2:17" s="1859" customFormat="1">
      <c r="C80" s="1871"/>
      <c r="D80" s="1871"/>
      <c r="E80" s="1871"/>
      <c r="F80" s="1871"/>
      <c r="G80" s="1871"/>
      <c r="H80" s="1871"/>
      <c r="I80" s="2056"/>
      <c r="J80" s="2260" t="s">
        <v>41</v>
      </c>
      <c r="K80" s="2261"/>
      <c r="L80" s="489">
        <f t="shared" si="13"/>
        <v>14</v>
      </c>
      <c r="M80" s="1072">
        <f t="shared" si="14"/>
        <v>14</v>
      </c>
      <c r="N80" s="1072">
        <f t="shared" si="9"/>
        <v>14.321999999999999</v>
      </c>
      <c r="O80" s="1072">
        <f t="shared" si="10"/>
        <v>14.60844</v>
      </c>
      <c r="P80" s="1072">
        <f t="shared" si="11"/>
        <v>14.900608800000001</v>
      </c>
      <c r="Q80" s="1072">
        <f t="shared" si="12"/>
        <v>15.3327264552</v>
      </c>
    </row>
    <row r="81" spans="9:17" s="1859" customFormat="1">
      <c r="I81" s="2056"/>
      <c r="J81" s="2260" t="s">
        <v>77</v>
      </c>
      <c r="K81" s="2261"/>
      <c r="L81" s="489">
        <f t="shared" si="13"/>
        <v>179.83161675760465</v>
      </c>
      <c r="M81" s="1072">
        <f t="shared" si="14"/>
        <v>179.83161675760465</v>
      </c>
      <c r="N81" s="1072">
        <f t="shared" si="9"/>
        <v>183.96774394302955</v>
      </c>
      <c r="O81" s="1072">
        <f t="shared" si="10"/>
        <v>187.64709882189015</v>
      </c>
      <c r="P81" s="1072">
        <f t="shared" si="11"/>
        <v>191.40004079832795</v>
      </c>
      <c r="Q81" s="1072">
        <f t="shared" si="12"/>
        <v>196.95064198147944</v>
      </c>
    </row>
    <row r="82" spans="9:17" s="1859" customFormat="1">
      <c r="I82" s="2056"/>
      <c r="J82" s="2260" t="s">
        <v>46</v>
      </c>
      <c r="K82" s="2261"/>
      <c r="L82" s="489">
        <f t="shared" si="13"/>
        <v>233.02000068717058</v>
      </c>
      <c r="M82" s="1072">
        <f t="shared" si="14"/>
        <v>233.02000068717058</v>
      </c>
      <c r="N82" s="1072">
        <f t="shared" si="9"/>
        <v>238.37946070297548</v>
      </c>
      <c r="O82" s="1072">
        <f t="shared" si="10"/>
        <v>243.14704991703499</v>
      </c>
      <c r="P82" s="1072">
        <f t="shared" si="11"/>
        <v>248.00999091537568</v>
      </c>
      <c r="Q82" s="1072">
        <f t="shared" si="12"/>
        <v>255.20228065192154</v>
      </c>
    </row>
    <row r="83" spans="9:17" s="1859" customFormat="1">
      <c r="I83" s="2056"/>
      <c r="J83" s="2260" t="s">
        <v>30</v>
      </c>
      <c r="K83" s="2261"/>
      <c r="L83" s="489">
        <f t="shared" si="13"/>
        <v>37.264451156891667</v>
      </c>
      <c r="M83" s="1072">
        <f t="shared" si="14"/>
        <v>37.264451156891667</v>
      </c>
      <c r="N83" s="1072">
        <f t="shared" si="9"/>
        <v>38.12153353350017</v>
      </c>
      <c r="O83" s="1072">
        <f t="shared" si="10"/>
        <v>38.883964204170177</v>
      </c>
      <c r="P83" s="1072">
        <f t="shared" si="11"/>
        <v>39.661643488253581</v>
      </c>
      <c r="Q83" s="1072">
        <f t="shared" si="12"/>
        <v>40.811831149412932</v>
      </c>
    </row>
    <row r="84" spans="9:17" s="1859" customFormat="1">
      <c r="I84" s="2056"/>
      <c r="J84" s="2260" t="s">
        <v>48</v>
      </c>
      <c r="K84" s="2261"/>
      <c r="L84" s="489">
        <f t="shared" si="13"/>
        <v>282.26243393069001</v>
      </c>
      <c r="M84" s="1072">
        <f t="shared" si="14"/>
        <v>282.26243393069001</v>
      </c>
      <c r="N84" s="1072">
        <f t="shared" si="9"/>
        <v>288.75446991109584</v>
      </c>
      <c r="O84" s="1072">
        <f t="shared" si="10"/>
        <v>294.52955930931773</v>
      </c>
      <c r="P84" s="1072">
        <f t="shared" si="11"/>
        <v>300.42015049550412</v>
      </c>
      <c r="Q84" s="1072">
        <f t="shared" si="12"/>
        <v>309.13233485987371</v>
      </c>
    </row>
    <row r="85" spans="9:17" s="1859" customFormat="1">
      <c r="I85" s="2056"/>
      <c r="J85" s="2260" t="s">
        <v>225</v>
      </c>
      <c r="K85" s="2261"/>
      <c r="L85" s="489">
        <f t="shared" si="13"/>
        <v>24</v>
      </c>
      <c r="M85" s="1072">
        <f t="shared" si="14"/>
        <v>24</v>
      </c>
      <c r="N85" s="1072">
        <f t="shared" si="9"/>
        <v>24.552</v>
      </c>
      <c r="O85" s="1072">
        <f t="shared" si="10"/>
        <v>25.043040000000001</v>
      </c>
      <c r="P85" s="1072">
        <f t="shared" si="11"/>
        <v>25.543900800000003</v>
      </c>
      <c r="Q85" s="1072">
        <f t="shared" si="12"/>
        <v>26.2846739232</v>
      </c>
    </row>
    <row r="86" spans="9:17" s="1859" customFormat="1">
      <c r="I86" s="2056"/>
      <c r="J86" s="2260" t="s">
        <v>32</v>
      </c>
      <c r="K86" s="2261"/>
      <c r="L86" s="489">
        <f t="shared" si="13"/>
        <v>37</v>
      </c>
      <c r="M86" s="1072">
        <f t="shared" si="14"/>
        <v>37</v>
      </c>
      <c r="N86" s="1072">
        <f t="shared" si="9"/>
        <v>37.850999999999999</v>
      </c>
      <c r="O86" s="1072">
        <f t="shared" si="10"/>
        <v>38.608019999999996</v>
      </c>
      <c r="P86" s="1072">
        <f t="shared" si="11"/>
        <v>39.380180399999993</v>
      </c>
      <c r="Q86" s="1072">
        <f t="shared" si="12"/>
        <v>40.522205631599988</v>
      </c>
    </row>
    <row r="87" spans="9:17" s="1859" customFormat="1">
      <c r="I87" s="2056"/>
      <c r="J87" s="2260" t="s">
        <v>34</v>
      </c>
      <c r="K87" s="2261"/>
      <c r="L87" s="489">
        <f t="shared" si="13"/>
        <v>61</v>
      </c>
      <c r="M87" s="1072">
        <f t="shared" si="14"/>
        <v>61</v>
      </c>
      <c r="N87" s="1072">
        <f t="shared" si="9"/>
        <v>62.402999999999992</v>
      </c>
      <c r="O87" s="1072">
        <f t="shared" si="10"/>
        <v>63.651059999999994</v>
      </c>
      <c r="P87" s="1072">
        <f t="shared" si="11"/>
        <v>64.924081199999989</v>
      </c>
      <c r="Q87" s="1072">
        <f t="shared" si="12"/>
        <v>66.806879554799977</v>
      </c>
    </row>
    <row r="88" spans="9:17" s="1859" customFormat="1">
      <c r="I88" s="2056"/>
      <c r="J88" s="2260" t="s">
        <v>567</v>
      </c>
      <c r="K88" s="2261"/>
      <c r="L88" s="489">
        <f t="shared" si="13"/>
        <v>35.249604011349732</v>
      </c>
      <c r="M88" s="1072">
        <f t="shared" si="14"/>
        <v>35.249604011349732</v>
      </c>
      <c r="N88" s="1072">
        <f t="shared" si="9"/>
        <v>36.060344903610769</v>
      </c>
      <c r="O88" s="1072">
        <f t="shared" si="10"/>
        <v>36.781551801682987</v>
      </c>
      <c r="P88" s="1072">
        <f t="shared" si="11"/>
        <v>37.517182837716646</v>
      </c>
      <c r="Q88" s="1072">
        <f t="shared" si="12"/>
        <v>38.605181140010423</v>
      </c>
    </row>
    <row r="89" spans="9:17" s="1859" customFormat="1">
      <c r="I89" s="1871"/>
      <c r="J89" s="1871"/>
      <c r="K89" s="1871"/>
      <c r="L89" s="1872"/>
      <c r="M89" s="1873"/>
    </row>
    <row r="90" spans="9:17" s="1859" customFormat="1">
      <c r="I90" s="1871"/>
      <c r="J90" s="1871"/>
      <c r="K90" s="1871"/>
      <c r="L90" s="1872"/>
      <c r="M90" s="1873"/>
    </row>
    <row r="91" spans="9:17" s="1859" customFormat="1">
      <c r="I91" s="1871"/>
      <c r="J91" s="1871"/>
      <c r="K91" s="1871"/>
      <c r="L91" s="1872"/>
      <c r="M91" s="1873"/>
    </row>
    <row r="92" spans="9:17" s="1859" customFormat="1">
      <c r="I92" s="1871"/>
      <c r="J92" s="1871"/>
      <c r="K92" s="1871"/>
      <c r="L92" s="1872"/>
      <c r="M92" s="1873"/>
    </row>
    <row r="93" spans="9:17" s="1859" customFormat="1" ht="34.5">
      <c r="I93" s="1871"/>
      <c r="J93" s="1852"/>
      <c r="K93" s="1852"/>
    </row>
    <row r="94" spans="9:17" s="1859" customFormat="1" ht="20.25">
      <c r="I94" s="1871"/>
      <c r="J94" s="1860"/>
      <c r="K94" s="1860"/>
      <c r="L94" s="1881" t="s">
        <v>1113</v>
      </c>
      <c r="M94" s="1882" t="s">
        <v>1111</v>
      </c>
      <c r="N94" s="1882" t="s">
        <v>87</v>
      </c>
      <c r="O94" s="1882" t="s">
        <v>88</v>
      </c>
      <c r="P94" s="1882" t="s">
        <v>89</v>
      </c>
      <c r="Q94" s="1882" t="s">
        <v>90</v>
      </c>
    </row>
    <row r="95" spans="9:17" s="1859" customFormat="1">
      <c r="I95" s="1871"/>
      <c r="J95" s="2260" t="s">
        <v>69</v>
      </c>
      <c r="K95" s="2261"/>
      <c r="L95" s="1072">
        <f t="shared" ref="L95:L103" si="15">J4</f>
        <v>76.38780719409533</v>
      </c>
      <c r="M95" s="1072">
        <f>L95</f>
        <v>76.38780719409533</v>
      </c>
      <c r="N95" s="1072">
        <f t="shared" ref="N95:N111" si="16">L95*(1+D$73)</f>
        <v>78.144726759559518</v>
      </c>
      <c r="O95" s="1072">
        <f t="shared" ref="O95:O111" si="17">N95*(1+E$73)</f>
        <v>79.707621294750709</v>
      </c>
      <c r="P95" s="1072">
        <f t="shared" ref="P95:P111" si="18">O95*(1+F$73)</f>
        <v>81.301773720645727</v>
      </c>
      <c r="Q95" s="1072">
        <f t="shared" ref="Q95:Q111" si="19">P95*(1+G$73)</f>
        <v>83.65952515854444</v>
      </c>
    </row>
    <row r="96" spans="9:17" s="1859" customFormat="1">
      <c r="I96" s="1871"/>
      <c r="J96" s="2260" t="s">
        <v>43</v>
      </c>
      <c r="K96" s="2261"/>
      <c r="L96" s="1072">
        <f t="shared" si="15"/>
        <v>13.011251318371977</v>
      </c>
      <c r="M96" s="1072">
        <f t="shared" ref="M96:M111" si="20">L96</f>
        <v>13.011251318371977</v>
      </c>
      <c r="N96" s="1072">
        <f t="shared" si="16"/>
        <v>13.310510098694532</v>
      </c>
      <c r="O96" s="1072">
        <f t="shared" si="17"/>
        <v>13.576720300668423</v>
      </c>
      <c r="P96" s="1072">
        <f t="shared" si="18"/>
        <v>13.848254706681793</v>
      </c>
      <c r="Q96" s="1072">
        <f t="shared" si="19"/>
        <v>14.249854093175564</v>
      </c>
    </row>
    <row r="97" spans="3:17" s="1859" customFormat="1">
      <c r="I97" s="1871"/>
      <c r="J97" s="2260" t="s">
        <v>49</v>
      </c>
      <c r="K97" s="2261"/>
      <c r="L97" s="1072">
        <f t="shared" si="15"/>
        <v>10.909433797711889</v>
      </c>
      <c r="M97" s="1072">
        <f t="shared" si="20"/>
        <v>10.909433797711889</v>
      </c>
      <c r="N97" s="1072">
        <f t="shared" si="16"/>
        <v>11.160350775059262</v>
      </c>
      <c r="O97" s="1072">
        <f t="shared" si="17"/>
        <v>11.383557790560447</v>
      </c>
      <c r="P97" s="1072">
        <f t="shared" si="18"/>
        <v>11.611228946371655</v>
      </c>
      <c r="Q97" s="1072">
        <f t="shared" si="19"/>
        <v>11.947954585816433</v>
      </c>
    </row>
    <row r="98" spans="3:17" s="1859" customFormat="1">
      <c r="I98" s="1871"/>
      <c r="J98" s="2260" t="s">
        <v>67</v>
      </c>
      <c r="K98" s="2261"/>
      <c r="L98" s="1072">
        <f t="shared" si="15"/>
        <v>4.3599999999999994</v>
      </c>
      <c r="M98" s="1072">
        <f t="shared" si="20"/>
        <v>4.3599999999999994</v>
      </c>
      <c r="N98" s="1072">
        <f t="shared" si="16"/>
        <v>4.4602799999999991</v>
      </c>
      <c r="O98" s="1072">
        <f t="shared" si="17"/>
        <v>4.5494855999999988</v>
      </c>
      <c r="P98" s="1072">
        <f t="shared" si="18"/>
        <v>4.6404753119999986</v>
      </c>
      <c r="Q98" s="1072">
        <f t="shared" si="19"/>
        <v>4.7750490960479981</v>
      </c>
    </row>
    <row r="99" spans="3:17" s="1859" customFormat="1">
      <c r="I99" s="1871"/>
      <c r="J99" s="2260" t="s">
        <v>44</v>
      </c>
      <c r="K99" s="2261"/>
      <c r="L99" s="1072">
        <f t="shared" si="15"/>
        <v>7.6578249999227763</v>
      </c>
      <c r="M99" s="1072">
        <f t="shared" si="20"/>
        <v>7.6578249999227763</v>
      </c>
      <c r="N99" s="1072">
        <f t="shared" si="16"/>
        <v>7.8339549749209993</v>
      </c>
      <c r="O99" s="1072">
        <f t="shared" si="17"/>
        <v>7.9906340744194191</v>
      </c>
      <c r="P99" s="1072">
        <f t="shared" si="18"/>
        <v>8.150446755907808</v>
      </c>
      <c r="Q99" s="1072">
        <f t="shared" si="19"/>
        <v>8.3868097118291338</v>
      </c>
    </row>
    <row r="100" spans="3:17" s="1859" customFormat="1">
      <c r="C100" s="1871"/>
      <c r="D100" s="1871"/>
      <c r="E100" s="1871"/>
      <c r="F100" s="1871"/>
      <c r="G100" s="1871"/>
      <c r="H100" s="1871"/>
      <c r="I100" s="1871"/>
      <c r="J100" s="2260" t="s">
        <v>45</v>
      </c>
      <c r="K100" s="2261"/>
      <c r="L100" s="1072">
        <f t="shared" si="15"/>
        <v>16.737817499831213</v>
      </c>
      <c r="M100" s="1072">
        <f t="shared" si="20"/>
        <v>16.737817499831213</v>
      </c>
      <c r="N100" s="1072">
        <f t="shared" si="16"/>
        <v>17.122787302327328</v>
      </c>
      <c r="O100" s="1072">
        <f t="shared" si="17"/>
        <v>17.465243048373875</v>
      </c>
      <c r="P100" s="1072">
        <f t="shared" si="18"/>
        <v>17.814547909341353</v>
      </c>
      <c r="Q100" s="1072">
        <f t="shared" si="19"/>
        <v>18.331169798712253</v>
      </c>
    </row>
    <row r="101" spans="3:17" s="1859" customFormat="1">
      <c r="C101" s="1871"/>
      <c r="D101" s="1871"/>
      <c r="E101" s="1871"/>
      <c r="F101" s="1871"/>
      <c r="G101" s="1871"/>
      <c r="H101" s="1871"/>
      <c r="I101" s="1871"/>
      <c r="J101" s="2260" t="s">
        <v>50</v>
      </c>
      <c r="K101" s="2261"/>
      <c r="L101" s="1072">
        <f t="shared" si="15"/>
        <v>0.35069999999999946</v>
      </c>
      <c r="M101" s="1072">
        <f t="shared" si="20"/>
        <v>0.35069999999999946</v>
      </c>
      <c r="N101" s="1072">
        <f t="shared" si="16"/>
        <v>0.35876609999999942</v>
      </c>
      <c r="O101" s="1072">
        <f t="shared" si="17"/>
        <v>0.36594142199999941</v>
      </c>
      <c r="P101" s="1072">
        <f t="shared" si="18"/>
        <v>0.37326025043999939</v>
      </c>
      <c r="Q101" s="1072">
        <f t="shared" si="19"/>
        <v>0.38408479770275933</v>
      </c>
    </row>
    <row r="102" spans="3:17" s="1859" customFormat="1">
      <c r="C102" s="1871"/>
      <c r="D102" s="1871"/>
      <c r="E102" s="1871"/>
      <c r="F102" s="1871"/>
      <c r="G102" s="1871"/>
      <c r="H102" s="1871"/>
      <c r="I102" s="1871"/>
      <c r="J102" s="2260" t="s">
        <v>51</v>
      </c>
      <c r="K102" s="2261"/>
      <c r="L102" s="1072">
        <f t="shared" si="15"/>
        <v>1.0019999999999984</v>
      </c>
      <c r="M102" s="1072">
        <f t="shared" si="20"/>
        <v>1.0019999999999984</v>
      </c>
      <c r="N102" s="1072">
        <f t="shared" si="16"/>
        <v>1.0250459999999983</v>
      </c>
      <c r="O102" s="1072">
        <f t="shared" si="17"/>
        <v>1.0455469199999983</v>
      </c>
      <c r="P102" s="1072">
        <f t="shared" si="18"/>
        <v>1.0664578583999982</v>
      </c>
      <c r="Q102" s="1072">
        <f t="shared" si="19"/>
        <v>1.097385136293598</v>
      </c>
    </row>
    <row r="103" spans="3:17" s="1859" customFormat="1">
      <c r="C103" s="1871"/>
      <c r="D103" s="1871"/>
      <c r="E103" s="1871"/>
      <c r="F103" s="1871"/>
      <c r="G103" s="1871"/>
      <c r="H103" s="1871"/>
      <c r="I103" s="1871"/>
      <c r="J103" s="2260" t="s">
        <v>41</v>
      </c>
      <c r="K103" s="2261"/>
      <c r="L103" s="1072">
        <f t="shared" si="15"/>
        <v>14</v>
      </c>
      <c r="M103" s="1072">
        <f t="shared" si="20"/>
        <v>14</v>
      </c>
      <c r="N103" s="1072">
        <f t="shared" si="16"/>
        <v>14.321999999999999</v>
      </c>
      <c r="O103" s="1072">
        <f t="shared" si="17"/>
        <v>14.60844</v>
      </c>
      <c r="P103" s="1072">
        <f t="shared" si="18"/>
        <v>14.900608800000001</v>
      </c>
      <c r="Q103" s="1072">
        <f t="shared" si="19"/>
        <v>15.3327264552</v>
      </c>
    </row>
    <row r="104" spans="3:17" s="1859" customFormat="1">
      <c r="C104" s="1871"/>
      <c r="D104" s="1871"/>
      <c r="E104" s="1871"/>
      <c r="F104" s="1871"/>
      <c r="G104" s="1871"/>
      <c r="H104" s="1871"/>
      <c r="I104" s="1871"/>
      <c r="J104" s="2260" t="s">
        <v>77</v>
      </c>
      <c r="K104" s="2261"/>
      <c r="L104" s="1072">
        <f t="shared" ref="L104:L110" si="21">J14</f>
        <v>16.153499999999998</v>
      </c>
      <c r="M104" s="1072">
        <f t="shared" si="20"/>
        <v>16.153499999999998</v>
      </c>
      <c r="N104" s="1072">
        <f t="shared" si="16"/>
        <v>16.525030499999996</v>
      </c>
      <c r="O104" s="1072">
        <f t="shared" si="17"/>
        <v>16.855531109999998</v>
      </c>
      <c r="P104" s="1072">
        <f t="shared" si="18"/>
        <v>17.192641732199998</v>
      </c>
      <c r="Q104" s="1072">
        <f t="shared" si="19"/>
        <v>17.691228342433796</v>
      </c>
    </row>
    <row r="105" spans="3:17" s="1859" customFormat="1">
      <c r="C105" s="1871"/>
      <c r="D105" s="1871"/>
      <c r="E105" s="1871"/>
      <c r="F105" s="1871"/>
      <c r="G105" s="1871"/>
      <c r="H105" s="1871"/>
      <c r="I105" s="1871"/>
      <c r="J105" s="2260" t="s">
        <v>46</v>
      </c>
      <c r="K105" s="2261"/>
      <c r="L105" s="1072">
        <f t="shared" si="21"/>
        <v>25.747699999999998</v>
      </c>
      <c r="M105" s="1072">
        <f t="shared" si="20"/>
        <v>25.747699999999998</v>
      </c>
      <c r="N105" s="1072">
        <f t="shared" si="16"/>
        <v>26.339897099999995</v>
      </c>
      <c r="O105" s="1072">
        <f t="shared" si="17"/>
        <v>26.866695041999996</v>
      </c>
      <c r="P105" s="1072">
        <f t="shared" si="18"/>
        <v>27.404028942839997</v>
      </c>
      <c r="Q105" s="1072">
        <f t="shared" si="19"/>
        <v>28.198745782182353</v>
      </c>
    </row>
    <row r="106" spans="3:17" s="1859" customFormat="1">
      <c r="C106" s="1871"/>
      <c r="D106" s="1871"/>
      <c r="E106" s="1871"/>
      <c r="F106" s="1871"/>
      <c r="G106" s="1871"/>
      <c r="H106" s="1871"/>
      <c r="I106" s="1871"/>
      <c r="J106" s="2260" t="s">
        <v>30</v>
      </c>
      <c r="K106" s="2261"/>
      <c r="L106" s="1072">
        <f t="shared" si="21"/>
        <v>3.8289124999613882</v>
      </c>
      <c r="M106" s="1072">
        <f t="shared" si="20"/>
        <v>3.8289124999613882</v>
      </c>
      <c r="N106" s="1072">
        <f t="shared" si="16"/>
        <v>3.9169774874604997</v>
      </c>
      <c r="O106" s="1072">
        <f t="shared" si="17"/>
        <v>3.9953170372097095</v>
      </c>
      <c r="P106" s="1072">
        <f t="shared" si="18"/>
        <v>4.075223377953904</v>
      </c>
      <c r="Q106" s="1072">
        <f t="shared" si="19"/>
        <v>4.1934048559145669</v>
      </c>
    </row>
    <row r="107" spans="3:17" s="1859" customFormat="1">
      <c r="C107" s="1871"/>
      <c r="D107" s="1871"/>
      <c r="E107" s="1871"/>
      <c r="F107" s="1871"/>
      <c r="G107" s="1871"/>
      <c r="H107" s="1871"/>
      <c r="I107" s="1871"/>
      <c r="J107" s="2260" t="s">
        <v>48</v>
      </c>
      <c r="K107" s="2261"/>
      <c r="L107" s="1072">
        <f t="shared" si="21"/>
        <v>21.879499999779362</v>
      </c>
      <c r="M107" s="1072">
        <f t="shared" si="20"/>
        <v>21.879499999779362</v>
      </c>
      <c r="N107" s="1072">
        <f t="shared" si="16"/>
        <v>22.382728499774284</v>
      </c>
      <c r="O107" s="1072">
        <f t="shared" si="17"/>
        <v>22.83038306976977</v>
      </c>
      <c r="P107" s="1072">
        <f t="shared" si="18"/>
        <v>23.286990731165165</v>
      </c>
      <c r="Q107" s="1072">
        <f t="shared" si="19"/>
        <v>23.962313462368954</v>
      </c>
    </row>
    <row r="108" spans="3:17" s="1859" customFormat="1">
      <c r="C108" s="1871"/>
      <c r="D108" s="1871"/>
      <c r="E108" s="1871"/>
      <c r="F108" s="1871"/>
      <c r="G108" s="1871"/>
      <c r="H108" s="1871"/>
      <c r="I108" s="1871"/>
      <c r="J108" s="2260" t="s">
        <v>225</v>
      </c>
      <c r="K108" s="2261"/>
      <c r="L108" s="1072">
        <f t="shared" si="21"/>
        <v>2.7349374999724203</v>
      </c>
      <c r="M108" s="1072">
        <f t="shared" si="20"/>
        <v>2.7349374999724203</v>
      </c>
      <c r="N108" s="1072">
        <f t="shared" si="16"/>
        <v>2.7978410624717855</v>
      </c>
      <c r="O108" s="1072">
        <f t="shared" si="17"/>
        <v>2.8537978837212212</v>
      </c>
      <c r="P108" s="1072">
        <f t="shared" si="18"/>
        <v>2.9108738413956456</v>
      </c>
      <c r="Q108" s="1072">
        <f t="shared" si="19"/>
        <v>2.9952891827961192</v>
      </c>
    </row>
    <row r="109" spans="3:17" s="1859" customFormat="1">
      <c r="C109" s="1871"/>
      <c r="D109" s="1871"/>
      <c r="E109" s="1871"/>
      <c r="F109" s="1871"/>
      <c r="G109" s="1871"/>
      <c r="H109" s="1871"/>
      <c r="I109" s="1871"/>
      <c r="J109" s="2260" t="s">
        <v>32</v>
      </c>
      <c r="K109" s="2261"/>
      <c r="L109" s="1072">
        <f t="shared" si="21"/>
        <v>4.1571049999580785</v>
      </c>
      <c r="M109" s="1072">
        <f t="shared" si="20"/>
        <v>4.1571049999580785</v>
      </c>
      <c r="N109" s="1072">
        <f t="shared" si="16"/>
        <v>4.2527184149571138</v>
      </c>
      <c r="O109" s="1072">
        <f t="shared" si="17"/>
        <v>4.3377727832562565</v>
      </c>
      <c r="P109" s="1072">
        <f t="shared" si="18"/>
        <v>4.4245282389213818</v>
      </c>
      <c r="Q109" s="1072">
        <f t="shared" si="19"/>
        <v>4.5528395578501017</v>
      </c>
    </row>
    <row r="110" spans="3:17" s="1859" customFormat="1">
      <c r="C110" s="1871"/>
      <c r="D110" s="1871"/>
      <c r="E110" s="1871"/>
      <c r="F110" s="1871"/>
      <c r="G110" s="1871"/>
      <c r="H110" s="1871"/>
      <c r="I110" s="1871"/>
      <c r="J110" s="2260" t="s">
        <v>34</v>
      </c>
      <c r="K110" s="2261"/>
      <c r="L110" s="1072">
        <f t="shared" si="21"/>
        <v>6.6732474999327049</v>
      </c>
      <c r="M110" s="1072">
        <f t="shared" si="20"/>
        <v>6.6732474999327049</v>
      </c>
      <c r="N110" s="1072">
        <f t="shared" si="16"/>
        <v>6.8267321924311561</v>
      </c>
      <c r="O110" s="1072">
        <f t="shared" si="17"/>
        <v>6.9632668362797796</v>
      </c>
      <c r="P110" s="1072">
        <f t="shared" si="18"/>
        <v>7.1025321730053754</v>
      </c>
      <c r="Q110" s="1072">
        <f t="shared" si="19"/>
        <v>7.3085056060225311</v>
      </c>
    </row>
    <row r="111" spans="3:17" s="1859" customFormat="1">
      <c r="C111" s="1871"/>
      <c r="D111" s="1871"/>
      <c r="E111" s="1871"/>
      <c r="F111" s="1871"/>
      <c r="G111" s="1871"/>
      <c r="H111" s="1871"/>
      <c r="I111" s="1871"/>
      <c r="J111" s="2260" t="s">
        <v>567</v>
      </c>
      <c r="K111" s="2261"/>
      <c r="L111" s="1072">
        <f>J13</f>
        <v>1.6532999999999975</v>
      </c>
      <c r="M111" s="1072">
        <f t="shared" si="20"/>
        <v>1.6532999999999975</v>
      </c>
      <c r="N111" s="1072">
        <f t="shared" si="16"/>
        <v>1.6913258999999974</v>
      </c>
      <c r="O111" s="1072">
        <f t="shared" si="17"/>
        <v>1.7251524179999973</v>
      </c>
      <c r="P111" s="1072">
        <f t="shared" si="18"/>
        <v>1.7596554663599973</v>
      </c>
      <c r="Q111" s="1072">
        <f t="shared" si="19"/>
        <v>1.810685474884437</v>
      </c>
    </row>
    <row r="112" spans="3:17" s="1859" customFormat="1">
      <c r="C112" s="1871"/>
      <c r="D112" s="1871"/>
      <c r="E112" s="1871"/>
      <c r="F112" s="1871"/>
      <c r="G112" s="1871"/>
      <c r="H112" s="1871"/>
      <c r="I112" s="1871"/>
      <c r="J112" s="1871"/>
      <c r="K112" s="1871"/>
      <c r="L112" s="1872"/>
      <c r="M112" s="1873"/>
    </row>
    <row r="113" spans="3:17" s="1859" customFormat="1">
      <c r="C113" s="1871"/>
      <c r="D113" s="1871"/>
      <c r="E113" s="1871"/>
      <c r="F113" s="1871"/>
      <c r="G113" s="1871"/>
      <c r="H113" s="1871"/>
      <c r="I113" s="1871"/>
      <c r="J113" s="1871"/>
      <c r="K113" s="1871"/>
      <c r="L113" s="1872"/>
      <c r="M113" s="1873"/>
    </row>
    <row r="114" spans="3:17" s="1859" customFormat="1">
      <c r="C114" s="1871"/>
      <c r="D114" s="1871"/>
      <c r="E114" s="1871"/>
      <c r="F114" s="1871"/>
      <c r="G114" s="1871"/>
      <c r="H114" s="1871"/>
      <c r="I114" s="1871"/>
      <c r="J114" s="1871"/>
      <c r="K114" s="1871"/>
      <c r="L114" s="1872"/>
      <c r="M114" s="1873"/>
    </row>
    <row r="115" spans="3:17" s="1859" customFormat="1" ht="34.5">
      <c r="C115" s="1871"/>
      <c r="D115" s="1871"/>
      <c r="E115" s="1871"/>
      <c r="F115" s="1871"/>
      <c r="G115" s="1871"/>
      <c r="H115" s="1871"/>
      <c r="I115" s="1871"/>
      <c r="J115" s="1852"/>
      <c r="K115" s="1852"/>
    </row>
    <row r="116" spans="3:17" s="1859" customFormat="1" ht="40.5" customHeight="1">
      <c r="C116" s="1871"/>
      <c r="D116" s="1871"/>
      <c r="E116" s="1871"/>
      <c r="F116" s="1871"/>
      <c r="G116" s="1871"/>
      <c r="H116" s="1871"/>
      <c r="I116" s="1871"/>
      <c r="J116" s="1860"/>
      <c r="K116" s="1860"/>
      <c r="L116" s="1881" t="s">
        <v>1114</v>
      </c>
      <c r="M116" s="1882" t="s">
        <v>1111</v>
      </c>
      <c r="N116" s="1882" t="s">
        <v>87</v>
      </c>
      <c r="O116" s="1882" t="s">
        <v>88</v>
      </c>
      <c r="P116" s="1882" t="s">
        <v>89</v>
      </c>
      <c r="Q116" s="1882" t="s">
        <v>90</v>
      </c>
    </row>
    <row r="117" spans="3:17" s="1859" customFormat="1">
      <c r="C117" s="1871"/>
      <c r="D117" s="1871"/>
      <c r="E117" s="1871"/>
      <c r="F117" s="1871"/>
      <c r="G117" s="1871"/>
      <c r="H117" s="1871"/>
      <c r="I117" s="1871"/>
      <c r="J117" s="2260" t="s">
        <v>69</v>
      </c>
      <c r="K117" s="2261"/>
      <c r="L117" s="1072">
        <f t="shared" ref="L117:L125" si="22">I4</f>
        <v>76.38780719409533</v>
      </c>
      <c r="M117" s="1072">
        <f>L117</f>
        <v>76.38780719409533</v>
      </c>
      <c r="N117" s="1072">
        <f t="shared" ref="N117:N133" si="23">L117*(1+D$73)</f>
        <v>78.144726759559518</v>
      </c>
      <c r="O117" s="1072">
        <f t="shared" ref="O117:O133" si="24">N117*(1+E$73)</f>
        <v>79.707621294750709</v>
      </c>
      <c r="P117" s="1072">
        <f t="shared" ref="P117:P133" si="25">O117*(1+F$73)</f>
        <v>81.301773720645727</v>
      </c>
      <c r="Q117" s="1072">
        <f t="shared" ref="Q117:Q133" si="26">P117*(1+G$73)</f>
        <v>83.65952515854444</v>
      </c>
    </row>
    <row r="118" spans="3:17" s="1859" customFormat="1">
      <c r="C118" s="1871"/>
      <c r="D118" s="1871"/>
      <c r="E118" s="1871"/>
      <c r="F118" s="1871"/>
      <c r="G118" s="1871"/>
      <c r="H118" s="1871"/>
      <c r="I118" s="1871"/>
      <c r="J118" s="2260" t="s">
        <v>43</v>
      </c>
      <c r="K118" s="2261"/>
      <c r="L118" s="1072">
        <f t="shared" si="22"/>
        <v>13.011251318371977</v>
      </c>
      <c r="M118" s="1072">
        <f t="shared" ref="M118:M133" si="27">L118</f>
        <v>13.011251318371977</v>
      </c>
      <c r="N118" s="1072">
        <f t="shared" si="23"/>
        <v>13.310510098694532</v>
      </c>
      <c r="O118" s="1072">
        <f t="shared" si="24"/>
        <v>13.576720300668423</v>
      </c>
      <c r="P118" s="1072">
        <f t="shared" si="25"/>
        <v>13.848254706681793</v>
      </c>
      <c r="Q118" s="1072">
        <f t="shared" si="26"/>
        <v>14.249854093175564</v>
      </c>
    </row>
    <row r="119" spans="3:17" s="1859" customFormat="1">
      <c r="C119" s="1871"/>
      <c r="D119" s="1871"/>
      <c r="E119" s="1871"/>
      <c r="F119" s="1871"/>
      <c r="G119" s="1871"/>
      <c r="H119" s="1874"/>
      <c r="I119" s="1871"/>
      <c r="J119" s="2260" t="s">
        <v>49</v>
      </c>
      <c r="K119" s="2261"/>
      <c r="L119" s="1072">
        <f t="shared" si="22"/>
        <v>10.909433797711889</v>
      </c>
      <c r="M119" s="1072">
        <f t="shared" si="27"/>
        <v>10.909433797711889</v>
      </c>
      <c r="N119" s="1072">
        <f t="shared" si="23"/>
        <v>11.160350775059262</v>
      </c>
      <c r="O119" s="1072">
        <f t="shared" si="24"/>
        <v>11.383557790560447</v>
      </c>
      <c r="P119" s="1072">
        <f t="shared" si="25"/>
        <v>11.611228946371655</v>
      </c>
      <c r="Q119" s="1072">
        <f t="shared" si="26"/>
        <v>11.947954585816433</v>
      </c>
    </row>
    <row r="120" spans="3:17" s="1859" customFormat="1">
      <c r="C120" s="1871"/>
      <c r="D120" s="1871"/>
      <c r="E120" s="1871"/>
      <c r="F120" s="1871"/>
      <c r="G120" s="1871"/>
      <c r="H120" s="1874"/>
      <c r="I120" s="1871"/>
      <c r="J120" s="2260" t="s">
        <v>67</v>
      </c>
      <c r="K120" s="2261"/>
      <c r="L120" s="1072">
        <f t="shared" si="22"/>
        <v>4.3599999999999994</v>
      </c>
      <c r="M120" s="1072">
        <f t="shared" si="27"/>
        <v>4.3599999999999994</v>
      </c>
      <c r="N120" s="1072">
        <f t="shared" si="23"/>
        <v>4.4602799999999991</v>
      </c>
      <c r="O120" s="1072">
        <f t="shared" si="24"/>
        <v>4.5494855999999988</v>
      </c>
      <c r="P120" s="1072">
        <f t="shared" si="25"/>
        <v>4.6404753119999986</v>
      </c>
      <c r="Q120" s="1072">
        <f t="shared" si="26"/>
        <v>4.7750490960479981</v>
      </c>
    </row>
    <row r="121" spans="3:17" s="1859" customFormat="1">
      <c r="C121" s="1871"/>
      <c r="D121" s="1871"/>
      <c r="E121" s="1871"/>
      <c r="F121" s="1871"/>
      <c r="G121" s="1871"/>
      <c r="H121" s="1874"/>
      <c r="I121" s="1871"/>
      <c r="J121" s="2260" t="s">
        <v>44</v>
      </c>
      <c r="K121" s="2261"/>
      <c r="L121" s="1072">
        <f t="shared" si="22"/>
        <v>7.6578249999227763</v>
      </c>
      <c r="M121" s="1072">
        <f t="shared" si="27"/>
        <v>7.6578249999227763</v>
      </c>
      <c r="N121" s="1072">
        <f t="shared" si="23"/>
        <v>7.8339549749209993</v>
      </c>
      <c r="O121" s="1072">
        <f t="shared" si="24"/>
        <v>7.9906340744194191</v>
      </c>
      <c r="P121" s="1072">
        <f t="shared" si="25"/>
        <v>8.150446755907808</v>
      </c>
      <c r="Q121" s="1072">
        <f t="shared" si="26"/>
        <v>8.3868097118291338</v>
      </c>
    </row>
    <row r="122" spans="3:17" s="1859" customFormat="1">
      <c r="C122" s="1871"/>
      <c r="D122" s="1871"/>
      <c r="E122" s="1871"/>
      <c r="F122" s="1871"/>
      <c r="G122" s="1871"/>
      <c r="H122" s="1874"/>
      <c r="I122" s="1871"/>
      <c r="J122" s="2260" t="s">
        <v>45</v>
      </c>
      <c r="K122" s="2261"/>
      <c r="L122" s="1072">
        <f t="shared" si="22"/>
        <v>16.737817499831213</v>
      </c>
      <c r="M122" s="1072">
        <f t="shared" si="27"/>
        <v>16.737817499831213</v>
      </c>
      <c r="N122" s="1072">
        <f t="shared" si="23"/>
        <v>17.122787302327328</v>
      </c>
      <c r="O122" s="1072">
        <f t="shared" si="24"/>
        <v>17.465243048373875</v>
      </c>
      <c r="P122" s="1072">
        <f t="shared" si="25"/>
        <v>17.814547909341353</v>
      </c>
      <c r="Q122" s="1072">
        <f t="shared" si="26"/>
        <v>18.331169798712253</v>
      </c>
    </row>
    <row r="123" spans="3:17" s="1859" customFormat="1">
      <c r="C123" s="1871"/>
      <c r="D123" s="1871"/>
      <c r="E123" s="1871"/>
      <c r="F123" s="1871"/>
      <c r="G123" s="1871"/>
      <c r="H123" s="1874"/>
      <c r="I123" s="1871"/>
      <c r="J123" s="2260" t="s">
        <v>50</v>
      </c>
      <c r="K123" s="2261"/>
      <c r="L123" s="1072">
        <f t="shared" si="22"/>
        <v>0.35069999999999946</v>
      </c>
      <c r="M123" s="1072">
        <f t="shared" si="27"/>
        <v>0.35069999999999946</v>
      </c>
      <c r="N123" s="1072">
        <f t="shared" si="23"/>
        <v>0.35876609999999942</v>
      </c>
      <c r="O123" s="1072">
        <f t="shared" si="24"/>
        <v>0.36594142199999941</v>
      </c>
      <c r="P123" s="1072">
        <f t="shared" si="25"/>
        <v>0.37326025043999939</v>
      </c>
      <c r="Q123" s="1072">
        <f t="shared" si="26"/>
        <v>0.38408479770275933</v>
      </c>
    </row>
    <row r="124" spans="3:17" s="1859" customFormat="1">
      <c r="C124" s="1871"/>
      <c r="D124" s="1871"/>
      <c r="E124" s="1871"/>
      <c r="F124" s="1871"/>
      <c r="G124" s="1871"/>
      <c r="H124" s="1874"/>
      <c r="I124" s="1871"/>
      <c r="J124" s="2260" t="s">
        <v>51</v>
      </c>
      <c r="K124" s="2261"/>
      <c r="L124" s="1072">
        <f t="shared" si="22"/>
        <v>1.0019999999999984</v>
      </c>
      <c r="M124" s="1072">
        <f t="shared" si="27"/>
        <v>1.0019999999999984</v>
      </c>
      <c r="N124" s="1072">
        <f t="shared" si="23"/>
        <v>1.0250459999999983</v>
      </c>
      <c r="O124" s="1072">
        <f t="shared" si="24"/>
        <v>1.0455469199999983</v>
      </c>
      <c r="P124" s="1072">
        <f t="shared" si="25"/>
        <v>1.0664578583999982</v>
      </c>
      <c r="Q124" s="1072">
        <f t="shared" si="26"/>
        <v>1.097385136293598</v>
      </c>
    </row>
    <row r="125" spans="3:17" s="1859" customFormat="1">
      <c r="C125" s="1871"/>
      <c r="D125" s="1871"/>
      <c r="E125" s="1871"/>
      <c r="F125" s="1871"/>
      <c r="G125" s="1871"/>
      <c r="H125" s="1874"/>
      <c r="I125" s="1871"/>
      <c r="J125" s="2260" t="s">
        <v>41</v>
      </c>
      <c r="K125" s="2261"/>
      <c r="L125" s="1072">
        <f t="shared" si="22"/>
        <v>14</v>
      </c>
      <c r="M125" s="1072">
        <f t="shared" si="27"/>
        <v>14</v>
      </c>
      <c r="N125" s="1072">
        <f t="shared" si="23"/>
        <v>14.321999999999999</v>
      </c>
      <c r="O125" s="1072">
        <f t="shared" si="24"/>
        <v>14.60844</v>
      </c>
      <c r="P125" s="1072">
        <f t="shared" si="25"/>
        <v>14.900608800000001</v>
      </c>
      <c r="Q125" s="1072">
        <f t="shared" si="26"/>
        <v>15.3327264552</v>
      </c>
    </row>
    <row r="126" spans="3:17" s="1859" customFormat="1">
      <c r="C126" s="1871"/>
      <c r="D126" s="1871"/>
      <c r="E126" s="1871"/>
      <c r="F126" s="1871"/>
      <c r="G126" s="1871"/>
      <c r="H126" s="1874"/>
      <c r="I126" s="1871"/>
      <c r="J126" s="2260" t="s">
        <v>77</v>
      </c>
      <c r="K126" s="2261"/>
      <c r="L126" s="1072">
        <f t="shared" ref="L126:L132" si="28">I14</f>
        <v>16.153499999999998</v>
      </c>
      <c r="M126" s="1072">
        <f t="shared" si="27"/>
        <v>16.153499999999998</v>
      </c>
      <c r="N126" s="1072">
        <f t="shared" si="23"/>
        <v>16.525030499999996</v>
      </c>
      <c r="O126" s="1072">
        <f t="shared" si="24"/>
        <v>16.855531109999998</v>
      </c>
      <c r="P126" s="1072">
        <f t="shared" si="25"/>
        <v>17.192641732199998</v>
      </c>
      <c r="Q126" s="1072">
        <f t="shared" si="26"/>
        <v>17.691228342433796</v>
      </c>
    </row>
    <row r="127" spans="3:17" s="1859" customFormat="1">
      <c r="C127" s="1871"/>
      <c r="D127" s="1871"/>
      <c r="E127" s="1871"/>
      <c r="F127" s="1871"/>
      <c r="G127" s="1871"/>
      <c r="H127" s="1874"/>
      <c r="I127" s="1871"/>
      <c r="J127" s="2260" t="s">
        <v>46</v>
      </c>
      <c r="K127" s="2261"/>
      <c r="L127" s="1072">
        <f t="shared" si="28"/>
        <v>25.747699999999998</v>
      </c>
      <c r="M127" s="1072">
        <f t="shared" si="27"/>
        <v>25.747699999999998</v>
      </c>
      <c r="N127" s="1072">
        <f t="shared" si="23"/>
        <v>26.339897099999995</v>
      </c>
      <c r="O127" s="1072">
        <f t="shared" si="24"/>
        <v>26.866695041999996</v>
      </c>
      <c r="P127" s="1072">
        <f t="shared" si="25"/>
        <v>27.404028942839997</v>
      </c>
      <c r="Q127" s="1072">
        <f t="shared" si="26"/>
        <v>28.198745782182353</v>
      </c>
    </row>
    <row r="128" spans="3:17" s="1859" customFormat="1">
      <c r="C128" s="1871"/>
      <c r="D128" s="1871"/>
      <c r="E128" s="1871"/>
      <c r="F128" s="1871"/>
      <c r="G128" s="1871"/>
      <c r="H128" s="1874"/>
      <c r="I128" s="1871"/>
      <c r="J128" s="2260" t="s">
        <v>30</v>
      </c>
      <c r="K128" s="2261"/>
      <c r="L128" s="1072">
        <f t="shared" si="28"/>
        <v>3.8289124999613882</v>
      </c>
      <c r="M128" s="1072">
        <f t="shared" si="27"/>
        <v>3.8289124999613882</v>
      </c>
      <c r="N128" s="1072">
        <f t="shared" si="23"/>
        <v>3.9169774874604997</v>
      </c>
      <c r="O128" s="1072">
        <f t="shared" si="24"/>
        <v>3.9953170372097095</v>
      </c>
      <c r="P128" s="1072">
        <f t="shared" si="25"/>
        <v>4.075223377953904</v>
      </c>
      <c r="Q128" s="1072">
        <f t="shared" si="26"/>
        <v>4.1934048559145669</v>
      </c>
    </row>
    <row r="129" spans="3:17" s="1859" customFormat="1">
      <c r="C129" s="1871"/>
      <c r="D129" s="1871"/>
      <c r="E129" s="1871"/>
      <c r="F129" s="1871"/>
      <c r="G129" s="1871"/>
      <c r="H129" s="1874"/>
      <c r="I129" s="1871"/>
      <c r="J129" s="2260" t="s">
        <v>48</v>
      </c>
      <c r="K129" s="2261"/>
      <c r="L129" s="1072">
        <f t="shared" si="28"/>
        <v>21.879499999779362</v>
      </c>
      <c r="M129" s="1072">
        <f t="shared" si="27"/>
        <v>21.879499999779362</v>
      </c>
      <c r="N129" s="1072">
        <f t="shared" si="23"/>
        <v>22.382728499774284</v>
      </c>
      <c r="O129" s="1072">
        <f t="shared" si="24"/>
        <v>22.83038306976977</v>
      </c>
      <c r="P129" s="1072">
        <f t="shared" si="25"/>
        <v>23.286990731165165</v>
      </c>
      <c r="Q129" s="1072">
        <f t="shared" si="26"/>
        <v>23.962313462368954</v>
      </c>
    </row>
    <row r="130" spans="3:17" s="1859" customFormat="1">
      <c r="C130" s="1871"/>
      <c r="D130" s="1871"/>
      <c r="E130" s="1871"/>
      <c r="F130" s="1871"/>
      <c r="G130" s="1871"/>
      <c r="H130" s="1874"/>
      <c r="I130" s="1871"/>
      <c r="J130" s="2260" t="s">
        <v>225</v>
      </c>
      <c r="K130" s="2261"/>
      <c r="L130" s="1072">
        <f t="shared" si="28"/>
        <v>2.7349374999724203</v>
      </c>
      <c r="M130" s="1072">
        <f t="shared" si="27"/>
        <v>2.7349374999724203</v>
      </c>
      <c r="N130" s="1072">
        <f t="shared" si="23"/>
        <v>2.7978410624717855</v>
      </c>
      <c r="O130" s="1072">
        <f t="shared" si="24"/>
        <v>2.8537978837212212</v>
      </c>
      <c r="P130" s="1072">
        <f t="shared" si="25"/>
        <v>2.9108738413956456</v>
      </c>
      <c r="Q130" s="1072">
        <f t="shared" si="26"/>
        <v>2.9952891827961192</v>
      </c>
    </row>
    <row r="131" spans="3:17" s="1859" customFormat="1">
      <c r="C131" s="1871"/>
      <c r="D131" s="1871"/>
      <c r="E131" s="1871"/>
      <c r="F131" s="1871"/>
      <c r="G131" s="1871"/>
      <c r="H131" s="1874"/>
      <c r="I131" s="1871"/>
      <c r="J131" s="2260" t="s">
        <v>32</v>
      </c>
      <c r="K131" s="2261"/>
      <c r="L131" s="1072">
        <f t="shared" si="28"/>
        <v>4.1571049999580785</v>
      </c>
      <c r="M131" s="1072">
        <f t="shared" si="27"/>
        <v>4.1571049999580785</v>
      </c>
      <c r="N131" s="1072">
        <f t="shared" si="23"/>
        <v>4.2527184149571138</v>
      </c>
      <c r="O131" s="1072">
        <f t="shared" si="24"/>
        <v>4.3377727832562565</v>
      </c>
      <c r="P131" s="1072">
        <f t="shared" si="25"/>
        <v>4.4245282389213818</v>
      </c>
      <c r="Q131" s="1072">
        <f t="shared" si="26"/>
        <v>4.5528395578501017</v>
      </c>
    </row>
    <row r="132" spans="3:17" s="1859" customFormat="1">
      <c r="C132" s="1871"/>
      <c r="D132" s="1871"/>
      <c r="E132" s="1871"/>
      <c r="F132" s="1871"/>
      <c r="G132" s="1871"/>
      <c r="H132" s="1874"/>
      <c r="I132" s="1871"/>
      <c r="J132" s="2260" t="s">
        <v>34</v>
      </c>
      <c r="K132" s="2261"/>
      <c r="L132" s="1072">
        <f t="shared" si="28"/>
        <v>6.6732474999327049</v>
      </c>
      <c r="M132" s="1072">
        <f t="shared" si="27"/>
        <v>6.6732474999327049</v>
      </c>
      <c r="N132" s="1072">
        <f t="shared" si="23"/>
        <v>6.8267321924311561</v>
      </c>
      <c r="O132" s="1072">
        <f t="shared" si="24"/>
        <v>6.9632668362797796</v>
      </c>
      <c r="P132" s="1072">
        <f t="shared" si="25"/>
        <v>7.1025321730053754</v>
      </c>
      <c r="Q132" s="1072">
        <f t="shared" si="26"/>
        <v>7.3085056060225311</v>
      </c>
    </row>
    <row r="133" spans="3:17" s="1859" customFormat="1">
      <c r="C133" s="1871"/>
      <c r="D133" s="1871"/>
      <c r="E133" s="1871"/>
      <c r="F133" s="1871"/>
      <c r="G133" s="1871"/>
      <c r="H133" s="1874"/>
      <c r="I133" s="1871"/>
      <c r="J133" s="2260" t="s">
        <v>567</v>
      </c>
      <c r="K133" s="2261"/>
      <c r="L133" s="1072">
        <f>I13</f>
        <v>1.6532999999999975</v>
      </c>
      <c r="M133" s="1072">
        <f t="shared" si="27"/>
        <v>1.6532999999999975</v>
      </c>
      <c r="N133" s="1072">
        <f t="shared" si="23"/>
        <v>1.6913258999999974</v>
      </c>
      <c r="O133" s="1072">
        <f t="shared" si="24"/>
        <v>1.7251524179999973</v>
      </c>
      <c r="P133" s="1072">
        <f t="shared" si="25"/>
        <v>1.7596554663599973</v>
      </c>
      <c r="Q133" s="1072">
        <f t="shared" si="26"/>
        <v>1.810685474884437</v>
      </c>
    </row>
    <row r="134" spans="3:17" s="1859" customFormat="1">
      <c r="C134" s="1871"/>
      <c r="D134" s="1871"/>
      <c r="E134" s="1871"/>
      <c r="F134" s="1871"/>
      <c r="G134" s="1871"/>
      <c r="H134" s="1874"/>
      <c r="I134" s="1871"/>
      <c r="J134" s="1871"/>
      <c r="K134" s="1871"/>
      <c r="L134" s="1872"/>
      <c r="M134" s="1873"/>
    </row>
    <row r="135" spans="3:17" s="1859" customFormat="1">
      <c r="C135" s="1871"/>
      <c r="D135" s="1871"/>
      <c r="E135" s="1871"/>
      <c r="F135" s="1871"/>
      <c r="G135" s="1871"/>
      <c r="H135" s="1874"/>
      <c r="I135" s="1871"/>
      <c r="J135" s="1871"/>
      <c r="K135" s="1871"/>
      <c r="L135" s="1872"/>
      <c r="M135" s="1873"/>
    </row>
    <row r="136" spans="3:17" s="1859" customFormat="1">
      <c r="C136" s="1871"/>
      <c r="D136" s="1871"/>
      <c r="E136" s="1871"/>
      <c r="F136" s="1871"/>
      <c r="G136" s="1871"/>
      <c r="H136" s="1874"/>
      <c r="I136" s="1871"/>
      <c r="J136" s="1871"/>
      <c r="K136" s="1871"/>
      <c r="L136" s="1872"/>
      <c r="M136" s="1873"/>
    </row>
    <row r="137" spans="3:17" s="1859" customFormat="1">
      <c r="C137" s="1871"/>
      <c r="D137" s="1871"/>
      <c r="E137" s="1871"/>
      <c r="F137" s="1871"/>
      <c r="G137" s="1871"/>
      <c r="H137" s="1874"/>
      <c r="I137" s="1871"/>
      <c r="J137" s="1871"/>
      <c r="K137" s="1871"/>
      <c r="L137" s="1872"/>
      <c r="M137" s="1873"/>
    </row>
    <row r="138" spans="3:17" s="1859" customFormat="1">
      <c r="C138" s="1871"/>
      <c r="D138" s="1871"/>
      <c r="E138" s="1871"/>
      <c r="F138" s="1871"/>
      <c r="G138" s="1871"/>
      <c r="H138" s="1874"/>
      <c r="I138" s="1871"/>
      <c r="J138" s="1871"/>
      <c r="K138" s="1871"/>
      <c r="L138" s="1872"/>
      <c r="M138" s="1873"/>
    </row>
    <row r="139" spans="3:17" s="1859" customFormat="1">
      <c r="C139" s="1871"/>
      <c r="D139" s="1871"/>
      <c r="E139" s="1871"/>
      <c r="F139" s="1871"/>
      <c r="G139" s="1871"/>
      <c r="H139" s="1874"/>
      <c r="I139" s="1871"/>
      <c r="J139" s="1871"/>
      <c r="K139" s="1871"/>
      <c r="L139" s="1872"/>
      <c r="M139" s="1873"/>
    </row>
    <row r="140" spans="3:17" s="1859" customFormat="1">
      <c r="C140" s="1871"/>
      <c r="D140" s="1871"/>
      <c r="E140" s="1871"/>
      <c r="F140" s="1871"/>
      <c r="G140" s="1871"/>
      <c r="H140" s="1874"/>
      <c r="I140" s="1871"/>
      <c r="J140" s="1871"/>
      <c r="K140" s="1871"/>
      <c r="L140" s="1872"/>
      <c r="M140" s="1873"/>
    </row>
    <row r="141" spans="3:17" s="1859" customFormat="1">
      <c r="C141" s="1871"/>
      <c r="D141" s="1871"/>
      <c r="E141" s="1871"/>
      <c r="F141" s="1871"/>
      <c r="G141" s="1871"/>
      <c r="H141" s="1874"/>
      <c r="I141" s="1871"/>
      <c r="J141" s="1871"/>
      <c r="K141" s="1871"/>
      <c r="L141" s="1872"/>
      <c r="M141" s="1873"/>
    </row>
    <row r="142" spans="3:17" s="1859" customFormat="1">
      <c r="C142" s="1871"/>
      <c r="D142" s="1871"/>
      <c r="E142" s="1871"/>
      <c r="F142" s="1871"/>
      <c r="G142" s="1871"/>
      <c r="H142" s="1874"/>
      <c r="I142" s="1871"/>
      <c r="J142" s="1871"/>
      <c r="K142" s="1871"/>
      <c r="L142" s="1872"/>
      <c r="M142" s="1873"/>
    </row>
    <row r="143" spans="3:17" s="1859" customFormat="1">
      <c r="C143" s="1871"/>
      <c r="D143" s="1871"/>
      <c r="E143" s="1871"/>
      <c r="F143" s="1871"/>
      <c r="G143" s="1871"/>
      <c r="H143" s="1874"/>
      <c r="I143" s="1871"/>
      <c r="J143" s="1871"/>
      <c r="K143" s="1871"/>
      <c r="L143" s="1872"/>
      <c r="M143" s="1873"/>
    </row>
    <row r="144" spans="3:17" s="1859" customFormat="1">
      <c r="C144" s="1871"/>
      <c r="D144" s="1871"/>
      <c r="E144" s="1871"/>
      <c r="F144" s="1871"/>
      <c r="G144" s="1871"/>
      <c r="H144" s="1874"/>
      <c r="I144" s="1871"/>
      <c r="J144" s="1871"/>
      <c r="K144" s="1871"/>
      <c r="L144" s="1872"/>
      <c r="M144" s="1873"/>
    </row>
    <row r="145" spans="3:13" s="1859" customFormat="1">
      <c r="C145" s="1871"/>
      <c r="D145" s="1871"/>
      <c r="E145" s="1871"/>
      <c r="F145" s="1871"/>
      <c r="G145" s="1871"/>
      <c r="H145" s="1874"/>
      <c r="I145" s="1871"/>
      <c r="J145" s="1871"/>
      <c r="K145" s="1871"/>
      <c r="L145" s="1872"/>
      <c r="M145" s="1873"/>
    </row>
    <row r="146" spans="3:13" s="1859" customFormat="1">
      <c r="C146" s="1871"/>
      <c r="D146" s="1871"/>
      <c r="E146" s="1871"/>
      <c r="F146" s="1871"/>
      <c r="G146" s="1871"/>
      <c r="H146" s="1874"/>
      <c r="I146" s="1871"/>
      <c r="J146" s="1871"/>
      <c r="K146" s="1871"/>
      <c r="L146" s="1872"/>
      <c r="M146" s="1873"/>
    </row>
    <row r="147" spans="3:13" s="1859" customFormat="1">
      <c r="C147" s="1871"/>
      <c r="D147" s="1871"/>
      <c r="E147" s="1871"/>
      <c r="F147" s="1871"/>
      <c r="G147" s="1871"/>
      <c r="H147" s="1874"/>
      <c r="I147" s="1871"/>
      <c r="J147" s="1871"/>
      <c r="K147" s="1871"/>
      <c r="L147" s="1872"/>
      <c r="M147" s="1873"/>
    </row>
    <row r="148" spans="3:13" s="1859" customFormat="1">
      <c r="C148" s="1871"/>
      <c r="D148" s="1871"/>
      <c r="E148" s="1871"/>
      <c r="F148" s="1871"/>
      <c r="G148" s="1871"/>
      <c r="H148" s="1874"/>
      <c r="I148" s="1871"/>
      <c r="J148" s="1871"/>
      <c r="K148" s="1871"/>
      <c r="L148" s="1872"/>
      <c r="M148" s="1873"/>
    </row>
    <row r="149" spans="3:13" s="1859" customFormat="1">
      <c r="C149" s="1871"/>
      <c r="D149" s="1871"/>
      <c r="E149" s="1871"/>
      <c r="F149" s="1871"/>
      <c r="G149" s="1871"/>
      <c r="H149" s="1874"/>
      <c r="I149" s="1871"/>
      <c r="J149" s="1871"/>
      <c r="K149" s="1871"/>
      <c r="L149" s="1872"/>
      <c r="M149" s="1873"/>
    </row>
    <row r="150" spans="3:13" s="1859" customFormat="1">
      <c r="C150" s="1871"/>
      <c r="D150" s="1871"/>
      <c r="E150" s="1871"/>
      <c r="F150" s="1871"/>
      <c r="G150" s="1871"/>
      <c r="H150" s="1874"/>
      <c r="I150" s="1871"/>
      <c r="J150" s="1871"/>
      <c r="K150" s="1871"/>
      <c r="L150" s="1872"/>
      <c r="M150" s="1873"/>
    </row>
    <row r="151" spans="3:13" s="1859" customFormat="1">
      <c r="C151" s="1871"/>
      <c r="D151" s="1871"/>
      <c r="E151" s="1871"/>
      <c r="F151" s="1871"/>
      <c r="G151" s="1871"/>
      <c r="H151" s="1874"/>
      <c r="I151" s="1871"/>
      <c r="J151" s="1871"/>
      <c r="K151" s="1871"/>
      <c r="L151" s="1872"/>
      <c r="M151" s="1873"/>
    </row>
    <row r="152" spans="3:13" s="1859" customFormat="1">
      <c r="C152" s="1871"/>
      <c r="D152" s="1871"/>
      <c r="E152" s="1871"/>
      <c r="F152" s="1871"/>
      <c r="G152" s="1871"/>
      <c r="H152" s="1874"/>
      <c r="I152" s="1871"/>
      <c r="J152" s="1871"/>
      <c r="K152" s="1871"/>
      <c r="L152" s="1872"/>
      <c r="M152" s="1873"/>
    </row>
    <row r="153" spans="3:13" s="1859" customFormat="1">
      <c r="C153" s="1871"/>
      <c r="D153" s="1871"/>
      <c r="E153" s="1871"/>
      <c r="F153" s="1871"/>
      <c r="G153" s="1871"/>
      <c r="H153" s="1874"/>
      <c r="I153" s="1871"/>
      <c r="J153" s="1871"/>
      <c r="K153" s="1871"/>
      <c r="L153" s="1872"/>
      <c r="M153" s="1873"/>
    </row>
    <row r="154" spans="3:13" s="1859" customFormat="1">
      <c r="C154" s="1871"/>
      <c r="D154" s="1871"/>
      <c r="E154" s="1871"/>
      <c r="F154" s="1871"/>
      <c r="G154" s="1871"/>
      <c r="H154" s="1874"/>
      <c r="I154" s="1871"/>
      <c r="J154" s="1871"/>
      <c r="K154" s="1871"/>
      <c r="L154" s="1872"/>
      <c r="M154" s="1873"/>
    </row>
    <row r="155" spans="3:13" s="1859" customFormat="1">
      <c r="C155" s="1871"/>
      <c r="D155" s="1871"/>
      <c r="E155" s="1871"/>
      <c r="F155" s="1871"/>
      <c r="G155" s="1871"/>
      <c r="H155" s="1874"/>
      <c r="I155" s="1871"/>
      <c r="J155" s="1871"/>
      <c r="K155" s="1871"/>
      <c r="L155" s="1872"/>
      <c r="M155" s="1873"/>
    </row>
    <row r="156" spans="3:13" s="1859" customFormat="1">
      <c r="C156" s="1871"/>
      <c r="D156" s="1871"/>
      <c r="E156" s="1871"/>
      <c r="F156" s="1871"/>
      <c r="G156" s="1871"/>
      <c r="H156" s="1874"/>
      <c r="I156" s="1871"/>
      <c r="J156" s="1871"/>
      <c r="K156" s="1871"/>
      <c r="L156" s="1872"/>
      <c r="M156" s="1873"/>
    </row>
    <row r="157" spans="3:13" s="1859" customFormat="1">
      <c r="C157" s="1871"/>
      <c r="D157" s="1871"/>
      <c r="E157" s="1871"/>
      <c r="F157" s="1871"/>
      <c r="G157" s="1871"/>
      <c r="H157" s="1874"/>
      <c r="I157" s="1871"/>
      <c r="J157" s="1871"/>
      <c r="K157" s="1871"/>
      <c r="L157" s="1872"/>
      <c r="M157" s="1873"/>
    </row>
    <row r="158" spans="3:13" s="1859" customFormat="1">
      <c r="C158" s="1871"/>
      <c r="D158" s="1871"/>
      <c r="E158" s="1871"/>
      <c r="F158" s="1871"/>
      <c r="G158" s="1871"/>
      <c r="H158" s="1874"/>
      <c r="I158" s="1871"/>
      <c r="J158" s="1871"/>
      <c r="K158" s="1871"/>
      <c r="L158" s="1872"/>
      <c r="M158" s="1873"/>
    </row>
    <row r="159" spans="3:13" s="1859" customFormat="1">
      <c r="C159" s="1871"/>
      <c r="D159" s="1871"/>
      <c r="E159" s="1871"/>
      <c r="F159" s="1871"/>
      <c r="G159" s="1871"/>
      <c r="H159" s="1874"/>
      <c r="I159" s="1871"/>
      <c r="J159" s="1871"/>
      <c r="K159" s="1871"/>
      <c r="L159" s="1872"/>
      <c r="M159" s="1873"/>
    </row>
    <row r="160" spans="3:13" s="1859" customFormat="1">
      <c r="C160" s="1871"/>
      <c r="D160" s="1871"/>
      <c r="E160" s="1871"/>
      <c r="F160" s="1871"/>
      <c r="G160" s="1871"/>
      <c r="H160" s="1874"/>
      <c r="I160" s="1871"/>
      <c r="J160" s="1871"/>
      <c r="K160" s="1871"/>
      <c r="L160" s="1872"/>
      <c r="M160" s="1873"/>
    </row>
    <row r="161" spans="3:13" s="1859" customFormat="1">
      <c r="C161" s="1871"/>
      <c r="D161" s="1871"/>
      <c r="E161" s="1871"/>
      <c r="F161" s="1871"/>
      <c r="G161" s="1871"/>
      <c r="H161" s="1874"/>
      <c r="I161" s="1871"/>
      <c r="J161" s="1871"/>
      <c r="K161" s="1871"/>
      <c r="L161" s="1872"/>
      <c r="M161" s="1873"/>
    </row>
    <row r="162" spans="3:13" s="1859" customFormat="1">
      <c r="C162" s="1871"/>
      <c r="D162" s="1871"/>
      <c r="E162" s="1871"/>
      <c r="F162" s="1871"/>
      <c r="G162" s="1871"/>
      <c r="H162" s="1874"/>
      <c r="I162" s="1871"/>
      <c r="J162" s="1871"/>
      <c r="K162" s="1871"/>
      <c r="L162" s="1872"/>
      <c r="M162" s="1873"/>
    </row>
    <row r="163" spans="3:13" s="1859" customFormat="1">
      <c r="C163" s="1871"/>
      <c r="D163" s="1871"/>
      <c r="E163" s="1871"/>
      <c r="F163" s="1871"/>
      <c r="G163" s="1871"/>
      <c r="H163" s="1874"/>
      <c r="I163" s="1871"/>
      <c r="J163" s="1871"/>
      <c r="K163" s="1871"/>
      <c r="L163" s="1872"/>
      <c r="M163" s="1873"/>
    </row>
    <row r="164" spans="3:13" s="1859" customFormat="1">
      <c r="C164" s="1871"/>
      <c r="D164" s="1871"/>
      <c r="E164" s="1871"/>
      <c r="F164" s="1871"/>
      <c r="G164" s="1871"/>
      <c r="H164" s="1874"/>
      <c r="I164" s="1871"/>
      <c r="J164" s="1871"/>
      <c r="K164" s="1871"/>
      <c r="L164" s="1872"/>
      <c r="M164" s="1873"/>
    </row>
    <row r="165" spans="3:13" s="1859" customFormat="1">
      <c r="C165" s="1871"/>
      <c r="D165" s="1871"/>
      <c r="E165" s="1871"/>
      <c r="F165" s="1871"/>
      <c r="G165" s="1871"/>
      <c r="H165" s="1874"/>
      <c r="I165" s="1871"/>
      <c r="J165" s="1871"/>
      <c r="K165" s="1871"/>
      <c r="L165" s="1872"/>
      <c r="M165" s="1873"/>
    </row>
    <row r="166" spans="3:13" s="1859" customFormat="1">
      <c r="C166" s="1871"/>
      <c r="D166" s="1871"/>
      <c r="E166" s="1871"/>
      <c r="F166" s="1871"/>
      <c r="G166" s="1871"/>
      <c r="H166" s="1874"/>
      <c r="I166" s="1871"/>
      <c r="J166" s="1871"/>
      <c r="K166" s="1871"/>
      <c r="L166" s="1872"/>
      <c r="M166" s="1873"/>
    </row>
    <row r="167" spans="3:13" s="1859" customFormat="1">
      <c r="C167" s="1871"/>
      <c r="D167" s="1871"/>
      <c r="E167" s="1871"/>
      <c r="F167" s="1871"/>
      <c r="G167" s="1871"/>
      <c r="H167" s="1874"/>
      <c r="I167" s="1871"/>
      <c r="J167" s="1871"/>
      <c r="K167" s="1871"/>
      <c r="L167" s="1872"/>
      <c r="M167" s="1873"/>
    </row>
    <row r="168" spans="3:13" s="1859" customFormat="1">
      <c r="C168" s="1871"/>
      <c r="D168" s="1871"/>
      <c r="E168" s="1871"/>
      <c r="F168" s="1871"/>
      <c r="G168" s="1871"/>
      <c r="H168" s="1874"/>
      <c r="I168" s="1871"/>
      <c r="J168" s="1871"/>
      <c r="K168" s="1871"/>
      <c r="L168" s="1872"/>
      <c r="M168" s="1873"/>
    </row>
    <row r="169" spans="3:13" s="1859" customFormat="1">
      <c r="C169" s="1871"/>
      <c r="D169" s="1871"/>
      <c r="E169" s="1871"/>
      <c r="F169" s="1871"/>
      <c r="G169" s="1871"/>
      <c r="H169" s="1874"/>
      <c r="I169" s="1871"/>
      <c r="J169" s="1871"/>
      <c r="K169" s="1871"/>
      <c r="L169" s="1872"/>
      <c r="M169" s="1873"/>
    </row>
    <row r="170" spans="3:13" s="1859" customFormat="1">
      <c r="C170" s="1871"/>
      <c r="D170" s="1871"/>
      <c r="E170" s="1871"/>
      <c r="F170" s="1871"/>
      <c r="G170" s="1871"/>
      <c r="H170" s="1874"/>
      <c r="I170" s="1871"/>
      <c r="J170" s="1871"/>
      <c r="K170" s="1871"/>
      <c r="L170" s="1872"/>
      <c r="M170" s="1873"/>
    </row>
    <row r="171" spans="3:13" s="1859" customFormat="1">
      <c r="C171" s="1871"/>
      <c r="D171" s="1871"/>
      <c r="E171" s="1871"/>
      <c r="F171" s="1871"/>
      <c r="G171" s="1871"/>
      <c r="H171" s="1874"/>
      <c r="I171" s="1871"/>
      <c r="J171" s="1871"/>
      <c r="K171" s="1871"/>
      <c r="L171" s="1872"/>
      <c r="M171" s="1873"/>
    </row>
    <row r="172" spans="3:13" s="1859" customFormat="1">
      <c r="C172" s="1871"/>
      <c r="D172" s="1871"/>
      <c r="E172" s="1871"/>
      <c r="F172" s="1871"/>
      <c r="G172" s="1871"/>
      <c r="H172" s="1874"/>
      <c r="I172" s="1871"/>
      <c r="J172" s="1871"/>
      <c r="K172" s="1871"/>
      <c r="L172" s="1872"/>
      <c r="M172" s="1873"/>
    </row>
    <row r="173" spans="3:13" s="1859" customFormat="1">
      <c r="C173" s="1871"/>
      <c r="D173" s="1871"/>
      <c r="E173" s="1871"/>
      <c r="F173" s="1871"/>
      <c r="G173" s="1871"/>
      <c r="H173" s="1874"/>
      <c r="I173" s="1871"/>
      <c r="J173" s="1871"/>
      <c r="K173" s="1871"/>
      <c r="L173" s="1872"/>
      <c r="M173" s="1873"/>
    </row>
    <row r="174" spans="3:13" s="1859" customFormat="1">
      <c r="C174" s="1871"/>
      <c r="D174" s="1871"/>
      <c r="E174" s="1871"/>
      <c r="F174" s="1871"/>
      <c r="G174" s="1871"/>
      <c r="H174" s="1874"/>
      <c r="I174" s="1871"/>
      <c r="J174" s="1871"/>
      <c r="K174" s="1871"/>
      <c r="L174" s="1872"/>
      <c r="M174" s="1873"/>
    </row>
    <row r="175" spans="3:13" s="1859" customFormat="1">
      <c r="C175" s="1871"/>
      <c r="D175" s="1871"/>
      <c r="E175" s="1871"/>
      <c r="F175" s="1871"/>
      <c r="G175" s="1871"/>
      <c r="H175" s="1874"/>
      <c r="I175" s="1871"/>
      <c r="J175" s="1871"/>
      <c r="K175" s="1871"/>
      <c r="L175" s="1872"/>
      <c r="M175" s="1873"/>
    </row>
    <row r="176" spans="3:13" s="1859" customFormat="1">
      <c r="C176" s="1871"/>
      <c r="D176" s="1871"/>
      <c r="E176" s="1871"/>
      <c r="F176" s="1871"/>
      <c r="G176" s="1871"/>
      <c r="H176" s="1874"/>
      <c r="I176" s="1871"/>
      <c r="J176" s="1871"/>
      <c r="K176" s="1871"/>
      <c r="L176" s="1872"/>
      <c r="M176" s="1873"/>
    </row>
    <row r="177" spans="3:13" s="1859" customFormat="1">
      <c r="C177" s="1871"/>
      <c r="D177" s="1871"/>
      <c r="E177" s="1871"/>
      <c r="F177" s="1871"/>
      <c r="G177" s="1871"/>
      <c r="H177" s="1874"/>
      <c r="I177" s="1871"/>
      <c r="J177" s="1871"/>
      <c r="K177" s="1871"/>
      <c r="L177" s="1872"/>
      <c r="M177" s="1873"/>
    </row>
    <row r="178" spans="3:13" s="1859" customFormat="1">
      <c r="C178" s="1871"/>
      <c r="D178" s="1871"/>
      <c r="E178" s="1871"/>
      <c r="F178" s="1871"/>
      <c r="G178" s="1871"/>
      <c r="H178" s="1874"/>
      <c r="I178" s="1871"/>
      <c r="J178" s="1871"/>
      <c r="K178" s="1871"/>
      <c r="L178" s="1872"/>
      <c r="M178" s="1873"/>
    </row>
    <row r="179" spans="3:13" s="1859" customFormat="1">
      <c r="C179" s="1871"/>
      <c r="D179" s="1871"/>
      <c r="E179" s="1871"/>
      <c r="F179" s="1871"/>
      <c r="G179" s="1871"/>
      <c r="H179" s="1874"/>
      <c r="I179" s="1871"/>
      <c r="J179" s="1871"/>
      <c r="K179" s="1871"/>
      <c r="L179" s="1872"/>
      <c r="M179" s="1873"/>
    </row>
    <row r="180" spans="3:13" s="1859" customFormat="1">
      <c r="C180" s="1871"/>
      <c r="D180" s="1871"/>
      <c r="E180" s="1871"/>
      <c r="F180" s="1871"/>
      <c r="G180" s="1871"/>
      <c r="H180" s="1874"/>
      <c r="I180" s="1871"/>
      <c r="J180" s="1871"/>
      <c r="K180" s="1871"/>
      <c r="L180" s="1872"/>
      <c r="M180" s="1873"/>
    </row>
    <row r="181" spans="3:13" s="1859" customFormat="1">
      <c r="C181" s="1871"/>
      <c r="D181" s="1871"/>
      <c r="E181" s="1871"/>
      <c r="F181" s="1871"/>
      <c r="G181" s="1871"/>
      <c r="H181" s="1874"/>
      <c r="I181" s="1871"/>
      <c r="J181" s="1871"/>
      <c r="K181" s="1871"/>
      <c r="L181" s="1872"/>
      <c r="M181" s="1873"/>
    </row>
    <row r="182" spans="3:13" s="1859" customFormat="1">
      <c r="C182" s="1871"/>
      <c r="D182" s="1871"/>
      <c r="E182" s="1871"/>
      <c r="F182" s="1871"/>
      <c r="G182" s="1871"/>
      <c r="H182" s="1874"/>
      <c r="I182" s="1871"/>
      <c r="J182" s="1871"/>
      <c r="K182" s="1871"/>
      <c r="L182" s="1872"/>
      <c r="M182" s="1873"/>
    </row>
    <row r="183" spans="3:13" s="1859" customFormat="1">
      <c r="C183" s="1871"/>
      <c r="D183" s="1871"/>
      <c r="E183" s="1871"/>
      <c r="F183" s="1871"/>
      <c r="G183" s="1871"/>
      <c r="H183" s="1874"/>
      <c r="I183" s="1871"/>
      <c r="J183" s="1871"/>
      <c r="K183" s="1871"/>
      <c r="L183" s="1872"/>
      <c r="M183" s="1873"/>
    </row>
    <row r="184" spans="3:13" s="1859" customFormat="1">
      <c r="C184" s="1871"/>
      <c r="D184" s="1871"/>
      <c r="E184" s="1871"/>
      <c r="F184" s="1871"/>
      <c r="G184" s="1871"/>
      <c r="H184" s="1874"/>
      <c r="I184" s="1871"/>
      <c r="J184" s="1871"/>
      <c r="K184" s="1871"/>
      <c r="L184" s="1872"/>
      <c r="M184" s="1873"/>
    </row>
    <row r="185" spans="3:13" s="1859" customFormat="1">
      <c r="C185" s="1871"/>
      <c r="D185" s="1871"/>
      <c r="E185" s="1871"/>
      <c r="F185" s="1871"/>
      <c r="G185" s="1871"/>
      <c r="H185" s="1874"/>
      <c r="I185" s="1871"/>
      <c r="J185" s="1871"/>
      <c r="K185" s="1871"/>
      <c r="L185" s="1872"/>
      <c r="M185" s="1873"/>
    </row>
    <row r="186" spans="3:13" s="1859" customFormat="1">
      <c r="C186" s="1871"/>
      <c r="D186" s="1871"/>
      <c r="E186" s="1871"/>
      <c r="F186" s="1871"/>
      <c r="G186" s="1871"/>
      <c r="H186" s="1874"/>
      <c r="I186" s="1871"/>
      <c r="J186" s="1871"/>
      <c r="K186" s="1871"/>
      <c r="L186" s="1872"/>
      <c r="M186" s="1873"/>
    </row>
    <row r="187" spans="3:13" s="1859" customFormat="1">
      <c r="C187" s="1871"/>
      <c r="D187" s="1871"/>
      <c r="E187" s="1871"/>
      <c r="F187" s="1871"/>
      <c r="G187" s="1871"/>
      <c r="H187" s="1874"/>
      <c r="I187" s="1871"/>
      <c r="J187" s="1871"/>
      <c r="K187" s="1871"/>
      <c r="L187" s="1872"/>
      <c r="M187" s="1873"/>
    </row>
    <row r="188" spans="3:13" s="1859" customFormat="1">
      <c r="C188" s="1871"/>
      <c r="D188" s="1871"/>
      <c r="E188" s="1871"/>
      <c r="F188" s="1871"/>
      <c r="G188" s="1871"/>
      <c r="H188" s="1874"/>
      <c r="I188" s="1871"/>
      <c r="J188" s="1871"/>
      <c r="K188" s="1871"/>
      <c r="L188" s="1872"/>
      <c r="M188" s="1873"/>
    </row>
    <row r="189" spans="3:13" s="1859" customFormat="1">
      <c r="C189" s="1871"/>
      <c r="D189" s="1871"/>
      <c r="E189" s="1871"/>
      <c r="F189" s="1871"/>
      <c r="G189" s="1871"/>
      <c r="H189" s="1874"/>
      <c r="I189" s="1871"/>
      <c r="J189" s="1871"/>
      <c r="K189" s="1871"/>
      <c r="L189" s="1872"/>
      <c r="M189" s="1873"/>
    </row>
    <row r="190" spans="3:13" s="1859" customFormat="1">
      <c r="C190" s="1871"/>
      <c r="D190" s="1871"/>
      <c r="E190" s="1871"/>
      <c r="F190" s="1871"/>
      <c r="G190" s="1871"/>
      <c r="H190" s="1874"/>
      <c r="I190" s="1871"/>
      <c r="J190" s="1871"/>
      <c r="K190" s="1871"/>
      <c r="L190" s="1872"/>
      <c r="M190" s="1873"/>
    </row>
    <row r="191" spans="3:13" s="1859" customFormat="1">
      <c r="C191" s="1871"/>
      <c r="D191" s="1871"/>
      <c r="E191" s="1871"/>
      <c r="F191" s="1871"/>
      <c r="G191" s="1871"/>
      <c r="H191" s="1874"/>
      <c r="I191" s="1871"/>
      <c r="J191" s="1871"/>
      <c r="K191" s="1871"/>
      <c r="L191" s="1872"/>
      <c r="M191" s="1873"/>
    </row>
    <row r="192" spans="3:13" s="1859" customFormat="1">
      <c r="C192" s="1871"/>
      <c r="D192" s="1871"/>
      <c r="E192" s="1871"/>
      <c r="F192" s="1871"/>
      <c r="G192" s="1871"/>
      <c r="H192" s="1874"/>
      <c r="I192" s="1871"/>
      <c r="J192" s="1871"/>
      <c r="K192" s="1871"/>
      <c r="L192" s="1872"/>
      <c r="M192" s="1873"/>
    </row>
    <row r="193" spans="3:13" s="1859" customFormat="1">
      <c r="C193" s="1871"/>
      <c r="D193" s="1871"/>
      <c r="E193" s="1871"/>
      <c r="F193" s="1871"/>
      <c r="G193" s="1871"/>
      <c r="H193" s="1874"/>
      <c r="I193" s="1871"/>
      <c r="J193" s="1871"/>
      <c r="K193" s="1871"/>
      <c r="L193" s="1872"/>
      <c r="M193" s="1873"/>
    </row>
    <row r="194" spans="3:13" s="1859" customFormat="1">
      <c r="C194" s="1871"/>
      <c r="D194" s="1871"/>
      <c r="E194" s="1871"/>
      <c r="F194" s="1871"/>
      <c r="G194" s="1871"/>
      <c r="H194" s="1874"/>
      <c r="I194" s="1871"/>
      <c r="J194" s="1871"/>
      <c r="K194" s="1871"/>
      <c r="L194" s="1872"/>
      <c r="M194" s="1873"/>
    </row>
    <row r="195" spans="3:13" s="1859" customFormat="1">
      <c r="C195" s="1871"/>
      <c r="D195" s="1871"/>
      <c r="E195" s="1871"/>
      <c r="F195" s="1871"/>
      <c r="G195" s="1871"/>
      <c r="H195" s="1874"/>
      <c r="I195" s="1871"/>
      <c r="J195" s="1871"/>
      <c r="K195" s="1871"/>
      <c r="L195" s="1872"/>
      <c r="M195" s="1873"/>
    </row>
    <row r="196" spans="3:13" s="1859" customFormat="1">
      <c r="C196" s="1871"/>
      <c r="D196" s="1871"/>
      <c r="E196" s="1871"/>
      <c r="F196" s="1871"/>
      <c r="G196" s="1871"/>
      <c r="H196" s="1874"/>
      <c r="I196" s="1871"/>
      <c r="J196" s="1871"/>
      <c r="K196" s="1871"/>
      <c r="L196" s="1872"/>
      <c r="M196" s="1873"/>
    </row>
    <row r="197" spans="3:13" s="1859" customFormat="1">
      <c r="C197" s="1871"/>
      <c r="D197" s="1871"/>
      <c r="E197" s="1871"/>
      <c r="F197" s="1871"/>
      <c r="G197" s="1871"/>
      <c r="H197" s="1874"/>
      <c r="I197" s="1871"/>
      <c r="J197" s="1871"/>
      <c r="K197" s="1871"/>
      <c r="L197" s="1872"/>
      <c r="M197" s="1873"/>
    </row>
    <row r="198" spans="3:13" s="1859" customFormat="1">
      <c r="C198" s="1871"/>
      <c r="D198" s="1871"/>
      <c r="E198" s="1871"/>
      <c r="F198" s="1871"/>
      <c r="G198" s="1871"/>
      <c r="H198" s="1874"/>
      <c r="I198" s="1871"/>
      <c r="J198" s="1871"/>
      <c r="K198" s="1871"/>
      <c r="L198" s="1872"/>
      <c r="M198" s="1873"/>
    </row>
    <row r="199" spans="3:13" s="1859" customFormat="1">
      <c r="C199" s="1871"/>
      <c r="D199" s="1871"/>
      <c r="E199" s="1871"/>
      <c r="F199" s="1871"/>
      <c r="G199" s="1871"/>
      <c r="H199" s="1874"/>
      <c r="I199" s="1871"/>
      <c r="J199" s="1871"/>
      <c r="K199" s="1871"/>
      <c r="L199" s="1872"/>
      <c r="M199" s="1873"/>
    </row>
    <row r="200" spans="3:13" s="1859" customFormat="1">
      <c r="C200" s="1871"/>
      <c r="D200" s="1871"/>
      <c r="E200" s="1871"/>
      <c r="F200" s="1871"/>
      <c r="G200" s="1871"/>
      <c r="H200" s="1874"/>
      <c r="I200" s="1871"/>
      <c r="J200" s="1871"/>
      <c r="K200" s="1871"/>
      <c r="L200" s="1872"/>
      <c r="M200" s="1873"/>
    </row>
    <row r="201" spans="3:13" s="1859" customFormat="1">
      <c r="C201" s="1871"/>
      <c r="D201" s="1871"/>
      <c r="E201" s="1871"/>
      <c r="F201" s="1871"/>
      <c r="G201" s="1871"/>
      <c r="H201" s="1874"/>
      <c r="I201" s="1871"/>
      <c r="J201" s="1871"/>
      <c r="K201" s="1871"/>
      <c r="L201" s="1872"/>
      <c r="M201" s="1873"/>
    </row>
    <row r="202" spans="3:13" s="1859" customFormat="1">
      <c r="C202" s="1871"/>
      <c r="D202" s="1871"/>
      <c r="E202" s="1871"/>
      <c r="F202" s="1871"/>
      <c r="G202" s="1871"/>
      <c r="H202" s="1874"/>
      <c r="I202" s="1871"/>
      <c r="J202" s="1871"/>
      <c r="K202" s="1871"/>
      <c r="L202" s="1872"/>
      <c r="M202" s="1873"/>
    </row>
    <row r="203" spans="3:13" s="1859" customFormat="1">
      <c r="C203" s="1871"/>
      <c r="D203" s="1871"/>
      <c r="E203" s="1871"/>
      <c r="F203" s="1871"/>
      <c r="G203" s="1871"/>
      <c r="H203" s="1874"/>
      <c r="I203" s="1871"/>
      <c r="J203" s="1871"/>
      <c r="K203" s="1871"/>
      <c r="L203" s="1872"/>
      <c r="M203" s="1873"/>
    </row>
    <row r="204" spans="3:13" s="1859" customFormat="1">
      <c r="C204" s="1871"/>
      <c r="D204" s="1871"/>
      <c r="E204" s="1871"/>
      <c r="F204" s="1871"/>
      <c r="G204" s="1871"/>
      <c r="H204" s="1874"/>
      <c r="I204" s="1871"/>
      <c r="J204" s="1871"/>
      <c r="K204" s="1871"/>
      <c r="L204" s="1872"/>
      <c r="M204" s="1873"/>
    </row>
    <row r="205" spans="3:13" s="1859" customFormat="1">
      <c r="C205" s="1871"/>
      <c r="D205" s="1871"/>
      <c r="E205" s="1871"/>
      <c r="F205" s="1871"/>
      <c r="G205" s="1871"/>
      <c r="H205" s="1874"/>
      <c r="I205" s="1871"/>
      <c r="J205" s="1871"/>
      <c r="K205" s="1871"/>
      <c r="L205" s="1872"/>
      <c r="M205" s="1873"/>
    </row>
    <row r="206" spans="3:13" s="1859" customFormat="1">
      <c r="C206" s="1871"/>
      <c r="D206" s="1871"/>
      <c r="E206" s="1871"/>
      <c r="F206" s="1871"/>
      <c r="G206" s="1871"/>
      <c r="H206" s="1874"/>
      <c r="I206" s="1871"/>
      <c r="J206" s="1871"/>
      <c r="K206" s="1871"/>
      <c r="L206" s="1872"/>
      <c r="M206" s="1873"/>
    </row>
    <row r="207" spans="3:13" s="1859" customFormat="1">
      <c r="C207" s="1871"/>
      <c r="D207" s="1871"/>
      <c r="E207" s="1871"/>
      <c r="F207" s="1871"/>
      <c r="G207" s="1871"/>
      <c r="H207" s="1874"/>
      <c r="I207" s="1871"/>
      <c r="J207" s="1871"/>
      <c r="K207" s="1871"/>
      <c r="L207" s="1872"/>
      <c r="M207" s="1873"/>
    </row>
    <row r="208" spans="3:13" s="1859" customFormat="1">
      <c r="C208" s="1871"/>
      <c r="D208" s="1871"/>
      <c r="E208" s="1871"/>
      <c r="F208" s="1871"/>
      <c r="G208" s="1871"/>
      <c r="H208" s="1874"/>
      <c r="I208" s="1871"/>
      <c r="J208" s="1871"/>
      <c r="K208" s="1871"/>
      <c r="L208" s="1872"/>
      <c r="M208" s="1873"/>
    </row>
    <row r="209" spans="3:13" s="1859" customFormat="1">
      <c r="C209" s="1871"/>
      <c r="D209" s="1871"/>
      <c r="E209" s="1871"/>
      <c r="F209" s="1871"/>
      <c r="G209" s="1871"/>
      <c r="H209" s="1874"/>
      <c r="I209" s="1871"/>
      <c r="J209" s="1871"/>
      <c r="K209" s="1871"/>
      <c r="L209" s="1872"/>
      <c r="M209" s="1873"/>
    </row>
    <row r="210" spans="3:13" s="1859" customFormat="1">
      <c r="C210" s="1871"/>
      <c r="D210" s="1871"/>
      <c r="E210" s="1871"/>
      <c r="F210" s="1871"/>
      <c r="G210" s="1871"/>
      <c r="H210" s="1874"/>
      <c r="I210" s="1871"/>
      <c r="J210" s="1871"/>
      <c r="K210" s="1871"/>
      <c r="L210" s="1872"/>
      <c r="M210" s="1873"/>
    </row>
    <row r="211" spans="3:13" s="1859" customFormat="1">
      <c r="C211" s="1871"/>
      <c r="D211" s="1871"/>
      <c r="E211" s="1871"/>
      <c r="F211" s="1871"/>
      <c r="G211" s="1871"/>
      <c r="H211" s="1874"/>
      <c r="I211" s="1871"/>
      <c r="J211" s="1871"/>
      <c r="K211" s="1871"/>
      <c r="L211" s="1872"/>
      <c r="M211" s="1873"/>
    </row>
    <row r="212" spans="3:13" s="1859" customFormat="1">
      <c r="C212" s="1871"/>
      <c r="D212" s="1871"/>
      <c r="E212" s="1871"/>
      <c r="F212" s="1871"/>
      <c r="G212" s="1871"/>
      <c r="H212" s="1874"/>
      <c r="I212" s="1871"/>
      <c r="J212" s="1871"/>
      <c r="K212" s="1871"/>
      <c r="L212" s="1872"/>
      <c r="M212" s="1873"/>
    </row>
    <row r="213" spans="3:13" s="1859" customFormat="1">
      <c r="C213" s="1871"/>
      <c r="D213" s="1871"/>
      <c r="E213" s="1871"/>
      <c r="F213" s="1871"/>
      <c r="G213" s="1871"/>
      <c r="H213" s="1874"/>
      <c r="I213" s="1871"/>
      <c r="J213" s="1871"/>
      <c r="K213" s="1871"/>
      <c r="L213" s="1872"/>
      <c r="M213" s="1873"/>
    </row>
    <row r="214" spans="3:13" s="1859" customFormat="1">
      <c r="C214" s="1871"/>
      <c r="D214" s="1871"/>
      <c r="E214" s="1871"/>
      <c r="F214" s="1871"/>
      <c r="G214" s="1871"/>
      <c r="H214" s="1874"/>
      <c r="I214" s="1871"/>
      <c r="J214" s="1871"/>
      <c r="K214" s="1871"/>
      <c r="L214" s="1872"/>
      <c r="M214" s="1873"/>
    </row>
    <row r="215" spans="3:13" s="1859" customFormat="1">
      <c r="C215" s="1871"/>
      <c r="D215" s="1871"/>
      <c r="E215" s="1871"/>
      <c r="F215" s="1871"/>
      <c r="G215" s="1871"/>
      <c r="H215" s="1874"/>
      <c r="I215" s="1871"/>
      <c r="J215" s="1871"/>
      <c r="K215" s="1871"/>
      <c r="L215" s="1872"/>
      <c r="M215" s="1873"/>
    </row>
    <row r="216" spans="3:13" s="1859" customFormat="1">
      <c r="C216" s="1871"/>
      <c r="D216" s="1871"/>
      <c r="E216" s="1871"/>
      <c r="F216" s="1871"/>
      <c r="G216" s="1871"/>
      <c r="H216" s="1874"/>
      <c r="I216" s="1871"/>
      <c r="J216" s="1871"/>
      <c r="K216" s="1871"/>
      <c r="L216" s="1872"/>
      <c r="M216" s="1873"/>
    </row>
    <row r="217" spans="3:13" s="1859" customFormat="1">
      <c r="C217" s="1871"/>
      <c r="D217" s="1871"/>
      <c r="E217" s="1871"/>
      <c r="F217" s="1871"/>
      <c r="G217" s="1871"/>
      <c r="H217" s="1874"/>
      <c r="I217" s="1871"/>
      <c r="J217" s="1871"/>
      <c r="K217" s="1871"/>
      <c r="L217" s="1872"/>
      <c r="M217" s="1873"/>
    </row>
    <row r="218" spans="3:13" s="1859" customFormat="1">
      <c r="C218" s="1871"/>
      <c r="D218" s="1871"/>
      <c r="E218" s="1871"/>
      <c r="F218" s="1871"/>
      <c r="G218" s="1871"/>
      <c r="H218" s="1874"/>
      <c r="I218" s="1871"/>
      <c r="J218" s="1871"/>
      <c r="K218" s="1871"/>
      <c r="L218" s="1872"/>
      <c r="M218" s="1873"/>
    </row>
    <row r="219" spans="3:13" s="1859" customFormat="1">
      <c r="C219" s="1871"/>
      <c r="D219" s="1871"/>
      <c r="E219" s="1871"/>
      <c r="F219" s="1871"/>
      <c r="G219" s="1871"/>
      <c r="H219" s="1874"/>
      <c r="I219" s="1871"/>
      <c r="J219" s="1871"/>
      <c r="K219" s="1871"/>
      <c r="L219" s="1872"/>
      <c r="M219" s="1873"/>
    </row>
    <row r="220" spans="3:13" s="1859" customFormat="1">
      <c r="C220" s="1871"/>
      <c r="D220" s="1871"/>
      <c r="E220" s="1871"/>
      <c r="F220" s="1871"/>
      <c r="G220" s="1871"/>
      <c r="H220" s="1874"/>
      <c r="I220" s="1871"/>
      <c r="J220" s="1871"/>
      <c r="K220" s="1871"/>
      <c r="L220" s="1872"/>
      <c r="M220" s="1873"/>
    </row>
    <row r="221" spans="3:13" s="1859" customFormat="1">
      <c r="C221" s="1871"/>
      <c r="D221" s="1871"/>
      <c r="E221" s="1871"/>
      <c r="F221" s="1871"/>
      <c r="G221" s="1871"/>
      <c r="H221" s="1874"/>
      <c r="I221" s="1871"/>
      <c r="J221" s="1871"/>
      <c r="K221" s="1871"/>
      <c r="L221" s="1872"/>
      <c r="M221" s="1873"/>
    </row>
    <row r="222" spans="3:13" s="1859" customFormat="1">
      <c r="C222" s="1871"/>
      <c r="D222" s="1871"/>
      <c r="E222" s="1871"/>
      <c r="F222" s="1871"/>
      <c r="G222" s="1871"/>
      <c r="H222" s="1874"/>
      <c r="I222" s="1871"/>
      <c r="J222" s="1871"/>
      <c r="K222" s="1871"/>
      <c r="L222" s="1872"/>
      <c r="M222" s="1873"/>
    </row>
    <row r="223" spans="3:13" s="1859" customFormat="1">
      <c r="C223" s="1871"/>
      <c r="D223" s="1871"/>
      <c r="E223" s="1871"/>
      <c r="F223" s="1871"/>
      <c r="G223" s="1871"/>
      <c r="H223" s="1874"/>
      <c r="I223" s="1871"/>
      <c r="J223" s="1871"/>
      <c r="K223" s="1871"/>
      <c r="L223" s="1872"/>
      <c r="M223" s="1873"/>
    </row>
    <row r="224" spans="3:13" s="1859" customFormat="1">
      <c r="C224" s="1871"/>
      <c r="D224" s="1871"/>
      <c r="E224" s="1871"/>
      <c r="F224" s="1871"/>
      <c r="G224" s="1871"/>
      <c r="H224" s="1874"/>
      <c r="I224" s="1871"/>
      <c r="J224" s="1871"/>
      <c r="K224" s="1871"/>
      <c r="L224" s="1872"/>
      <c r="M224" s="1873"/>
    </row>
    <row r="225" spans="3:13" s="1859" customFormat="1">
      <c r="C225" s="1871"/>
      <c r="D225" s="1871"/>
      <c r="E225" s="1871"/>
      <c r="F225" s="1871"/>
      <c r="G225" s="1871"/>
      <c r="H225" s="1874"/>
      <c r="I225" s="1871"/>
      <c r="J225" s="1871"/>
      <c r="K225" s="1871"/>
      <c r="L225" s="1872"/>
      <c r="M225" s="1873"/>
    </row>
    <row r="226" spans="3:13" s="1859" customFormat="1">
      <c r="C226" s="1871"/>
      <c r="D226" s="1871"/>
      <c r="E226" s="1871"/>
      <c r="F226" s="1871"/>
      <c r="G226" s="1871"/>
      <c r="H226" s="1874"/>
      <c r="I226" s="1871"/>
      <c r="J226" s="1871"/>
      <c r="K226" s="1871"/>
      <c r="L226" s="1872"/>
      <c r="M226" s="1873"/>
    </row>
    <row r="227" spans="3:13" s="1859" customFormat="1">
      <c r="C227" s="1871"/>
      <c r="D227" s="1871"/>
      <c r="E227" s="1871"/>
      <c r="F227" s="1871"/>
      <c r="G227" s="1871"/>
      <c r="H227" s="1874"/>
      <c r="I227" s="1871"/>
      <c r="J227" s="1871"/>
      <c r="K227" s="1871"/>
      <c r="L227" s="1872"/>
      <c r="M227" s="1873"/>
    </row>
    <row r="228" spans="3:13" s="1859" customFormat="1">
      <c r="C228" s="1871"/>
      <c r="D228" s="1871"/>
      <c r="E228" s="1871"/>
      <c r="F228" s="1871"/>
      <c r="G228" s="1871"/>
      <c r="H228" s="1874"/>
      <c r="I228" s="1871"/>
      <c r="J228" s="1871"/>
      <c r="K228" s="1871"/>
      <c r="L228" s="1872"/>
      <c r="M228" s="1873"/>
    </row>
    <row r="229" spans="3:13" s="1859" customFormat="1">
      <c r="C229" s="1871"/>
      <c r="D229" s="1871"/>
      <c r="E229" s="1871"/>
      <c r="F229" s="1871"/>
      <c r="G229" s="1871"/>
      <c r="H229" s="1874"/>
      <c r="I229" s="1871"/>
      <c r="J229" s="1871"/>
      <c r="K229" s="1871"/>
      <c r="L229" s="1872"/>
      <c r="M229" s="1873"/>
    </row>
    <row r="230" spans="3:13" s="1859" customFormat="1">
      <c r="C230" s="1871"/>
      <c r="D230" s="1871"/>
      <c r="E230" s="1871"/>
      <c r="F230" s="1871"/>
      <c r="G230" s="1871"/>
      <c r="H230" s="1874"/>
      <c r="I230" s="1871"/>
      <c r="J230" s="1871"/>
      <c r="K230" s="1871"/>
      <c r="L230" s="1872"/>
      <c r="M230" s="1873"/>
    </row>
    <row r="231" spans="3:13" s="1859" customFormat="1">
      <c r="C231" s="1871"/>
      <c r="D231" s="1871"/>
      <c r="E231" s="1871"/>
      <c r="F231" s="1871"/>
      <c r="G231" s="1871"/>
      <c r="H231" s="1874"/>
      <c r="I231" s="1871"/>
      <c r="J231" s="1871"/>
      <c r="K231" s="1871"/>
      <c r="L231" s="1872"/>
      <c r="M231" s="1873"/>
    </row>
    <row r="232" spans="3:13" s="1859" customFormat="1">
      <c r="C232" s="1871"/>
      <c r="D232" s="1871"/>
      <c r="E232" s="1871"/>
      <c r="F232" s="1871"/>
      <c r="G232" s="1871"/>
      <c r="H232" s="1874"/>
      <c r="I232" s="1871"/>
      <c r="J232" s="1871"/>
      <c r="K232" s="1871"/>
      <c r="L232" s="1872"/>
      <c r="M232" s="1873"/>
    </row>
    <row r="233" spans="3:13" s="1859" customFormat="1">
      <c r="C233" s="1871"/>
      <c r="D233" s="1871"/>
      <c r="E233" s="1871"/>
      <c r="F233" s="1871"/>
      <c r="G233" s="1871"/>
      <c r="H233" s="1874"/>
      <c r="I233" s="1871"/>
      <c r="J233" s="1871"/>
      <c r="K233" s="1871"/>
      <c r="L233" s="1872"/>
      <c r="M233" s="1873"/>
    </row>
    <row r="234" spans="3:13" s="1859" customFormat="1">
      <c r="C234" s="1871"/>
      <c r="D234" s="1871"/>
      <c r="E234" s="1871"/>
      <c r="F234" s="1871"/>
      <c r="G234" s="1871"/>
      <c r="H234" s="1874"/>
      <c r="I234" s="1871"/>
      <c r="J234" s="1871"/>
      <c r="K234" s="1871"/>
      <c r="L234" s="1872"/>
      <c r="M234" s="1873"/>
    </row>
    <row r="235" spans="3:13" s="1859" customFormat="1">
      <c r="C235" s="1871"/>
      <c r="D235" s="1871"/>
      <c r="E235" s="1871"/>
      <c r="F235" s="1871"/>
      <c r="G235" s="1871"/>
      <c r="H235" s="1874"/>
      <c r="I235" s="1871"/>
      <c r="J235" s="1871"/>
      <c r="K235" s="1871"/>
      <c r="L235" s="1872"/>
      <c r="M235" s="1873"/>
    </row>
    <row r="236" spans="3:13" s="1859" customFormat="1">
      <c r="C236" s="1871"/>
      <c r="D236" s="1871"/>
      <c r="E236" s="1871"/>
      <c r="F236" s="1871"/>
      <c r="G236" s="1871"/>
      <c r="H236" s="1874"/>
      <c r="I236" s="1871"/>
      <c r="J236" s="1871"/>
      <c r="K236" s="1871"/>
      <c r="L236" s="1872"/>
      <c r="M236" s="1873"/>
    </row>
    <row r="237" spans="3:13" s="1859" customFormat="1">
      <c r="C237" s="1871"/>
      <c r="D237" s="1871"/>
      <c r="E237" s="1871"/>
      <c r="F237" s="1871"/>
      <c r="G237" s="1871"/>
      <c r="H237" s="1874"/>
      <c r="I237" s="1871"/>
      <c r="J237" s="1871"/>
      <c r="K237" s="1871"/>
      <c r="L237" s="1872"/>
      <c r="M237" s="1873"/>
    </row>
    <row r="238" spans="3:13" s="1859" customFormat="1">
      <c r="C238" s="1871"/>
      <c r="D238" s="1871"/>
      <c r="E238" s="1871"/>
      <c r="F238" s="1871"/>
      <c r="G238" s="1871"/>
      <c r="H238" s="1874"/>
      <c r="I238" s="1871"/>
      <c r="J238" s="1871"/>
      <c r="K238" s="1871"/>
      <c r="L238" s="1872"/>
      <c r="M238" s="1873"/>
    </row>
    <row r="239" spans="3:13" s="1859" customFormat="1">
      <c r="C239" s="1871"/>
      <c r="D239" s="1871"/>
      <c r="E239" s="1871"/>
      <c r="F239" s="1871"/>
      <c r="G239" s="1871"/>
      <c r="H239" s="1874"/>
      <c r="I239" s="1871"/>
      <c r="J239" s="1871"/>
      <c r="K239" s="1871"/>
      <c r="L239" s="1872"/>
      <c r="M239" s="1873"/>
    </row>
    <row r="240" spans="3:13" s="1859" customFormat="1">
      <c r="C240" s="1871"/>
      <c r="D240" s="1871"/>
      <c r="E240" s="1871"/>
      <c r="F240" s="1871"/>
      <c r="G240" s="1871"/>
      <c r="H240" s="1874"/>
      <c r="I240" s="1871"/>
      <c r="J240" s="1871"/>
      <c r="K240" s="1871"/>
      <c r="L240" s="1872"/>
      <c r="M240" s="1873"/>
    </row>
    <row r="241" spans="3:13" s="1859" customFormat="1">
      <c r="C241" s="1871"/>
      <c r="D241" s="1871"/>
      <c r="E241" s="1871"/>
      <c r="F241" s="1871"/>
      <c r="G241" s="1871"/>
      <c r="H241" s="1874"/>
      <c r="I241" s="1871"/>
      <c r="J241" s="1871"/>
      <c r="K241" s="1871"/>
      <c r="L241" s="1872"/>
      <c r="M241" s="1873"/>
    </row>
    <row r="242" spans="3:13" s="1859" customFormat="1">
      <c r="C242" s="1871"/>
      <c r="D242" s="1871"/>
      <c r="E242" s="1871"/>
      <c r="F242" s="1871"/>
      <c r="G242" s="1871"/>
      <c r="H242" s="1874"/>
      <c r="I242" s="1871"/>
      <c r="J242" s="1871"/>
      <c r="K242" s="1871"/>
      <c r="L242" s="1872"/>
      <c r="M242" s="1873"/>
    </row>
    <row r="243" spans="3:13" s="1859" customFormat="1">
      <c r="C243" s="1871"/>
      <c r="D243" s="1871"/>
      <c r="E243" s="1871"/>
      <c r="F243" s="1871"/>
      <c r="G243" s="1871"/>
      <c r="H243" s="1874"/>
      <c r="I243" s="1871"/>
      <c r="J243" s="1871"/>
      <c r="K243" s="1871"/>
      <c r="L243" s="1872"/>
      <c r="M243" s="1873"/>
    </row>
    <row r="244" spans="3:13" s="1859" customFormat="1">
      <c r="C244" s="1871"/>
      <c r="D244" s="1871"/>
      <c r="E244" s="1871"/>
      <c r="F244" s="1871"/>
      <c r="G244" s="1871"/>
      <c r="H244" s="1874"/>
      <c r="I244" s="1871"/>
      <c r="J244" s="1871"/>
      <c r="K244" s="1871"/>
      <c r="L244" s="1872"/>
      <c r="M244" s="1873"/>
    </row>
    <row r="245" spans="3:13" s="1859" customFormat="1">
      <c r="C245" s="1871"/>
      <c r="D245" s="1871"/>
      <c r="E245" s="1871"/>
      <c r="F245" s="1871"/>
      <c r="G245" s="1871"/>
      <c r="H245" s="1874"/>
      <c r="I245" s="1871"/>
      <c r="J245" s="1871"/>
      <c r="K245" s="1871"/>
      <c r="L245" s="1872"/>
      <c r="M245" s="1873"/>
    </row>
    <row r="246" spans="3:13" s="1859" customFormat="1">
      <c r="C246" s="1871"/>
      <c r="D246" s="1871"/>
      <c r="E246" s="1871"/>
      <c r="F246" s="1871"/>
      <c r="G246" s="1871"/>
      <c r="H246" s="1874"/>
      <c r="I246" s="1871"/>
      <c r="J246" s="1871"/>
      <c r="K246" s="1871"/>
      <c r="L246" s="1872"/>
      <c r="M246" s="1873"/>
    </row>
    <row r="247" spans="3:13" s="1859" customFormat="1">
      <c r="C247" s="1871"/>
      <c r="D247" s="1871"/>
      <c r="E247" s="1871"/>
      <c r="F247" s="1871"/>
      <c r="G247" s="1871"/>
      <c r="H247" s="1874"/>
      <c r="I247" s="1871"/>
      <c r="J247" s="1871"/>
      <c r="K247" s="1871"/>
      <c r="L247" s="1872"/>
      <c r="M247" s="1873"/>
    </row>
    <row r="248" spans="3:13" s="1859" customFormat="1">
      <c r="C248" s="1871"/>
      <c r="D248" s="1871"/>
      <c r="E248" s="1871"/>
      <c r="F248" s="1871"/>
      <c r="G248" s="1871"/>
      <c r="H248" s="1874"/>
      <c r="I248" s="1871"/>
      <c r="J248" s="1871"/>
      <c r="K248" s="1871"/>
      <c r="L248" s="1872"/>
      <c r="M248" s="1873"/>
    </row>
    <row r="249" spans="3:13" s="1859" customFormat="1">
      <c r="C249" s="1871"/>
      <c r="D249" s="1871"/>
      <c r="E249" s="1871"/>
      <c r="F249" s="1871"/>
      <c r="G249" s="1871"/>
      <c r="H249" s="1874"/>
      <c r="I249" s="1871"/>
      <c r="J249" s="1871"/>
      <c r="K249" s="1871"/>
      <c r="L249" s="1872"/>
      <c r="M249" s="1873"/>
    </row>
    <row r="250" spans="3:13" s="1859" customFormat="1">
      <c r="C250" s="1871"/>
      <c r="D250" s="1871"/>
      <c r="E250" s="1871"/>
      <c r="F250" s="1871"/>
      <c r="G250" s="1871"/>
      <c r="H250" s="1874"/>
      <c r="I250" s="1871"/>
      <c r="J250" s="1871"/>
      <c r="K250" s="1871"/>
      <c r="L250" s="1872"/>
      <c r="M250" s="1873"/>
    </row>
    <row r="251" spans="3:13" s="1859" customFormat="1">
      <c r="C251" s="1871"/>
      <c r="D251" s="1871"/>
      <c r="E251" s="1871"/>
      <c r="F251" s="1871"/>
      <c r="G251" s="1871"/>
      <c r="H251" s="1874"/>
      <c r="I251" s="1871"/>
      <c r="J251" s="1871"/>
      <c r="K251" s="1871"/>
      <c r="L251" s="1872"/>
      <c r="M251" s="1873"/>
    </row>
    <row r="252" spans="3:13" s="1859" customFormat="1">
      <c r="C252" s="1871"/>
      <c r="D252" s="1871"/>
      <c r="E252" s="1871"/>
      <c r="F252" s="1871"/>
      <c r="G252" s="1871"/>
      <c r="H252" s="1874"/>
      <c r="I252" s="1871"/>
      <c r="J252" s="1871"/>
      <c r="K252" s="1871"/>
      <c r="L252" s="1872"/>
      <c r="M252" s="1873"/>
    </row>
    <row r="253" spans="3:13" s="1859" customFormat="1">
      <c r="C253" s="1871"/>
      <c r="D253" s="1871"/>
      <c r="E253" s="1871"/>
      <c r="F253" s="1871"/>
      <c r="G253" s="1871"/>
      <c r="H253" s="1874"/>
      <c r="I253" s="1871"/>
      <c r="J253" s="1871"/>
      <c r="K253" s="1871"/>
      <c r="L253" s="1872"/>
      <c r="M253" s="1873"/>
    </row>
    <row r="254" spans="3:13" s="1859" customFormat="1">
      <c r="C254" s="1871"/>
      <c r="D254" s="1871"/>
      <c r="E254" s="1871"/>
      <c r="F254" s="1871"/>
      <c r="G254" s="1871"/>
      <c r="H254" s="1874"/>
      <c r="I254" s="1871"/>
      <c r="J254" s="1871"/>
      <c r="K254" s="1871"/>
      <c r="L254" s="1872"/>
      <c r="M254" s="1873"/>
    </row>
    <row r="255" spans="3:13" s="1859" customFormat="1">
      <c r="C255" s="1871"/>
      <c r="D255" s="1871"/>
      <c r="E255" s="1871"/>
      <c r="F255" s="1871"/>
      <c r="G255" s="1871"/>
      <c r="H255" s="1874"/>
      <c r="I255" s="1871"/>
      <c r="J255" s="1871"/>
      <c r="K255" s="1871"/>
      <c r="L255" s="1872"/>
      <c r="M255" s="1873"/>
    </row>
    <row r="256" spans="3:13" s="1859" customFormat="1">
      <c r="C256" s="1871"/>
      <c r="D256" s="1871"/>
      <c r="E256" s="1871"/>
      <c r="F256" s="1871"/>
      <c r="G256" s="1871"/>
      <c r="H256" s="1874"/>
      <c r="I256" s="1871"/>
      <c r="J256" s="1871"/>
      <c r="K256" s="1871"/>
      <c r="L256" s="1872"/>
      <c r="M256" s="1873"/>
    </row>
    <row r="257" spans="3:13" s="1859" customFormat="1">
      <c r="C257" s="1871"/>
      <c r="D257" s="1871"/>
      <c r="E257" s="1871"/>
      <c r="F257" s="1871"/>
      <c r="G257" s="1871"/>
      <c r="H257" s="1874"/>
      <c r="I257" s="1871"/>
      <c r="J257" s="1871"/>
      <c r="K257" s="1871"/>
      <c r="L257" s="1872"/>
      <c r="M257" s="1873"/>
    </row>
    <row r="258" spans="3:13" s="1859" customFormat="1">
      <c r="C258" s="1871"/>
      <c r="D258" s="1871"/>
      <c r="E258" s="1871"/>
      <c r="F258" s="1871"/>
      <c r="G258" s="1871"/>
      <c r="H258" s="1874"/>
      <c r="I258" s="1871"/>
      <c r="J258" s="1871"/>
      <c r="K258" s="1871"/>
      <c r="L258" s="1872"/>
      <c r="M258" s="1873"/>
    </row>
    <row r="259" spans="3:13" s="1859" customFormat="1">
      <c r="C259" s="1871"/>
      <c r="D259" s="1871"/>
      <c r="E259" s="1871"/>
      <c r="F259" s="1871"/>
      <c r="G259" s="1871"/>
      <c r="H259" s="1874"/>
      <c r="I259" s="1871"/>
      <c r="J259" s="1871"/>
      <c r="K259" s="1871"/>
      <c r="L259" s="1872"/>
      <c r="M259" s="1873"/>
    </row>
    <row r="260" spans="3:13" s="1859" customFormat="1">
      <c r="C260" s="1871"/>
      <c r="D260" s="1871"/>
      <c r="E260" s="1871"/>
      <c r="F260" s="1871"/>
      <c r="G260" s="1871"/>
      <c r="H260" s="1874"/>
      <c r="I260" s="1871"/>
      <c r="J260" s="1871"/>
      <c r="K260" s="1871"/>
      <c r="L260" s="1872"/>
      <c r="M260" s="1873"/>
    </row>
    <row r="261" spans="3:13" s="1859" customFormat="1">
      <c r="C261" s="1871"/>
      <c r="D261" s="1871"/>
      <c r="E261" s="1871"/>
      <c r="F261" s="1871"/>
      <c r="G261" s="1871"/>
      <c r="H261" s="1874"/>
      <c r="I261" s="1871"/>
      <c r="J261" s="1871"/>
      <c r="K261" s="1871"/>
      <c r="L261" s="1872"/>
      <c r="M261" s="1873"/>
    </row>
    <row r="262" spans="3:13" s="1859" customFormat="1">
      <c r="C262" s="1871"/>
      <c r="D262" s="1871"/>
      <c r="E262" s="1871"/>
      <c r="F262" s="1871"/>
      <c r="G262" s="1871"/>
      <c r="H262" s="1874"/>
      <c r="I262" s="1871"/>
      <c r="J262" s="1871"/>
      <c r="K262" s="1871"/>
      <c r="L262" s="1872"/>
      <c r="M262" s="1873"/>
    </row>
    <row r="263" spans="3:13" s="1859" customFormat="1">
      <c r="C263" s="1871"/>
      <c r="D263" s="1871"/>
      <c r="E263" s="1871"/>
      <c r="F263" s="1871"/>
      <c r="G263" s="1871"/>
      <c r="H263" s="1874"/>
      <c r="I263" s="1871"/>
      <c r="J263" s="1871"/>
      <c r="K263" s="1871"/>
      <c r="L263" s="1872"/>
      <c r="M263" s="1873"/>
    </row>
    <row r="264" spans="3:13" s="1859" customFormat="1">
      <c r="C264" s="1871"/>
      <c r="D264" s="1871"/>
      <c r="E264" s="1871"/>
      <c r="F264" s="1871"/>
      <c r="G264" s="1871"/>
      <c r="H264" s="1874"/>
      <c r="I264" s="1871"/>
      <c r="J264" s="1871"/>
      <c r="K264" s="1871"/>
      <c r="L264" s="1872"/>
      <c r="M264" s="1873"/>
    </row>
    <row r="265" spans="3:13" s="1859" customFormat="1">
      <c r="C265" s="1871"/>
      <c r="D265" s="1871"/>
      <c r="E265" s="1871"/>
      <c r="F265" s="1871"/>
      <c r="G265" s="1871"/>
      <c r="H265" s="1874"/>
      <c r="I265" s="1871"/>
      <c r="J265" s="1871"/>
      <c r="K265" s="1871"/>
      <c r="L265" s="1872"/>
      <c r="M265" s="1873"/>
    </row>
    <row r="266" spans="3:13" s="1859" customFormat="1">
      <c r="C266" s="1871"/>
      <c r="D266" s="1871"/>
      <c r="E266" s="1871"/>
      <c r="F266" s="1871"/>
      <c r="G266" s="1871"/>
      <c r="H266" s="1874"/>
      <c r="I266" s="1871"/>
      <c r="J266" s="1871"/>
      <c r="K266" s="1871"/>
      <c r="L266" s="1872"/>
      <c r="M266" s="1873"/>
    </row>
    <row r="267" spans="3:13" s="1859" customFormat="1">
      <c r="C267" s="1871"/>
      <c r="D267" s="1871"/>
      <c r="E267" s="1871"/>
      <c r="F267" s="1871"/>
      <c r="G267" s="1871"/>
      <c r="H267" s="1874"/>
      <c r="I267" s="1871"/>
      <c r="J267" s="1871"/>
      <c r="K267" s="1871"/>
      <c r="L267" s="1872"/>
      <c r="M267" s="1873"/>
    </row>
    <row r="268" spans="3:13" s="1859" customFormat="1">
      <c r="C268" s="1871"/>
      <c r="D268" s="1871"/>
      <c r="E268" s="1871"/>
      <c r="F268" s="1871"/>
      <c r="G268" s="1871"/>
      <c r="H268" s="1874"/>
      <c r="I268" s="1871"/>
      <c r="J268" s="1871"/>
      <c r="K268" s="1871"/>
      <c r="L268" s="1872"/>
      <c r="M268" s="1873"/>
    </row>
    <row r="269" spans="3:13" s="1859" customFormat="1">
      <c r="C269" s="1871"/>
      <c r="D269" s="1871"/>
      <c r="E269" s="1871"/>
      <c r="F269" s="1871"/>
      <c r="G269" s="1871"/>
      <c r="H269" s="1874"/>
      <c r="I269" s="1871"/>
      <c r="J269" s="1871"/>
      <c r="K269" s="1871"/>
      <c r="L269" s="1872"/>
      <c r="M269" s="1873"/>
    </row>
    <row r="270" spans="3:13" s="1859" customFormat="1">
      <c r="C270" s="1871"/>
      <c r="D270" s="1871"/>
      <c r="E270" s="1871"/>
      <c r="F270" s="1871"/>
      <c r="G270" s="1871"/>
      <c r="H270" s="1874"/>
      <c r="I270" s="1871"/>
      <c r="J270" s="1871"/>
      <c r="K270" s="1871"/>
      <c r="L270" s="1872"/>
      <c r="M270" s="1873"/>
    </row>
    <row r="271" spans="3:13" s="1859" customFormat="1">
      <c r="C271" s="1871"/>
      <c r="D271" s="1871"/>
      <c r="E271" s="1871"/>
      <c r="F271" s="1871"/>
      <c r="G271" s="1871"/>
      <c r="H271" s="1874"/>
      <c r="I271" s="1871"/>
      <c r="J271" s="1871"/>
      <c r="K271" s="1871"/>
      <c r="L271" s="1872"/>
      <c r="M271" s="1873"/>
    </row>
    <row r="272" spans="3:13" s="1859" customFormat="1">
      <c r="C272" s="1871"/>
      <c r="D272" s="1871"/>
      <c r="E272" s="1871"/>
      <c r="F272" s="1871"/>
      <c r="G272" s="1871"/>
      <c r="H272" s="1874"/>
      <c r="I272" s="1871"/>
      <c r="J272" s="1871"/>
      <c r="K272" s="1871"/>
      <c r="L272" s="1872"/>
      <c r="M272" s="1873"/>
    </row>
    <row r="273" spans="3:13" s="1859" customFormat="1">
      <c r="C273" s="1871"/>
      <c r="D273" s="1871"/>
      <c r="E273" s="1871"/>
      <c r="F273" s="1871"/>
      <c r="G273" s="1871"/>
      <c r="H273" s="1874"/>
      <c r="I273" s="1871"/>
      <c r="J273" s="1871"/>
      <c r="K273" s="1871"/>
      <c r="L273" s="1872"/>
      <c r="M273" s="1873"/>
    </row>
    <row r="274" spans="3:13" s="1859" customFormat="1">
      <c r="C274" s="1871"/>
      <c r="D274" s="1871"/>
      <c r="E274" s="1871"/>
      <c r="F274" s="1871"/>
      <c r="G274" s="1871"/>
      <c r="H274" s="1874"/>
      <c r="I274" s="1871"/>
      <c r="J274" s="1871"/>
      <c r="K274" s="1871"/>
      <c r="L274" s="1872"/>
      <c r="M274" s="1873"/>
    </row>
    <row r="275" spans="3:13" s="1859" customFormat="1">
      <c r="C275" s="1871"/>
      <c r="D275" s="1871"/>
      <c r="E275" s="1871"/>
      <c r="F275" s="1871"/>
      <c r="G275" s="1871"/>
      <c r="H275" s="1874"/>
      <c r="I275" s="1871"/>
      <c r="J275" s="1871"/>
      <c r="K275" s="1871"/>
      <c r="L275" s="1872"/>
      <c r="M275" s="1873"/>
    </row>
    <row r="276" spans="3:13" s="1859" customFormat="1">
      <c r="C276" s="1871"/>
      <c r="D276" s="1871"/>
      <c r="E276" s="1871"/>
      <c r="F276" s="1871"/>
      <c r="G276" s="1871"/>
      <c r="H276" s="1874"/>
      <c r="I276" s="1871"/>
      <c r="J276" s="1871"/>
      <c r="K276" s="1871"/>
      <c r="L276" s="1872"/>
      <c r="M276" s="1873"/>
    </row>
    <row r="277" spans="3:13" s="1859" customFormat="1">
      <c r="C277" s="1871"/>
      <c r="D277" s="1871"/>
      <c r="E277" s="1871"/>
      <c r="F277" s="1871"/>
      <c r="G277" s="1871"/>
      <c r="H277" s="1874"/>
      <c r="I277" s="1871"/>
      <c r="J277" s="1871"/>
      <c r="K277" s="1871"/>
      <c r="L277" s="1872"/>
      <c r="M277" s="1873"/>
    </row>
    <row r="278" spans="3:13" s="1859" customFormat="1">
      <c r="C278" s="1871"/>
      <c r="D278" s="1871"/>
      <c r="E278" s="1871"/>
      <c r="F278" s="1871"/>
      <c r="G278" s="1871"/>
      <c r="H278" s="1874"/>
      <c r="I278" s="1871"/>
      <c r="J278" s="1871"/>
      <c r="K278" s="1871"/>
      <c r="L278" s="1872"/>
      <c r="M278" s="1873"/>
    </row>
    <row r="279" spans="3:13" s="1859" customFormat="1">
      <c r="C279" s="1871"/>
      <c r="D279" s="1871"/>
      <c r="E279" s="1871"/>
      <c r="F279" s="1871"/>
      <c r="G279" s="1871"/>
      <c r="H279" s="1874"/>
      <c r="I279" s="1871"/>
      <c r="J279" s="1871"/>
      <c r="K279" s="1871"/>
      <c r="L279" s="1872"/>
      <c r="M279" s="1873"/>
    </row>
    <row r="280" spans="3:13" s="1859" customFormat="1">
      <c r="C280" s="1871"/>
      <c r="D280" s="1871"/>
      <c r="E280" s="1871"/>
      <c r="F280" s="1871"/>
      <c r="G280" s="1871"/>
      <c r="H280" s="1874"/>
      <c r="I280" s="1871"/>
      <c r="J280" s="1871"/>
      <c r="K280" s="1871"/>
      <c r="L280" s="1872"/>
      <c r="M280" s="1873"/>
    </row>
    <row r="281" spans="3:13" s="1859" customFormat="1">
      <c r="C281" s="1871"/>
      <c r="D281" s="1871"/>
      <c r="E281" s="1871"/>
      <c r="F281" s="1871"/>
      <c r="G281" s="1871"/>
      <c r="H281" s="1874"/>
      <c r="I281" s="1871"/>
      <c r="J281" s="1871"/>
      <c r="K281" s="1871"/>
      <c r="L281" s="1872"/>
      <c r="M281" s="1873"/>
    </row>
    <row r="282" spans="3:13" s="1859" customFormat="1">
      <c r="C282" s="1871"/>
      <c r="D282" s="1871"/>
      <c r="E282" s="1871"/>
      <c r="F282" s="1871"/>
      <c r="G282" s="1871"/>
      <c r="H282" s="1874"/>
      <c r="I282" s="1871"/>
      <c r="J282" s="1871"/>
      <c r="K282" s="1871"/>
      <c r="L282" s="1872"/>
      <c r="M282" s="1873"/>
    </row>
    <row r="283" spans="3:13" s="1859" customFormat="1">
      <c r="C283" s="1871"/>
      <c r="D283" s="1871"/>
      <c r="E283" s="1871"/>
      <c r="F283" s="1871"/>
      <c r="G283" s="1871"/>
      <c r="H283" s="1874"/>
      <c r="I283" s="1871"/>
      <c r="J283" s="1871"/>
      <c r="K283" s="1871"/>
      <c r="L283" s="1872"/>
      <c r="M283" s="1873"/>
    </row>
    <row r="284" spans="3:13" s="1859" customFormat="1">
      <c r="C284" s="1871"/>
      <c r="D284" s="1871"/>
      <c r="E284" s="1871"/>
      <c r="F284" s="1871"/>
      <c r="G284" s="1871"/>
      <c r="H284" s="1874"/>
      <c r="I284" s="1871"/>
      <c r="J284" s="1871"/>
      <c r="K284" s="1871"/>
      <c r="L284" s="1872"/>
      <c r="M284" s="1873"/>
    </row>
    <row r="285" spans="3:13" s="1859" customFormat="1">
      <c r="C285" s="1871"/>
      <c r="D285" s="1871"/>
      <c r="E285" s="1871"/>
      <c r="F285" s="1871"/>
      <c r="G285" s="1871"/>
      <c r="H285" s="1874"/>
      <c r="I285" s="1871"/>
      <c r="J285" s="1871"/>
      <c r="K285" s="1871"/>
      <c r="L285" s="1872"/>
      <c r="M285" s="1873"/>
    </row>
    <row r="286" spans="3:13" s="1859" customFormat="1">
      <c r="C286" s="1871"/>
      <c r="D286" s="1871"/>
      <c r="E286" s="1871"/>
      <c r="F286" s="1871"/>
      <c r="G286" s="1871"/>
      <c r="H286" s="1874"/>
      <c r="I286" s="1871"/>
      <c r="J286" s="1871"/>
      <c r="K286" s="1871"/>
      <c r="L286" s="1872"/>
      <c r="M286" s="1873"/>
    </row>
    <row r="287" spans="3:13" s="1859" customFormat="1">
      <c r="C287" s="1871"/>
      <c r="D287" s="1871"/>
      <c r="E287" s="1871"/>
      <c r="F287" s="1871"/>
      <c r="G287" s="1871"/>
      <c r="H287" s="1874"/>
      <c r="I287" s="1871"/>
      <c r="J287" s="1871"/>
      <c r="K287" s="1871"/>
      <c r="L287" s="1872"/>
      <c r="M287" s="1873"/>
    </row>
    <row r="288" spans="3:13" s="1859" customFormat="1">
      <c r="C288" s="1871"/>
      <c r="D288" s="1871"/>
      <c r="E288" s="1871"/>
      <c r="F288" s="1871"/>
      <c r="G288" s="1871"/>
      <c r="H288" s="1874"/>
      <c r="I288" s="1871"/>
      <c r="J288" s="1871"/>
      <c r="K288" s="1871"/>
      <c r="L288" s="1872"/>
      <c r="M288" s="1873"/>
    </row>
    <row r="289" spans="3:13" s="1859" customFormat="1">
      <c r="C289" s="1871"/>
      <c r="D289" s="1871"/>
      <c r="E289" s="1871"/>
      <c r="F289" s="1871"/>
      <c r="G289" s="1871"/>
      <c r="H289" s="1874"/>
      <c r="I289" s="1871"/>
      <c r="J289" s="1871"/>
      <c r="K289" s="1871"/>
      <c r="L289" s="1872"/>
      <c r="M289" s="1873"/>
    </row>
    <row r="290" spans="3:13" s="1859" customFormat="1">
      <c r="C290" s="1871"/>
      <c r="D290" s="1871"/>
      <c r="E290" s="1871"/>
      <c r="F290" s="1871"/>
      <c r="G290" s="1871"/>
      <c r="H290" s="1874"/>
      <c r="I290" s="1871"/>
      <c r="J290" s="1871"/>
      <c r="K290" s="1871"/>
      <c r="L290" s="1872"/>
      <c r="M290" s="1873"/>
    </row>
    <row r="291" spans="3:13" s="1859" customFormat="1">
      <c r="C291" s="1871"/>
      <c r="D291" s="1871"/>
      <c r="E291" s="1871"/>
      <c r="F291" s="1871"/>
      <c r="G291" s="1871"/>
      <c r="H291" s="1874"/>
      <c r="I291" s="1871"/>
      <c r="J291" s="1871"/>
      <c r="K291" s="1871"/>
      <c r="L291" s="1872"/>
      <c r="M291" s="1873"/>
    </row>
    <row r="292" spans="3:13" s="1859" customFormat="1">
      <c r="C292" s="1871"/>
      <c r="D292" s="1871"/>
      <c r="E292" s="1871"/>
      <c r="F292" s="1871"/>
      <c r="G292" s="1871"/>
      <c r="H292" s="1874"/>
      <c r="I292" s="1871"/>
      <c r="J292" s="1871"/>
      <c r="K292" s="1871"/>
      <c r="L292" s="1872"/>
      <c r="M292" s="1873"/>
    </row>
    <row r="293" spans="3:13" s="1859" customFormat="1">
      <c r="C293" s="1871"/>
      <c r="D293" s="1871"/>
      <c r="E293" s="1871"/>
      <c r="F293" s="1871"/>
      <c r="G293" s="1871"/>
      <c r="H293" s="1874"/>
      <c r="I293" s="1871"/>
      <c r="J293" s="1871"/>
      <c r="K293" s="1871"/>
      <c r="L293" s="1872"/>
      <c r="M293" s="1873"/>
    </row>
    <row r="294" spans="3:13" s="1859" customFormat="1">
      <c r="C294" s="1871"/>
      <c r="D294" s="1871"/>
      <c r="E294" s="1871"/>
      <c r="F294" s="1871"/>
      <c r="G294" s="1871"/>
      <c r="H294" s="1874"/>
      <c r="I294" s="1871"/>
      <c r="J294" s="1871"/>
      <c r="K294" s="1871"/>
      <c r="L294" s="1872"/>
      <c r="M294" s="1873"/>
    </row>
  </sheetData>
  <sheetProtection formatCells="0" formatColumns="0" formatRows="0" selectLockedCells="1"/>
  <sortState ref="A73:T88">
    <sortCondition ref="A73:A88"/>
  </sortState>
  <mergeCells count="64">
    <mergeCell ref="B68:H68"/>
    <mergeCell ref="E42:J45"/>
    <mergeCell ref="J53:K53"/>
    <mergeCell ref="J54:K54"/>
    <mergeCell ref="J55:K55"/>
    <mergeCell ref="J56:K56"/>
    <mergeCell ref="J57:K57"/>
    <mergeCell ref="J58:K58"/>
    <mergeCell ref="J59:K59"/>
    <mergeCell ref="J60:K60"/>
    <mergeCell ref="J61:K61"/>
    <mergeCell ref="J62:K62"/>
    <mergeCell ref="J63:K63"/>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7:K117"/>
    <mergeCell ref="J118:K118"/>
    <mergeCell ref="J119:K119"/>
    <mergeCell ref="J120:K120"/>
    <mergeCell ref="J121:K121"/>
    <mergeCell ref="J122:K122"/>
    <mergeCell ref="J123:K123"/>
    <mergeCell ref="J124:K124"/>
    <mergeCell ref="J125:K125"/>
    <mergeCell ref="J126:K126"/>
    <mergeCell ref="J127:K127"/>
    <mergeCell ref="J133:K133"/>
    <mergeCell ref="J128:K128"/>
    <mergeCell ref="J129:K129"/>
    <mergeCell ref="J130:K130"/>
    <mergeCell ref="J131:K131"/>
    <mergeCell ref="J132:K132"/>
  </mergeCells>
  <printOptions horizontalCentered="1" verticalCentered="1"/>
  <pageMargins left="0.23622047244094491" right="0.23622047244094491" top="0.74803149606299213" bottom="0.74803149606299213" header="0.31496062992125984" footer="0.31496062992125984"/>
  <pageSetup paperSize="9" scale="21" orientation="landscape"/>
  <rowBreaks count="2" manualBreakCount="2">
    <brk id="41" max="24" man="1"/>
    <brk id="91" max="24" man="1"/>
  </rowBreaks>
  <colBreaks count="1" manualBreakCount="1">
    <brk id="35" max="294" man="1"/>
  </colBreaks>
  <legacy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4" tint="-0.249977111117893"/>
    <pageSetUpPr fitToPage="1"/>
  </sheetPr>
  <dimension ref="A1:BW117"/>
  <sheetViews>
    <sheetView showGridLines="0" zoomScale="75" zoomScaleNormal="75" zoomScaleSheetLayoutView="100" zoomScalePageLayoutView="75" workbookViewId="0">
      <pane ySplit="1" topLeftCell="A2" activePane="bottomLeft" state="frozen"/>
      <selection activeCell="B1" sqref="B1"/>
      <selection pane="bottomLeft" activeCell="D44" sqref="D44"/>
    </sheetView>
  </sheetViews>
  <sheetFormatPr defaultColWidth="8.85546875" defaultRowHeight="14.25" outlineLevelCol="1"/>
  <cols>
    <col min="1" max="1" width="56.140625" style="42" hidden="1" customWidth="1" outlineLevel="1"/>
    <col min="2" max="2" width="15.7109375" style="42" customWidth="1" collapsed="1"/>
    <col min="3" max="3" width="45.7109375" style="42" customWidth="1"/>
    <col min="4" max="4" width="19.85546875" style="42" customWidth="1"/>
    <col min="5" max="8" width="15.7109375" style="42" customWidth="1"/>
    <col min="9" max="9" width="45.7109375" style="42" customWidth="1"/>
    <col min="10" max="10" width="17.42578125" style="42" customWidth="1"/>
    <col min="11" max="11" width="15.7109375" style="42" customWidth="1"/>
    <col min="12" max="12" width="25.85546875" style="42" customWidth="1"/>
    <col min="13" max="13" width="5.85546875" style="42" customWidth="1"/>
    <col min="14" max="14" width="24.42578125" style="42" bestFit="1" customWidth="1"/>
    <col min="15" max="17" width="8.85546875" style="42"/>
    <col min="18" max="18" width="8.85546875" style="42" customWidth="1"/>
    <col min="19" max="19" width="3" style="42" customWidth="1"/>
    <col min="20" max="20" width="8.7109375" style="42" customWidth="1"/>
    <col min="21" max="22" width="34.7109375" style="42" customWidth="1"/>
    <col min="23" max="23" width="14.7109375" style="42" customWidth="1"/>
    <col min="24" max="24" width="17.7109375" style="42" customWidth="1"/>
    <col min="25" max="25" width="15.42578125" style="42" customWidth="1"/>
    <col min="26" max="16384" width="8.85546875" style="42"/>
  </cols>
  <sheetData>
    <row r="1" spans="1:75" s="51"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5"/>
      <c r="H1" s="2311" t="str">
        <f>HYPERLINK("[.\]outputs_by_channel!A1", "To Intervention data outputs by channel")</f>
        <v>To Intervention data outputs by channel</v>
      </c>
      <c r="I1" s="2312"/>
      <c r="J1" s="1763"/>
      <c r="K1" s="1763"/>
      <c r="L1" s="794"/>
      <c r="M1" s="496"/>
      <c r="O1" s="532"/>
      <c r="Q1" s="532"/>
      <c r="R1" s="532"/>
      <c r="S1" s="532"/>
      <c r="T1" s="532"/>
      <c r="V1" s="532"/>
      <c r="W1" s="532"/>
      <c r="X1" s="532"/>
      <c r="Y1" s="532"/>
      <c r="AA1" s="532"/>
      <c r="AB1" s="532"/>
      <c r="AC1" s="532"/>
      <c r="AD1" s="532"/>
      <c r="AF1" s="532"/>
      <c r="AG1" s="532"/>
      <c r="AH1" s="532"/>
      <c r="AI1" s="532"/>
      <c r="AK1" s="532"/>
      <c r="AL1" s="532"/>
      <c r="AM1" s="532"/>
      <c r="AN1" s="532"/>
      <c r="AP1" s="532"/>
      <c r="AQ1" s="532"/>
      <c r="AR1" s="532"/>
      <c r="AS1" s="532"/>
      <c r="AU1" s="532"/>
      <c r="AV1" s="532"/>
      <c r="AW1" s="532"/>
      <c r="AX1" s="532"/>
      <c r="AZ1" s="532"/>
      <c r="BA1" s="532"/>
      <c r="BB1" s="532"/>
      <c r="BC1" s="532"/>
      <c r="BE1" s="532"/>
      <c r="BF1" s="532"/>
      <c r="BG1" s="532"/>
      <c r="BH1" s="532"/>
      <c r="BJ1" s="532"/>
      <c r="BK1" s="532"/>
      <c r="BL1" s="532"/>
      <c r="BM1" s="532"/>
      <c r="BO1" s="532"/>
      <c r="BP1" s="532"/>
      <c r="BQ1" s="532"/>
      <c r="BR1" s="532"/>
      <c r="BT1" s="532"/>
      <c r="BU1" s="532"/>
      <c r="BV1" s="532"/>
      <c r="BW1" s="532"/>
    </row>
    <row r="2" spans="1:75" ht="38.450000000000003" customHeight="1" thickBot="1">
      <c r="A2" s="525"/>
      <c r="B2" s="1473"/>
      <c r="C2" s="580"/>
      <c r="D2" s="580"/>
      <c r="E2" s="580"/>
      <c r="F2" s="1262"/>
      <c r="G2" s="1262"/>
      <c r="H2" s="1262"/>
      <c r="I2" s="2087"/>
      <c r="J2" s="2072"/>
      <c r="K2" s="2088"/>
      <c r="L2" s="496"/>
      <c r="M2" s="2469"/>
      <c r="N2" s="2469"/>
      <c r="O2" s="724"/>
      <c r="P2" s="724"/>
      <c r="Q2" s="39"/>
      <c r="R2" s="39"/>
      <c r="S2" s="39"/>
      <c r="T2" s="39"/>
      <c r="U2" s="545"/>
      <c r="V2" s="39"/>
      <c r="W2" s="39"/>
    </row>
    <row r="3" spans="1:75" ht="15">
      <c r="A3" s="525"/>
      <c r="B3" s="84"/>
      <c r="C3" s="2438" t="str">
        <f>Menu!$B37</f>
        <v>Care Home educators</v>
      </c>
      <c r="D3" s="2439"/>
      <c r="E3" s="580"/>
      <c r="F3" s="950"/>
      <c r="G3" s="1434"/>
      <c r="H3" s="592"/>
      <c r="I3" s="2070"/>
      <c r="J3" s="2074"/>
      <c r="K3" s="2083"/>
      <c r="L3" s="2063"/>
      <c r="M3" s="2469"/>
      <c r="N3" s="2469"/>
      <c r="O3" s="725"/>
      <c r="P3" s="725"/>
      <c r="Q3" s="39"/>
      <c r="R3" s="39"/>
      <c r="S3" s="39"/>
      <c r="T3" s="39"/>
      <c r="U3" s="545"/>
      <c r="V3" s="39"/>
      <c r="W3" s="39"/>
    </row>
    <row r="4" spans="1:75" ht="15.75" thickBot="1">
      <c r="A4" s="39"/>
      <c r="B4" s="84"/>
      <c r="C4" s="2440"/>
      <c r="D4" s="2399"/>
      <c r="E4" s="580"/>
      <c r="F4" s="950"/>
      <c r="G4" s="1434"/>
      <c r="H4" s="580"/>
      <c r="I4" s="2070"/>
      <c r="J4" s="2074"/>
      <c r="K4" s="2083"/>
      <c r="L4" s="40"/>
      <c r="M4" s="2469"/>
      <c r="N4" s="2469"/>
      <c r="O4" s="739"/>
      <c r="P4" s="739"/>
      <c r="Q4" s="39"/>
      <c r="R4" s="39"/>
      <c r="S4" s="39"/>
      <c r="T4" s="39"/>
      <c r="U4" s="545"/>
      <c r="V4" s="39"/>
      <c r="W4" s="39"/>
    </row>
    <row r="5" spans="1:75" ht="15.75" thickBot="1">
      <c r="A5" s="39"/>
      <c r="B5" s="84"/>
      <c r="I5" s="2070"/>
      <c r="J5" s="2076"/>
      <c r="K5" s="2094"/>
      <c r="L5" s="40"/>
      <c r="M5" s="2469"/>
      <c r="N5" s="2469"/>
      <c r="O5" s="755"/>
      <c r="P5" s="755"/>
      <c r="Q5" s="39"/>
      <c r="R5" s="39"/>
      <c r="S5" s="39"/>
      <c r="T5" s="39"/>
      <c r="U5" s="545"/>
      <c r="V5" s="39"/>
      <c r="W5" s="39"/>
    </row>
    <row r="6" spans="1:75" ht="15" customHeight="1" thickBot="1">
      <c r="A6" s="39"/>
      <c r="B6" s="84"/>
      <c r="C6" s="797" t="s">
        <v>582</v>
      </c>
      <c r="D6" s="1413">
        <v>813405</v>
      </c>
      <c r="H6" s="580"/>
      <c r="I6" s="2070"/>
      <c r="J6" s="2077"/>
      <c r="K6" s="2085"/>
      <c r="L6" s="40"/>
      <c r="M6" s="2469"/>
      <c r="N6" s="2469"/>
      <c r="O6" s="725"/>
      <c r="P6" s="725"/>
      <c r="Q6" s="39"/>
      <c r="R6" s="39"/>
      <c r="S6" s="39"/>
      <c r="T6" s="39"/>
      <c r="U6" s="545"/>
      <c r="V6" s="39"/>
      <c r="W6" s="39"/>
    </row>
    <row r="7" spans="1:75" ht="15.75" thickBot="1">
      <c r="A7" s="39"/>
      <c r="B7" s="84"/>
      <c r="E7" s="580"/>
      <c r="F7" s="594"/>
      <c r="G7" s="580"/>
      <c r="H7" s="1262"/>
      <c r="I7" s="2070"/>
      <c r="J7" s="2074"/>
      <c r="K7" s="2095"/>
      <c r="L7" s="40"/>
      <c r="M7" s="2469"/>
      <c r="N7" s="2469"/>
      <c r="O7" s="739"/>
      <c r="P7" s="739"/>
      <c r="Q7" s="39"/>
      <c r="R7" s="39"/>
      <c r="S7" s="39"/>
      <c r="T7" s="39"/>
      <c r="U7" s="545"/>
      <c r="V7" s="39"/>
      <c r="W7" s="39"/>
    </row>
    <row r="8" spans="1:75" ht="30" customHeight="1" thickBot="1">
      <c r="A8" s="39"/>
      <c r="B8" s="84"/>
      <c r="C8" s="1414" t="s">
        <v>1047</v>
      </c>
      <c r="D8" s="2504" t="s">
        <v>825</v>
      </c>
      <c r="E8" s="2522"/>
      <c r="F8" s="2505"/>
      <c r="G8" s="2506"/>
      <c r="H8" s="580"/>
      <c r="I8" s="2070"/>
      <c r="J8" s="2076"/>
      <c r="K8" s="2094"/>
      <c r="L8" s="40"/>
      <c r="M8" s="2469"/>
      <c r="N8" s="2469"/>
      <c r="O8" s="755"/>
      <c r="P8" s="755"/>
      <c r="Q8" s="39"/>
      <c r="R8" s="39"/>
      <c r="S8" s="39"/>
      <c r="T8" s="39"/>
      <c r="U8" s="545"/>
      <c r="V8" s="39"/>
      <c r="W8" s="39"/>
    </row>
    <row r="9" spans="1:75" ht="15.75" thickBot="1">
      <c r="A9" s="39"/>
      <c r="B9" s="84"/>
      <c r="C9" s="797" t="s">
        <v>1078</v>
      </c>
      <c r="D9" s="2504" t="s">
        <v>790</v>
      </c>
      <c r="E9" s="2522"/>
      <c r="F9" s="2505"/>
      <c r="G9" s="2506"/>
      <c r="H9" s="580"/>
      <c r="I9" s="1320"/>
      <c r="J9" s="1388"/>
      <c r="K9" s="1406"/>
      <c r="L9" s="40"/>
      <c r="M9" s="1261"/>
      <c r="N9" s="1261"/>
      <c r="O9" s="755"/>
      <c r="P9" s="755"/>
      <c r="Q9" s="39"/>
      <c r="R9" s="39"/>
      <c r="S9" s="39"/>
      <c r="T9" s="39"/>
      <c r="U9" s="545"/>
      <c r="V9" s="39"/>
      <c r="W9" s="39"/>
    </row>
    <row r="10" spans="1:75" ht="15">
      <c r="A10" s="39"/>
      <c r="B10" s="84"/>
      <c r="C10" s="683"/>
      <c r="D10" s="683"/>
      <c r="E10" s="683"/>
      <c r="F10" s="580"/>
      <c r="G10" s="580"/>
      <c r="H10" s="580"/>
      <c r="I10" s="1320"/>
      <c r="J10" s="1388"/>
      <c r="K10" s="1406"/>
      <c r="L10" s="40"/>
      <c r="M10" s="1261"/>
      <c r="N10" s="1261"/>
      <c r="O10" s="755"/>
      <c r="P10" s="755"/>
      <c r="Q10" s="39"/>
      <c r="R10" s="39"/>
      <c r="S10" s="39"/>
      <c r="T10" s="39"/>
      <c r="U10" s="545"/>
      <c r="V10" s="39"/>
      <c r="W10" s="39"/>
    </row>
    <row r="11" spans="1:75" ht="15">
      <c r="A11" s="39"/>
      <c r="B11" s="84"/>
      <c r="C11" s="1777" t="str">
        <f>HYPERLINK("[.\]E_CHE!A2","To Evidence")</f>
        <v>To Evidence</v>
      </c>
      <c r="D11" s="683"/>
      <c r="E11" s="683"/>
      <c r="F11" s="580"/>
      <c r="G11" s="580"/>
      <c r="H11" s="580"/>
      <c r="I11" s="1320"/>
      <c r="J11" s="1388"/>
      <c r="K11" s="1406"/>
      <c r="L11" s="40"/>
      <c r="M11" s="1717"/>
      <c r="N11" s="1717"/>
      <c r="O11" s="755"/>
      <c r="P11" s="755"/>
      <c r="Q11" s="39"/>
      <c r="R11" s="39"/>
      <c r="S11" s="39"/>
      <c r="T11" s="39"/>
      <c r="U11" s="545"/>
      <c r="V11" s="39"/>
      <c r="W11" s="39"/>
    </row>
    <row r="12" spans="1:75" ht="15">
      <c r="A12" s="39"/>
      <c r="B12" s="130"/>
      <c r="C12" s="683"/>
      <c r="D12" s="683"/>
      <c r="E12" s="683"/>
      <c r="F12" s="580"/>
      <c r="G12" s="580"/>
      <c r="H12" s="580"/>
      <c r="I12" s="1320"/>
      <c r="J12" s="1388"/>
      <c r="K12" s="1406"/>
      <c r="L12" s="40"/>
      <c r="M12" s="1717"/>
      <c r="N12" s="1717"/>
      <c r="O12" s="755"/>
      <c r="P12" s="755"/>
      <c r="Q12" s="39"/>
      <c r="R12" s="39"/>
      <c r="S12" s="39"/>
      <c r="T12" s="39"/>
      <c r="U12" s="545"/>
      <c r="V12" s="39"/>
      <c r="W12" s="39"/>
    </row>
    <row r="13" spans="1:75" ht="15">
      <c r="A13" s="966" t="s">
        <v>103</v>
      </c>
      <c r="B13" s="2343" t="s">
        <v>119</v>
      </c>
      <c r="C13" s="2528"/>
      <c r="D13" s="2528"/>
      <c r="E13" s="2528"/>
      <c r="F13" s="2528"/>
      <c r="G13" s="2528"/>
      <c r="H13" s="2528"/>
      <c r="I13" s="2528"/>
      <c r="J13" s="2528"/>
      <c r="K13" s="2529"/>
      <c r="L13" s="685"/>
      <c r="M13" s="496"/>
      <c r="N13" s="496"/>
      <c r="O13" s="40"/>
      <c r="P13" s="39"/>
      <c r="Q13" s="39"/>
      <c r="S13" s="39"/>
      <c r="T13" s="545"/>
      <c r="U13" s="39"/>
      <c r="V13" s="39"/>
      <c r="W13" s="39"/>
    </row>
    <row r="14" spans="1:75" s="39" customFormat="1" ht="15">
      <c r="A14" s="781"/>
      <c r="B14" s="546"/>
      <c r="C14" s="779"/>
      <c r="D14" s="779"/>
      <c r="E14" s="779"/>
      <c r="F14" s="779"/>
      <c r="G14" s="779"/>
      <c r="H14" s="779"/>
      <c r="I14" s="547"/>
      <c r="J14" s="547"/>
      <c r="K14" s="1376"/>
      <c r="L14" s="40"/>
      <c r="M14" s="496"/>
      <c r="N14" s="496"/>
      <c r="T14" s="545"/>
    </row>
    <row r="15" spans="1:75" s="39" customFormat="1" ht="15">
      <c r="A15" s="84"/>
      <c r="B15" s="1266"/>
      <c r="C15" s="2526" t="s">
        <v>1296</v>
      </c>
      <c r="D15" s="2527"/>
      <c r="E15" s="549">
        <v>3466</v>
      </c>
      <c r="F15" s="527"/>
      <c r="H15" s="527"/>
      <c r="I15" s="527"/>
      <c r="J15" s="551"/>
      <c r="K15" s="693" t="s">
        <v>141</v>
      </c>
      <c r="L15" s="40"/>
      <c r="M15" s="496"/>
      <c r="N15" s="496"/>
      <c r="T15" s="545"/>
    </row>
    <row r="16" spans="1:75" s="39" customFormat="1" ht="15">
      <c r="A16" s="84"/>
      <c r="B16" s="1266"/>
      <c r="C16" s="2526" t="s">
        <v>1297</v>
      </c>
      <c r="D16" s="2527"/>
      <c r="E16" s="549">
        <v>35680</v>
      </c>
      <c r="F16" s="527"/>
      <c r="H16" s="527"/>
      <c r="I16" s="527"/>
      <c r="J16" s="418"/>
      <c r="K16" s="693" t="s">
        <v>143</v>
      </c>
      <c r="L16" s="40"/>
      <c r="M16" s="496"/>
      <c r="N16" s="496"/>
      <c r="T16" s="545"/>
    </row>
    <row r="17" spans="1:23" s="39" customFormat="1" ht="15">
      <c r="A17" s="84"/>
      <c r="B17" s="1266"/>
      <c r="C17" s="2526" t="s">
        <v>824</v>
      </c>
      <c r="D17" s="2527"/>
      <c r="E17" s="967">
        <f>E16/E15</f>
        <v>10.294287362954414</v>
      </c>
      <c r="F17" s="527"/>
      <c r="H17" s="527"/>
      <c r="I17" s="527"/>
      <c r="J17" s="728" t="s">
        <v>556</v>
      </c>
      <c r="K17" s="693" t="s">
        <v>143</v>
      </c>
      <c r="L17" s="40"/>
      <c r="M17" s="496"/>
      <c r="N17" s="496"/>
      <c r="T17" s="545"/>
    </row>
    <row r="18" spans="1:23" s="39" customFormat="1" ht="42.75">
      <c r="A18" s="84"/>
      <c r="B18" s="1266"/>
      <c r="C18" s="2526" t="s">
        <v>1096</v>
      </c>
      <c r="D18" s="2527"/>
      <c r="E18" s="968">
        <v>0.11</v>
      </c>
      <c r="F18" s="527"/>
      <c r="H18" s="527"/>
      <c r="I18" s="527"/>
      <c r="J18" s="2193"/>
      <c r="K18" s="507" t="s">
        <v>1299</v>
      </c>
      <c r="L18" s="40"/>
      <c r="M18" s="496"/>
      <c r="N18" s="496"/>
      <c r="T18" s="545"/>
    </row>
    <row r="19" spans="1:23" s="39" customFormat="1" ht="15">
      <c r="A19" s="84"/>
      <c r="B19" s="1266"/>
      <c r="C19" s="2526" t="s">
        <v>823</v>
      </c>
      <c r="D19" s="2527"/>
      <c r="E19" s="969">
        <f>E15*E18</f>
        <v>381.26</v>
      </c>
      <c r="F19" s="527"/>
      <c r="H19" s="527"/>
      <c r="I19" s="527"/>
      <c r="J19" s="527"/>
      <c r="K19" s="591"/>
      <c r="L19" s="40"/>
      <c r="M19" s="496"/>
      <c r="N19" s="496"/>
    </row>
    <row r="20" spans="1:23" s="39" customFormat="1" ht="15">
      <c r="A20" s="84"/>
      <c r="B20" s="1266"/>
      <c r="C20" s="2526" t="s">
        <v>822</v>
      </c>
      <c r="D20" s="2527"/>
      <c r="E20" s="969">
        <f>E16*E18</f>
        <v>3924.8</v>
      </c>
      <c r="F20" s="527"/>
      <c r="H20" s="527"/>
      <c r="I20" s="527"/>
      <c r="J20" s="527"/>
      <c r="K20" s="591"/>
      <c r="L20" s="40"/>
      <c r="M20" s="496"/>
      <c r="N20" s="496"/>
    </row>
    <row r="21" spans="1:23" s="39" customFormat="1" ht="15">
      <c r="A21" s="84"/>
      <c r="B21" s="556"/>
      <c r="C21" s="557"/>
      <c r="D21" s="557"/>
      <c r="E21" s="557"/>
      <c r="F21" s="558"/>
      <c r="G21" s="558"/>
      <c r="H21" s="558"/>
      <c r="I21" s="558"/>
      <c r="J21" s="558"/>
      <c r="K21" s="1375"/>
      <c r="L21" s="40"/>
      <c r="M21" s="496"/>
      <c r="N21" s="496"/>
    </row>
    <row r="22" spans="1:23" ht="15">
      <c r="B22" s="2343" t="s">
        <v>117</v>
      </c>
      <c r="C22" s="2528"/>
      <c r="D22" s="2528"/>
      <c r="E22" s="2528"/>
      <c r="F22" s="2528"/>
      <c r="G22" s="2528"/>
      <c r="H22" s="2528"/>
      <c r="I22" s="2528"/>
      <c r="J22" s="2528"/>
      <c r="K22" s="2529"/>
      <c r="L22" s="813"/>
      <c r="M22" s="496"/>
      <c r="N22" s="496"/>
      <c r="O22" s="40"/>
      <c r="P22" s="39"/>
      <c r="Q22" s="39"/>
      <c r="S22" s="39"/>
      <c r="T22" s="39"/>
      <c r="U22" s="39"/>
      <c r="V22" s="39"/>
      <c r="W22" s="39"/>
    </row>
    <row r="23" spans="1:23" ht="15">
      <c r="B23" s="781"/>
      <c r="C23" s="526"/>
      <c r="D23" s="40"/>
      <c r="E23" s="40"/>
      <c r="F23" s="559"/>
      <c r="G23" s="526"/>
      <c r="H23" s="40"/>
      <c r="I23" s="529"/>
      <c r="J23" s="527"/>
      <c r="K23" s="1428"/>
      <c r="L23" s="40"/>
      <c r="M23" s="496"/>
      <c r="N23" s="496"/>
      <c r="O23" s="526"/>
      <c r="P23" s="39"/>
      <c r="Q23" s="39"/>
      <c r="R23" s="39"/>
      <c r="S23" s="39"/>
      <c r="T23" s="39"/>
      <c r="U23" s="39"/>
      <c r="V23" s="39"/>
    </row>
    <row r="24" spans="1:23" ht="15">
      <c r="B24" s="84"/>
      <c r="C24" s="1775" t="str">
        <f>HYPERLINK("[.\]Set_up_CHE!B3","To Set up costs template")</f>
        <v>To Set up costs template</v>
      </c>
      <c r="D24" s="526"/>
      <c r="E24" s="526"/>
      <c r="F24" s="40"/>
      <c r="G24" s="560"/>
      <c r="H24" s="526"/>
      <c r="I24" s="526"/>
      <c r="J24" s="529"/>
      <c r="K24" s="591"/>
      <c r="L24" s="40"/>
      <c r="M24" s="496"/>
      <c r="N24" s="496"/>
      <c r="O24" s="40"/>
      <c r="P24" s="526"/>
      <c r="Q24" s="39"/>
      <c r="R24" s="39"/>
      <c r="S24" s="39"/>
      <c r="T24" s="545"/>
      <c r="U24" s="39"/>
      <c r="V24" s="39"/>
      <c r="W24" s="39"/>
    </row>
    <row r="25" spans="1:23" ht="15">
      <c r="B25" s="84"/>
      <c r="C25" s="526"/>
      <c r="D25" s="526"/>
      <c r="E25" s="526"/>
      <c r="F25" s="40"/>
      <c r="G25" s="560"/>
      <c r="H25" s="526"/>
      <c r="I25" s="526"/>
      <c r="J25" s="1711"/>
      <c r="K25" s="591"/>
      <c r="L25" s="40"/>
      <c r="M25" s="496"/>
      <c r="N25" s="496"/>
      <c r="O25" s="40"/>
      <c r="P25" s="526"/>
      <c r="Q25" s="39"/>
      <c r="R25" s="39"/>
      <c r="S25" s="39"/>
      <c r="T25" s="545"/>
      <c r="U25" s="39"/>
      <c r="V25" s="39"/>
      <c r="W25" s="39"/>
    </row>
    <row r="26" spans="1:23" ht="15">
      <c r="B26" s="84"/>
      <c r="C26" s="2357" t="s">
        <v>1070</v>
      </c>
      <c r="D26" s="2483"/>
      <c r="E26" s="1133">
        <f>J47/2</f>
        <v>99179.88</v>
      </c>
      <c r="F26" s="40"/>
      <c r="H26" s="526"/>
      <c r="I26" s="526"/>
      <c r="J26" s="529"/>
      <c r="K26" s="591"/>
      <c r="L26" s="40"/>
      <c r="M26" s="496"/>
      <c r="N26" s="496"/>
      <c r="O26" s="40"/>
      <c r="P26" s="526"/>
      <c r="Q26" s="39"/>
      <c r="R26" s="39"/>
      <c r="S26" s="39"/>
      <c r="T26" s="39"/>
      <c r="U26" s="39"/>
      <c r="V26" s="39"/>
      <c r="W26" s="39"/>
    </row>
    <row r="27" spans="1:23" ht="15">
      <c r="B27" s="84"/>
      <c r="C27" s="526"/>
      <c r="D27" s="40"/>
      <c r="E27" s="40"/>
      <c r="F27" s="559"/>
      <c r="G27" s="526"/>
      <c r="H27" s="40"/>
      <c r="I27" s="529"/>
      <c r="J27" s="527"/>
      <c r="K27" s="620"/>
      <c r="L27" s="40"/>
      <c r="M27" s="496"/>
      <c r="N27" s="496"/>
      <c r="O27" s="526"/>
      <c r="P27" s="39"/>
      <c r="Q27" s="39"/>
      <c r="R27" s="39"/>
      <c r="S27" s="39"/>
      <c r="T27" s="39"/>
      <c r="U27" s="39"/>
      <c r="V27" s="39"/>
    </row>
    <row r="28" spans="1:23" ht="15">
      <c r="B28" s="84"/>
      <c r="C28" s="40"/>
      <c r="D28" s="40"/>
      <c r="E28" s="40"/>
      <c r="F28" s="559"/>
      <c r="G28" s="526"/>
      <c r="H28" s="40"/>
      <c r="I28" s="529"/>
      <c r="J28" s="527"/>
      <c r="K28" s="620"/>
      <c r="L28" s="40"/>
      <c r="M28" s="496"/>
      <c r="N28" s="496"/>
      <c r="O28" s="526"/>
      <c r="P28" s="39"/>
      <c r="Q28" s="39"/>
      <c r="R28" s="39"/>
      <c r="S28" s="39"/>
      <c r="T28" s="39"/>
      <c r="U28" s="39"/>
      <c r="V28" s="39"/>
    </row>
    <row r="29" spans="1:23" ht="30">
      <c r="B29" s="84"/>
      <c r="C29" s="684" t="s">
        <v>142</v>
      </c>
      <c r="D29" s="684" t="s">
        <v>116</v>
      </c>
      <c r="E29" s="1144" t="s">
        <v>115</v>
      </c>
      <c r="F29" s="1298" t="s">
        <v>114</v>
      </c>
      <c r="H29" s="40"/>
      <c r="I29" s="563" t="s">
        <v>708</v>
      </c>
      <c r="J29" s="564" t="s">
        <v>110</v>
      </c>
      <c r="K29" s="106"/>
      <c r="L29" s="40"/>
      <c r="M29" s="496"/>
      <c r="N29" s="496"/>
      <c r="O29" s="526"/>
      <c r="P29" s="39"/>
      <c r="Q29" s="39"/>
      <c r="R29" s="39"/>
      <c r="S29" s="39"/>
      <c r="T29" s="39"/>
      <c r="U29" s="39"/>
      <c r="V29" s="39"/>
    </row>
    <row r="30" spans="1:23" ht="15">
      <c r="B30" s="84"/>
      <c r="C30" s="565" t="s">
        <v>727</v>
      </c>
      <c r="D30" s="566" t="s">
        <v>0</v>
      </c>
      <c r="E30" s="567">
        <v>1</v>
      </c>
      <c r="F30" s="1133">
        <f>IF(E30=0,"",VLOOKUP(D30,staff_costs!$A$4:$F$22,6,0))</f>
        <v>55431.72</v>
      </c>
      <c r="H30" s="40"/>
      <c r="I30" s="572" t="str">
        <f>IF(C30&gt;"",C30,"")</f>
        <v>Head of Quality - Care Homes</v>
      </c>
      <c r="J30" s="1133">
        <f>IF($D30="","",E30*F30)</f>
        <v>55431.72</v>
      </c>
      <c r="K30" s="106"/>
      <c r="L30" s="40"/>
      <c r="M30" s="496"/>
      <c r="N30" s="496"/>
      <c r="O30" s="526"/>
      <c r="P30" s="39"/>
      <c r="Q30" s="39"/>
      <c r="R30" s="39"/>
      <c r="S30" s="39"/>
      <c r="T30" s="39"/>
      <c r="U30" s="39"/>
      <c r="V30" s="39"/>
    </row>
    <row r="31" spans="1:23" ht="15">
      <c r="B31" s="84"/>
      <c r="C31" s="565" t="s">
        <v>725</v>
      </c>
      <c r="D31" s="566">
        <v>6</v>
      </c>
      <c r="E31" s="567">
        <v>3</v>
      </c>
      <c r="F31" s="1133">
        <f>IF(E31=0,"",VLOOKUP(D31,staff_costs!$A$4:$F$22,6,0))</f>
        <v>37642.68</v>
      </c>
      <c r="H31" s="40"/>
      <c r="I31" s="572" t="str">
        <f>IF(C31&gt;"",C31,"")</f>
        <v>Care home Educators</v>
      </c>
      <c r="J31" s="1133">
        <f>IF($D31="","",E31*F31)</f>
        <v>112928.04000000001</v>
      </c>
      <c r="K31" s="106"/>
      <c r="L31" s="40"/>
      <c r="M31" s="496"/>
      <c r="N31" s="496"/>
      <c r="O31" s="526"/>
      <c r="P31" s="39"/>
      <c r="Q31" s="39"/>
      <c r="R31" s="39"/>
      <c r="S31" s="39"/>
      <c r="T31" s="39"/>
      <c r="U31" s="39"/>
      <c r="V31" s="39"/>
    </row>
    <row r="32" spans="1:23" ht="15">
      <c r="B32" s="84"/>
      <c r="C32" s="565"/>
      <c r="D32" s="566"/>
      <c r="E32" s="567">
        <v>0</v>
      </c>
      <c r="F32" s="1133" t="str">
        <f>IF(E32=0,"",VLOOKUP(D32,staff_costs!$A$4:$F$22,6,0))</f>
        <v/>
      </c>
      <c r="H32" s="40"/>
      <c r="I32" s="572" t="str">
        <f>IF(C32&gt;"",C32,"")</f>
        <v/>
      </c>
      <c r="J32" s="1133" t="str">
        <f>IF($D32="","",E32*F32)</f>
        <v/>
      </c>
      <c r="K32" s="106"/>
      <c r="L32" s="40"/>
      <c r="M32" s="496"/>
      <c r="N32" s="496"/>
      <c r="O32" s="526"/>
      <c r="P32" s="39"/>
      <c r="Q32" s="39"/>
      <c r="R32" s="39"/>
      <c r="S32" s="39"/>
      <c r="T32" s="39"/>
      <c r="U32" s="39"/>
      <c r="V32" s="39"/>
    </row>
    <row r="33" spans="1:22" ht="15">
      <c r="B33" s="84"/>
      <c r="C33" s="565"/>
      <c r="D33" s="566"/>
      <c r="E33" s="567">
        <v>0</v>
      </c>
      <c r="F33" s="1133" t="str">
        <f>IF(E33=0,"",VLOOKUP(D33,staff_costs!$A$4:$F$22,6,0))</f>
        <v/>
      </c>
      <c r="H33" s="40"/>
      <c r="I33" s="572" t="str">
        <f>IF(C33&gt;"",C33,"")</f>
        <v/>
      </c>
      <c r="J33" s="1133" t="str">
        <f>IF($D33="","",E33*F33)</f>
        <v/>
      </c>
      <c r="K33" s="106"/>
      <c r="L33" s="40"/>
      <c r="M33" s="496"/>
      <c r="N33" s="496"/>
      <c r="O33" s="526"/>
      <c r="P33" s="39"/>
      <c r="Q33" s="39"/>
      <c r="R33" s="39"/>
      <c r="S33" s="39"/>
      <c r="T33" s="39"/>
      <c r="U33" s="39"/>
      <c r="V33" s="39"/>
    </row>
    <row r="34" spans="1:22" ht="15">
      <c r="B34" s="84"/>
      <c r="C34" s="1250" t="s">
        <v>1094</v>
      </c>
      <c r="D34" s="780"/>
      <c r="E34" s="642">
        <f>SUM(E30:E33)</f>
        <v>4</v>
      </c>
      <c r="F34" s="526"/>
      <c r="H34" s="40"/>
      <c r="I34" s="572" t="s">
        <v>184</v>
      </c>
      <c r="J34" s="1133">
        <f>SUM(J30:J33)</f>
        <v>168359.76</v>
      </c>
      <c r="K34" s="106"/>
      <c r="L34" s="40"/>
      <c r="M34" s="496"/>
      <c r="N34" s="496"/>
      <c r="O34" s="526"/>
      <c r="P34" s="39"/>
      <c r="Q34" s="39"/>
      <c r="R34" s="39"/>
      <c r="S34" s="39"/>
      <c r="T34" s="39"/>
      <c r="U34" s="39"/>
      <c r="V34" s="39"/>
    </row>
    <row r="35" spans="1:22" ht="15">
      <c r="B35" s="84"/>
      <c r="F35" s="526"/>
      <c r="H35" s="40"/>
      <c r="I35" s="529"/>
      <c r="J35" s="527"/>
      <c r="K35" s="1264"/>
      <c r="L35" s="40"/>
      <c r="M35" s="496"/>
      <c r="N35" s="496"/>
      <c r="O35" s="526"/>
      <c r="P35" s="39"/>
      <c r="Q35" s="39"/>
      <c r="R35" s="39"/>
      <c r="S35" s="39"/>
      <c r="T35" s="39"/>
      <c r="U35" s="39"/>
      <c r="V35" s="39"/>
    </row>
    <row r="36" spans="1:22" ht="15">
      <c r="B36" s="84"/>
      <c r="C36" s="51"/>
      <c r="D36" s="40"/>
      <c r="E36" s="40"/>
      <c r="F36" s="258"/>
      <c r="G36" s="40"/>
      <c r="H36" s="40"/>
      <c r="I36" s="560"/>
      <c r="J36" s="560"/>
      <c r="K36" s="555"/>
      <c r="L36" s="40"/>
      <c r="M36" s="496"/>
      <c r="N36" s="496"/>
      <c r="O36" s="39"/>
      <c r="P36" s="39"/>
      <c r="Q36" s="39"/>
      <c r="R36" s="39"/>
      <c r="S36" s="39"/>
      <c r="T36" s="39"/>
      <c r="U36" s="39"/>
      <c r="V36" s="39"/>
    </row>
    <row r="37" spans="1:22" ht="30">
      <c r="B37" s="84"/>
      <c r="C37" s="684" t="s">
        <v>130</v>
      </c>
      <c r="D37" s="684" t="s">
        <v>132</v>
      </c>
      <c r="E37" s="1298" t="s">
        <v>131</v>
      </c>
      <c r="H37" s="40"/>
      <c r="I37" s="684" t="s">
        <v>130</v>
      </c>
      <c r="J37" s="560"/>
      <c r="K37" s="1429"/>
      <c r="L37" s="40"/>
      <c r="M37" s="496"/>
      <c r="N37" s="496"/>
      <c r="O37" s="39"/>
      <c r="P37" s="39"/>
      <c r="Q37" s="39"/>
      <c r="R37" s="39"/>
      <c r="S37" s="39"/>
      <c r="T37" s="39"/>
      <c r="U37" s="39"/>
      <c r="V37" s="39"/>
    </row>
    <row r="38" spans="1:22" ht="15">
      <c r="B38" s="84"/>
      <c r="C38" s="565" t="s">
        <v>821</v>
      </c>
      <c r="D38" s="971">
        <f>E34</f>
        <v>4</v>
      </c>
      <c r="E38" s="1539">
        <v>2000</v>
      </c>
      <c r="H38" s="40"/>
      <c r="I38" s="572" t="str">
        <f>IF(C38&gt;"",C38,"")</f>
        <v>IT equipment</v>
      </c>
      <c r="J38" s="1133">
        <f>E38*D38</f>
        <v>8000</v>
      </c>
      <c r="K38" s="106"/>
      <c r="L38" s="40"/>
      <c r="M38" s="496"/>
      <c r="N38" s="496"/>
      <c r="O38" s="39"/>
      <c r="P38" s="39"/>
      <c r="Q38" s="39"/>
      <c r="R38" s="39"/>
      <c r="S38" s="39"/>
      <c r="T38" s="39"/>
      <c r="U38" s="39"/>
      <c r="V38" s="39"/>
    </row>
    <row r="39" spans="1:22" ht="15">
      <c r="B39" s="84"/>
      <c r="C39" s="565" t="s">
        <v>1049</v>
      </c>
      <c r="D39" s="971">
        <f>E34</f>
        <v>4</v>
      </c>
      <c r="E39" s="1539">
        <v>5500</v>
      </c>
      <c r="H39" s="40"/>
      <c r="I39" s="572" t="str">
        <f>IF(C39&gt;"",C39,"")</f>
        <v>Travel</v>
      </c>
      <c r="J39" s="1133">
        <f>E39*D39</f>
        <v>22000</v>
      </c>
      <c r="K39" s="106"/>
      <c r="L39" s="40"/>
      <c r="M39" s="496"/>
      <c r="N39" s="496"/>
      <c r="O39" s="39"/>
      <c r="P39" s="39"/>
      <c r="Q39" s="39"/>
      <c r="R39" s="39"/>
      <c r="S39" s="39"/>
      <c r="T39" s="39"/>
      <c r="U39" s="39"/>
      <c r="V39" s="39"/>
    </row>
    <row r="40" spans="1:22" ht="15">
      <c r="B40" s="84"/>
      <c r="C40" s="565"/>
      <c r="D40" s="573"/>
      <c r="E40" s="1539"/>
      <c r="H40" s="40"/>
      <c r="I40" s="572" t="str">
        <f>IF(C40&gt;"",C40,"")</f>
        <v/>
      </c>
      <c r="J40" s="1133">
        <f>E40*D40</f>
        <v>0</v>
      </c>
      <c r="K40" s="106"/>
      <c r="L40" s="40"/>
      <c r="M40" s="496"/>
      <c r="N40" s="496"/>
      <c r="O40" s="39"/>
      <c r="P40" s="39"/>
      <c r="Q40" s="39"/>
      <c r="R40" s="39"/>
      <c r="S40" s="39"/>
      <c r="T40" s="39"/>
      <c r="U40" s="39"/>
      <c r="V40" s="39"/>
    </row>
    <row r="41" spans="1:22" ht="15">
      <c r="B41" s="84"/>
      <c r="C41" s="40"/>
      <c r="D41" s="40"/>
      <c r="E41" s="40"/>
      <c r="F41" s="40"/>
      <c r="G41" s="40"/>
      <c r="H41" s="40"/>
      <c r="I41" s="572" t="s">
        <v>127</v>
      </c>
      <c r="J41" s="1133">
        <f>SUM(J38:J40)</f>
        <v>30000</v>
      </c>
      <c r="K41" s="106"/>
      <c r="L41" s="40"/>
      <c r="M41" s="496"/>
      <c r="N41" s="496"/>
      <c r="O41" s="39"/>
      <c r="P41" s="39"/>
      <c r="Q41" s="39"/>
      <c r="R41" s="39"/>
      <c r="S41" s="39"/>
      <c r="T41" s="39"/>
      <c r="U41" s="39"/>
      <c r="V41" s="39"/>
    </row>
    <row r="42" spans="1:22" ht="15">
      <c r="B42" s="84"/>
      <c r="C42" s="51"/>
      <c r="D42" s="40"/>
      <c r="E42" s="40"/>
      <c r="F42" s="258"/>
      <c r="G42" s="40"/>
      <c r="H42" s="40"/>
      <c r="I42" s="560"/>
      <c r="J42" s="40"/>
      <c r="K42" s="106"/>
      <c r="L42" s="40"/>
      <c r="M42" s="496"/>
      <c r="N42" s="496"/>
      <c r="O42" s="39"/>
      <c r="P42" s="39"/>
      <c r="Q42" s="39"/>
      <c r="R42" s="39"/>
      <c r="S42" s="39"/>
      <c r="T42" s="39"/>
      <c r="U42" s="39"/>
      <c r="V42" s="39"/>
    </row>
    <row r="43" spans="1:22" ht="15">
      <c r="B43" s="84"/>
      <c r="C43" s="526"/>
      <c r="D43" s="40"/>
      <c r="E43" s="40"/>
      <c r="F43" s="559"/>
      <c r="G43" s="526"/>
      <c r="H43" s="40"/>
      <c r="I43" s="529"/>
      <c r="J43" s="527"/>
      <c r="K43" s="1264"/>
      <c r="L43" s="40"/>
      <c r="M43" s="496"/>
      <c r="N43" s="496"/>
      <c r="O43" s="526"/>
      <c r="P43" s="39"/>
      <c r="Q43" s="39"/>
      <c r="R43" s="39"/>
      <c r="S43" s="39"/>
      <c r="T43" s="39"/>
      <c r="U43" s="39"/>
      <c r="V43" s="39"/>
    </row>
    <row r="44" spans="1:22" ht="30">
      <c r="B44" s="84"/>
      <c r="C44" s="572" t="s">
        <v>1091</v>
      </c>
      <c r="D44" s="549">
        <v>20</v>
      </c>
      <c r="E44" s="40"/>
      <c r="G44" s="73"/>
      <c r="H44" s="40"/>
      <c r="I44" s="572" t="s">
        <v>820</v>
      </c>
      <c r="J44" s="1337">
        <f>D44*E34</f>
        <v>80</v>
      </c>
      <c r="K44" s="106"/>
      <c r="L44" s="40"/>
      <c r="M44" s="496"/>
      <c r="N44" s="496"/>
      <c r="O44" s="526"/>
      <c r="P44" s="39"/>
      <c r="Q44" s="39"/>
      <c r="R44" s="39"/>
      <c r="S44" s="39"/>
      <c r="T44" s="39"/>
      <c r="U44" s="39"/>
      <c r="V44" s="39"/>
    </row>
    <row r="45" spans="1:22" ht="15">
      <c r="B45" s="84"/>
      <c r="C45" s="572" t="s">
        <v>1088</v>
      </c>
      <c r="D45" s="549">
        <v>41</v>
      </c>
      <c r="E45" s="40"/>
      <c r="G45" s="73"/>
      <c r="H45" s="40"/>
      <c r="I45" s="572" t="s">
        <v>819</v>
      </c>
      <c r="J45" s="771">
        <f>J44*D45</f>
        <v>3280</v>
      </c>
      <c r="K45" s="106"/>
      <c r="L45" s="40"/>
      <c r="M45" s="496"/>
      <c r="N45" s="496"/>
      <c r="O45" s="526"/>
      <c r="P45" s="39"/>
      <c r="Q45" s="39"/>
      <c r="R45" s="39"/>
      <c r="S45" s="39"/>
      <c r="T45" s="39"/>
      <c r="U45" s="39"/>
      <c r="V45" s="39"/>
    </row>
    <row r="46" spans="1:22" s="40" customFormat="1" ht="15">
      <c r="A46" s="42"/>
      <c r="B46" s="84"/>
      <c r="K46" s="555"/>
      <c r="M46" s="496"/>
      <c r="N46" s="496"/>
      <c r="T46" s="39"/>
    </row>
    <row r="47" spans="1:22" ht="15">
      <c r="B47" s="84"/>
      <c r="C47" s="40"/>
      <c r="D47" s="40"/>
      <c r="E47" s="40"/>
      <c r="F47" s="40"/>
      <c r="G47" s="40"/>
      <c r="H47" s="40"/>
      <c r="I47" s="572" t="s">
        <v>25</v>
      </c>
      <c r="J47" s="1133">
        <f>J41+J34</f>
        <v>198359.76</v>
      </c>
      <c r="K47" s="106"/>
      <c r="L47" s="40"/>
      <c r="M47" s="496"/>
      <c r="N47" s="496"/>
      <c r="O47" s="39"/>
      <c r="P47" s="39"/>
      <c r="Q47" s="39"/>
      <c r="R47" s="39"/>
      <c r="S47" s="39"/>
      <c r="T47" s="545"/>
      <c r="U47" s="39"/>
      <c r="V47" s="39"/>
    </row>
    <row r="48" spans="1:22" ht="15">
      <c r="B48" s="84"/>
      <c r="C48" s="40"/>
      <c r="D48" s="40"/>
      <c r="E48" s="40"/>
      <c r="F48" s="73"/>
      <c r="G48" s="73"/>
      <c r="H48" s="40"/>
      <c r="I48" s="572" t="s">
        <v>1089</v>
      </c>
      <c r="J48" s="1133">
        <f>J47/J44</f>
        <v>2479.4970000000003</v>
      </c>
      <c r="K48" s="106"/>
      <c r="L48" s="40"/>
      <c r="M48" s="496"/>
      <c r="N48" s="496"/>
      <c r="O48" s="39"/>
      <c r="P48" s="39"/>
      <c r="Q48" s="39"/>
      <c r="R48" s="39"/>
      <c r="S48" s="39"/>
      <c r="T48" s="545"/>
      <c r="U48" s="39"/>
      <c r="V48" s="39"/>
    </row>
    <row r="49" spans="1:23" ht="15">
      <c r="B49" s="84"/>
      <c r="C49" s="40"/>
      <c r="D49" s="40"/>
      <c r="E49" s="40"/>
      <c r="F49" s="73"/>
      <c r="G49" s="73"/>
      <c r="H49" s="40"/>
      <c r="I49" s="572" t="s">
        <v>1090</v>
      </c>
      <c r="J49" s="1194">
        <f>J47/J45</f>
        <v>60.475536585365859</v>
      </c>
      <c r="K49" s="106"/>
      <c r="L49" s="40"/>
      <c r="M49" s="496"/>
      <c r="N49" s="496"/>
      <c r="O49" s="39"/>
      <c r="P49" s="39"/>
      <c r="Q49" s="39"/>
      <c r="R49" s="39"/>
      <c r="S49" s="39"/>
      <c r="T49" s="545"/>
      <c r="U49" s="39"/>
      <c r="V49" s="39"/>
    </row>
    <row r="50" spans="1:23" s="40" customFormat="1" ht="15">
      <c r="B50" s="130"/>
      <c r="K50" s="1430"/>
      <c r="M50" s="496"/>
      <c r="N50" s="496"/>
      <c r="T50" s="39"/>
    </row>
    <row r="51" spans="1:23" ht="15">
      <c r="A51" s="194"/>
      <c r="B51" s="2343" t="s">
        <v>102</v>
      </c>
      <c r="C51" s="2528"/>
      <c r="D51" s="2528"/>
      <c r="E51" s="2528"/>
      <c r="F51" s="2528"/>
      <c r="G51" s="2528"/>
      <c r="H51" s="2528"/>
      <c r="I51" s="2528"/>
      <c r="J51" s="2528"/>
      <c r="K51" s="2529"/>
      <c r="L51" s="813"/>
      <c r="M51" s="496"/>
      <c r="N51" s="496"/>
      <c r="O51" s="40"/>
      <c r="P51" s="39"/>
      <c r="Q51" s="39"/>
      <c r="S51" s="39"/>
      <c r="T51" s="39"/>
      <c r="U51" s="39"/>
      <c r="V51" s="39"/>
      <c r="W51" s="39"/>
    </row>
    <row r="52" spans="1:23" ht="15">
      <c r="A52" s="194"/>
      <c r="B52" s="781"/>
      <c r="C52" s="73"/>
      <c r="D52" s="73"/>
      <c r="E52" s="73"/>
      <c r="F52" s="73"/>
      <c r="G52" s="258"/>
      <c r="H52" s="258"/>
      <c r="I52" s="258"/>
      <c r="J52" s="40"/>
      <c r="K52" s="1431"/>
      <c r="L52" s="40"/>
      <c r="M52" s="496"/>
      <c r="N52" s="496"/>
      <c r="O52" s="39"/>
      <c r="P52" s="39"/>
      <c r="Q52" s="39"/>
      <c r="R52" s="39"/>
      <c r="S52" s="39"/>
      <c r="T52" s="39"/>
      <c r="U52" s="39"/>
      <c r="V52" s="39"/>
      <c r="W52" s="39"/>
    </row>
    <row r="53" spans="1:23" ht="15">
      <c r="A53" s="194"/>
      <c r="B53" s="84"/>
      <c r="C53" s="51"/>
      <c r="D53" s="40"/>
      <c r="E53" s="40"/>
      <c r="F53" s="258"/>
      <c r="G53" s="258"/>
      <c r="H53" s="258"/>
      <c r="I53" s="258"/>
      <c r="J53" s="258"/>
      <c r="K53" s="777"/>
      <c r="L53" s="40"/>
      <c r="M53" s="496"/>
      <c r="N53" s="496"/>
      <c r="O53" s="39"/>
      <c r="P53" s="39"/>
      <c r="Q53" s="39"/>
      <c r="R53" s="39"/>
      <c r="S53" s="39"/>
      <c r="T53" s="39"/>
      <c r="U53" s="39"/>
      <c r="V53" s="39"/>
      <c r="W53" s="39"/>
    </row>
    <row r="54" spans="1:23" ht="15">
      <c r="A54" s="194"/>
      <c r="B54" s="84"/>
      <c r="C54" s="51"/>
      <c r="D54" s="40"/>
      <c r="E54" s="40"/>
      <c r="F54" s="258"/>
      <c r="G54" s="258"/>
      <c r="H54" s="258"/>
      <c r="I54" s="258"/>
      <c r="J54" s="40"/>
      <c r="K54" s="1043"/>
      <c r="L54" s="40"/>
      <c r="M54" s="496"/>
      <c r="N54" s="496"/>
      <c r="O54" s="39"/>
      <c r="P54" s="39"/>
      <c r="Q54" s="39"/>
      <c r="R54" s="39"/>
      <c r="S54" s="39"/>
      <c r="T54" s="39"/>
      <c r="U54" s="39"/>
      <c r="V54" s="39"/>
      <c r="W54" s="39"/>
    </row>
    <row r="55" spans="1:23" ht="45">
      <c r="A55" s="194"/>
      <c r="B55" s="84"/>
      <c r="C55" s="476" t="s">
        <v>818</v>
      </c>
      <c r="D55" s="1298" t="s">
        <v>101</v>
      </c>
      <c r="E55" s="1298" t="s">
        <v>100</v>
      </c>
      <c r="F55" s="1298" t="s">
        <v>149</v>
      </c>
      <c r="G55" s="258"/>
      <c r="H55" s="73"/>
      <c r="I55" s="1252" t="s">
        <v>1001</v>
      </c>
      <c r="J55" s="1298" t="s">
        <v>121</v>
      </c>
      <c r="K55" s="1134" t="s">
        <v>148</v>
      </c>
      <c r="L55" s="1322"/>
      <c r="M55" s="496"/>
      <c r="N55" s="496"/>
      <c r="O55" s="39"/>
      <c r="P55" s="39"/>
      <c r="Q55" s="39"/>
      <c r="R55" s="39"/>
      <c r="S55" s="39"/>
      <c r="T55" s="39"/>
      <c r="U55" s="39"/>
      <c r="V55" s="39"/>
      <c r="W55" s="39"/>
    </row>
    <row r="56" spans="1:23" ht="15">
      <c r="A56" s="194"/>
      <c r="B56" s="84"/>
      <c r="C56" s="572" t="s">
        <v>69</v>
      </c>
      <c r="D56" s="1371">
        <v>0</v>
      </c>
      <c r="E56" s="1371">
        <v>1</v>
      </c>
      <c r="F56" s="587">
        <v>1</v>
      </c>
      <c r="G56" s="258"/>
      <c r="H56" s="73"/>
      <c r="I56" s="946" t="str">
        <f t="shared" ref="I56:I63" si="0">C56</f>
        <v>Emergency bed days</v>
      </c>
      <c r="J56" s="771">
        <f t="shared" ref="J56:J63" si="1">J$45*F56</f>
        <v>3280</v>
      </c>
      <c r="K56" s="1341">
        <f t="shared" ref="K56:K63" si="2">SIGN(F56)*INT(ABS(J56)/E80)*E80</f>
        <v>2190</v>
      </c>
      <c r="L56" s="1322"/>
      <c r="M56" s="496"/>
      <c r="N56" s="496"/>
      <c r="O56" s="39"/>
      <c r="P56" s="39"/>
      <c r="Q56" s="39"/>
      <c r="R56" s="39"/>
      <c r="S56" s="39"/>
      <c r="T56" s="39"/>
      <c r="U56" s="39"/>
      <c r="V56" s="39"/>
      <c r="W56" s="39"/>
    </row>
    <row r="57" spans="1:23" ht="15">
      <c r="A57" s="194"/>
      <c r="B57" s="84"/>
      <c r="C57" s="572" t="s">
        <v>43</v>
      </c>
      <c r="D57" s="1371">
        <v>0</v>
      </c>
      <c r="E57" s="1371">
        <v>2</v>
      </c>
      <c r="F57" s="587">
        <v>0.1</v>
      </c>
      <c r="G57" s="258"/>
      <c r="H57" s="73"/>
      <c r="I57" s="572" t="str">
        <f t="shared" si="0"/>
        <v>ED attends</v>
      </c>
      <c r="J57" s="771">
        <f t="shared" si="1"/>
        <v>328</v>
      </c>
      <c r="K57" s="104">
        <f t="shared" si="2"/>
        <v>0</v>
      </c>
      <c r="L57" s="1322"/>
      <c r="M57" s="496"/>
      <c r="N57" s="496"/>
      <c r="O57" s="39"/>
      <c r="P57" s="39"/>
      <c r="Q57" s="39"/>
      <c r="R57" s="39"/>
      <c r="S57" s="39"/>
      <c r="T57" s="39"/>
      <c r="U57" s="39"/>
      <c r="V57" s="39"/>
      <c r="W57" s="39"/>
    </row>
    <row r="58" spans="1:23" ht="15">
      <c r="A58" s="194"/>
      <c r="B58" s="84"/>
      <c r="C58" s="572" t="s">
        <v>77</v>
      </c>
      <c r="D58" s="1371">
        <v>0</v>
      </c>
      <c r="E58" s="1371">
        <v>1</v>
      </c>
      <c r="F58" s="587">
        <v>0.5</v>
      </c>
      <c r="G58" s="258"/>
      <c r="H58" s="73"/>
      <c r="I58" s="572" t="str">
        <f t="shared" si="0"/>
        <v>Ambulance - see and treat</v>
      </c>
      <c r="J58" s="771">
        <f t="shared" si="1"/>
        <v>1640</v>
      </c>
      <c r="K58" s="104">
        <f t="shared" si="2"/>
        <v>0</v>
      </c>
      <c r="L58" s="1322"/>
      <c r="M58" s="496"/>
      <c r="N58" s="496"/>
      <c r="O58" s="39"/>
      <c r="P58" s="39"/>
      <c r="Q58" s="39"/>
      <c r="R58" s="39"/>
      <c r="S58" s="39"/>
      <c r="T58" s="39"/>
      <c r="U58" s="39"/>
      <c r="V58" s="39"/>
      <c r="W58" s="39"/>
    </row>
    <row r="59" spans="1:23" ht="15">
      <c r="A59" s="194"/>
      <c r="B59" s="84"/>
      <c r="C59" s="572" t="s">
        <v>46</v>
      </c>
      <c r="D59" s="1371">
        <v>0</v>
      </c>
      <c r="E59" s="1371">
        <v>2</v>
      </c>
      <c r="F59" s="587">
        <v>0.1</v>
      </c>
      <c r="G59" s="258"/>
      <c r="H59" s="73"/>
      <c r="I59" s="572" t="str">
        <f t="shared" si="0"/>
        <v>Ambulance - see and convey to ED</v>
      </c>
      <c r="J59" s="771">
        <f t="shared" si="1"/>
        <v>328</v>
      </c>
      <c r="K59" s="104">
        <f t="shared" si="2"/>
        <v>0</v>
      </c>
      <c r="L59" s="1322"/>
      <c r="M59" s="496"/>
      <c r="N59" s="496"/>
      <c r="O59" s="39"/>
      <c r="P59" s="39"/>
      <c r="Q59" s="39"/>
      <c r="R59" s="39"/>
      <c r="S59" s="39"/>
      <c r="T59" s="39"/>
      <c r="U59" s="39"/>
      <c r="V59" s="39"/>
      <c r="W59" s="39"/>
    </row>
    <row r="60" spans="1:23" ht="15">
      <c r="A60" s="194"/>
      <c r="B60" s="84"/>
      <c r="C60" s="802" t="s">
        <v>45</v>
      </c>
      <c r="D60" s="1371">
        <v>-1</v>
      </c>
      <c r="E60" s="1371">
        <v>1</v>
      </c>
      <c r="F60" s="587">
        <v>1</v>
      </c>
      <c r="G60" s="258"/>
      <c r="H60" s="73"/>
      <c r="I60" s="572" t="str">
        <f t="shared" si="0"/>
        <v>OOH home visits</v>
      </c>
      <c r="J60" s="771">
        <f t="shared" si="1"/>
        <v>3280</v>
      </c>
      <c r="K60" s="1341">
        <f t="shared" si="2"/>
        <v>3150</v>
      </c>
      <c r="L60" s="1322"/>
      <c r="M60" s="496"/>
      <c r="N60" s="496"/>
      <c r="O60" s="39"/>
      <c r="P60" s="39"/>
      <c r="Q60" s="39"/>
      <c r="R60" s="39"/>
      <c r="S60" s="39"/>
      <c r="T60" s="39"/>
      <c r="U60" s="39"/>
      <c r="V60" s="39"/>
      <c r="W60" s="39"/>
    </row>
    <row r="61" spans="1:23" ht="15">
      <c r="A61" s="194"/>
      <c r="B61" s="84"/>
      <c r="C61" s="802" t="s">
        <v>34</v>
      </c>
      <c r="D61" s="1371">
        <v>-5</v>
      </c>
      <c r="E61" s="1371">
        <v>0</v>
      </c>
      <c r="F61" s="587">
        <v>1</v>
      </c>
      <c r="G61" s="258"/>
      <c r="H61" s="73"/>
      <c r="I61" s="572" t="str">
        <f t="shared" si="0"/>
        <v>GP visits</v>
      </c>
      <c r="J61" s="771">
        <f t="shared" si="1"/>
        <v>3280</v>
      </c>
      <c r="K61" s="1341">
        <f t="shared" si="2"/>
        <v>3280</v>
      </c>
      <c r="L61" s="1322"/>
      <c r="M61" s="496"/>
      <c r="N61" s="496"/>
      <c r="O61" s="39"/>
      <c r="P61" s="39"/>
      <c r="Q61" s="39"/>
      <c r="R61" s="39"/>
      <c r="S61" s="39"/>
      <c r="T61" s="39"/>
      <c r="U61" s="39"/>
      <c r="V61" s="39"/>
      <c r="W61" s="39"/>
    </row>
    <row r="62" spans="1:23" ht="15">
      <c r="A62" s="194"/>
      <c r="B62" s="84"/>
      <c r="C62" s="597" t="s">
        <v>30</v>
      </c>
      <c r="D62" s="1371">
        <v>-10</v>
      </c>
      <c r="E62" s="1371">
        <v>0</v>
      </c>
      <c r="F62" s="587">
        <v>1</v>
      </c>
      <c r="G62" s="258"/>
      <c r="H62" s="73"/>
      <c r="I62" s="572" t="str">
        <f t="shared" si="0"/>
        <v>Community contacts</v>
      </c>
      <c r="J62" s="771">
        <f t="shared" si="1"/>
        <v>3280</v>
      </c>
      <c r="K62" s="1341">
        <f t="shared" si="2"/>
        <v>3150</v>
      </c>
      <c r="L62" s="1322"/>
      <c r="M62" s="496"/>
      <c r="N62" s="496"/>
      <c r="O62" s="39"/>
      <c r="P62" s="39"/>
      <c r="Q62" s="39"/>
      <c r="R62" s="39"/>
      <c r="S62" s="39"/>
      <c r="T62" s="39"/>
      <c r="U62" s="39"/>
      <c r="V62" s="39"/>
      <c r="W62" s="39"/>
    </row>
    <row r="63" spans="1:23" ht="15">
      <c r="A63" s="194"/>
      <c r="B63" s="84"/>
      <c r="C63" s="597" t="s">
        <v>51</v>
      </c>
      <c r="D63" s="1371">
        <v>-10</v>
      </c>
      <c r="E63" s="1371">
        <v>0</v>
      </c>
      <c r="F63" s="587">
        <v>-10</v>
      </c>
      <c r="G63" s="258"/>
      <c r="H63" s="73"/>
      <c r="I63" s="572" t="str">
        <f t="shared" si="0"/>
        <v>111 calls (clinical advisor)</v>
      </c>
      <c r="J63" s="771">
        <f t="shared" si="1"/>
        <v>-32800</v>
      </c>
      <c r="K63" s="1341">
        <f t="shared" si="2"/>
        <v>-28350</v>
      </c>
      <c r="L63" s="1322"/>
      <c r="M63" s="496"/>
      <c r="N63" s="496"/>
      <c r="O63" s="39"/>
      <c r="P63" s="39"/>
      <c r="Q63" s="39"/>
      <c r="R63" s="39"/>
      <c r="S63" s="39"/>
      <c r="T63" s="39"/>
      <c r="U63" s="39"/>
      <c r="V63" s="39"/>
      <c r="W63" s="39"/>
    </row>
    <row r="64" spans="1:23" ht="27.75" customHeight="1">
      <c r="A64" s="194"/>
      <c r="B64" s="84"/>
      <c r="C64" s="258"/>
      <c r="D64" s="258"/>
      <c r="E64" s="258"/>
      <c r="F64" s="258"/>
      <c r="G64" s="258"/>
      <c r="H64" s="73"/>
      <c r="I64" s="73"/>
      <c r="J64" s="1700" t="s">
        <v>1217</v>
      </c>
      <c r="K64" s="1699"/>
      <c r="L64" s="1322"/>
      <c r="M64" s="496"/>
      <c r="N64" s="496"/>
      <c r="O64" s="39"/>
      <c r="P64" s="39"/>
      <c r="Q64" s="39"/>
      <c r="R64" s="39"/>
      <c r="S64" s="39"/>
      <c r="T64" s="39"/>
      <c r="U64" s="39"/>
      <c r="V64" s="39"/>
      <c r="W64" s="39"/>
    </row>
    <row r="65" spans="1:23" ht="15">
      <c r="A65" s="194"/>
      <c r="B65" s="84"/>
      <c r="C65" s="51"/>
      <c r="D65" s="51"/>
      <c r="E65" s="51"/>
      <c r="F65" s="51"/>
      <c r="G65" s="51"/>
      <c r="H65" s="258"/>
      <c r="I65" s="258"/>
      <c r="J65" s="581"/>
      <c r="K65" s="83"/>
      <c r="L65" s="1322"/>
      <c r="M65" s="496"/>
      <c r="N65" s="496"/>
      <c r="O65" s="39"/>
      <c r="P65" s="39"/>
      <c r="Q65" s="39"/>
      <c r="R65" s="39"/>
      <c r="S65" s="39"/>
      <c r="T65" s="39"/>
      <c r="U65" s="39"/>
      <c r="V65" s="39"/>
      <c r="W65" s="39"/>
    </row>
    <row r="66" spans="1:23" ht="45">
      <c r="A66" s="194"/>
      <c r="B66" s="84"/>
      <c r="C66" s="51"/>
      <c r="D66" s="51"/>
      <c r="E66" s="51"/>
      <c r="F66" s="51"/>
      <c r="G66" s="51"/>
      <c r="H66" s="258"/>
      <c r="I66" s="1255" t="s">
        <v>1056</v>
      </c>
      <c r="J66" s="563" t="s">
        <v>660</v>
      </c>
      <c r="K66" s="1134" t="s">
        <v>120</v>
      </c>
      <c r="L66" s="1322"/>
      <c r="M66" s="496"/>
      <c r="N66" s="496"/>
      <c r="O66" s="39"/>
      <c r="P66" s="39"/>
      <c r="Q66" s="39"/>
      <c r="R66" s="39"/>
      <c r="S66" s="39"/>
      <c r="T66" s="39"/>
      <c r="U66" s="39"/>
      <c r="V66" s="39"/>
      <c r="W66" s="39"/>
    </row>
    <row r="67" spans="1:23" ht="15">
      <c r="A67" s="194"/>
      <c r="B67" s="84"/>
      <c r="C67" s="51"/>
      <c r="D67" s="51"/>
      <c r="E67" s="51"/>
      <c r="F67" s="51"/>
      <c r="G67" s="51"/>
      <c r="H67" s="73"/>
      <c r="I67" s="572" t="str">
        <f t="shared" ref="I67:I74" si="3">C56</f>
        <v>Emergency bed days</v>
      </c>
      <c r="J67" s="1133">
        <f t="shared" ref="J67:J74" si="4">J56*D80</f>
        <v>1546699.8331233286</v>
      </c>
      <c r="K67" s="1135">
        <f t="shared" ref="K67:K74" si="5">(J56-K56)*F80+(K56*G80)</f>
        <v>250552.0075966327</v>
      </c>
      <c r="L67" s="1322"/>
      <c r="M67" s="496"/>
      <c r="N67" s="496"/>
      <c r="O67" s="39"/>
      <c r="P67" s="39"/>
      <c r="Q67" s="39"/>
      <c r="R67" s="39"/>
      <c r="S67" s="39"/>
      <c r="T67" s="39"/>
      <c r="U67" s="39"/>
      <c r="V67" s="39"/>
      <c r="W67" s="39"/>
    </row>
    <row r="68" spans="1:23" ht="15">
      <c r="A68" s="194"/>
      <c r="B68" s="84"/>
      <c r="C68" s="51"/>
      <c r="D68" s="51"/>
      <c r="E68" s="51"/>
      <c r="F68" s="51"/>
      <c r="G68" s="51"/>
      <c r="H68" s="73"/>
      <c r="I68" s="572" t="str">
        <f t="shared" si="3"/>
        <v>ED attends</v>
      </c>
      <c r="J68" s="1133">
        <f t="shared" si="4"/>
        <v>50575.938321617359</v>
      </c>
      <c r="K68" s="1135">
        <f t="shared" si="5"/>
        <v>4267.6904324260086</v>
      </c>
      <c r="L68" s="1322"/>
      <c r="M68" s="496"/>
      <c r="N68" s="496"/>
      <c r="O68" s="39"/>
      <c r="P68" s="39"/>
      <c r="Q68" s="39"/>
      <c r="R68" s="39"/>
      <c r="S68" s="39"/>
      <c r="T68" s="39"/>
      <c r="U68" s="39"/>
      <c r="V68" s="39"/>
      <c r="W68" s="39"/>
    </row>
    <row r="69" spans="1:23" ht="15">
      <c r="A69" s="194"/>
      <c r="B69" s="84"/>
      <c r="C69" s="51"/>
      <c r="D69" s="51"/>
      <c r="E69" s="51"/>
      <c r="F69" s="51"/>
      <c r="G69" s="51"/>
      <c r="H69" s="73"/>
      <c r="I69" s="572" t="str">
        <f t="shared" si="3"/>
        <v>Ambulance - see and treat</v>
      </c>
      <c r="J69" s="1133">
        <f t="shared" si="4"/>
        <v>294923.85148247163</v>
      </c>
      <c r="K69" s="1135">
        <f t="shared" si="5"/>
        <v>26491.739999999994</v>
      </c>
      <c r="L69" s="1322"/>
      <c r="M69" s="496"/>
      <c r="N69" s="496"/>
      <c r="O69" s="39"/>
      <c r="P69" s="39"/>
      <c r="Q69" s="39"/>
      <c r="R69" s="39"/>
      <c r="S69" s="39"/>
      <c r="T69" s="39"/>
      <c r="U69" s="39"/>
      <c r="V69" s="39"/>
      <c r="W69" s="39"/>
    </row>
    <row r="70" spans="1:23" ht="15">
      <c r="A70" s="194"/>
      <c r="B70" s="84"/>
      <c r="C70" s="51"/>
      <c r="D70" s="51"/>
      <c r="E70" s="51"/>
      <c r="F70" s="51"/>
      <c r="G70" s="51"/>
      <c r="H70" s="73"/>
      <c r="I70" s="572" t="str">
        <f t="shared" si="3"/>
        <v>Ambulance - see and convey to ED</v>
      </c>
      <c r="J70" s="1133">
        <f t="shared" si="4"/>
        <v>76430.56022539195</v>
      </c>
      <c r="K70" s="1135">
        <f t="shared" si="5"/>
        <v>8445.2456000000002</v>
      </c>
      <c r="L70" s="1322"/>
      <c r="M70" s="496"/>
      <c r="N70" s="496"/>
      <c r="O70" s="39"/>
      <c r="P70" s="39"/>
      <c r="Q70" s="39"/>
      <c r="R70" s="39"/>
      <c r="S70" s="39"/>
      <c r="T70" s="39"/>
      <c r="U70" s="39"/>
      <c r="V70" s="39"/>
      <c r="W70" s="39"/>
    </row>
    <row r="71" spans="1:23" ht="15">
      <c r="A71" s="194"/>
      <c r="B71" s="84"/>
      <c r="C71" s="51"/>
      <c r="D71" s="51"/>
      <c r="E71" s="51"/>
      <c r="F71" s="51"/>
      <c r="G71" s="51"/>
      <c r="H71" s="73"/>
      <c r="I71" s="572" t="str">
        <f t="shared" si="3"/>
        <v>OOH home visits</v>
      </c>
      <c r="J71" s="1133">
        <f t="shared" si="4"/>
        <v>492000</v>
      </c>
      <c r="K71" s="1135">
        <f t="shared" si="5"/>
        <v>54900.041399446382</v>
      </c>
      <c r="L71" s="1322"/>
      <c r="M71" s="496"/>
      <c r="N71" s="496"/>
      <c r="O71" s="39"/>
      <c r="P71" s="39"/>
      <c r="Q71" s="39"/>
      <c r="R71" s="39"/>
      <c r="S71" s="39"/>
      <c r="T71" s="39"/>
      <c r="U71" s="39"/>
      <c r="V71" s="39"/>
      <c r="W71" s="39"/>
    </row>
    <row r="72" spans="1:23" ht="15">
      <c r="A72" s="194"/>
      <c r="B72" s="84"/>
      <c r="C72" s="51"/>
      <c r="D72" s="51"/>
      <c r="E72" s="51"/>
      <c r="F72" s="51"/>
      <c r="G72" s="51"/>
      <c r="H72" s="73"/>
      <c r="I72" s="572" t="str">
        <f t="shared" si="3"/>
        <v>GP visits</v>
      </c>
      <c r="J72" s="1133">
        <f t="shared" si="4"/>
        <v>200080</v>
      </c>
      <c r="K72" s="1135">
        <f t="shared" si="5"/>
        <v>21888.251799779271</v>
      </c>
      <c r="L72" s="1322"/>
      <c r="M72" s="496"/>
      <c r="N72" s="496"/>
      <c r="O72" s="39"/>
      <c r="P72" s="39"/>
      <c r="Q72" s="39"/>
      <c r="R72" s="39"/>
      <c r="S72" s="39"/>
      <c r="T72" s="39"/>
      <c r="U72" s="39"/>
      <c r="V72" s="39"/>
      <c r="W72" s="39"/>
    </row>
    <row r="73" spans="1:23" ht="15">
      <c r="A73" s="194"/>
      <c r="B73" s="84"/>
      <c r="C73" s="51"/>
      <c r="D73" s="51"/>
      <c r="E73" s="51"/>
      <c r="F73" s="51"/>
      <c r="G73" s="51"/>
      <c r="H73" s="73"/>
      <c r="I73" s="572" t="str">
        <f t="shared" si="3"/>
        <v>Community contacts</v>
      </c>
      <c r="J73" s="1133">
        <f t="shared" si="4"/>
        <v>122227.39979460467</v>
      </c>
      <c r="K73" s="1135">
        <f t="shared" si="5"/>
        <v>12558.832999873353</v>
      </c>
      <c r="L73" s="1322"/>
      <c r="M73" s="496"/>
      <c r="N73" s="496"/>
      <c r="O73" s="39"/>
      <c r="P73" s="39"/>
      <c r="Q73" s="39"/>
      <c r="R73" s="39"/>
      <c r="S73" s="39"/>
      <c r="T73" s="39"/>
      <c r="U73" s="39"/>
      <c r="V73" s="39"/>
      <c r="W73" s="39"/>
    </row>
    <row r="74" spans="1:23" ht="15">
      <c r="A74" s="194"/>
      <c r="B74" s="84"/>
      <c r="C74" s="51"/>
      <c r="D74" s="51"/>
      <c r="E74" s="51"/>
      <c r="F74" s="51"/>
      <c r="G74" s="51"/>
      <c r="H74" s="73"/>
      <c r="I74" s="572" t="str">
        <f t="shared" si="3"/>
        <v>111 calls (clinical advisor)</v>
      </c>
      <c r="J74" s="1133">
        <f t="shared" si="4"/>
        <v>-656000</v>
      </c>
      <c r="K74" s="1135">
        <f t="shared" si="5"/>
        <v>-32865.599999999948</v>
      </c>
      <c r="L74" s="1322"/>
      <c r="M74" s="496"/>
      <c r="N74" s="496"/>
      <c r="O74" s="39"/>
      <c r="P74" s="39"/>
      <c r="Q74" s="39"/>
      <c r="R74" s="39"/>
      <c r="S74" s="39"/>
      <c r="T74" s="39"/>
      <c r="U74" s="39"/>
      <c r="V74" s="39"/>
      <c r="W74" s="39"/>
    </row>
    <row r="75" spans="1:23" ht="15">
      <c r="A75" s="194"/>
      <c r="B75" s="84"/>
      <c r="C75" s="51"/>
      <c r="D75" s="51"/>
      <c r="E75" s="51"/>
      <c r="F75" s="51"/>
      <c r="G75" s="51"/>
      <c r="H75" s="73"/>
      <c r="I75" s="572" t="s">
        <v>98</v>
      </c>
      <c r="J75" s="1133">
        <f>SUM(J67:J74)</f>
        <v>2126937.5829474144</v>
      </c>
      <c r="K75" s="1135">
        <f>SUM(K67:K74)</f>
        <v>346238.20982815768</v>
      </c>
      <c r="L75" s="1322"/>
      <c r="M75" s="496"/>
      <c r="N75" s="496"/>
      <c r="O75" s="39"/>
      <c r="P75" s="39"/>
      <c r="Q75" s="39"/>
      <c r="R75" s="39"/>
      <c r="S75" s="39"/>
      <c r="T75" s="39"/>
      <c r="U75" s="39"/>
      <c r="V75" s="39"/>
      <c r="W75" s="39"/>
    </row>
    <row r="76" spans="1:23" ht="15">
      <c r="A76" s="194"/>
      <c r="B76" s="84"/>
      <c r="C76" s="51"/>
      <c r="D76" s="51"/>
      <c r="E76" s="51"/>
      <c r="F76" s="51"/>
      <c r="G76" s="51"/>
      <c r="H76" s="73"/>
      <c r="I76" s="73"/>
      <c r="J76" s="40"/>
      <c r="K76" s="1432"/>
      <c r="L76" s="1322"/>
      <c r="M76" s="496"/>
      <c r="N76" s="496"/>
      <c r="O76" s="526"/>
      <c r="P76" s="39"/>
      <c r="Q76" s="39"/>
      <c r="R76" s="39"/>
      <c r="S76" s="39"/>
      <c r="T76" s="39"/>
      <c r="U76" s="39"/>
      <c r="V76" s="39"/>
    </row>
    <row r="77" spans="1:23" ht="15">
      <c r="A77" s="194"/>
      <c r="B77" s="602"/>
      <c r="C77" s="526"/>
      <c r="D77" s="526"/>
      <c r="E77" s="526"/>
      <c r="F77" s="73"/>
      <c r="G77" s="526"/>
      <c r="H77" s="73"/>
      <c r="I77" s="73"/>
      <c r="J77" s="40"/>
      <c r="K77" s="1430"/>
      <c r="L77" s="1322"/>
      <c r="M77" s="496"/>
      <c r="N77" s="496"/>
      <c r="O77" s="39"/>
      <c r="P77" s="39"/>
      <c r="Q77" s="39"/>
      <c r="R77" s="39"/>
      <c r="S77" s="39"/>
      <c r="T77" s="39"/>
      <c r="U77" s="39"/>
      <c r="V77" s="39"/>
      <c r="W77" s="39"/>
    </row>
    <row r="78" spans="1:23" ht="15">
      <c r="A78" s="194"/>
      <c r="B78" s="84"/>
      <c r="C78" s="73"/>
      <c r="D78" s="73"/>
      <c r="E78" s="73"/>
      <c r="F78" s="73"/>
      <c r="G78" s="258"/>
      <c r="H78" s="258"/>
      <c r="I78" s="258"/>
      <c r="J78" s="258"/>
      <c r="K78" s="777"/>
      <c r="L78" s="1258"/>
      <c r="M78" s="496"/>
      <c r="N78" s="496"/>
      <c r="O78" s="39"/>
      <c r="P78" s="39"/>
      <c r="Q78" s="39"/>
      <c r="R78" s="39"/>
      <c r="S78" s="39"/>
      <c r="T78" s="39"/>
      <c r="U78" s="39"/>
      <c r="V78" s="39"/>
      <c r="W78" s="39"/>
    </row>
    <row r="79" spans="1:23" ht="75">
      <c r="A79" s="194"/>
      <c r="B79" s="84"/>
      <c r="C79" s="582" t="s">
        <v>1214</v>
      </c>
      <c r="D79" s="1298" t="s">
        <v>660</v>
      </c>
      <c r="E79" s="1298" t="s">
        <v>145</v>
      </c>
      <c r="F79" s="1298" t="s">
        <v>144</v>
      </c>
      <c r="G79" s="1298" t="s">
        <v>688</v>
      </c>
      <c r="J79" s="258"/>
      <c r="K79" s="777"/>
      <c r="L79" s="1258"/>
      <c r="M79" s="496"/>
      <c r="N79" s="496"/>
      <c r="O79" s="39"/>
      <c r="P79" s="39"/>
      <c r="Q79" s="39"/>
      <c r="R79" s="39"/>
      <c r="S79" s="39"/>
      <c r="T79" s="39"/>
      <c r="U79" s="39"/>
      <c r="V79" s="39"/>
      <c r="W79" s="39"/>
    </row>
    <row r="80" spans="1:23" ht="15">
      <c r="A80" s="194"/>
      <c r="B80" s="84"/>
      <c r="C80" s="597" t="str">
        <f t="shared" ref="C80:C87" si="6">C56</f>
        <v>Emergency bed days</v>
      </c>
      <c r="D80" s="1194">
        <f>VLOOKUP($C80,local_data_input!$B$4:$K$20,2,FALSE)</f>
        <v>471.55482717174652</v>
      </c>
      <c r="E80" s="771">
        <f>VLOOKUP($C80,local_data_input!$B$4:$K$20,7,FALSE)</f>
        <v>2190</v>
      </c>
      <c r="F80" s="1194">
        <f>VLOOKUP($C80,local_data_input!$B$4:$K$20,8,FALSE)</f>
        <v>76.38780719409533</v>
      </c>
      <c r="G80" s="1194">
        <f>VLOOKUP($C80,local_data_input!$B$4:$K$20,9,FALSE)</f>
        <v>76.38780719409533</v>
      </c>
      <c r="J80" s="258"/>
      <c r="K80" s="777"/>
      <c r="L80" s="1258"/>
      <c r="M80" s="496"/>
      <c r="N80" s="496"/>
      <c r="O80" s="39"/>
      <c r="P80" s="39"/>
      <c r="Q80" s="39"/>
      <c r="R80" s="39"/>
      <c r="S80" s="39"/>
      <c r="T80" s="39"/>
      <c r="U80" s="39"/>
      <c r="V80" s="39"/>
      <c r="W80" s="39"/>
    </row>
    <row r="81" spans="1:25" ht="15">
      <c r="A81" s="194"/>
      <c r="B81" s="84"/>
      <c r="C81" s="597" t="str">
        <f t="shared" si="6"/>
        <v>ED attends</v>
      </c>
      <c r="D81" s="1194">
        <f>VLOOKUP($C81,local_data_input!$B$4:$K$20,2,FALSE)</f>
        <v>154.19493390737</v>
      </c>
      <c r="E81" s="771">
        <f>VLOOKUP($C81,local_data_input!$B$4:$K$20,7,FALSE)</f>
        <v>4725</v>
      </c>
      <c r="F81" s="1194">
        <f>VLOOKUP($C81,local_data_input!$B$4:$K$20,8,FALSE)</f>
        <v>13.011251318371977</v>
      </c>
      <c r="G81" s="1194">
        <f>VLOOKUP($C81,local_data_input!$B$4:$K$20,9,FALSE)</f>
        <v>13.011251318371977</v>
      </c>
      <c r="J81" s="258"/>
      <c r="K81" s="777"/>
      <c r="L81" s="1258"/>
      <c r="M81" s="496"/>
      <c r="N81" s="496"/>
      <c r="O81" s="39"/>
      <c r="P81" s="39"/>
      <c r="Q81" s="39"/>
      <c r="R81" s="39"/>
      <c r="S81" s="39"/>
      <c r="T81" s="39"/>
      <c r="U81" s="39"/>
      <c r="V81" s="39"/>
      <c r="W81" s="39"/>
    </row>
    <row r="82" spans="1:25" ht="15">
      <c r="A82" s="194"/>
      <c r="B82" s="84"/>
      <c r="C82" s="597" t="str">
        <f t="shared" si="6"/>
        <v>Ambulance - see and treat</v>
      </c>
      <c r="D82" s="1194">
        <f>VLOOKUP($C82,local_data_input!$B$4:$K$20,2,FALSE)</f>
        <v>179.83161675760465</v>
      </c>
      <c r="E82" s="771">
        <f>VLOOKUP($C82,local_data_input!$B$4:$K$20,7,FALSE)</f>
        <v>3150</v>
      </c>
      <c r="F82" s="1194">
        <f>VLOOKUP($C82,local_data_input!$B$4:$K$20,8,FALSE)</f>
        <v>16.153499999999998</v>
      </c>
      <c r="G82" s="1194">
        <f>VLOOKUP($C82,local_data_input!$B$4:$K$20,9,FALSE)</f>
        <v>16.153499999999998</v>
      </c>
      <c r="J82" s="258"/>
      <c r="K82" s="777"/>
      <c r="L82" s="1258"/>
      <c r="M82" s="496"/>
      <c r="N82" s="496"/>
      <c r="O82" s="39"/>
      <c r="P82" s="39"/>
      <c r="Q82" s="39"/>
      <c r="R82" s="39"/>
      <c r="S82" s="39"/>
      <c r="T82" s="39"/>
      <c r="U82" s="39"/>
      <c r="V82" s="39"/>
      <c r="W82" s="39"/>
    </row>
    <row r="83" spans="1:25" ht="15">
      <c r="A83" s="194"/>
      <c r="B83" s="84"/>
      <c r="C83" s="597" t="str">
        <f t="shared" si="6"/>
        <v>Ambulance - see and convey to ED</v>
      </c>
      <c r="D83" s="1194">
        <f>VLOOKUP($C83,local_data_input!$B$4:$K$20,2,FALSE)</f>
        <v>233.02000068717058</v>
      </c>
      <c r="E83" s="771">
        <f>VLOOKUP($C83,local_data_input!$B$4:$K$20,7,FALSE)</f>
        <v>3150</v>
      </c>
      <c r="F83" s="1194">
        <f>VLOOKUP($C83,local_data_input!$B$4:$K$20,8,FALSE)</f>
        <v>25.747699999999998</v>
      </c>
      <c r="G83" s="1194">
        <f>VLOOKUP($C83,local_data_input!$B$4:$K$20,9,FALSE)</f>
        <v>25.747699999999998</v>
      </c>
      <c r="J83" s="258"/>
      <c r="K83" s="777"/>
      <c r="L83" s="1258"/>
      <c r="M83" s="496"/>
      <c r="N83" s="496"/>
      <c r="O83" s="39"/>
      <c r="P83" s="39"/>
      <c r="Q83" s="39"/>
      <c r="R83" s="39"/>
      <c r="S83" s="39"/>
      <c r="T83" s="39"/>
      <c r="U83" s="39"/>
      <c r="V83" s="39"/>
      <c r="W83" s="39"/>
    </row>
    <row r="84" spans="1:25" ht="15">
      <c r="A84" s="194"/>
      <c r="B84" s="84"/>
      <c r="C84" s="597" t="str">
        <f t="shared" si="6"/>
        <v>OOH home visits</v>
      </c>
      <c r="D84" s="1194">
        <f>VLOOKUP($C84,local_data_input!$B$4:$K$20,2,FALSE)</f>
        <v>150</v>
      </c>
      <c r="E84" s="771">
        <f>VLOOKUP($C84,local_data_input!$B$4:$K$20,7,FALSE)</f>
        <v>1575</v>
      </c>
      <c r="F84" s="1194">
        <f>VLOOKUP($C84,local_data_input!$B$4:$K$20,8,FALSE)</f>
        <v>16.737817499831213</v>
      </c>
      <c r="G84" s="1194">
        <f>VLOOKUP($C84,local_data_input!$B$4:$K$20,9,FALSE)</f>
        <v>16.737817499831213</v>
      </c>
      <c r="J84" s="258"/>
      <c r="K84" s="777"/>
      <c r="L84" s="1258"/>
      <c r="M84" s="496"/>
      <c r="N84" s="496"/>
      <c r="O84" s="39"/>
      <c r="P84" s="39"/>
      <c r="Q84" s="39"/>
      <c r="R84" s="39"/>
      <c r="S84" s="39"/>
      <c r="T84" s="39"/>
      <c r="U84" s="39"/>
      <c r="V84" s="39"/>
      <c r="W84" s="39"/>
    </row>
    <row r="85" spans="1:25" ht="15">
      <c r="A85" s="194"/>
      <c r="B85" s="84"/>
      <c r="C85" s="597" t="str">
        <f t="shared" si="6"/>
        <v>GP visits</v>
      </c>
      <c r="D85" s="1194">
        <f>VLOOKUP($C85,local_data_input!$B$4:$K$20,2,FALSE)</f>
        <v>61</v>
      </c>
      <c r="E85" s="771">
        <f>VLOOKUP($C85,local_data_input!$B$4:$K$20,7,FALSE)</f>
        <v>1</v>
      </c>
      <c r="F85" s="1194">
        <f>VLOOKUP($C85,local_data_input!$B$4:$K$20,8,FALSE)</f>
        <v>6.6732474999327049</v>
      </c>
      <c r="G85" s="1194">
        <f>VLOOKUP($C85,local_data_input!$B$4:$K$20,9,FALSE)</f>
        <v>6.6732474999327049</v>
      </c>
      <c r="J85" s="258"/>
      <c r="K85" s="777"/>
      <c r="L85" s="1258"/>
      <c r="M85" s="496"/>
      <c r="N85" s="496"/>
      <c r="O85" s="39"/>
      <c r="P85" s="39"/>
      <c r="Q85" s="39"/>
      <c r="R85" s="39"/>
      <c r="S85" s="39"/>
      <c r="T85" s="39"/>
      <c r="U85" s="39"/>
      <c r="V85" s="39"/>
      <c r="W85" s="39"/>
    </row>
    <row r="86" spans="1:25" ht="15">
      <c r="A86" s="194"/>
      <c r="B86" s="84"/>
      <c r="C86" s="597" t="str">
        <f t="shared" si="6"/>
        <v>Community contacts</v>
      </c>
      <c r="D86" s="1194">
        <f>VLOOKUP($C86,local_data_input!$B$4:$K$20,2,FALSE)</f>
        <v>37.264451156891667</v>
      </c>
      <c r="E86" s="771">
        <f>VLOOKUP($C86,local_data_input!$B$4:$K$20,7,FALSE)</f>
        <v>3150</v>
      </c>
      <c r="F86" s="1194">
        <f>VLOOKUP($C86,local_data_input!$B$4:$K$20,8,FALSE)</f>
        <v>3.8289124999613882</v>
      </c>
      <c r="G86" s="1194">
        <f>VLOOKUP($C86,local_data_input!$B$4:$K$20,9,FALSE)</f>
        <v>3.8289124999613882</v>
      </c>
      <c r="J86" s="258"/>
      <c r="K86" s="777"/>
      <c r="L86" s="1258"/>
      <c r="M86" s="496"/>
      <c r="N86" s="496"/>
      <c r="O86" s="39"/>
      <c r="P86" s="39"/>
      <c r="Q86" s="39"/>
      <c r="R86" s="39"/>
      <c r="S86" s="39"/>
      <c r="T86" s="39"/>
      <c r="U86" s="39"/>
      <c r="V86" s="39"/>
      <c r="W86" s="39"/>
    </row>
    <row r="87" spans="1:25" ht="15">
      <c r="A87" s="194"/>
      <c r="B87" s="84"/>
      <c r="C87" s="597" t="str">
        <f t="shared" si="6"/>
        <v>111 calls (clinical advisor)</v>
      </c>
      <c r="D87" s="1194">
        <f>VLOOKUP($C87,local_data_input!$B$4:$K$20,2,FALSE)</f>
        <v>20</v>
      </c>
      <c r="E87" s="771">
        <f>VLOOKUP($C87,local_data_input!$B$4:$K$20,7,FALSE)</f>
        <v>9450</v>
      </c>
      <c r="F87" s="1194">
        <f>VLOOKUP($C87,local_data_input!$B$4:$K$20,8,FALSE)</f>
        <v>1.0019999999999984</v>
      </c>
      <c r="G87" s="1194">
        <f>VLOOKUP($C87,local_data_input!$B$4:$K$20,9,FALSE)</f>
        <v>1.0019999999999984</v>
      </c>
      <c r="J87" s="258"/>
      <c r="K87" s="777"/>
      <c r="L87" s="1258"/>
      <c r="M87" s="496"/>
      <c r="N87" s="496"/>
      <c r="O87" s="39"/>
      <c r="P87" s="39"/>
      <c r="Q87" s="39"/>
      <c r="R87" s="39"/>
      <c r="S87" s="39"/>
      <c r="T87" s="39"/>
      <c r="U87" s="39"/>
      <c r="V87" s="39"/>
      <c r="W87" s="39"/>
    </row>
    <row r="88" spans="1:25" ht="15">
      <c r="A88" s="194"/>
      <c r="B88" s="130"/>
      <c r="C88" s="527"/>
      <c r="D88" s="527"/>
      <c r="E88" s="527"/>
      <c r="F88" s="527"/>
      <c r="G88" s="527"/>
      <c r="H88" s="73"/>
      <c r="I88" s="73"/>
      <c r="J88" s="73"/>
      <c r="K88" s="106"/>
      <c r="L88" s="40"/>
      <c r="M88" s="496"/>
      <c r="N88" s="496"/>
      <c r="O88" s="526"/>
      <c r="P88" s="39"/>
      <c r="Q88" s="39"/>
      <c r="R88" s="39"/>
      <c r="S88" s="39"/>
      <c r="T88" s="39"/>
      <c r="U88" s="39"/>
      <c r="V88" s="39"/>
    </row>
    <row r="89" spans="1:25" ht="15">
      <c r="A89" s="2038"/>
      <c r="B89" s="2343" t="s">
        <v>97</v>
      </c>
      <c r="C89" s="2358"/>
      <c r="D89" s="2358"/>
      <c r="E89" s="2358"/>
      <c r="F89" s="2358"/>
      <c r="G89" s="2358"/>
      <c r="H89" s="2358"/>
      <c r="I89" s="2358"/>
      <c r="J89" s="2358"/>
      <c r="K89" s="2530"/>
      <c r="L89" s="813"/>
      <c r="M89" s="496"/>
      <c r="N89" s="496"/>
      <c r="O89" s="40"/>
      <c r="P89" s="39"/>
      <c r="Q89" s="39"/>
      <c r="S89" s="39"/>
      <c r="T89" s="39"/>
      <c r="U89" s="39"/>
      <c r="V89" s="39"/>
      <c r="W89" s="39"/>
    </row>
    <row r="90" spans="1:25" ht="15">
      <c r="A90" s="194"/>
      <c r="B90" s="781"/>
      <c r="C90" s="73"/>
      <c r="D90" s="40"/>
      <c r="E90" s="40"/>
      <c r="F90" s="40"/>
      <c r="G90" s="40"/>
      <c r="H90" s="40"/>
      <c r="I90" s="40"/>
      <c r="J90" s="40"/>
      <c r="K90" s="1432"/>
      <c r="L90" s="40"/>
      <c r="M90" s="496"/>
      <c r="N90" s="496"/>
      <c r="O90" s="39"/>
      <c r="P90" s="39"/>
      <c r="Q90" s="39"/>
      <c r="R90" s="39"/>
      <c r="S90" s="39"/>
      <c r="T90" s="39"/>
      <c r="U90" s="517"/>
      <c r="V90" s="517"/>
      <c r="W90" s="518"/>
      <c r="X90" s="518"/>
      <c r="Y90" s="518"/>
    </row>
    <row r="91" spans="1:25" ht="15">
      <c r="A91" s="194"/>
      <c r="B91" s="84"/>
      <c r="C91" s="40"/>
      <c r="D91" s="40"/>
      <c r="E91" s="40"/>
      <c r="F91" s="40"/>
      <c r="G91" s="40"/>
      <c r="H91" s="40"/>
      <c r="I91" s="40"/>
      <c r="J91" s="40"/>
      <c r="K91" s="83"/>
      <c r="L91" s="40"/>
      <c r="M91" s="496"/>
      <c r="N91" s="496"/>
      <c r="O91" s="39"/>
      <c r="P91" s="39"/>
      <c r="Q91" s="39"/>
      <c r="R91" s="39"/>
      <c r="S91" s="39"/>
      <c r="T91" s="39"/>
      <c r="U91" s="517"/>
      <c r="V91" s="517"/>
      <c r="W91" s="518"/>
      <c r="X91" s="518"/>
      <c r="Y91" s="518"/>
    </row>
    <row r="92" spans="1:25" ht="15">
      <c r="A92" s="194"/>
      <c r="B92" s="84"/>
      <c r="C92" s="40"/>
      <c r="D92" s="40"/>
      <c r="E92" s="40"/>
      <c r="F92" s="40"/>
      <c r="G92" s="40"/>
      <c r="H92" s="40"/>
      <c r="I92" s="40"/>
      <c r="J92" s="40"/>
      <c r="K92" s="83"/>
      <c r="L92" s="40"/>
      <c r="M92" s="496"/>
      <c r="N92" s="496"/>
      <c r="O92" s="39"/>
      <c r="P92" s="39"/>
      <c r="Q92" s="39"/>
      <c r="R92" s="39"/>
      <c r="S92" s="39"/>
      <c r="T92" s="39"/>
      <c r="U92" s="517"/>
      <c r="V92" s="517"/>
      <c r="W92" s="518"/>
      <c r="X92" s="518"/>
      <c r="Y92" s="518"/>
    </row>
    <row r="93" spans="1:25" ht="15">
      <c r="A93" s="194"/>
      <c r="B93" s="84"/>
      <c r="C93" s="40"/>
      <c r="D93" s="40"/>
      <c r="E93" s="40"/>
      <c r="F93" s="40"/>
      <c r="G93" s="40"/>
      <c r="H93" s="40"/>
      <c r="I93" s="40"/>
      <c r="J93" s="40"/>
      <c r="K93" s="83"/>
      <c r="L93" s="40"/>
      <c r="M93" s="496"/>
      <c r="N93" s="496"/>
      <c r="O93" s="39"/>
      <c r="P93" s="39"/>
      <c r="Q93" s="39"/>
      <c r="R93" s="39"/>
      <c r="S93" s="39"/>
      <c r="T93" s="39"/>
      <c r="U93" s="517"/>
      <c r="V93" s="517"/>
      <c r="W93" s="518"/>
      <c r="X93" s="518"/>
      <c r="Y93" s="518"/>
    </row>
    <row r="94" spans="1:25" ht="15">
      <c r="A94" s="194"/>
      <c r="B94" s="84"/>
      <c r="C94" s="40"/>
      <c r="D94" s="40"/>
      <c r="E94" s="40"/>
      <c r="F94" s="40"/>
      <c r="G94" s="40"/>
      <c r="H94" s="40"/>
      <c r="I94" s="40"/>
      <c r="J94" s="40"/>
      <c r="K94" s="83"/>
      <c r="L94" s="40"/>
      <c r="M94" s="496"/>
      <c r="N94" s="496"/>
      <c r="O94" s="39"/>
      <c r="P94" s="39"/>
      <c r="Q94" s="39"/>
      <c r="R94" s="39"/>
      <c r="S94" s="39"/>
      <c r="T94" s="39"/>
      <c r="U94" s="517"/>
      <c r="V94" s="517"/>
      <c r="W94" s="518"/>
      <c r="X94" s="518"/>
      <c r="Y94" s="518"/>
    </row>
    <row r="95" spans="1:25" ht="15">
      <c r="A95" s="194"/>
      <c r="B95" s="84"/>
      <c r="C95" s="40"/>
      <c r="D95" s="40"/>
      <c r="E95" s="40"/>
      <c r="F95" s="40"/>
      <c r="G95" s="40"/>
      <c r="H95" s="40"/>
      <c r="I95" s="40"/>
      <c r="J95" s="40"/>
      <c r="K95" s="83"/>
      <c r="L95" s="40"/>
      <c r="M95" s="496"/>
      <c r="N95" s="496"/>
      <c r="O95" s="39"/>
      <c r="P95" s="39"/>
      <c r="Q95" s="39"/>
      <c r="R95" s="39"/>
      <c r="S95" s="39"/>
      <c r="T95" s="39"/>
      <c r="U95" s="517"/>
      <c r="V95" s="517"/>
      <c r="W95" s="518"/>
      <c r="X95" s="518"/>
      <c r="Y95" s="518"/>
    </row>
    <row r="96" spans="1:25" ht="15">
      <c r="A96" s="194"/>
      <c r="B96" s="84"/>
      <c r="C96" s="40"/>
      <c r="D96" s="40"/>
      <c r="E96" s="40"/>
      <c r="F96" s="40"/>
      <c r="G96" s="40"/>
      <c r="H96" s="40"/>
      <c r="I96" s="40"/>
      <c r="J96" s="40"/>
      <c r="K96" s="83"/>
      <c r="L96" s="40"/>
      <c r="M96" s="496"/>
      <c r="N96" s="496"/>
      <c r="O96" s="39"/>
      <c r="P96" s="39"/>
      <c r="Q96" s="39"/>
      <c r="R96" s="39"/>
      <c r="S96" s="39"/>
      <c r="T96" s="39"/>
      <c r="U96" s="517"/>
      <c r="V96" s="517"/>
      <c r="W96" s="518"/>
      <c r="X96" s="518"/>
      <c r="Y96" s="518"/>
    </row>
    <row r="97" spans="1:25" ht="15">
      <c r="A97" s="194"/>
      <c r="B97" s="84"/>
      <c r="C97" s="40"/>
      <c r="D97" s="40"/>
      <c r="E97" s="40"/>
      <c r="F97" s="40"/>
      <c r="G97" s="40"/>
      <c r="H97" s="40"/>
      <c r="I97" s="40"/>
      <c r="J97" s="40"/>
      <c r="K97" s="83"/>
      <c r="L97" s="40"/>
      <c r="M97" s="496"/>
      <c r="N97" s="496"/>
      <c r="O97" s="39"/>
      <c r="P97" s="39"/>
      <c r="Q97" s="39"/>
      <c r="R97" s="39"/>
      <c r="S97" s="39"/>
      <c r="T97" s="39"/>
      <c r="U97" s="517"/>
      <c r="V97" s="517"/>
      <c r="W97" s="518"/>
      <c r="X97" s="518"/>
      <c r="Y97" s="518"/>
    </row>
    <row r="98" spans="1:25" ht="15">
      <c r="A98" s="194"/>
      <c r="B98" s="84"/>
      <c r="C98" s="40"/>
      <c r="D98" s="40"/>
      <c r="E98" s="40"/>
      <c r="F98" s="40"/>
      <c r="G98" s="40"/>
      <c r="H98" s="40"/>
      <c r="I98" s="40"/>
      <c r="J98" s="40"/>
      <c r="K98" s="83"/>
      <c r="L98" s="40"/>
      <c r="M98" s="496"/>
      <c r="N98" s="496"/>
      <c r="O98" s="39"/>
      <c r="P98" s="39"/>
      <c r="Q98" s="39"/>
      <c r="R98" s="39"/>
      <c r="S98" s="39"/>
      <c r="T98" s="39"/>
      <c r="U98" s="517"/>
      <c r="V98" s="517"/>
      <c r="W98" s="518"/>
      <c r="X98" s="518"/>
      <c r="Y98" s="518"/>
    </row>
    <row r="99" spans="1:25" ht="15">
      <c r="A99" s="194"/>
      <c r="B99" s="84"/>
      <c r="C99" s="40"/>
      <c r="D99" s="40"/>
      <c r="E99" s="40"/>
      <c r="F99" s="40"/>
      <c r="G99" s="40"/>
      <c r="H99" s="40"/>
      <c r="I99" s="40"/>
      <c r="J99" s="40"/>
      <c r="K99" s="83"/>
      <c r="L99" s="40"/>
      <c r="M99" s="496"/>
      <c r="N99" s="496"/>
      <c r="O99" s="39"/>
      <c r="P99" s="39"/>
      <c r="Q99" s="39"/>
      <c r="R99" s="39"/>
      <c r="S99" s="39"/>
      <c r="T99" s="39"/>
      <c r="U99" s="517"/>
      <c r="V99" s="517"/>
      <c r="W99" s="518"/>
      <c r="X99" s="518"/>
      <c r="Y99" s="518"/>
    </row>
    <row r="100" spans="1:25" ht="15">
      <c r="A100" s="194"/>
      <c r="B100" s="84"/>
      <c r="C100" s="40"/>
      <c r="D100" s="40"/>
      <c r="E100" s="40"/>
      <c r="F100" s="40"/>
      <c r="G100" s="40"/>
      <c r="H100" s="40"/>
      <c r="I100" s="40"/>
      <c r="J100" s="40"/>
      <c r="K100" s="2524"/>
      <c r="L100" s="40"/>
      <c r="M100" s="496"/>
      <c r="N100" s="496"/>
      <c r="O100" s="39"/>
      <c r="P100" s="39"/>
      <c r="Q100" s="39"/>
      <c r="R100" s="39"/>
      <c r="S100" s="39"/>
      <c r="T100" s="39"/>
      <c r="U100" s="39"/>
      <c r="V100" s="39"/>
    </row>
    <row r="101" spans="1:25" ht="15">
      <c r="A101" s="194"/>
      <c r="B101" s="84"/>
      <c r="C101" s="526"/>
      <c r="D101" s="40"/>
      <c r="E101" s="40"/>
      <c r="F101" s="40"/>
      <c r="G101" s="40"/>
      <c r="H101" s="40"/>
      <c r="I101" s="40"/>
      <c r="J101" s="40"/>
      <c r="K101" s="2524"/>
      <c r="L101" s="40"/>
      <c r="M101" s="496"/>
      <c r="N101" s="496"/>
      <c r="O101" s="39"/>
      <c r="P101" s="39"/>
      <c r="Q101" s="39"/>
      <c r="R101" s="39"/>
      <c r="S101" s="39"/>
      <c r="T101" s="39"/>
      <c r="U101" s="39"/>
      <c r="V101" s="39"/>
    </row>
    <row r="102" spans="1:25" ht="15.75" thickBot="1">
      <c r="A102" s="1433"/>
      <c r="B102" s="108"/>
      <c r="C102" s="610"/>
      <c r="D102" s="109"/>
      <c r="E102" s="109"/>
      <c r="F102" s="109"/>
      <c r="G102" s="109"/>
      <c r="H102" s="109"/>
      <c r="I102" s="109"/>
      <c r="J102" s="109"/>
      <c r="K102" s="2525"/>
      <c r="L102" s="40"/>
      <c r="M102" s="496"/>
      <c r="N102" s="496"/>
      <c r="O102" s="39"/>
      <c r="P102" s="39"/>
      <c r="Q102" s="39"/>
      <c r="R102" s="39"/>
      <c r="S102" s="39"/>
      <c r="T102" s="39"/>
      <c r="U102" s="39"/>
      <c r="V102" s="39"/>
    </row>
    <row r="103" spans="1:25" ht="15">
      <c r="B103" s="39"/>
      <c r="C103" s="526"/>
      <c r="D103" s="40"/>
      <c r="E103" s="40"/>
      <c r="F103" s="40"/>
      <c r="G103" s="40"/>
      <c r="H103" s="40"/>
      <c r="I103" s="40"/>
      <c r="J103" s="40"/>
      <c r="K103" s="40"/>
      <c r="L103" s="40"/>
      <c r="M103" s="496"/>
      <c r="N103" s="496"/>
      <c r="O103" s="39"/>
      <c r="P103" s="39"/>
      <c r="Q103" s="39"/>
      <c r="R103" s="39"/>
      <c r="S103" s="39"/>
      <c r="T103" s="39"/>
      <c r="U103" s="517"/>
      <c r="V103" s="517"/>
      <c r="W103" s="518"/>
      <c r="X103" s="518"/>
      <c r="Y103" s="518"/>
    </row>
    <row r="104" spans="1:25" ht="15">
      <c r="B104" s="39"/>
      <c r="C104" s="526"/>
      <c r="D104" s="39"/>
      <c r="E104" s="39"/>
      <c r="F104" s="40"/>
      <c r="G104" s="40"/>
      <c r="H104" s="40"/>
      <c r="I104" s="40"/>
      <c r="J104" s="40"/>
      <c r="K104" s="40"/>
      <c r="L104" s="40"/>
      <c r="M104" s="39"/>
      <c r="N104" s="39"/>
      <c r="O104" s="39"/>
      <c r="P104" s="39"/>
      <c r="Q104" s="39"/>
      <c r="R104" s="39"/>
      <c r="S104" s="39"/>
      <c r="T104" s="39"/>
      <c r="U104" s="517"/>
      <c r="V104" s="517"/>
      <c r="W104" s="518"/>
      <c r="X104" s="518"/>
      <c r="Y104" s="518"/>
    </row>
    <row r="105" spans="1:25" ht="15">
      <c r="B105" s="39"/>
      <c r="C105" s="526"/>
      <c r="D105" s="526"/>
      <c r="E105" s="526"/>
      <c r="F105" s="40"/>
      <c r="G105" s="40"/>
      <c r="H105" s="40"/>
      <c r="I105" s="40"/>
      <c r="J105" s="40"/>
      <c r="K105" s="40"/>
      <c r="L105" s="40"/>
      <c r="M105" s="39"/>
      <c r="N105" s="39"/>
      <c r="O105" s="39"/>
      <c r="P105" s="39"/>
      <c r="Q105" s="39"/>
      <c r="R105" s="39"/>
      <c r="S105" s="39"/>
      <c r="T105" s="39"/>
      <c r="U105" s="517"/>
      <c r="V105" s="517"/>
      <c r="W105" s="518"/>
      <c r="X105" s="518"/>
      <c r="Y105" s="518"/>
    </row>
    <row r="106" spans="1:25" ht="15">
      <c r="B106" s="39"/>
      <c r="C106" s="526"/>
      <c r="D106" s="526"/>
      <c r="E106" s="526"/>
      <c r="F106" s="40"/>
      <c r="G106" s="40"/>
      <c r="H106" s="40"/>
      <c r="I106" s="40"/>
      <c r="J106" s="40"/>
      <c r="K106" s="40"/>
      <c r="L106" s="40"/>
      <c r="M106" s="39"/>
      <c r="N106" s="39"/>
      <c r="O106" s="39"/>
      <c r="P106" s="39"/>
      <c r="Q106" s="39"/>
      <c r="R106" s="39"/>
      <c r="S106" s="39"/>
      <c r="U106" s="517"/>
      <c r="V106" s="517"/>
      <c r="W106" s="518"/>
      <c r="X106" s="518"/>
      <c r="Y106" s="518"/>
    </row>
    <row r="107" spans="1:25">
      <c r="B107" s="39"/>
      <c r="C107" s="40"/>
      <c r="D107" s="40"/>
      <c r="E107" s="40"/>
      <c r="F107" s="208"/>
      <c r="G107" s="208"/>
      <c r="H107" s="208"/>
      <c r="I107" s="208"/>
      <c r="J107" s="208"/>
      <c r="K107" s="208"/>
      <c r="L107" s="40"/>
      <c r="M107" s="39"/>
      <c r="N107" s="39"/>
      <c r="O107" s="39"/>
      <c r="P107" s="39"/>
      <c r="Q107" s="39"/>
      <c r="R107" s="39"/>
      <c r="S107" s="39"/>
      <c r="U107" s="517"/>
      <c r="V107" s="517"/>
      <c r="W107" s="518"/>
      <c r="X107" s="518"/>
      <c r="Y107" s="518"/>
    </row>
    <row r="108" spans="1:25">
      <c r="B108" s="39"/>
      <c r="C108" s="40"/>
      <c r="D108" s="40"/>
      <c r="E108" s="40"/>
      <c r="F108" s="40"/>
      <c r="G108" s="40"/>
      <c r="H108" s="40"/>
      <c r="I108" s="40"/>
      <c r="J108" s="40"/>
      <c r="K108" s="40"/>
      <c r="L108" s="40"/>
      <c r="M108" s="39"/>
      <c r="N108" s="39"/>
      <c r="O108" s="39"/>
      <c r="P108" s="39"/>
      <c r="Q108" s="39"/>
      <c r="R108" s="39"/>
      <c r="S108" s="39"/>
      <c r="U108" s="517"/>
      <c r="V108" s="517"/>
      <c r="W108" s="518"/>
      <c r="X108" s="518"/>
      <c r="Y108" s="518"/>
    </row>
    <row r="109" spans="1:25">
      <c r="B109" s="39"/>
      <c r="C109" s="209"/>
      <c r="D109" s="40"/>
      <c r="E109" s="40"/>
      <c r="F109" s="73"/>
      <c r="G109" s="40"/>
      <c r="H109" s="40"/>
      <c r="I109" s="40"/>
      <c r="J109" s="40"/>
      <c r="K109" s="40"/>
      <c r="L109" s="40"/>
      <c r="M109" s="39"/>
      <c r="N109" s="39"/>
      <c r="O109" s="39"/>
      <c r="P109" s="39"/>
      <c r="Q109" s="39"/>
      <c r="R109" s="39"/>
      <c r="S109" s="39"/>
      <c r="U109" s="517"/>
      <c r="V109" s="517"/>
      <c r="W109" s="518"/>
      <c r="X109" s="518"/>
      <c r="Y109" s="518"/>
    </row>
    <row r="110" spans="1:25">
      <c r="B110" s="39"/>
      <c r="C110" s="40"/>
      <c r="D110" s="40"/>
      <c r="E110" s="40"/>
      <c r="F110" s="40"/>
      <c r="G110" s="40"/>
      <c r="H110" s="40"/>
      <c r="I110" s="40"/>
      <c r="J110" s="40"/>
      <c r="K110" s="40"/>
      <c r="L110" s="40"/>
      <c r="M110" s="39"/>
      <c r="N110" s="39"/>
      <c r="O110" s="39"/>
      <c r="P110" s="39"/>
      <c r="Q110" s="39"/>
      <c r="R110" s="39"/>
      <c r="S110" s="39"/>
      <c r="U110" s="517"/>
      <c r="V110" s="517"/>
      <c r="W110" s="518"/>
      <c r="X110" s="518"/>
      <c r="Y110" s="518"/>
    </row>
    <row r="111" spans="1:25">
      <c r="B111" s="39"/>
      <c r="C111" s="40"/>
      <c r="D111" s="40"/>
      <c r="E111" s="40"/>
      <c r="F111" s="210"/>
      <c r="G111" s="210"/>
      <c r="H111" s="210"/>
      <c r="I111" s="210"/>
      <c r="J111" s="210"/>
      <c r="K111" s="210"/>
      <c r="L111" s="40"/>
      <c r="M111" s="39"/>
      <c r="N111" s="39"/>
      <c r="O111" s="39"/>
      <c r="P111" s="39"/>
      <c r="Q111" s="39"/>
      <c r="R111" s="39"/>
      <c r="S111" s="39"/>
      <c r="U111" s="517"/>
      <c r="V111" s="517"/>
      <c r="W111" s="518"/>
      <c r="X111" s="518"/>
      <c r="Y111" s="518"/>
    </row>
    <row r="112" spans="1:25">
      <c r="B112" s="39"/>
      <c r="C112" s="40"/>
      <c r="D112" s="40"/>
      <c r="E112" s="40"/>
      <c r="F112" s="40"/>
      <c r="G112" s="40"/>
      <c r="H112" s="40"/>
      <c r="I112" s="40"/>
      <c r="J112" s="40"/>
      <c r="K112" s="40"/>
      <c r="L112" s="40"/>
      <c r="M112" s="39"/>
      <c r="N112" s="39"/>
      <c r="O112" s="39"/>
      <c r="P112" s="39"/>
      <c r="Q112" s="39"/>
      <c r="R112" s="39"/>
      <c r="S112" s="39"/>
      <c r="U112" s="517"/>
      <c r="V112" s="517"/>
      <c r="W112" s="518"/>
      <c r="X112" s="518"/>
      <c r="Y112" s="518"/>
    </row>
    <row r="113" spans="2:25">
      <c r="B113" s="39"/>
      <c r="C113" s="40"/>
      <c r="D113" s="40"/>
      <c r="E113" s="40"/>
      <c r="F113" s="40"/>
      <c r="G113" s="40"/>
      <c r="H113" s="40"/>
      <c r="I113" s="40"/>
      <c r="J113" s="40"/>
      <c r="K113" s="40"/>
      <c r="L113" s="40"/>
      <c r="M113" s="39"/>
      <c r="N113" s="39"/>
      <c r="O113" s="39"/>
      <c r="P113" s="39"/>
      <c r="Q113" s="39"/>
      <c r="R113" s="39"/>
      <c r="S113" s="39"/>
      <c r="U113" s="517"/>
      <c r="V113" s="517"/>
      <c r="W113" s="518"/>
      <c r="X113" s="518"/>
      <c r="Y113" s="518"/>
    </row>
    <row r="114" spans="2:25" ht="15">
      <c r="B114" s="39"/>
      <c r="C114" s="526"/>
      <c r="D114" s="40"/>
      <c r="E114" s="40"/>
      <c r="F114" s="40"/>
      <c r="G114" s="40"/>
      <c r="H114" s="40"/>
      <c r="I114" s="40"/>
      <c r="J114" s="40"/>
      <c r="K114" s="40"/>
      <c r="L114" s="39"/>
      <c r="M114" s="39"/>
      <c r="N114" s="39"/>
      <c r="O114" s="39"/>
      <c r="P114" s="39"/>
      <c r="Q114" s="39"/>
      <c r="R114" s="39"/>
      <c r="S114" s="39"/>
      <c r="U114" s="517"/>
      <c r="V114" s="517"/>
      <c r="W114" s="518"/>
      <c r="X114" s="518"/>
      <c r="Y114" s="518"/>
    </row>
    <row r="115" spans="2:25">
      <c r="B115" s="39"/>
      <c r="C115" s="40"/>
      <c r="D115" s="40"/>
      <c r="E115" s="40"/>
      <c r="F115" s="210"/>
      <c r="G115" s="210"/>
      <c r="H115" s="210"/>
      <c r="I115" s="210"/>
      <c r="J115" s="210"/>
      <c r="K115" s="210"/>
      <c r="L115" s="39"/>
      <c r="M115" s="39"/>
      <c r="N115" s="39"/>
      <c r="O115" s="39"/>
      <c r="P115" s="39"/>
      <c r="Q115" s="39"/>
      <c r="R115" s="39"/>
      <c r="S115" s="39"/>
      <c r="U115" s="517"/>
      <c r="V115" s="517"/>
      <c r="W115" s="518"/>
      <c r="X115" s="518"/>
      <c r="Y115" s="518"/>
    </row>
    <row r="116" spans="2:25">
      <c r="B116" s="39"/>
      <c r="C116" s="40"/>
      <c r="D116" s="40"/>
      <c r="E116" s="40"/>
      <c r="F116" s="40"/>
      <c r="G116" s="40"/>
      <c r="H116" s="40"/>
      <c r="I116" s="40"/>
      <c r="J116" s="40"/>
      <c r="K116" s="40"/>
      <c r="L116" s="39"/>
      <c r="M116" s="39"/>
      <c r="N116" s="39"/>
      <c r="O116" s="39"/>
      <c r="P116" s="39"/>
      <c r="Q116" s="39"/>
      <c r="R116" s="39"/>
      <c r="S116" s="39"/>
      <c r="U116" s="517"/>
      <c r="V116" s="517"/>
      <c r="W116" s="518"/>
      <c r="X116" s="518"/>
      <c r="Y116" s="518"/>
    </row>
    <row r="117" spans="2:25">
      <c r="C117" s="39"/>
      <c r="D117" s="39"/>
      <c r="E117" s="39"/>
      <c r="F117" s="39"/>
      <c r="G117" s="39"/>
      <c r="H117" s="39"/>
      <c r="I117" s="39"/>
      <c r="J117" s="39"/>
      <c r="K117" s="39"/>
      <c r="L117" s="39"/>
      <c r="M117" s="39"/>
      <c r="N117" s="39"/>
      <c r="O117" s="39"/>
      <c r="P117" s="39"/>
      <c r="Q117" s="39"/>
      <c r="R117" s="39"/>
      <c r="S117" s="39"/>
    </row>
  </sheetData>
  <mergeCells count="24">
    <mergeCell ref="M2:N2"/>
    <mergeCell ref="E1:F1"/>
    <mergeCell ref="H1:I1"/>
    <mergeCell ref="C3:D4"/>
    <mergeCell ref="D9:G9"/>
    <mergeCell ref="D8:G8"/>
    <mergeCell ref="M6:N6"/>
    <mergeCell ref="M3:N3"/>
    <mergeCell ref="M4:N4"/>
    <mergeCell ref="M5:N5"/>
    <mergeCell ref="K100:K102"/>
    <mergeCell ref="M7:N7"/>
    <mergeCell ref="M8:N8"/>
    <mergeCell ref="C15:D15"/>
    <mergeCell ref="C16:D16"/>
    <mergeCell ref="C17:D17"/>
    <mergeCell ref="C18:D18"/>
    <mergeCell ref="C19:D19"/>
    <mergeCell ref="C20:D20"/>
    <mergeCell ref="C26:D26"/>
    <mergeCell ref="B13:K13"/>
    <mergeCell ref="B22:K22"/>
    <mergeCell ref="B51:K51"/>
    <mergeCell ref="B89:K89"/>
  </mergeCells>
  <conditionalFormatting sqref="J56 J64">
    <cfRule type="expression" dxfId="2" priority="1">
      <formula>$J$56&gt;$E$20</formula>
    </cfRule>
  </conditionalFormatting>
  <dataValidations count="1">
    <dataValidation type="list" allowBlank="1" showInputMessage="1" showErrorMessage="1" sqref="WVL983069:WVL983072 IZ30:IZ33 SV30:SV33 ACR30:ACR33 AMN30:AMN33 AWJ30:AWJ33 BGF30:BGF33 BQB30:BQB33 BZX30:BZX33 CJT30:CJT33 CTP30:CTP33 DDL30:DDL33 DNH30:DNH33 DXD30:DXD33 EGZ30:EGZ33 EQV30:EQV33 FAR30:FAR33 FKN30:FKN33 FUJ30:FUJ33 GEF30:GEF33 GOB30:GOB33 GXX30:GXX33 HHT30:HHT33 HRP30:HRP33 IBL30:IBL33 ILH30:ILH33 IVD30:IVD33 JEZ30:JEZ33 JOV30:JOV33 JYR30:JYR33 KIN30:KIN33 KSJ30:KSJ33 LCF30:LCF33 LMB30:LMB33 LVX30:LVX33 MFT30:MFT33 MPP30:MPP33 MZL30:MZL33 NJH30:NJH33 NTD30:NTD33 OCZ30:OCZ33 OMV30:OMV33 OWR30:OWR33 PGN30:PGN33 PQJ30:PQJ33 QAF30:QAF33 QKB30:QKB33 QTX30:QTX33 RDT30:RDT33 RNP30:RNP33 RXL30:RXL33 SHH30:SHH33 SRD30:SRD33 TAZ30:TAZ33 TKV30:TKV33 TUR30:TUR33 UEN30:UEN33 UOJ30:UOJ33 UYF30:UYF33 VIB30:VIB33 VRX30:VRX33 WBT30:WBT33 WLP30:WLP33 WVL30:WVL33 D65565:D65568 IZ65565:IZ65568 SV65565:SV65568 ACR65565:ACR65568 AMN65565:AMN65568 AWJ65565:AWJ65568 BGF65565:BGF65568 BQB65565:BQB65568 BZX65565:BZX65568 CJT65565:CJT65568 CTP65565:CTP65568 DDL65565:DDL65568 DNH65565:DNH65568 DXD65565:DXD65568 EGZ65565:EGZ65568 EQV65565:EQV65568 FAR65565:FAR65568 FKN65565:FKN65568 FUJ65565:FUJ65568 GEF65565:GEF65568 GOB65565:GOB65568 GXX65565:GXX65568 HHT65565:HHT65568 HRP65565:HRP65568 IBL65565:IBL65568 ILH65565:ILH65568 IVD65565:IVD65568 JEZ65565:JEZ65568 JOV65565:JOV65568 JYR65565:JYR65568 KIN65565:KIN65568 KSJ65565:KSJ65568 LCF65565:LCF65568 LMB65565:LMB65568 LVX65565:LVX65568 MFT65565:MFT65568 MPP65565:MPP65568 MZL65565:MZL65568 NJH65565:NJH65568 NTD65565:NTD65568 OCZ65565:OCZ65568 OMV65565:OMV65568 OWR65565:OWR65568 PGN65565:PGN65568 PQJ65565:PQJ65568 QAF65565:QAF65568 QKB65565:QKB65568 QTX65565:QTX65568 RDT65565:RDT65568 RNP65565:RNP65568 RXL65565:RXL65568 SHH65565:SHH65568 SRD65565:SRD65568 TAZ65565:TAZ65568 TKV65565:TKV65568 TUR65565:TUR65568 UEN65565:UEN65568 UOJ65565:UOJ65568 UYF65565:UYF65568 VIB65565:VIB65568 VRX65565:VRX65568 WBT65565:WBT65568 WLP65565:WLP65568 WVL65565:WVL65568 D131101:D131104 IZ131101:IZ131104 SV131101:SV131104 ACR131101:ACR131104 AMN131101:AMN131104 AWJ131101:AWJ131104 BGF131101:BGF131104 BQB131101:BQB131104 BZX131101:BZX131104 CJT131101:CJT131104 CTP131101:CTP131104 DDL131101:DDL131104 DNH131101:DNH131104 DXD131101:DXD131104 EGZ131101:EGZ131104 EQV131101:EQV131104 FAR131101:FAR131104 FKN131101:FKN131104 FUJ131101:FUJ131104 GEF131101:GEF131104 GOB131101:GOB131104 GXX131101:GXX131104 HHT131101:HHT131104 HRP131101:HRP131104 IBL131101:IBL131104 ILH131101:ILH131104 IVD131101:IVD131104 JEZ131101:JEZ131104 JOV131101:JOV131104 JYR131101:JYR131104 KIN131101:KIN131104 KSJ131101:KSJ131104 LCF131101:LCF131104 LMB131101:LMB131104 LVX131101:LVX131104 MFT131101:MFT131104 MPP131101:MPP131104 MZL131101:MZL131104 NJH131101:NJH131104 NTD131101:NTD131104 OCZ131101:OCZ131104 OMV131101:OMV131104 OWR131101:OWR131104 PGN131101:PGN131104 PQJ131101:PQJ131104 QAF131101:QAF131104 QKB131101:QKB131104 QTX131101:QTX131104 RDT131101:RDT131104 RNP131101:RNP131104 RXL131101:RXL131104 SHH131101:SHH131104 SRD131101:SRD131104 TAZ131101:TAZ131104 TKV131101:TKV131104 TUR131101:TUR131104 UEN131101:UEN131104 UOJ131101:UOJ131104 UYF131101:UYF131104 VIB131101:VIB131104 VRX131101:VRX131104 WBT131101:WBT131104 WLP131101:WLP131104 WVL131101:WVL131104 D196637:D196640 IZ196637:IZ196640 SV196637:SV196640 ACR196637:ACR196640 AMN196637:AMN196640 AWJ196637:AWJ196640 BGF196637:BGF196640 BQB196637:BQB196640 BZX196637:BZX196640 CJT196637:CJT196640 CTP196637:CTP196640 DDL196637:DDL196640 DNH196637:DNH196640 DXD196637:DXD196640 EGZ196637:EGZ196640 EQV196637:EQV196640 FAR196637:FAR196640 FKN196637:FKN196640 FUJ196637:FUJ196640 GEF196637:GEF196640 GOB196637:GOB196640 GXX196637:GXX196640 HHT196637:HHT196640 HRP196637:HRP196640 IBL196637:IBL196640 ILH196637:ILH196640 IVD196637:IVD196640 JEZ196637:JEZ196640 JOV196637:JOV196640 JYR196637:JYR196640 KIN196637:KIN196640 KSJ196637:KSJ196640 LCF196637:LCF196640 LMB196637:LMB196640 LVX196637:LVX196640 MFT196637:MFT196640 MPP196637:MPP196640 MZL196637:MZL196640 NJH196637:NJH196640 NTD196637:NTD196640 OCZ196637:OCZ196640 OMV196637:OMV196640 OWR196637:OWR196640 PGN196637:PGN196640 PQJ196637:PQJ196640 QAF196637:QAF196640 QKB196637:QKB196640 QTX196637:QTX196640 RDT196637:RDT196640 RNP196637:RNP196640 RXL196637:RXL196640 SHH196637:SHH196640 SRD196637:SRD196640 TAZ196637:TAZ196640 TKV196637:TKV196640 TUR196637:TUR196640 UEN196637:UEN196640 UOJ196637:UOJ196640 UYF196637:UYF196640 VIB196637:VIB196640 VRX196637:VRX196640 WBT196637:WBT196640 WLP196637:WLP196640 WVL196637:WVL196640 D262173:D262176 IZ262173:IZ262176 SV262173:SV262176 ACR262173:ACR262176 AMN262173:AMN262176 AWJ262173:AWJ262176 BGF262173:BGF262176 BQB262173:BQB262176 BZX262173:BZX262176 CJT262173:CJT262176 CTP262173:CTP262176 DDL262173:DDL262176 DNH262173:DNH262176 DXD262173:DXD262176 EGZ262173:EGZ262176 EQV262173:EQV262176 FAR262173:FAR262176 FKN262173:FKN262176 FUJ262173:FUJ262176 GEF262173:GEF262176 GOB262173:GOB262176 GXX262173:GXX262176 HHT262173:HHT262176 HRP262173:HRP262176 IBL262173:IBL262176 ILH262173:ILH262176 IVD262173:IVD262176 JEZ262173:JEZ262176 JOV262173:JOV262176 JYR262173:JYR262176 KIN262173:KIN262176 KSJ262173:KSJ262176 LCF262173:LCF262176 LMB262173:LMB262176 LVX262173:LVX262176 MFT262173:MFT262176 MPP262173:MPP262176 MZL262173:MZL262176 NJH262173:NJH262176 NTD262173:NTD262176 OCZ262173:OCZ262176 OMV262173:OMV262176 OWR262173:OWR262176 PGN262173:PGN262176 PQJ262173:PQJ262176 QAF262173:QAF262176 QKB262173:QKB262176 QTX262173:QTX262176 RDT262173:RDT262176 RNP262173:RNP262176 RXL262173:RXL262176 SHH262173:SHH262176 SRD262173:SRD262176 TAZ262173:TAZ262176 TKV262173:TKV262176 TUR262173:TUR262176 UEN262173:UEN262176 UOJ262173:UOJ262176 UYF262173:UYF262176 VIB262173:VIB262176 VRX262173:VRX262176 WBT262173:WBT262176 WLP262173:WLP262176 WVL262173:WVL262176 D327709:D327712 IZ327709:IZ327712 SV327709:SV327712 ACR327709:ACR327712 AMN327709:AMN327712 AWJ327709:AWJ327712 BGF327709:BGF327712 BQB327709:BQB327712 BZX327709:BZX327712 CJT327709:CJT327712 CTP327709:CTP327712 DDL327709:DDL327712 DNH327709:DNH327712 DXD327709:DXD327712 EGZ327709:EGZ327712 EQV327709:EQV327712 FAR327709:FAR327712 FKN327709:FKN327712 FUJ327709:FUJ327712 GEF327709:GEF327712 GOB327709:GOB327712 GXX327709:GXX327712 HHT327709:HHT327712 HRP327709:HRP327712 IBL327709:IBL327712 ILH327709:ILH327712 IVD327709:IVD327712 JEZ327709:JEZ327712 JOV327709:JOV327712 JYR327709:JYR327712 KIN327709:KIN327712 KSJ327709:KSJ327712 LCF327709:LCF327712 LMB327709:LMB327712 LVX327709:LVX327712 MFT327709:MFT327712 MPP327709:MPP327712 MZL327709:MZL327712 NJH327709:NJH327712 NTD327709:NTD327712 OCZ327709:OCZ327712 OMV327709:OMV327712 OWR327709:OWR327712 PGN327709:PGN327712 PQJ327709:PQJ327712 QAF327709:QAF327712 QKB327709:QKB327712 QTX327709:QTX327712 RDT327709:RDT327712 RNP327709:RNP327712 RXL327709:RXL327712 SHH327709:SHH327712 SRD327709:SRD327712 TAZ327709:TAZ327712 TKV327709:TKV327712 TUR327709:TUR327712 UEN327709:UEN327712 UOJ327709:UOJ327712 UYF327709:UYF327712 VIB327709:VIB327712 VRX327709:VRX327712 WBT327709:WBT327712 WLP327709:WLP327712 WVL327709:WVL327712 D393245:D393248 IZ393245:IZ393248 SV393245:SV393248 ACR393245:ACR393248 AMN393245:AMN393248 AWJ393245:AWJ393248 BGF393245:BGF393248 BQB393245:BQB393248 BZX393245:BZX393248 CJT393245:CJT393248 CTP393245:CTP393248 DDL393245:DDL393248 DNH393245:DNH393248 DXD393245:DXD393248 EGZ393245:EGZ393248 EQV393245:EQV393248 FAR393245:FAR393248 FKN393245:FKN393248 FUJ393245:FUJ393248 GEF393245:GEF393248 GOB393245:GOB393248 GXX393245:GXX393248 HHT393245:HHT393248 HRP393245:HRP393248 IBL393245:IBL393248 ILH393245:ILH393248 IVD393245:IVD393248 JEZ393245:JEZ393248 JOV393245:JOV393248 JYR393245:JYR393248 KIN393245:KIN393248 KSJ393245:KSJ393248 LCF393245:LCF393248 LMB393245:LMB393248 LVX393245:LVX393248 MFT393245:MFT393248 MPP393245:MPP393248 MZL393245:MZL393248 NJH393245:NJH393248 NTD393245:NTD393248 OCZ393245:OCZ393248 OMV393245:OMV393248 OWR393245:OWR393248 PGN393245:PGN393248 PQJ393245:PQJ393248 QAF393245:QAF393248 QKB393245:QKB393248 QTX393245:QTX393248 RDT393245:RDT393248 RNP393245:RNP393248 RXL393245:RXL393248 SHH393245:SHH393248 SRD393245:SRD393248 TAZ393245:TAZ393248 TKV393245:TKV393248 TUR393245:TUR393248 UEN393245:UEN393248 UOJ393245:UOJ393248 UYF393245:UYF393248 VIB393245:VIB393248 VRX393245:VRX393248 WBT393245:WBT393248 WLP393245:WLP393248 WVL393245:WVL393248 D458781:D458784 IZ458781:IZ458784 SV458781:SV458784 ACR458781:ACR458784 AMN458781:AMN458784 AWJ458781:AWJ458784 BGF458781:BGF458784 BQB458781:BQB458784 BZX458781:BZX458784 CJT458781:CJT458784 CTP458781:CTP458784 DDL458781:DDL458784 DNH458781:DNH458784 DXD458781:DXD458784 EGZ458781:EGZ458784 EQV458781:EQV458784 FAR458781:FAR458784 FKN458781:FKN458784 FUJ458781:FUJ458784 GEF458781:GEF458784 GOB458781:GOB458784 GXX458781:GXX458784 HHT458781:HHT458784 HRP458781:HRP458784 IBL458781:IBL458784 ILH458781:ILH458784 IVD458781:IVD458784 JEZ458781:JEZ458784 JOV458781:JOV458784 JYR458781:JYR458784 KIN458781:KIN458784 KSJ458781:KSJ458784 LCF458781:LCF458784 LMB458781:LMB458784 LVX458781:LVX458784 MFT458781:MFT458784 MPP458781:MPP458784 MZL458781:MZL458784 NJH458781:NJH458784 NTD458781:NTD458784 OCZ458781:OCZ458784 OMV458781:OMV458784 OWR458781:OWR458784 PGN458781:PGN458784 PQJ458781:PQJ458784 QAF458781:QAF458784 QKB458781:QKB458784 QTX458781:QTX458784 RDT458781:RDT458784 RNP458781:RNP458784 RXL458781:RXL458784 SHH458781:SHH458784 SRD458781:SRD458784 TAZ458781:TAZ458784 TKV458781:TKV458784 TUR458781:TUR458784 UEN458781:UEN458784 UOJ458781:UOJ458784 UYF458781:UYF458784 VIB458781:VIB458784 VRX458781:VRX458784 WBT458781:WBT458784 WLP458781:WLP458784 WVL458781:WVL458784 D524317:D524320 IZ524317:IZ524320 SV524317:SV524320 ACR524317:ACR524320 AMN524317:AMN524320 AWJ524317:AWJ524320 BGF524317:BGF524320 BQB524317:BQB524320 BZX524317:BZX524320 CJT524317:CJT524320 CTP524317:CTP524320 DDL524317:DDL524320 DNH524317:DNH524320 DXD524317:DXD524320 EGZ524317:EGZ524320 EQV524317:EQV524320 FAR524317:FAR524320 FKN524317:FKN524320 FUJ524317:FUJ524320 GEF524317:GEF524320 GOB524317:GOB524320 GXX524317:GXX524320 HHT524317:HHT524320 HRP524317:HRP524320 IBL524317:IBL524320 ILH524317:ILH524320 IVD524317:IVD524320 JEZ524317:JEZ524320 JOV524317:JOV524320 JYR524317:JYR524320 KIN524317:KIN524320 KSJ524317:KSJ524320 LCF524317:LCF524320 LMB524317:LMB524320 LVX524317:LVX524320 MFT524317:MFT524320 MPP524317:MPP524320 MZL524317:MZL524320 NJH524317:NJH524320 NTD524317:NTD524320 OCZ524317:OCZ524320 OMV524317:OMV524320 OWR524317:OWR524320 PGN524317:PGN524320 PQJ524317:PQJ524320 QAF524317:QAF524320 QKB524317:QKB524320 QTX524317:QTX524320 RDT524317:RDT524320 RNP524317:RNP524320 RXL524317:RXL524320 SHH524317:SHH524320 SRD524317:SRD524320 TAZ524317:TAZ524320 TKV524317:TKV524320 TUR524317:TUR524320 UEN524317:UEN524320 UOJ524317:UOJ524320 UYF524317:UYF524320 VIB524317:VIB524320 VRX524317:VRX524320 WBT524317:WBT524320 WLP524317:WLP524320 WVL524317:WVL524320 D589853:D589856 IZ589853:IZ589856 SV589853:SV589856 ACR589853:ACR589856 AMN589853:AMN589856 AWJ589853:AWJ589856 BGF589853:BGF589856 BQB589853:BQB589856 BZX589853:BZX589856 CJT589853:CJT589856 CTP589853:CTP589856 DDL589853:DDL589856 DNH589853:DNH589856 DXD589853:DXD589856 EGZ589853:EGZ589856 EQV589853:EQV589856 FAR589853:FAR589856 FKN589853:FKN589856 FUJ589853:FUJ589856 GEF589853:GEF589856 GOB589853:GOB589856 GXX589853:GXX589856 HHT589853:HHT589856 HRP589853:HRP589856 IBL589853:IBL589856 ILH589853:ILH589856 IVD589853:IVD589856 JEZ589853:JEZ589856 JOV589853:JOV589856 JYR589853:JYR589856 KIN589853:KIN589856 KSJ589853:KSJ589856 LCF589853:LCF589856 LMB589853:LMB589856 LVX589853:LVX589856 MFT589853:MFT589856 MPP589853:MPP589856 MZL589853:MZL589856 NJH589853:NJH589856 NTD589853:NTD589856 OCZ589853:OCZ589856 OMV589853:OMV589856 OWR589853:OWR589856 PGN589853:PGN589856 PQJ589853:PQJ589856 QAF589853:QAF589856 QKB589853:QKB589856 QTX589853:QTX589856 RDT589853:RDT589856 RNP589853:RNP589856 RXL589853:RXL589856 SHH589853:SHH589856 SRD589853:SRD589856 TAZ589853:TAZ589856 TKV589853:TKV589856 TUR589853:TUR589856 UEN589853:UEN589856 UOJ589853:UOJ589856 UYF589853:UYF589856 VIB589853:VIB589856 VRX589853:VRX589856 WBT589853:WBT589856 WLP589853:WLP589856 WVL589853:WVL589856 D655389:D655392 IZ655389:IZ655392 SV655389:SV655392 ACR655389:ACR655392 AMN655389:AMN655392 AWJ655389:AWJ655392 BGF655389:BGF655392 BQB655389:BQB655392 BZX655389:BZX655392 CJT655389:CJT655392 CTP655389:CTP655392 DDL655389:DDL655392 DNH655389:DNH655392 DXD655389:DXD655392 EGZ655389:EGZ655392 EQV655389:EQV655392 FAR655389:FAR655392 FKN655389:FKN655392 FUJ655389:FUJ655392 GEF655389:GEF655392 GOB655389:GOB655392 GXX655389:GXX655392 HHT655389:HHT655392 HRP655389:HRP655392 IBL655389:IBL655392 ILH655389:ILH655392 IVD655389:IVD655392 JEZ655389:JEZ655392 JOV655389:JOV655392 JYR655389:JYR655392 KIN655389:KIN655392 KSJ655389:KSJ655392 LCF655389:LCF655392 LMB655389:LMB655392 LVX655389:LVX655392 MFT655389:MFT655392 MPP655389:MPP655392 MZL655389:MZL655392 NJH655389:NJH655392 NTD655389:NTD655392 OCZ655389:OCZ655392 OMV655389:OMV655392 OWR655389:OWR655392 PGN655389:PGN655392 PQJ655389:PQJ655392 QAF655389:QAF655392 QKB655389:QKB655392 QTX655389:QTX655392 RDT655389:RDT655392 RNP655389:RNP655392 RXL655389:RXL655392 SHH655389:SHH655392 SRD655389:SRD655392 TAZ655389:TAZ655392 TKV655389:TKV655392 TUR655389:TUR655392 UEN655389:UEN655392 UOJ655389:UOJ655392 UYF655389:UYF655392 VIB655389:VIB655392 VRX655389:VRX655392 WBT655389:WBT655392 WLP655389:WLP655392 WVL655389:WVL655392 D720925:D720928 IZ720925:IZ720928 SV720925:SV720928 ACR720925:ACR720928 AMN720925:AMN720928 AWJ720925:AWJ720928 BGF720925:BGF720928 BQB720925:BQB720928 BZX720925:BZX720928 CJT720925:CJT720928 CTP720925:CTP720928 DDL720925:DDL720928 DNH720925:DNH720928 DXD720925:DXD720928 EGZ720925:EGZ720928 EQV720925:EQV720928 FAR720925:FAR720928 FKN720925:FKN720928 FUJ720925:FUJ720928 GEF720925:GEF720928 GOB720925:GOB720928 GXX720925:GXX720928 HHT720925:HHT720928 HRP720925:HRP720928 IBL720925:IBL720928 ILH720925:ILH720928 IVD720925:IVD720928 JEZ720925:JEZ720928 JOV720925:JOV720928 JYR720925:JYR720928 KIN720925:KIN720928 KSJ720925:KSJ720928 LCF720925:LCF720928 LMB720925:LMB720928 LVX720925:LVX720928 MFT720925:MFT720928 MPP720925:MPP720928 MZL720925:MZL720928 NJH720925:NJH720928 NTD720925:NTD720928 OCZ720925:OCZ720928 OMV720925:OMV720928 OWR720925:OWR720928 PGN720925:PGN720928 PQJ720925:PQJ720928 QAF720925:QAF720928 QKB720925:QKB720928 QTX720925:QTX720928 RDT720925:RDT720928 RNP720925:RNP720928 RXL720925:RXL720928 SHH720925:SHH720928 SRD720925:SRD720928 TAZ720925:TAZ720928 TKV720925:TKV720928 TUR720925:TUR720928 UEN720925:UEN720928 UOJ720925:UOJ720928 UYF720925:UYF720928 VIB720925:VIB720928 VRX720925:VRX720928 WBT720925:WBT720928 WLP720925:WLP720928 WVL720925:WVL720928 D786461:D786464 IZ786461:IZ786464 SV786461:SV786464 ACR786461:ACR786464 AMN786461:AMN786464 AWJ786461:AWJ786464 BGF786461:BGF786464 BQB786461:BQB786464 BZX786461:BZX786464 CJT786461:CJT786464 CTP786461:CTP786464 DDL786461:DDL786464 DNH786461:DNH786464 DXD786461:DXD786464 EGZ786461:EGZ786464 EQV786461:EQV786464 FAR786461:FAR786464 FKN786461:FKN786464 FUJ786461:FUJ786464 GEF786461:GEF786464 GOB786461:GOB786464 GXX786461:GXX786464 HHT786461:HHT786464 HRP786461:HRP786464 IBL786461:IBL786464 ILH786461:ILH786464 IVD786461:IVD786464 JEZ786461:JEZ786464 JOV786461:JOV786464 JYR786461:JYR786464 KIN786461:KIN786464 KSJ786461:KSJ786464 LCF786461:LCF786464 LMB786461:LMB786464 LVX786461:LVX786464 MFT786461:MFT786464 MPP786461:MPP786464 MZL786461:MZL786464 NJH786461:NJH786464 NTD786461:NTD786464 OCZ786461:OCZ786464 OMV786461:OMV786464 OWR786461:OWR786464 PGN786461:PGN786464 PQJ786461:PQJ786464 QAF786461:QAF786464 QKB786461:QKB786464 QTX786461:QTX786464 RDT786461:RDT786464 RNP786461:RNP786464 RXL786461:RXL786464 SHH786461:SHH786464 SRD786461:SRD786464 TAZ786461:TAZ786464 TKV786461:TKV786464 TUR786461:TUR786464 UEN786461:UEN786464 UOJ786461:UOJ786464 UYF786461:UYF786464 VIB786461:VIB786464 VRX786461:VRX786464 WBT786461:WBT786464 WLP786461:WLP786464 WVL786461:WVL786464 D851997:D852000 IZ851997:IZ852000 SV851997:SV852000 ACR851997:ACR852000 AMN851997:AMN852000 AWJ851997:AWJ852000 BGF851997:BGF852000 BQB851997:BQB852000 BZX851997:BZX852000 CJT851997:CJT852000 CTP851997:CTP852000 DDL851997:DDL852000 DNH851997:DNH852000 DXD851997:DXD852000 EGZ851997:EGZ852000 EQV851997:EQV852000 FAR851997:FAR852000 FKN851997:FKN852000 FUJ851997:FUJ852000 GEF851997:GEF852000 GOB851997:GOB852000 GXX851997:GXX852000 HHT851997:HHT852000 HRP851997:HRP852000 IBL851997:IBL852000 ILH851997:ILH852000 IVD851997:IVD852000 JEZ851997:JEZ852000 JOV851997:JOV852000 JYR851997:JYR852000 KIN851997:KIN852000 KSJ851997:KSJ852000 LCF851997:LCF852000 LMB851997:LMB852000 LVX851997:LVX852000 MFT851997:MFT852000 MPP851997:MPP852000 MZL851997:MZL852000 NJH851997:NJH852000 NTD851997:NTD852000 OCZ851997:OCZ852000 OMV851997:OMV852000 OWR851997:OWR852000 PGN851997:PGN852000 PQJ851997:PQJ852000 QAF851997:QAF852000 QKB851997:QKB852000 QTX851997:QTX852000 RDT851997:RDT852000 RNP851997:RNP852000 RXL851997:RXL852000 SHH851997:SHH852000 SRD851997:SRD852000 TAZ851997:TAZ852000 TKV851997:TKV852000 TUR851997:TUR852000 UEN851997:UEN852000 UOJ851997:UOJ852000 UYF851997:UYF852000 VIB851997:VIB852000 VRX851997:VRX852000 WBT851997:WBT852000 WLP851997:WLP852000 WVL851997:WVL852000 D917533:D917536 IZ917533:IZ917536 SV917533:SV917536 ACR917533:ACR917536 AMN917533:AMN917536 AWJ917533:AWJ917536 BGF917533:BGF917536 BQB917533:BQB917536 BZX917533:BZX917536 CJT917533:CJT917536 CTP917533:CTP917536 DDL917533:DDL917536 DNH917533:DNH917536 DXD917533:DXD917536 EGZ917533:EGZ917536 EQV917533:EQV917536 FAR917533:FAR917536 FKN917533:FKN917536 FUJ917533:FUJ917536 GEF917533:GEF917536 GOB917533:GOB917536 GXX917533:GXX917536 HHT917533:HHT917536 HRP917533:HRP917536 IBL917533:IBL917536 ILH917533:ILH917536 IVD917533:IVD917536 JEZ917533:JEZ917536 JOV917533:JOV917536 JYR917533:JYR917536 KIN917533:KIN917536 KSJ917533:KSJ917536 LCF917533:LCF917536 LMB917533:LMB917536 LVX917533:LVX917536 MFT917533:MFT917536 MPP917533:MPP917536 MZL917533:MZL917536 NJH917533:NJH917536 NTD917533:NTD917536 OCZ917533:OCZ917536 OMV917533:OMV917536 OWR917533:OWR917536 PGN917533:PGN917536 PQJ917533:PQJ917536 QAF917533:QAF917536 QKB917533:QKB917536 QTX917533:QTX917536 RDT917533:RDT917536 RNP917533:RNP917536 RXL917533:RXL917536 SHH917533:SHH917536 SRD917533:SRD917536 TAZ917533:TAZ917536 TKV917533:TKV917536 TUR917533:TUR917536 UEN917533:UEN917536 UOJ917533:UOJ917536 UYF917533:UYF917536 VIB917533:VIB917536 VRX917533:VRX917536 WBT917533:WBT917536 WLP917533:WLP917536 WVL917533:WVL917536 D983069:D983072 IZ983069:IZ983072 SV983069:SV983072 ACR983069:ACR983072 AMN983069:AMN983072 AWJ983069:AWJ983072 BGF983069:BGF983072 BQB983069:BQB983072 BZX983069:BZX983072 CJT983069:CJT983072 CTP983069:CTP983072 DDL983069:DDL983072 DNH983069:DNH983072 DXD983069:DXD983072 EGZ983069:EGZ983072 EQV983069:EQV983072 FAR983069:FAR983072 FKN983069:FKN983072 FUJ983069:FUJ983072 GEF983069:GEF983072 GOB983069:GOB983072 GXX983069:GXX983072 HHT983069:HHT983072 HRP983069:HRP983072 IBL983069:IBL983072 ILH983069:ILH983072 IVD983069:IVD983072 JEZ983069:JEZ983072 JOV983069:JOV983072 JYR983069:JYR983072 KIN983069:KIN983072 KSJ983069:KSJ983072 LCF983069:LCF983072 LMB983069:LMB983072 LVX983069:LVX983072 MFT983069:MFT983072 MPP983069:MPP983072 MZL983069:MZL983072 NJH983069:NJH983072 NTD983069:NTD983072 OCZ983069:OCZ983072 OMV983069:OMV983072 OWR983069:OWR983072 PGN983069:PGN983072 PQJ983069:PQJ983072 QAF983069:QAF983072 QKB983069:QKB983072 QTX983069:QTX983072 RDT983069:RDT983072 RNP983069:RNP983072 RXL983069:RXL983072 SHH983069:SHH983072 SRD983069:SRD983072 TAZ983069:TAZ983072 TKV983069:TKV983072 TUR983069:TUR983072 UEN983069:UEN983072 UOJ983069:UOJ983072 UYF983069:UYF983072 VIB983069:VIB983072 VRX983069:VRX983072 WBT983069:WBT983072 WLP983069:WLP983072">
      <formula1>AFC_list</formula1>
    </dataValidation>
  </dataValidations>
  <pageMargins left="0.70866141732283472" right="0.70866141732283472" top="0.74803149606299213" bottom="0.74803149606299213" header="0.31496062992125984" footer="0.31496062992125984"/>
  <pageSetup paperSize="9" scale="37"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staff_costs!$A$4:$A$21</xm:f>
          </x14:formula1>
          <xm:sqref>D30:D33</xm:sqref>
        </x14:dataValidation>
      </x14:dataValidations>
    </ex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theme="4" tint="-0.249977111117893"/>
    <pageSetUpPr fitToPage="1"/>
  </sheetPr>
  <dimension ref="A1:BW124"/>
  <sheetViews>
    <sheetView showGridLines="0" topLeftCell="B1" zoomScale="75" zoomScaleNormal="75" zoomScaleSheetLayoutView="70" zoomScalePageLayoutView="75" workbookViewId="0">
      <pane ySplit="1" topLeftCell="A13" activePane="bottomLeft" state="frozen"/>
      <selection activeCell="B1" sqref="B1"/>
      <selection pane="bottomLeft" activeCell="D46" sqref="D46"/>
    </sheetView>
  </sheetViews>
  <sheetFormatPr defaultColWidth="8.85546875" defaultRowHeight="14.25" outlineLevelCol="1"/>
  <cols>
    <col min="1" max="1" width="56.140625" style="38" hidden="1" customWidth="1" outlineLevel="1"/>
    <col min="2" max="2" width="15.7109375" style="38" customWidth="1" collapsed="1"/>
    <col min="3" max="3" width="45.7109375" style="38" customWidth="1"/>
    <col min="4" max="4" width="19.85546875" style="38" customWidth="1"/>
    <col min="5" max="8" width="15.7109375" style="38" customWidth="1"/>
    <col min="9" max="9" width="45.7109375" style="38" customWidth="1"/>
    <col min="10" max="10" width="17.42578125" style="38" customWidth="1"/>
    <col min="11" max="13" width="15.7109375" style="38" customWidth="1"/>
    <col min="14" max="14" width="24.42578125" style="38" bestFit="1" customWidth="1"/>
    <col min="15" max="17" width="8.85546875" style="38"/>
    <col min="18" max="18" width="8.85546875" style="38" customWidth="1"/>
    <col min="19" max="19" width="3" style="38" customWidth="1"/>
    <col min="20" max="20" width="8.7109375" style="38" customWidth="1"/>
    <col min="21" max="22" width="34.7109375" style="38" customWidth="1"/>
    <col min="23" max="23" width="14.7109375" style="38" customWidth="1"/>
    <col min="24" max="24" width="17.7109375" style="38" customWidth="1"/>
    <col min="25" max="25" width="15.42578125" style="38" customWidth="1"/>
    <col min="26" max="16384" width="8.85546875" style="38"/>
  </cols>
  <sheetData>
    <row r="1" spans="1:75" s="51" customFormat="1" ht="42.75" customHeight="1" thickBot="1">
      <c r="B1" s="1760"/>
      <c r="C1" s="1850" t="str">
        <f>HYPERLINK("[.\]Menu!A1", "To Menu")</f>
        <v>To Menu</v>
      </c>
      <c r="D1" s="1761"/>
      <c r="E1" s="2311" t="str">
        <f>HYPERLINK("[.\]control_sheet_and_graphs!A1", "To Control sheet and graphical results")</f>
        <v>To Control sheet and graphical results</v>
      </c>
      <c r="F1" s="2312"/>
      <c r="G1" s="1765"/>
      <c r="H1" s="2311" t="str">
        <f>HYPERLINK("[.\]outputs_by_channel!A1", "To Intervention data outputs by channel")</f>
        <v>To Intervention data outputs by channel</v>
      </c>
      <c r="I1" s="2272"/>
      <c r="J1" s="1762"/>
      <c r="K1" s="1078"/>
      <c r="O1" s="52"/>
      <c r="Q1" s="52"/>
      <c r="R1" s="52"/>
      <c r="S1" s="52"/>
      <c r="T1" s="52"/>
      <c r="V1" s="52"/>
      <c r="W1" s="52"/>
      <c r="X1" s="52"/>
      <c r="Y1" s="52"/>
      <c r="AA1" s="52"/>
      <c r="AB1" s="52"/>
      <c r="AC1" s="52"/>
      <c r="AD1" s="52"/>
      <c r="AF1" s="52"/>
      <c r="AG1" s="52"/>
      <c r="AH1" s="52"/>
      <c r="AI1" s="52"/>
      <c r="AK1" s="52"/>
      <c r="AL1" s="52"/>
      <c r="AM1" s="52"/>
      <c r="AN1" s="52"/>
      <c r="AP1" s="52"/>
      <c r="AQ1" s="52"/>
      <c r="AR1" s="52"/>
      <c r="AS1" s="52"/>
      <c r="AU1" s="52"/>
      <c r="AV1" s="52"/>
      <c r="AW1" s="52"/>
      <c r="AX1" s="52"/>
      <c r="AZ1" s="52"/>
      <c r="BA1" s="52"/>
      <c r="BB1" s="52"/>
      <c r="BC1" s="52"/>
      <c r="BE1" s="52"/>
      <c r="BF1" s="52"/>
      <c r="BG1" s="52"/>
      <c r="BH1" s="52"/>
      <c r="BJ1" s="52"/>
      <c r="BK1" s="52"/>
      <c r="BL1" s="52"/>
      <c r="BM1" s="52"/>
      <c r="BO1" s="52"/>
      <c r="BP1" s="52"/>
      <c r="BQ1" s="52"/>
      <c r="BR1" s="52"/>
      <c r="BT1" s="52"/>
      <c r="BU1" s="52"/>
      <c r="BV1" s="52"/>
      <c r="BW1" s="52"/>
    </row>
    <row r="2" spans="1:75" ht="15.75" thickBot="1">
      <c r="A2" s="136"/>
      <c r="B2" s="2055"/>
      <c r="C2" s="2135"/>
      <c r="D2" s="2135"/>
      <c r="E2" s="2135"/>
      <c r="F2" s="2540"/>
      <c r="G2" s="2540"/>
      <c r="H2" s="2540"/>
      <c r="I2" s="2113"/>
      <c r="J2" s="2113"/>
      <c r="K2" s="2114"/>
      <c r="L2" s="36"/>
      <c r="M2" s="67"/>
      <c r="O2" s="2469"/>
      <c r="P2" s="2469"/>
      <c r="Q2" s="335"/>
      <c r="R2" s="335"/>
      <c r="S2" s="35"/>
      <c r="T2" s="35"/>
      <c r="U2" s="137"/>
      <c r="V2" s="35"/>
      <c r="W2" s="35"/>
    </row>
    <row r="3" spans="1:75" ht="15">
      <c r="A3" s="136"/>
      <c r="B3" s="138"/>
      <c r="C3" s="2452" t="str">
        <f>Menu!$B38</f>
        <v>Early Warning Score in Care homes</v>
      </c>
      <c r="D3" s="2398"/>
      <c r="E3" s="613"/>
      <c r="F3" s="1185"/>
      <c r="G3" s="1185"/>
      <c r="H3" s="2122"/>
      <c r="I3" s="2070"/>
      <c r="J3" s="2074"/>
      <c r="K3" s="2083"/>
      <c r="L3" s="67"/>
      <c r="M3" s="67"/>
      <c r="O3" s="2469"/>
      <c r="P3" s="2469"/>
      <c r="Q3" s="379"/>
      <c r="R3" s="379"/>
      <c r="S3" s="35"/>
      <c r="T3" s="35"/>
      <c r="U3" s="137"/>
      <c r="V3" s="35"/>
      <c r="W3" s="35"/>
    </row>
    <row r="4" spans="1:75" ht="15.75" thickBot="1">
      <c r="B4" s="138"/>
      <c r="C4" s="2440"/>
      <c r="D4" s="2399"/>
      <c r="E4" s="613"/>
      <c r="F4" s="1185"/>
      <c r="G4" s="1438"/>
      <c r="H4" s="613"/>
      <c r="I4" s="2070"/>
      <c r="J4" s="2074"/>
      <c r="K4" s="2083"/>
      <c r="L4" s="36"/>
      <c r="M4" s="67"/>
      <c r="O4" s="2469"/>
      <c r="P4" s="2469"/>
      <c r="Q4" s="358"/>
      <c r="R4" s="358"/>
      <c r="S4" s="35"/>
      <c r="T4" s="35"/>
      <c r="U4" s="137"/>
      <c r="V4" s="35"/>
      <c r="W4" s="35"/>
    </row>
    <row r="5" spans="1:75" ht="15.75" thickBot="1">
      <c r="B5" s="138"/>
      <c r="C5" s="539"/>
      <c r="D5" s="613"/>
      <c r="E5" s="613"/>
      <c r="F5" s="2499"/>
      <c r="G5" s="2499"/>
      <c r="H5" s="2499"/>
      <c r="I5" s="2070"/>
      <c r="J5" s="2076"/>
      <c r="K5" s="2094"/>
      <c r="L5" s="36"/>
      <c r="M5" s="67"/>
      <c r="O5" s="2469"/>
      <c r="P5" s="2469"/>
      <c r="Q5" s="377"/>
      <c r="R5" s="377"/>
      <c r="S5" s="35"/>
      <c r="T5" s="35"/>
      <c r="U5" s="137"/>
      <c r="V5" s="35"/>
      <c r="W5" s="35"/>
    </row>
    <row r="6" spans="1:75" ht="15.75" thickBot="1">
      <c r="B6" s="138"/>
      <c r="C6" s="2136" t="s">
        <v>582</v>
      </c>
      <c r="D6" s="1536">
        <v>3043165</v>
      </c>
      <c r="E6" s="67"/>
      <c r="F6" s="67"/>
      <c r="G6" s="67"/>
      <c r="H6" s="613"/>
      <c r="I6" s="2070"/>
      <c r="J6" s="2077"/>
      <c r="K6" s="2085"/>
      <c r="L6" s="36"/>
      <c r="M6" s="67"/>
      <c r="O6" s="2469"/>
      <c r="P6" s="2469"/>
      <c r="Q6" s="341"/>
      <c r="R6" s="341"/>
      <c r="S6" s="35"/>
      <c r="T6" s="35"/>
      <c r="U6" s="137"/>
      <c r="V6" s="35"/>
      <c r="W6" s="35"/>
    </row>
    <row r="7" spans="1:75" ht="15.75" thickBot="1">
      <c r="B7" s="138"/>
      <c r="C7" s="67"/>
      <c r="D7" s="67"/>
      <c r="E7" s="613"/>
      <c r="F7" s="614"/>
      <c r="G7" s="613"/>
      <c r="H7" s="613"/>
      <c r="I7" s="2070"/>
      <c r="J7" s="2074"/>
      <c r="K7" s="2095"/>
      <c r="L7" s="36"/>
      <c r="M7" s="67"/>
      <c r="O7" s="2469"/>
      <c r="P7" s="2469"/>
      <c r="Q7" s="358"/>
      <c r="R7" s="358"/>
      <c r="S7" s="35"/>
      <c r="T7" s="35"/>
      <c r="U7" s="137"/>
      <c r="V7" s="35"/>
      <c r="W7" s="35"/>
    </row>
    <row r="8" spans="1:75" ht="31.5" customHeight="1" thickBot="1">
      <c r="B8" s="138"/>
      <c r="C8" s="1414" t="s">
        <v>1047</v>
      </c>
      <c r="D8" s="2504" t="s">
        <v>825</v>
      </c>
      <c r="E8" s="2522"/>
      <c r="F8" s="2505"/>
      <c r="G8" s="2506"/>
      <c r="H8" s="613"/>
      <c r="I8" s="2070"/>
      <c r="J8" s="2076"/>
      <c r="K8" s="2094"/>
      <c r="L8" s="36"/>
      <c r="M8" s="67"/>
      <c r="O8" s="2469"/>
      <c r="P8" s="2469"/>
      <c r="Q8" s="377"/>
      <c r="R8" s="377"/>
      <c r="S8" s="35"/>
      <c r="T8" s="35"/>
      <c r="U8" s="137"/>
      <c r="V8" s="35"/>
      <c r="W8" s="35"/>
    </row>
    <row r="9" spans="1:75" ht="15.75" thickBot="1">
      <c r="B9" s="138"/>
      <c r="C9" s="2136" t="s">
        <v>1078</v>
      </c>
      <c r="D9" s="2504" t="s">
        <v>833</v>
      </c>
      <c r="E9" s="2522"/>
      <c r="F9" s="2505"/>
      <c r="G9" s="2506"/>
      <c r="H9" s="613"/>
      <c r="I9" s="1320"/>
      <c r="J9" s="1000"/>
      <c r="K9" s="1793"/>
      <c r="L9" s="36"/>
      <c r="M9" s="67"/>
      <c r="O9" s="1261"/>
      <c r="P9" s="1261"/>
      <c r="Q9" s="755"/>
      <c r="R9" s="755"/>
      <c r="S9" s="35"/>
      <c r="T9" s="35"/>
      <c r="U9" s="137"/>
      <c r="V9" s="35"/>
      <c r="W9" s="35"/>
    </row>
    <row r="10" spans="1:75" ht="15">
      <c r="B10" s="138"/>
      <c r="C10" s="535"/>
      <c r="D10" s="535"/>
      <c r="E10" s="535"/>
      <c r="F10" s="613"/>
      <c r="G10" s="613"/>
      <c r="H10" s="613"/>
      <c r="I10" s="1320"/>
      <c r="J10" s="1000"/>
      <c r="K10" s="1793"/>
      <c r="L10" s="36"/>
      <c r="M10" s="67"/>
      <c r="O10" s="1261"/>
      <c r="P10" s="1261"/>
      <c r="Q10" s="755"/>
      <c r="R10" s="755"/>
      <c r="S10" s="35"/>
      <c r="T10" s="35"/>
      <c r="U10" s="137"/>
      <c r="V10" s="35"/>
      <c r="W10" s="35"/>
    </row>
    <row r="11" spans="1:75" ht="15">
      <c r="B11" s="138"/>
      <c r="C11" s="1777" t="str">
        <f>HYPERLINK("[.\]E_EWS_in_CH!A2","To Evidence")</f>
        <v>To Evidence</v>
      </c>
      <c r="D11" s="535"/>
      <c r="E11" s="535"/>
      <c r="F11" s="613"/>
      <c r="G11" s="613"/>
      <c r="H11" s="613"/>
      <c r="I11" s="1320"/>
      <c r="J11" s="1000"/>
      <c r="K11" s="1793"/>
      <c r="L11" s="36"/>
      <c r="M11" s="67"/>
      <c r="O11" s="1717"/>
      <c r="P11" s="1717"/>
      <c r="Q11" s="755"/>
      <c r="R11" s="755"/>
      <c r="S11" s="35"/>
      <c r="T11" s="35"/>
      <c r="U11" s="137"/>
      <c r="V11" s="35"/>
      <c r="W11" s="35"/>
    </row>
    <row r="12" spans="1:75" ht="15">
      <c r="B12" s="169"/>
      <c r="C12" s="1435"/>
      <c r="D12" s="1435"/>
      <c r="E12" s="1435"/>
      <c r="F12" s="1436"/>
      <c r="G12" s="1436"/>
      <c r="H12" s="1436"/>
      <c r="I12" s="1320"/>
      <c r="J12" s="1000"/>
      <c r="K12" s="1439"/>
      <c r="L12" s="36"/>
      <c r="M12" s="67"/>
      <c r="O12" s="1717"/>
      <c r="P12" s="1717"/>
      <c r="Q12" s="755"/>
      <c r="R12" s="755"/>
      <c r="S12" s="35"/>
      <c r="T12" s="35"/>
      <c r="U12" s="137"/>
      <c r="V12" s="35"/>
      <c r="W12" s="35"/>
    </row>
    <row r="13" spans="1:75" ht="15">
      <c r="A13" s="726" t="s">
        <v>103</v>
      </c>
      <c r="B13" s="2533" t="s">
        <v>119</v>
      </c>
      <c r="C13" s="2534"/>
      <c r="D13" s="2534"/>
      <c r="E13" s="2534"/>
      <c r="F13" s="2534"/>
      <c r="G13" s="2534"/>
      <c r="H13" s="2534"/>
      <c r="I13" s="2534"/>
      <c r="J13" s="2534"/>
      <c r="K13" s="2535"/>
      <c r="L13" s="36"/>
      <c r="M13" s="36"/>
      <c r="N13" s="36"/>
      <c r="O13" s="36"/>
      <c r="P13" s="35"/>
      <c r="Q13" s="35"/>
      <c r="S13" s="35"/>
      <c r="T13" s="137"/>
      <c r="U13" s="35"/>
      <c r="V13" s="35"/>
      <c r="W13" s="35"/>
    </row>
    <row r="14" spans="1:75" s="35" customFormat="1" ht="15">
      <c r="B14" s="1289"/>
      <c r="C14" s="2137"/>
      <c r="D14" s="2137"/>
      <c r="E14" s="2137"/>
      <c r="F14" s="2137"/>
      <c r="G14" s="2137"/>
      <c r="H14" s="2137"/>
      <c r="I14" s="2138"/>
      <c r="J14" s="2138"/>
      <c r="K14" s="2139"/>
      <c r="L14" s="36"/>
      <c r="M14" s="36"/>
      <c r="T14" s="137"/>
    </row>
    <row r="15" spans="1:75" s="35" customFormat="1" ht="15">
      <c r="B15" s="1290"/>
      <c r="C15" s="2387" t="s">
        <v>1325</v>
      </c>
      <c r="D15" s="2536"/>
      <c r="E15" s="549">
        <v>39185</v>
      </c>
      <c r="F15" s="36"/>
      <c r="G15" s="36"/>
      <c r="H15" s="533"/>
      <c r="I15" s="55"/>
      <c r="J15" s="551"/>
      <c r="K15" s="552" t="s">
        <v>141</v>
      </c>
      <c r="M15" s="36"/>
      <c r="T15" s="137"/>
    </row>
    <row r="16" spans="1:75" s="35" customFormat="1" ht="15">
      <c r="B16" s="1290"/>
      <c r="C16" s="2387" t="s">
        <v>832</v>
      </c>
      <c r="D16" s="2536"/>
      <c r="E16" s="1472">
        <v>4.4999999999999998E-2</v>
      </c>
      <c r="F16" s="36"/>
      <c r="G16" s="36"/>
      <c r="H16" s="533"/>
      <c r="I16" s="533"/>
      <c r="J16" s="63"/>
      <c r="K16" s="552" t="s">
        <v>143</v>
      </c>
      <c r="M16" s="36"/>
      <c r="T16" s="137"/>
    </row>
    <row r="17" spans="2:23" s="35" customFormat="1" ht="15">
      <c r="B17" s="1290"/>
      <c r="C17" s="2387" t="s">
        <v>1273</v>
      </c>
      <c r="D17" s="2536"/>
      <c r="E17" s="969">
        <f>E15*E16</f>
        <v>1763.325</v>
      </c>
      <c r="F17" s="36"/>
      <c r="G17" s="36"/>
      <c r="H17" s="533"/>
      <c r="I17" s="533"/>
      <c r="J17" s="2140" t="s">
        <v>556</v>
      </c>
      <c r="K17" s="552" t="s">
        <v>143</v>
      </c>
      <c r="M17" s="36"/>
      <c r="T17" s="137"/>
    </row>
    <row r="18" spans="2:23" s="35" customFormat="1" ht="42.75">
      <c r="B18" s="1290"/>
      <c r="C18" s="2387" t="s">
        <v>1096</v>
      </c>
      <c r="D18" s="2536"/>
      <c r="E18" s="968">
        <v>0.3</v>
      </c>
      <c r="F18" s="36"/>
      <c r="G18" s="36"/>
      <c r="H18" s="533"/>
      <c r="I18" s="533"/>
      <c r="J18" s="2193"/>
      <c r="K18" s="507" t="s">
        <v>1299</v>
      </c>
      <c r="L18" s="36"/>
      <c r="M18" s="36"/>
      <c r="T18" s="137"/>
    </row>
    <row r="19" spans="2:23" s="35" customFormat="1" ht="15">
      <c r="B19" s="1290"/>
      <c r="C19" s="2387" t="s">
        <v>823</v>
      </c>
      <c r="D19" s="2536"/>
      <c r="E19" s="969">
        <f>E17*E18</f>
        <v>528.99749999999995</v>
      </c>
      <c r="F19" s="36"/>
      <c r="G19" s="36"/>
      <c r="H19" s="533"/>
      <c r="I19" s="533"/>
      <c r="J19" s="533"/>
      <c r="K19" s="1272"/>
      <c r="L19" s="36"/>
      <c r="M19" s="36"/>
    </row>
    <row r="20" spans="2:23" s="35" customFormat="1" ht="15">
      <c r="B20" s="1290"/>
      <c r="C20" s="2387" t="s">
        <v>1324</v>
      </c>
      <c r="D20" s="2389"/>
      <c r="E20" s="549">
        <v>4</v>
      </c>
      <c r="F20" s="36"/>
      <c r="G20" s="36"/>
      <c r="H20" s="533"/>
      <c r="I20" s="533"/>
      <c r="J20" s="533"/>
      <c r="K20" s="2242"/>
      <c r="L20" s="36"/>
      <c r="M20" s="36"/>
    </row>
    <row r="21" spans="2:23" s="35" customFormat="1" ht="15">
      <c r="B21" s="1290"/>
      <c r="C21" s="2387" t="s">
        <v>831</v>
      </c>
      <c r="D21" s="2536"/>
      <c r="E21" s="969">
        <f>E19*E20</f>
        <v>2115.9899999999998</v>
      </c>
      <c r="F21" s="36"/>
      <c r="G21" s="36"/>
      <c r="H21" s="533"/>
      <c r="I21" s="533"/>
      <c r="J21" s="533"/>
      <c r="K21" s="1272"/>
      <c r="L21" s="36"/>
      <c r="M21" s="36"/>
    </row>
    <row r="22" spans="2:23" s="35" customFormat="1" ht="15">
      <c r="B22" s="1290"/>
      <c r="C22" s="2387" t="s">
        <v>1274</v>
      </c>
      <c r="D22" s="2536"/>
      <c r="E22" s="549">
        <v>39185</v>
      </c>
      <c r="F22" s="36"/>
      <c r="G22" s="36"/>
      <c r="H22" s="533"/>
      <c r="I22" s="533"/>
      <c r="J22" s="533"/>
      <c r="K22" s="1272"/>
      <c r="L22" s="36"/>
      <c r="M22" s="36"/>
    </row>
    <row r="23" spans="2:23" s="35" customFormat="1" ht="15">
      <c r="B23" s="1290"/>
      <c r="C23" s="2387" t="s">
        <v>1275</v>
      </c>
      <c r="D23" s="2536"/>
      <c r="E23" s="1472">
        <v>5.5E-2</v>
      </c>
      <c r="F23" s="36"/>
      <c r="G23" s="36"/>
      <c r="H23" s="533"/>
      <c r="I23" s="533"/>
      <c r="J23" s="533"/>
      <c r="K23" s="1272"/>
      <c r="L23" s="36"/>
      <c r="M23" s="36"/>
    </row>
    <row r="24" spans="2:23" s="35" customFormat="1" ht="15">
      <c r="B24" s="1290"/>
      <c r="C24" s="2387" t="s">
        <v>1277</v>
      </c>
      <c r="D24" s="2536"/>
      <c r="E24" s="969">
        <f>+E22*E23</f>
        <v>2155.1750000000002</v>
      </c>
      <c r="F24" s="36"/>
      <c r="G24" s="36"/>
      <c r="H24" s="533"/>
      <c r="I24" s="533"/>
      <c r="J24" s="533"/>
      <c r="K24" s="1272"/>
      <c r="L24" s="36"/>
      <c r="M24" s="36"/>
    </row>
    <row r="25" spans="2:23" s="35" customFormat="1" ht="15">
      <c r="B25" s="1290"/>
      <c r="C25" s="2387" t="s">
        <v>1276</v>
      </c>
      <c r="D25" s="2536"/>
      <c r="E25" s="968">
        <v>0.3</v>
      </c>
      <c r="F25" s="36"/>
      <c r="G25" s="36"/>
      <c r="H25" s="533"/>
      <c r="I25" s="533"/>
      <c r="J25" s="533"/>
      <c r="K25" s="1272"/>
      <c r="L25" s="36"/>
      <c r="M25" s="36"/>
    </row>
    <row r="26" spans="2:23" s="35" customFormat="1" ht="15">
      <c r="B26" s="1291"/>
      <c r="C26" s="2141"/>
      <c r="D26" s="2141"/>
      <c r="E26" s="2141"/>
      <c r="F26" s="1731"/>
      <c r="G26" s="1731"/>
      <c r="H26" s="1731"/>
      <c r="I26" s="1731"/>
      <c r="J26" s="1731"/>
      <c r="K26" s="1273"/>
      <c r="L26" s="36"/>
      <c r="M26" s="36"/>
    </row>
    <row r="27" spans="2:23" ht="15">
      <c r="B27" s="2533" t="s">
        <v>117</v>
      </c>
      <c r="C27" s="2534"/>
      <c r="D27" s="2534"/>
      <c r="E27" s="2534"/>
      <c r="F27" s="2534"/>
      <c r="G27" s="2534"/>
      <c r="H27" s="2534"/>
      <c r="I27" s="2534"/>
      <c r="J27" s="2534"/>
      <c r="K27" s="2535"/>
      <c r="L27" s="36"/>
      <c r="M27" s="36"/>
      <c r="N27" s="36"/>
      <c r="O27" s="36"/>
      <c r="P27" s="35"/>
      <c r="Q27" s="35"/>
      <c r="S27" s="35"/>
      <c r="T27" s="35"/>
      <c r="U27" s="35"/>
      <c r="V27" s="35"/>
      <c r="W27" s="35"/>
    </row>
    <row r="28" spans="2:23" ht="15">
      <c r="B28" s="965"/>
      <c r="C28" s="537"/>
      <c r="D28" s="36"/>
      <c r="E28" s="36"/>
      <c r="F28" s="658"/>
      <c r="G28" s="537"/>
      <c r="H28" s="62"/>
      <c r="I28" s="1184"/>
      <c r="J28" s="533"/>
      <c r="K28" s="2142"/>
      <c r="L28" s="36"/>
      <c r="M28" s="36"/>
      <c r="N28" s="36"/>
      <c r="O28" s="56"/>
      <c r="P28" s="35"/>
      <c r="Q28" s="35"/>
      <c r="R28" s="35"/>
      <c r="S28" s="35"/>
      <c r="T28" s="35"/>
      <c r="U28" s="35"/>
      <c r="V28" s="35"/>
    </row>
    <row r="29" spans="2:23" ht="15">
      <c r="B29" s="138"/>
      <c r="C29" s="1775" t="str">
        <f>HYPERLINK("[.\]Set_up_EWS_in_CH!B6","To Set up costs template")</f>
        <v>To Set up costs template</v>
      </c>
      <c r="D29" s="36"/>
      <c r="E29" s="36"/>
      <c r="F29" s="658"/>
      <c r="G29" s="537"/>
      <c r="H29" s="62"/>
      <c r="I29" s="1184"/>
      <c r="J29" s="533"/>
      <c r="K29" s="1275"/>
      <c r="L29" s="36"/>
      <c r="M29" s="36"/>
      <c r="N29" s="36"/>
      <c r="O29" s="537"/>
      <c r="P29" s="35"/>
      <c r="Q29" s="35"/>
      <c r="R29" s="35"/>
      <c r="S29" s="35"/>
      <c r="T29" s="35"/>
      <c r="U29" s="35"/>
      <c r="V29" s="35"/>
    </row>
    <row r="30" spans="2:23" ht="15">
      <c r="B30" s="138"/>
      <c r="C30" s="537"/>
      <c r="D30" s="36"/>
      <c r="E30" s="36"/>
      <c r="F30" s="658"/>
      <c r="G30" s="537"/>
      <c r="H30" s="62"/>
      <c r="I30" s="1184"/>
      <c r="J30" s="533"/>
      <c r="K30" s="1275"/>
      <c r="L30" s="36"/>
      <c r="M30" s="36"/>
      <c r="N30" s="36"/>
      <c r="O30" s="537"/>
      <c r="P30" s="35"/>
      <c r="Q30" s="35"/>
      <c r="R30" s="35"/>
      <c r="S30" s="35"/>
      <c r="T30" s="35"/>
      <c r="U30" s="35"/>
      <c r="V30" s="35"/>
    </row>
    <row r="31" spans="2:23" ht="15">
      <c r="B31" s="138"/>
      <c r="C31" s="2415" t="s">
        <v>1070</v>
      </c>
      <c r="D31" s="2539"/>
      <c r="E31" s="1539">
        <f>Set_up_EWS_in_CH!F14</f>
        <v>78471.72</v>
      </c>
      <c r="F31" s="36"/>
      <c r="G31" s="67"/>
      <c r="H31" s="537"/>
      <c r="I31" s="537"/>
      <c r="J31" s="1184"/>
      <c r="K31" s="1272"/>
      <c r="L31" s="36"/>
      <c r="M31" s="36"/>
      <c r="N31" s="36"/>
      <c r="O31" s="36"/>
      <c r="P31" s="56"/>
      <c r="Q31" s="35"/>
      <c r="R31" s="35"/>
      <c r="S31" s="35"/>
      <c r="T31" s="35"/>
      <c r="U31" s="35"/>
      <c r="V31" s="35"/>
      <c r="W31" s="35"/>
    </row>
    <row r="32" spans="2:23" ht="15">
      <c r="B32" s="138"/>
      <c r="C32" s="537"/>
      <c r="D32" s="36"/>
      <c r="E32" s="36"/>
      <c r="F32" s="658"/>
      <c r="G32" s="537"/>
      <c r="H32" s="62"/>
      <c r="I32" s="1184"/>
      <c r="J32" s="533"/>
      <c r="K32" s="1274"/>
      <c r="L32" s="36"/>
      <c r="M32" s="36"/>
      <c r="N32" s="36"/>
      <c r="O32" s="56"/>
      <c r="P32" s="35"/>
      <c r="Q32" s="35"/>
      <c r="R32" s="35"/>
      <c r="S32" s="35"/>
      <c r="T32" s="35"/>
      <c r="U32" s="35"/>
      <c r="V32" s="35"/>
    </row>
    <row r="33" spans="2:22" ht="15">
      <c r="B33" s="138"/>
      <c r="C33" s="537"/>
      <c r="D33" s="36"/>
      <c r="E33" s="36"/>
      <c r="F33" s="658"/>
      <c r="G33" s="537"/>
      <c r="H33" s="62"/>
      <c r="I33" s="1184"/>
      <c r="J33" s="533"/>
      <c r="K33" s="1274"/>
      <c r="L33" s="36"/>
      <c r="M33" s="36"/>
      <c r="N33" s="36"/>
      <c r="O33" s="56"/>
      <c r="P33" s="35"/>
      <c r="Q33" s="35"/>
      <c r="R33" s="35"/>
      <c r="S33" s="35"/>
      <c r="T33" s="35"/>
      <c r="U33" s="35"/>
      <c r="V33" s="35"/>
    </row>
    <row r="34" spans="2:22" ht="15">
      <c r="B34" s="138"/>
      <c r="C34" s="2537" t="s">
        <v>830</v>
      </c>
      <c r="D34" s="2538"/>
      <c r="E34" s="549">
        <v>40</v>
      </c>
      <c r="F34" s="36"/>
      <c r="G34" s="67"/>
      <c r="H34" s="62"/>
      <c r="I34" s="1184"/>
      <c r="J34" s="533"/>
      <c r="K34" s="1274"/>
      <c r="L34" s="36"/>
      <c r="M34" s="36"/>
      <c r="N34" s="36"/>
      <c r="O34" s="56"/>
      <c r="P34" s="35"/>
      <c r="Q34" s="35"/>
      <c r="R34" s="35"/>
      <c r="S34" s="35"/>
      <c r="T34" s="35"/>
      <c r="U34" s="35"/>
      <c r="V34" s="35"/>
    </row>
    <row r="35" spans="2:22" ht="15">
      <c r="B35" s="138"/>
      <c r="C35" s="2537" t="s">
        <v>1278</v>
      </c>
      <c r="D35" s="2538"/>
      <c r="E35" s="549">
        <v>40</v>
      </c>
      <c r="F35" s="658"/>
      <c r="G35" s="67"/>
      <c r="H35" s="62"/>
      <c r="I35" s="1184"/>
      <c r="J35" s="533"/>
      <c r="K35" s="1274"/>
      <c r="L35" s="36"/>
      <c r="M35" s="36"/>
      <c r="N35" s="36"/>
      <c r="O35" s="56"/>
      <c r="P35" s="35"/>
      <c r="Q35" s="35"/>
      <c r="R35" s="35"/>
      <c r="S35" s="35"/>
      <c r="T35" s="35"/>
      <c r="U35" s="35"/>
      <c r="V35" s="35"/>
    </row>
    <row r="36" spans="2:22" ht="15">
      <c r="B36" s="138"/>
      <c r="C36" s="2537" t="s">
        <v>1279</v>
      </c>
      <c r="D36" s="2538"/>
      <c r="E36" s="549">
        <v>20</v>
      </c>
      <c r="F36" s="658"/>
      <c r="G36" s="67"/>
      <c r="H36" s="62"/>
      <c r="I36" s="1184"/>
      <c r="J36" s="533"/>
      <c r="K36" s="1274"/>
      <c r="L36" s="36"/>
      <c r="M36" s="36"/>
      <c r="N36" s="36"/>
      <c r="O36" s="56"/>
      <c r="P36" s="35"/>
      <c r="Q36" s="35"/>
      <c r="R36" s="35"/>
      <c r="S36" s="35"/>
      <c r="T36" s="35"/>
      <c r="U36" s="35"/>
      <c r="V36" s="35"/>
    </row>
    <row r="37" spans="2:22" ht="15">
      <c r="B37" s="138"/>
      <c r="C37" s="2537" t="s">
        <v>1298</v>
      </c>
      <c r="D37" s="2538"/>
      <c r="E37" s="549">
        <v>12</v>
      </c>
      <c r="F37" s="658"/>
      <c r="G37" s="67"/>
      <c r="H37" s="62"/>
      <c r="I37" s="572" t="s">
        <v>829</v>
      </c>
      <c r="J37" s="577">
        <f>E37*E34</f>
        <v>480</v>
      </c>
      <c r="K37" s="1275"/>
      <c r="L37" s="36"/>
      <c r="M37" s="36"/>
      <c r="N37" s="36"/>
      <c r="O37" s="56"/>
      <c r="P37" s="35"/>
      <c r="Q37" s="35"/>
      <c r="R37" s="35"/>
      <c r="S37" s="35"/>
      <c r="T37" s="35"/>
      <c r="U37" s="35"/>
      <c r="V37" s="35"/>
    </row>
    <row r="38" spans="2:22" ht="15">
      <c r="B38" s="138"/>
      <c r="C38" s="36"/>
      <c r="D38" s="36"/>
      <c r="E38" s="36"/>
      <c r="F38" s="658"/>
      <c r="G38" s="537"/>
      <c r="H38" s="62"/>
      <c r="I38" s="1184"/>
      <c r="J38" s="533"/>
      <c r="K38" s="1274"/>
      <c r="L38" s="36"/>
      <c r="M38" s="36"/>
      <c r="N38" s="36"/>
      <c r="O38" s="56"/>
      <c r="P38" s="35"/>
      <c r="Q38" s="35"/>
      <c r="R38" s="35"/>
      <c r="S38" s="35"/>
      <c r="T38" s="35"/>
      <c r="U38" s="35"/>
      <c r="V38" s="35"/>
    </row>
    <row r="39" spans="2:22" s="70" customFormat="1" ht="30">
      <c r="B39" s="1288"/>
      <c r="C39" s="684" t="s">
        <v>142</v>
      </c>
      <c r="D39" s="684" t="s">
        <v>116</v>
      </c>
      <c r="E39" s="1144" t="s">
        <v>115</v>
      </c>
      <c r="F39" s="2121" t="s">
        <v>114</v>
      </c>
      <c r="G39" s="69"/>
      <c r="H39" s="62"/>
      <c r="I39" s="2121" t="s">
        <v>708</v>
      </c>
      <c r="J39" s="2121" t="s">
        <v>110</v>
      </c>
      <c r="K39" s="1278"/>
      <c r="L39" s="72"/>
      <c r="M39" s="1265"/>
      <c r="N39" s="72"/>
      <c r="O39" s="200"/>
      <c r="P39" s="68"/>
      <c r="Q39" s="68"/>
      <c r="R39" s="68"/>
      <c r="S39" s="68"/>
      <c r="T39" s="68"/>
      <c r="U39" s="68"/>
      <c r="V39" s="68"/>
    </row>
    <row r="40" spans="2:22" ht="15">
      <c r="B40" s="138"/>
      <c r="C40" s="657" t="s">
        <v>1095</v>
      </c>
      <c r="D40" s="566">
        <v>5</v>
      </c>
      <c r="E40" s="970">
        <f>E35/E34</f>
        <v>1</v>
      </c>
      <c r="F40" s="1133">
        <f>VLOOKUP(D40,staff_costs!$A$4:$F$22,6,0)</f>
        <v>31369.52</v>
      </c>
      <c r="G40" s="67"/>
      <c r="H40" s="62"/>
      <c r="I40" s="623" t="str">
        <f>IF(C40&gt;"",C40,"")</f>
        <v>Trainer</v>
      </c>
      <c r="J40" s="1133">
        <f>IF($D40="","",E40*F40)</f>
        <v>31369.52</v>
      </c>
      <c r="K40" s="1275"/>
      <c r="L40" s="36"/>
      <c r="M40" s="36"/>
      <c r="N40" s="36"/>
      <c r="O40" s="56"/>
      <c r="P40" s="35"/>
      <c r="Q40" s="35"/>
      <c r="R40" s="35"/>
      <c r="S40" s="35"/>
      <c r="T40" s="35"/>
      <c r="U40" s="35"/>
      <c r="V40" s="35"/>
    </row>
    <row r="41" spans="2:22" ht="15">
      <c r="B41" s="138"/>
      <c r="C41" s="657" t="s">
        <v>828</v>
      </c>
      <c r="D41" s="566">
        <v>3</v>
      </c>
      <c r="E41" s="970">
        <f>E34/E36</f>
        <v>2</v>
      </c>
      <c r="F41" s="1133">
        <f>VLOOKUP(D41,staff_costs!$A$4:$F$22,6,0)</f>
        <v>22508.48</v>
      </c>
      <c r="G41" s="67"/>
      <c r="H41" s="62"/>
      <c r="I41" s="623" t="str">
        <f>IF(C41&gt;"",C41,"")</f>
        <v>Support worker</v>
      </c>
      <c r="J41" s="1133">
        <f>IF($D41="","",E41*F41)</f>
        <v>45016.959999999999</v>
      </c>
      <c r="K41" s="1275"/>
      <c r="L41" s="36"/>
      <c r="M41" s="36"/>
      <c r="N41" s="36"/>
      <c r="O41" s="56"/>
      <c r="P41" s="35"/>
      <c r="Q41" s="35"/>
      <c r="R41" s="35"/>
      <c r="S41" s="35"/>
      <c r="T41" s="35"/>
      <c r="U41" s="35"/>
      <c r="V41" s="35"/>
    </row>
    <row r="42" spans="2:22" ht="15">
      <c r="B42" s="138"/>
      <c r="C42" s="2143" t="s">
        <v>109</v>
      </c>
      <c r="D42" s="2144"/>
      <c r="E42" s="970">
        <f>SUM(E40:E41)</f>
        <v>3</v>
      </c>
      <c r="F42" s="537"/>
      <c r="G42" s="67"/>
      <c r="H42" s="62"/>
      <c r="I42" s="623" t="s">
        <v>184</v>
      </c>
      <c r="J42" s="1133">
        <f>SUM(J40:J41)</f>
        <v>76386.48</v>
      </c>
      <c r="K42" s="1275"/>
      <c r="L42" s="36"/>
      <c r="M42" s="36"/>
      <c r="N42" s="36"/>
      <c r="O42" s="56"/>
      <c r="P42" s="35"/>
      <c r="Q42" s="35"/>
      <c r="R42" s="35"/>
      <c r="S42" s="35"/>
      <c r="T42" s="35"/>
      <c r="U42" s="35"/>
      <c r="V42" s="35"/>
    </row>
    <row r="43" spans="2:22" ht="15">
      <c r="B43" s="138"/>
      <c r="C43" s="537"/>
      <c r="D43" s="36"/>
      <c r="E43" s="36"/>
      <c r="F43" s="658"/>
      <c r="G43" s="537"/>
      <c r="H43" s="62"/>
      <c r="I43" s="1184"/>
      <c r="J43" s="533"/>
      <c r="K43" s="1274"/>
      <c r="L43" s="36"/>
      <c r="M43" s="36"/>
      <c r="N43" s="36"/>
      <c r="O43" s="56"/>
      <c r="P43" s="35"/>
      <c r="Q43" s="35"/>
      <c r="R43" s="35"/>
      <c r="S43" s="35"/>
      <c r="T43" s="35"/>
      <c r="U43" s="35"/>
      <c r="V43" s="35"/>
    </row>
    <row r="44" spans="2:22" ht="15">
      <c r="B44" s="138"/>
      <c r="C44" s="349"/>
      <c r="D44" s="170"/>
      <c r="E44" s="62"/>
      <c r="F44" s="67"/>
      <c r="G44" s="67"/>
      <c r="H44" s="62"/>
      <c r="I44" s="628"/>
      <c r="J44" s="628"/>
      <c r="K44" s="153"/>
      <c r="L44" s="36"/>
      <c r="M44" s="36"/>
      <c r="N44" s="35"/>
      <c r="O44" s="35"/>
      <c r="P44" s="35"/>
      <c r="Q44" s="35"/>
      <c r="R44" s="35"/>
      <c r="S44" s="35"/>
      <c r="T44" s="35"/>
      <c r="U44" s="35"/>
      <c r="V44" s="35"/>
    </row>
    <row r="45" spans="2:22" s="70" customFormat="1" ht="30">
      <c r="B45" s="1288"/>
      <c r="C45" s="684" t="s">
        <v>130</v>
      </c>
      <c r="D45" s="684" t="s">
        <v>132</v>
      </c>
      <c r="E45" s="2121" t="s">
        <v>131</v>
      </c>
      <c r="F45" s="69"/>
      <c r="G45" s="69"/>
      <c r="H45" s="2126"/>
      <c r="I45" s="684" t="s">
        <v>130</v>
      </c>
      <c r="J45" s="2121"/>
      <c r="K45" s="1278"/>
      <c r="L45" s="72"/>
      <c r="M45" s="1265"/>
      <c r="N45" s="68"/>
      <c r="O45" s="68"/>
      <c r="P45" s="68"/>
      <c r="Q45" s="68"/>
      <c r="R45" s="68"/>
      <c r="S45" s="68"/>
      <c r="T45" s="68"/>
      <c r="U45" s="68"/>
      <c r="V45" s="68"/>
    </row>
    <row r="46" spans="2:22" ht="30">
      <c r="B46" s="138"/>
      <c r="C46" s="657" t="s">
        <v>827</v>
      </c>
      <c r="D46" s="2243">
        <f>E34</f>
        <v>40</v>
      </c>
      <c r="E46" s="1539">
        <f>200</f>
        <v>200</v>
      </c>
      <c r="F46" s="67"/>
      <c r="G46" s="67"/>
      <c r="H46" s="62"/>
      <c r="I46" s="623" t="str">
        <f>IF(C46&gt;"",C46,"")</f>
        <v>Laptop / tablet depreciation (£1000 over 5 years)</v>
      </c>
      <c r="J46" s="1133">
        <f>E46*D46</f>
        <v>8000</v>
      </c>
      <c r="K46" s="1275"/>
      <c r="L46" s="36"/>
      <c r="M46" s="36"/>
      <c r="N46" s="35"/>
      <c r="O46" s="35"/>
      <c r="P46" s="35"/>
      <c r="Q46" s="35"/>
      <c r="R46" s="35"/>
      <c r="S46" s="35"/>
      <c r="T46" s="35"/>
      <c r="U46" s="35"/>
      <c r="V46" s="35"/>
    </row>
    <row r="47" spans="2:22" ht="15">
      <c r="B47" s="138"/>
      <c r="C47" s="657" t="s">
        <v>826</v>
      </c>
      <c r="D47" s="2243">
        <f>+E34</f>
        <v>40</v>
      </c>
      <c r="E47" s="1539">
        <v>365</v>
      </c>
      <c r="F47" s="67"/>
      <c r="G47" s="67"/>
      <c r="H47" s="62"/>
      <c r="I47" s="623" t="str">
        <f>IF(C47&gt;"",C47,"")</f>
        <v>Wi Fi transmission annual cost</v>
      </c>
      <c r="J47" s="1133">
        <f>E47*D47</f>
        <v>14600</v>
      </c>
      <c r="K47" s="1275"/>
      <c r="L47" s="36"/>
      <c r="M47" s="36"/>
      <c r="N47" s="35"/>
      <c r="O47" s="35"/>
      <c r="P47" s="35"/>
      <c r="Q47" s="35"/>
      <c r="R47" s="35"/>
      <c r="S47" s="35"/>
      <c r="T47" s="35"/>
      <c r="U47" s="35"/>
      <c r="V47" s="35"/>
    </row>
    <row r="48" spans="2:22" ht="15">
      <c r="B48" s="138"/>
      <c r="C48" s="657"/>
      <c r="D48" s="805"/>
      <c r="E48" s="752"/>
      <c r="F48" s="67"/>
      <c r="G48" s="67"/>
      <c r="H48" s="62"/>
      <c r="I48" s="623" t="str">
        <f>IF(C48&gt;"",C48,"")</f>
        <v/>
      </c>
      <c r="J48" s="1133">
        <f>E48*D48</f>
        <v>0</v>
      </c>
      <c r="K48" s="1275"/>
      <c r="L48" s="36"/>
      <c r="M48" s="36"/>
      <c r="N48" s="35"/>
      <c r="O48" s="35"/>
      <c r="P48" s="35"/>
      <c r="Q48" s="35"/>
      <c r="R48" s="35"/>
      <c r="S48" s="35"/>
      <c r="T48" s="35"/>
      <c r="U48" s="35"/>
      <c r="V48" s="35"/>
    </row>
    <row r="49" spans="2:23" ht="15">
      <c r="B49" s="138"/>
      <c r="C49" s="62"/>
      <c r="D49" s="62"/>
      <c r="E49" s="62"/>
      <c r="F49" s="62"/>
      <c r="G49" s="62"/>
      <c r="H49" s="62"/>
      <c r="I49" s="623" t="s">
        <v>127</v>
      </c>
      <c r="J49" s="1133">
        <f>SUM(J46:J48)</f>
        <v>22600</v>
      </c>
      <c r="K49" s="1275"/>
      <c r="L49" s="36"/>
      <c r="M49" s="36"/>
      <c r="N49" s="35"/>
      <c r="O49" s="35"/>
      <c r="P49" s="35"/>
      <c r="Q49" s="35"/>
      <c r="R49" s="35"/>
      <c r="S49" s="35"/>
      <c r="T49" s="35"/>
      <c r="U49" s="35"/>
      <c r="V49" s="35"/>
    </row>
    <row r="50" spans="2:23" ht="15">
      <c r="B50" s="138"/>
      <c r="C50" s="349"/>
      <c r="D50" s="62"/>
      <c r="E50" s="62"/>
      <c r="F50" s="170"/>
      <c r="G50" s="62"/>
      <c r="H50" s="62"/>
      <c r="I50" s="628"/>
      <c r="J50" s="62"/>
      <c r="K50" s="1275"/>
      <c r="L50" s="36"/>
      <c r="M50" s="36"/>
      <c r="N50" s="35"/>
      <c r="O50" s="35"/>
      <c r="P50" s="35"/>
      <c r="Q50" s="35"/>
      <c r="R50" s="35"/>
      <c r="S50" s="35"/>
      <c r="T50" s="35"/>
      <c r="U50" s="35"/>
      <c r="V50" s="35"/>
    </row>
    <row r="51" spans="2:23" ht="15">
      <c r="B51" s="138"/>
      <c r="C51" s="67"/>
      <c r="D51" s="67"/>
      <c r="E51" s="67"/>
      <c r="F51" s="67"/>
      <c r="G51" s="67"/>
      <c r="H51" s="62"/>
      <c r="I51" s="623" t="s">
        <v>25</v>
      </c>
      <c r="J51" s="1133">
        <f>J49+J42</f>
        <v>98986.48</v>
      </c>
      <c r="K51" s="1275"/>
      <c r="L51" s="36"/>
      <c r="M51" s="36"/>
      <c r="N51" s="35"/>
      <c r="O51" s="35"/>
      <c r="P51" s="35"/>
      <c r="Q51" s="35"/>
      <c r="R51" s="35"/>
      <c r="S51" s="35"/>
      <c r="T51" s="137"/>
      <c r="U51" s="35"/>
      <c r="V51" s="35"/>
    </row>
    <row r="52" spans="2:23" ht="15">
      <c r="B52" s="138"/>
      <c r="C52" s="349"/>
      <c r="D52" s="62"/>
      <c r="E52" s="62"/>
      <c r="F52" s="170"/>
      <c r="G52" s="62"/>
      <c r="H52" s="62"/>
      <c r="I52" s="623" t="s">
        <v>707</v>
      </c>
      <c r="J52" s="1194">
        <f>J51/J37</f>
        <v>206.22183333333334</v>
      </c>
      <c r="K52" s="1275"/>
      <c r="L52" s="36"/>
      <c r="M52" s="36"/>
      <c r="N52" s="35"/>
      <c r="O52" s="35"/>
      <c r="P52" s="35"/>
      <c r="Q52" s="35"/>
      <c r="R52" s="35"/>
      <c r="S52" s="35"/>
      <c r="T52" s="35"/>
      <c r="U52" s="35"/>
      <c r="V52" s="35"/>
    </row>
    <row r="53" spans="2:23" s="62" customFormat="1">
      <c r="B53" s="201"/>
      <c r="K53" s="1284"/>
      <c r="T53" s="35"/>
    </row>
    <row r="54" spans="2:23" s="62" customFormat="1">
      <c r="B54" s="1423"/>
      <c r="K54" s="1285"/>
      <c r="T54" s="35"/>
    </row>
    <row r="55" spans="2:23" ht="15">
      <c r="B55" s="2533" t="s">
        <v>102</v>
      </c>
      <c r="C55" s="2534"/>
      <c r="D55" s="2534"/>
      <c r="E55" s="2534"/>
      <c r="F55" s="2534"/>
      <c r="G55" s="2534"/>
      <c r="H55" s="2534"/>
      <c r="I55" s="2534"/>
      <c r="J55" s="2534"/>
      <c r="K55" s="2535"/>
      <c r="L55" s="36"/>
      <c r="M55" s="36"/>
      <c r="N55" s="36"/>
      <c r="O55" s="36"/>
      <c r="P55" s="35"/>
      <c r="Q55" s="35"/>
      <c r="S55" s="35"/>
      <c r="T55" s="35"/>
      <c r="U55" s="35"/>
      <c r="V55" s="35"/>
      <c r="W55" s="35"/>
    </row>
    <row r="56" spans="2:23" ht="15">
      <c r="B56" s="965"/>
      <c r="C56" s="349"/>
      <c r="D56" s="62"/>
      <c r="E56" s="62"/>
      <c r="F56" s="170"/>
      <c r="G56" s="170"/>
      <c r="H56" s="170"/>
      <c r="I56" s="170"/>
      <c r="J56" s="62"/>
      <c r="K56" s="2145"/>
      <c r="L56" s="62"/>
      <c r="M56" s="36"/>
      <c r="N56" s="35"/>
      <c r="O56" s="35"/>
      <c r="P56" s="35"/>
      <c r="Q56" s="35"/>
      <c r="R56" s="35"/>
      <c r="S56" s="35"/>
      <c r="T56" s="35"/>
      <c r="U56" s="35"/>
      <c r="V56" s="35"/>
      <c r="W56" s="35"/>
    </row>
    <row r="57" spans="2:23" ht="15">
      <c r="B57" s="138"/>
      <c r="C57" s="67"/>
      <c r="D57" s="67"/>
      <c r="E57" s="67"/>
      <c r="F57" s="67"/>
      <c r="G57" s="170"/>
      <c r="H57" s="170"/>
      <c r="I57" s="623" t="s">
        <v>706</v>
      </c>
      <c r="J57" s="380">
        <f>J37</f>
        <v>480</v>
      </c>
      <c r="K57" s="1275"/>
      <c r="M57" s="36"/>
      <c r="N57" s="35"/>
      <c r="O57" s="35"/>
      <c r="P57" s="35"/>
      <c r="Q57" s="35"/>
      <c r="R57" s="35"/>
      <c r="S57" s="35"/>
      <c r="T57" s="35"/>
      <c r="U57" s="35"/>
      <c r="V57" s="35"/>
      <c r="W57" s="35"/>
    </row>
    <row r="58" spans="2:23" ht="15">
      <c r="B58" s="138"/>
      <c r="C58" s="349"/>
      <c r="D58" s="62"/>
      <c r="E58" s="62"/>
      <c r="F58" s="170"/>
      <c r="G58" s="170"/>
      <c r="H58" s="170"/>
      <c r="I58" s="170"/>
      <c r="J58" s="2118"/>
      <c r="K58" s="1284"/>
      <c r="M58" s="36"/>
      <c r="N58" s="35"/>
      <c r="O58" s="35"/>
      <c r="P58" s="35"/>
      <c r="Q58" s="35"/>
      <c r="R58" s="35"/>
      <c r="S58" s="35"/>
      <c r="T58" s="35"/>
      <c r="U58" s="35"/>
      <c r="V58" s="35"/>
      <c r="W58" s="35"/>
    </row>
    <row r="59" spans="2:23" ht="45">
      <c r="B59" s="138"/>
      <c r="C59" s="2143" t="s">
        <v>705</v>
      </c>
      <c r="D59" s="2121" t="s">
        <v>101</v>
      </c>
      <c r="E59" s="2121" t="s">
        <v>100</v>
      </c>
      <c r="F59" s="2121" t="s">
        <v>149</v>
      </c>
      <c r="G59" s="170"/>
      <c r="H59" s="67"/>
      <c r="I59" s="2146" t="s">
        <v>1001</v>
      </c>
      <c r="J59" s="2121" t="s">
        <v>121</v>
      </c>
      <c r="K59" s="1134" t="s">
        <v>148</v>
      </c>
      <c r="M59" s="36"/>
      <c r="N59" s="35"/>
      <c r="O59" s="35"/>
      <c r="P59" s="35"/>
      <c r="Q59" s="35"/>
      <c r="R59" s="35"/>
      <c r="S59" s="35"/>
      <c r="T59" s="35"/>
      <c r="U59" s="35"/>
      <c r="V59" s="35"/>
      <c r="W59" s="35"/>
    </row>
    <row r="60" spans="2:23" ht="15">
      <c r="B60" s="138"/>
      <c r="C60" s="623" t="s">
        <v>69</v>
      </c>
      <c r="D60" s="1397">
        <v>0</v>
      </c>
      <c r="E60" s="1397">
        <v>8</v>
      </c>
      <c r="F60" s="736">
        <v>4</v>
      </c>
      <c r="G60" s="170"/>
      <c r="H60" s="67"/>
      <c r="I60" s="623" t="str">
        <f t="shared" ref="I60:I66" si="0">C60</f>
        <v>Emergency bed days</v>
      </c>
      <c r="J60" s="771">
        <f t="shared" ref="J60:J66" si="1">$J$57*F60</f>
        <v>1920</v>
      </c>
      <c r="K60" s="1437">
        <f t="shared" ref="K60:K66" si="2">SIGN(F60)*INT(ABS(J60)/E83)*E83</f>
        <v>0</v>
      </c>
      <c r="M60" s="67"/>
      <c r="N60" s="2495"/>
      <c r="O60" s="35"/>
      <c r="P60" s="35"/>
      <c r="Q60" s="35"/>
      <c r="R60" s="35"/>
      <c r="S60" s="35"/>
      <c r="T60" s="35"/>
      <c r="U60" s="35"/>
      <c r="V60" s="35"/>
      <c r="W60" s="35"/>
    </row>
    <row r="61" spans="2:23" ht="15">
      <c r="B61" s="138"/>
      <c r="C61" s="623" t="s">
        <v>43</v>
      </c>
      <c r="D61" s="1397">
        <v>0</v>
      </c>
      <c r="E61" s="1397">
        <v>2</v>
      </c>
      <c r="F61" s="736">
        <v>1.5</v>
      </c>
      <c r="G61" s="170"/>
      <c r="H61" s="67"/>
      <c r="I61" s="623" t="str">
        <f t="shared" si="0"/>
        <v>ED attends</v>
      </c>
      <c r="J61" s="771">
        <f t="shared" si="1"/>
        <v>720</v>
      </c>
      <c r="K61" s="1437">
        <f t="shared" si="2"/>
        <v>0</v>
      </c>
      <c r="M61" s="67"/>
      <c r="N61" s="2495"/>
      <c r="O61" s="35"/>
      <c r="P61" s="35"/>
      <c r="Q61" s="35"/>
      <c r="R61" s="35"/>
      <c r="S61" s="35"/>
      <c r="T61" s="35"/>
      <c r="U61" s="35"/>
      <c r="V61" s="35"/>
      <c r="W61" s="35"/>
    </row>
    <row r="62" spans="2:23" ht="15">
      <c r="B62" s="138"/>
      <c r="C62" s="623" t="s">
        <v>46</v>
      </c>
      <c r="D62" s="1397">
        <v>0</v>
      </c>
      <c r="E62" s="1397">
        <v>2</v>
      </c>
      <c r="F62" s="736">
        <v>1</v>
      </c>
      <c r="G62" s="170"/>
      <c r="H62" s="67"/>
      <c r="I62" s="623" t="str">
        <f t="shared" si="0"/>
        <v>Ambulance - see and convey to ED</v>
      </c>
      <c r="J62" s="771">
        <f t="shared" si="1"/>
        <v>480</v>
      </c>
      <c r="K62" s="1437">
        <f t="shared" si="2"/>
        <v>0</v>
      </c>
      <c r="M62" s="36"/>
      <c r="N62" s="35"/>
      <c r="O62" s="35"/>
      <c r="P62" s="35"/>
      <c r="Q62" s="35"/>
      <c r="R62" s="35"/>
      <c r="S62" s="35"/>
      <c r="T62" s="35"/>
      <c r="U62" s="35"/>
      <c r="V62" s="35"/>
      <c r="W62" s="35"/>
    </row>
    <row r="63" spans="2:23" ht="15">
      <c r="B63" s="138"/>
      <c r="C63" s="754" t="s">
        <v>45</v>
      </c>
      <c r="D63" s="1397">
        <v>-1</v>
      </c>
      <c r="E63" s="1397">
        <v>1</v>
      </c>
      <c r="F63" s="736">
        <v>-0.5</v>
      </c>
      <c r="G63" s="170"/>
      <c r="H63" s="67"/>
      <c r="I63" s="623" t="str">
        <f t="shared" si="0"/>
        <v>OOH home visits</v>
      </c>
      <c r="J63" s="771">
        <f t="shared" si="1"/>
        <v>-240</v>
      </c>
      <c r="K63" s="1437">
        <f t="shared" si="2"/>
        <v>0</v>
      </c>
      <c r="M63" s="36"/>
      <c r="N63" s="35"/>
      <c r="O63" s="35"/>
      <c r="P63" s="35"/>
      <c r="Q63" s="35"/>
      <c r="R63" s="35"/>
      <c r="S63" s="35"/>
      <c r="T63" s="35"/>
      <c r="U63" s="35"/>
      <c r="V63" s="35"/>
      <c r="W63" s="35"/>
    </row>
    <row r="64" spans="2:23" ht="15">
      <c r="B64" s="138"/>
      <c r="C64" s="754" t="s">
        <v>34</v>
      </c>
      <c r="D64" s="1397">
        <v>-5</v>
      </c>
      <c r="E64" s="1397">
        <v>0</v>
      </c>
      <c r="F64" s="736">
        <v>-1</v>
      </c>
      <c r="G64" s="170"/>
      <c r="H64" s="67"/>
      <c r="I64" s="623" t="str">
        <f t="shared" si="0"/>
        <v>GP visits</v>
      </c>
      <c r="J64" s="771">
        <f t="shared" si="1"/>
        <v>-480</v>
      </c>
      <c r="K64" s="1341">
        <f t="shared" si="2"/>
        <v>-480</v>
      </c>
      <c r="M64" s="36"/>
      <c r="N64" s="35"/>
      <c r="O64" s="35"/>
      <c r="P64" s="35"/>
      <c r="Q64" s="35"/>
      <c r="R64" s="35"/>
      <c r="S64" s="35"/>
      <c r="T64" s="35"/>
      <c r="U64" s="35"/>
      <c r="V64" s="35"/>
      <c r="W64" s="35"/>
    </row>
    <row r="65" spans="2:23" ht="15">
      <c r="B65" s="138"/>
      <c r="C65" s="624" t="s">
        <v>30</v>
      </c>
      <c r="D65" s="1397">
        <v>-10</v>
      </c>
      <c r="E65" s="1397">
        <v>0</v>
      </c>
      <c r="F65" s="736">
        <v>-1</v>
      </c>
      <c r="G65" s="170"/>
      <c r="H65" s="67"/>
      <c r="I65" s="623" t="str">
        <f t="shared" si="0"/>
        <v>Community contacts</v>
      </c>
      <c r="J65" s="771">
        <f t="shared" si="1"/>
        <v>-480</v>
      </c>
      <c r="K65" s="1437">
        <f t="shared" si="2"/>
        <v>0</v>
      </c>
      <c r="M65" s="36"/>
      <c r="N65" s="35"/>
      <c r="O65" s="35"/>
      <c r="P65" s="35"/>
      <c r="Q65" s="35"/>
      <c r="R65" s="35"/>
      <c r="S65" s="35"/>
      <c r="T65" s="35"/>
      <c r="U65" s="35"/>
      <c r="V65" s="35"/>
      <c r="W65" s="35"/>
    </row>
    <row r="66" spans="2:23" ht="15">
      <c r="B66" s="138"/>
      <c r="C66" s="624" t="s">
        <v>51</v>
      </c>
      <c r="D66" s="1397">
        <v>-10</v>
      </c>
      <c r="E66" s="1397">
        <v>0</v>
      </c>
      <c r="F66" s="736">
        <v>-2</v>
      </c>
      <c r="G66" s="170"/>
      <c r="H66" s="67"/>
      <c r="I66" s="623" t="str">
        <f t="shared" si="0"/>
        <v>111 calls (clinical advisor)</v>
      </c>
      <c r="J66" s="771">
        <f t="shared" si="1"/>
        <v>-960</v>
      </c>
      <c r="K66" s="1437">
        <f t="shared" si="2"/>
        <v>0</v>
      </c>
      <c r="M66" s="36"/>
      <c r="N66" s="35"/>
      <c r="O66" s="35"/>
      <c r="P66" s="35"/>
      <c r="Q66" s="35"/>
      <c r="R66" s="35"/>
      <c r="S66" s="35"/>
      <c r="T66" s="35"/>
      <c r="U66" s="35"/>
      <c r="V66" s="35"/>
      <c r="W66" s="35"/>
    </row>
    <row r="67" spans="2:23" ht="14.25" customHeight="1">
      <c r="B67" s="138"/>
      <c r="C67" s="170"/>
      <c r="D67" s="170"/>
      <c r="E67" s="170"/>
      <c r="F67" s="170"/>
      <c r="G67" s="170"/>
      <c r="H67" s="67"/>
      <c r="I67" s="67"/>
      <c r="J67" s="2495" t="s">
        <v>1217</v>
      </c>
      <c r="K67" s="1284"/>
      <c r="M67" s="36"/>
      <c r="N67" s="35"/>
      <c r="O67" s="35"/>
      <c r="P67" s="35"/>
      <c r="Q67" s="35"/>
      <c r="R67" s="35"/>
      <c r="S67" s="35"/>
      <c r="T67" s="35"/>
      <c r="U67" s="35"/>
      <c r="V67" s="35"/>
      <c r="W67" s="35"/>
    </row>
    <row r="68" spans="2:23" ht="14.25" customHeight="1">
      <c r="B68" s="138"/>
      <c r="C68" s="349"/>
      <c r="D68" s="62"/>
      <c r="E68" s="62"/>
      <c r="F68" s="170"/>
      <c r="G68" s="170"/>
      <c r="H68" s="170"/>
      <c r="I68" s="170"/>
      <c r="J68" s="2495"/>
      <c r="K68" s="1284"/>
      <c r="M68" s="36"/>
      <c r="N68" s="35"/>
      <c r="O68" s="35"/>
      <c r="P68" s="35"/>
      <c r="Q68" s="35"/>
      <c r="R68" s="35"/>
      <c r="S68" s="35"/>
      <c r="T68" s="35"/>
      <c r="U68" s="35"/>
      <c r="V68" s="35"/>
      <c r="W68" s="35"/>
    </row>
    <row r="69" spans="2:23" ht="45">
      <c r="B69" s="138"/>
      <c r="C69" s="349"/>
      <c r="D69" s="62"/>
      <c r="E69" s="62"/>
      <c r="F69" s="170"/>
      <c r="G69" s="170"/>
      <c r="H69" s="170"/>
      <c r="I69" s="2147" t="s">
        <v>1122</v>
      </c>
      <c r="J69" s="2121" t="s">
        <v>660</v>
      </c>
      <c r="K69" s="1134" t="s">
        <v>120</v>
      </c>
      <c r="M69" s="36"/>
      <c r="N69" s="35"/>
      <c r="O69" s="35"/>
      <c r="P69" s="35"/>
      <c r="Q69" s="35"/>
      <c r="R69" s="35"/>
      <c r="S69" s="35"/>
      <c r="T69" s="35"/>
      <c r="U69" s="35"/>
      <c r="V69" s="35"/>
      <c r="W69" s="35"/>
    </row>
    <row r="70" spans="2:23" ht="15">
      <c r="B70" s="138"/>
      <c r="C70" s="349"/>
      <c r="D70" s="62"/>
      <c r="E70" s="62"/>
      <c r="F70" s="170"/>
      <c r="G70" s="170"/>
      <c r="H70" s="67"/>
      <c r="I70" s="623" t="str">
        <f t="shared" ref="I70:I76" si="3">C60</f>
        <v>Emergency bed days</v>
      </c>
      <c r="J70" s="1133">
        <f t="shared" ref="J70:J76" si="4">J60*D83</f>
        <v>905385.26816975337</v>
      </c>
      <c r="K70" s="1135">
        <f t="shared" ref="K70:K76" si="5">(J60-K60)*F83+K60*G83</f>
        <v>146664.58981266303</v>
      </c>
      <c r="M70" s="36"/>
      <c r="N70" s="35"/>
      <c r="O70" s="35"/>
      <c r="P70" s="35"/>
      <c r="Q70" s="35"/>
      <c r="R70" s="35"/>
      <c r="S70" s="35"/>
      <c r="T70" s="35"/>
      <c r="U70" s="35"/>
      <c r="V70" s="35"/>
      <c r="W70" s="35"/>
    </row>
    <row r="71" spans="2:23" ht="15">
      <c r="B71" s="138"/>
      <c r="C71" s="349"/>
      <c r="D71" s="62"/>
      <c r="E71" s="62"/>
      <c r="F71" s="170"/>
      <c r="G71" s="170"/>
      <c r="H71" s="67"/>
      <c r="I71" s="623" t="str">
        <f t="shared" si="3"/>
        <v>ED attends</v>
      </c>
      <c r="J71" s="1133">
        <f t="shared" si="4"/>
        <v>111020.35241330641</v>
      </c>
      <c r="K71" s="1135">
        <f t="shared" si="5"/>
        <v>9368.1009492278245</v>
      </c>
      <c r="M71" s="36"/>
      <c r="N71" s="35"/>
      <c r="O71" s="35"/>
      <c r="P71" s="35"/>
      <c r="Q71" s="35"/>
      <c r="R71" s="35"/>
      <c r="S71" s="35"/>
      <c r="T71" s="35"/>
      <c r="U71" s="35"/>
      <c r="V71" s="35"/>
      <c r="W71" s="35"/>
    </row>
    <row r="72" spans="2:23" ht="15">
      <c r="B72" s="138"/>
      <c r="C72" s="349"/>
      <c r="D72" s="62"/>
      <c r="E72" s="62"/>
      <c r="F72" s="170"/>
      <c r="G72" s="170"/>
      <c r="H72" s="67"/>
      <c r="I72" s="623" t="str">
        <f t="shared" si="3"/>
        <v>Ambulance - see and convey to ED</v>
      </c>
      <c r="J72" s="1133">
        <f t="shared" si="4"/>
        <v>111849.60032984188</v>
      </c>
      <c r="K72" s="1135">
        <f t="shared" si="5"/>
        <v>12358.895999999999</v>
      </c>
      <c r="M72" s="36"/>
      <c r="N72" s="35"/>
      <c r="O72" s="35"/>
      <c r="P72" s="35"/>
      <c r="Q72" s="35"/>
      <c r="R72" s="35"/>
      <c r="S72" s="35"/>
      <c r="T72" s="35"/>
      <c r="U72" s="35"/>
      <c r="V72" s="35"/>
      <c r="W72" s="35"/>
    </row>
    <row r="73" spans="2:23" ht="15">
      <c r="B73" s="138"/>
      <c r="C73" s="349"/>
      <c r="D73" s="62"/>
      <c r="E73" s="62"/>
      <c r="F73" s="170"/>
      <c r="G73" s="170"/>
      <c r="H73" s="67"/>
      <c r="I73" s="623" t="str">
        <f t="shared" si="3"/>
        <v>OOH home visits</v>
      </c>
      <c r="J73" s="1133">
        <f t="shared" si="4"/>
        <v>-36000</v>
      </c>
      <c r="K73" s="1135">
        <f t="shared" si="5"/>
        <v>-4017.0761999594911</v>
      </c>
      <c r="M73" s="36"/>
      <c r="N73" s="35"/>
      <c r="O73" s="35"/>
      <c r="P73" s="35"/>
      <c r="Q73" s="35"/>
      <c r="R73" s="35"/>
      <c r="S73" s="35"/>
      <c r="T73" s="35"/>
      <c r="U73" s="35"/>
      <c r="V73" s="35"/>
      <c r="W73" s="35"/>
    </row>
    <row r="74" spans="2:23" ht="15">
      <c r="B74" s="138"/>
      <c r="C74" s="349"/>
      <c r="D74" s="62"/>
      <c r="E74" s="62"/>
      <c r="F74" s="170"/>
      <c r="G74" s="170"/>
      <c r="H74" s="67"/>
      <c r="I74" s="623" t="str">
        <f t="shared" si="3"/>
        <v>GP visits</v>
      </c>
      <c r="J74" s="1133">
        <f t="shared" si="4"/>
        <v>-29280</v>
      </c>
      <c r="K74" s="1135">
        <f t="shared" si="5"/>
        <v>-3203.1587999676985</v>
      </c>
      <c r="M74" s="36"/>
      <c r="N74" s="35"/>
      <c r="O74" s="35"/>
      <c r="P74" s="35"/>
      <c r="Q74" s="35"/>
      <c r="R74" s="35"/>
      <c r="S74" s="35"/>
      <c r="T74" s="35"/>
      <c r="U74" s="35"/>
      <c r="V74" s="35"/>
      <c r="W74" s="35"/>
    </row>
    <row r="75" spans="2:23" ht="15">
      <c r="B75" s="138"/>
      <c r="C75" s="349"/>
      <c r="D75" s="62"/>
      <c r="E75" s="62"/>
      <c r="F75" s="170"/>
      <c r="G75" s="170"/>
      <c r="H75" s="67"/>
      <c r="I75" s="623" t="str">
        <f t="shared" si="3"/>
        <v>Community contacts</v>
      </c>
      <c r="J75" s="1133">
        <f t="shared" si="4"/>
        <v>-17886.936555307999</v>
      </c>
      <c r="K75" s="1135">
        <f t="shared" si="5"/>
        <v>-1837.8779999814662</v>
      </c>
      <c r="M75" s="36"/>
      <c r="N75" s="35"/>
      <c r="O75" s="35"/>
      <c r="P75" s="35"/>
      <c r="Q75" s="35"/>
      <c r="R75" s="35"/>
      <c r="S75" s="35"/>
      <c r="T75" s="35"/>
      <c r="U75" s="35"/>
      <c r="V75" s="35"/>
      <c r="W75" s="35"/>
    </row>
    <row r="76" spans="2:23" ht="15">
      <c r="B76" s="138"/>
      <c r="C76" s="349"/>
      <c r="D76" s="62"/>
      <c r="E76" s="62"/>
      <c r="F76" s="170"/>
      <c r="G76" s="170"/>
      <c r="H76" s="67"/>
      <c r="I76" s="623" t="str">
        <f t="shared" si="3"/>
        <v>111 calls (clinical advisor)</v>
      </c>
      <c r="J76" s="1133">
        <f t="shared" si="4"/>
        <v>-19200</v>
      </c>
      <c r="K76" s="1135">
        <f t="shared" si="5"/>
        <v>-961.91999999999848</v>
      </c>
      <c r="M76" s="36"/>
      <c r="N76" s="35"/>
      <c r="O76" s="35"/>
      <c r="P76" s="35"/>
      <c r="Q76" s="35"/>
      <c r="R76" s="35"/>
      <c r="S76" s="35"/>
      <c r="T76" s="35"/>
      <c r="U76" s="35"/>
      <c r="V76" s="35"/>
      <c r="W76" s="35"/>
    </row>
    <row r="77" spans="2:23" ht="15">
      <c r="B77" s="138"/>
      <c r="C77" s="349"/>
      <c r="D77" s="62"/>
      <c r="E77" s="62"/>
      <c r="F77" s="170"/>
      <c r="G77" s="170"/>
      <c r="H77" s="67"/>
      <c r="I77" s="623" t="s">
        <v>98</v>
      </c>
      <c r="J77" s="1133">
        <f>SUM(J70:J76)</f>
        <v>1025888.2843575936</v>
      </c>
      <c r="K77" s="1135">
        <f>SUM(K70:K76)</f>
        <v>158371.55376198218</v>
      </c>
      <c r="M77" s="36"/>
      <c r="N77" s="35"/>
      <c r="O77" s="35"/>
      <c r="P77" s="35"/>
      <c r="Q77" s="35"/>
      <c r="R77" s="35"/>
      <c r="S77" s="35"/>
      <c r="T77" s="35"/>
      <c r="U77" s="35"/>
      <c r="V77" s="35"/>
      <c r="W77" s="35"/>
    </row>
    <row r="78" spans="2:23" ht="15">
      <c r="B78" s="138"/>
      <c r="C78" s="533"/>
      <c r="D78" s="533"/>
      <c r="E78" s="533"/>
      <c r="F78" s="533"/>
      <c r="G78" s="533"/>
      <c r="H78" s="67"/>
      <c r="I78" s="67"/>
      <c r="J78" s="67"/>
      <c r="K78" s="153"/>
      <c r="M78" s="36"/>
      <c r="N78" s="36"/>
      <c r="O78" s="56"/>
      <c r="P78" s="35"/>
      <c r="Q78" s="35"/>
      <c r="R78" s="35"/>
      <c r="S78" s="35"/>
      <c r="T78" s="35"/>
      <c r="U78" s="35"/>
      <c r="V78" s="35"/>
    </row>
    <row r="79" spans="2:23" ht="15">
      <c r="B79" s="191"/>
      <c r="C79" s="537"/>
      <c r="D79" s="537"/>
      <c r="E79" s="537"/>
      <c r="F79" s="67"/>
      <c r="G79" s="537"/>
      <c r="H79" s="67"/>
      <c r="I79" s="67"/>
      <c r="J79" s="67"/>
      <c r="K79" s="1284"/>
      <c r="M79" s="36"/>
      <c r="N79" s="35"/>
      <c r="O79" s="35"/>
      <c r="P79" s="35"/>
      <c r="Q79" s="35"/>
      <c r="R79" s="35"/>
      <c r="S79" s="35"/>
      <c r="T79" s="35"/>
      <c r="U79" s="35"/>
      <c r="V79" s="35"/>
      <c r="W79" s="35"/>
    </row>
    <row r="80" spans="2:23" ht="15">
      <c r="B80" s="138"/>
      <c r="C80" s="67"/>
      <c r="D80" s="67"/>
      <c r="E80" s="67"/>
      <c r="F80" s="67"/>
      <c r="G80" s="170"/>
      <c r="H80" s="67"/>
      <c r="I80" s="2116"/>
      <c r="J80" s="477"/>
      <c r="K80" s="2148"/>
      <c r="M80" s="36"/>
      <c r="N80" s="35"/>
      <c r="O80" s="35"/>
      <c r="P80" s="35"/>
      <c r="Q80" s="35"/>
      <c r="R80" s="35"/>
      <c r="S80" s="35"/>
      <c r="T80" s="35"/>
      <c r="U80" s="35"/>
      <c r="V80" s="35"/>
      <c r="W80" s="35"/>
    </row>
    <row r="81" spans="2:23">
      <c r="B81" s="138"/>
      <c r="C81" s="67"/>
      <c r="D81" s="67"/>
      <c r="E81" s="67"/>
      <c r="F81" s="67"/>
      <c r="G81" s="170"/>
      <c r="H81" s="67"/>
      <c r="I81" s="67"/>
      <c r="J81" s="67"/>
      <c r="K81" s="1275"/>
      <c r="L81" s="67"/>
      <c r="M81" s="67"/>
      <c r="N81" s="35"/>
      <c r="O81" s="35"/>
      <c r="P81" s="35"/>
      <c r="Q81" s="35"/>
      <c r="R81" s="35"/>
      <c r="S81" s="35"/>
      <c r="T81" s="35"/>
      <c r="U81" s="35"/>
      <c r="V81" s="35"/>
      <c r="W81" s="35"/>
    </row>
    <row r="82" spans="2:23" ht="75">
      <c r="B82" s="138"/>
      <c r="C82" s="582" t="s">
        <v>1214</v>
      </c>
      <c r="D82" s="2121" t="s">
        <v>660</v>
      </c>
      <c r="E82" s="2121" t="s">
        <v>145</v>
      </c>
      <c r="F82" s="2121" t="s">
        <v>144</v>
      </c>
      <c r="G82" s="2121" t="s">
        <v>688</v>
      </c>
      <c r="H82" s="67"/>
      <c r="I82" s="67"/>
      <c r="J82" s="67"/>
      <c r="K82" s="1275"/>
      <c r="L82" s="67"/>
      <c r="M82" s="67"/>
      <c r="N82" s="35"/>
      <c r="O82" s="35"/>
      <c r="P82" s="35"/>
      <c r="Q82" s="35"/>
      <c r="R82" s="35"/>
      <c r="S82" s="35"/>
      <c r="T82" s="35"/>
      <c r="U82" s="35"/>
      <c r="V82" s="35"/>
      <c r="W82" s="35"/>
    </row>
    <row r="83" spans="2:23" ht="15">
      <c r="B83" s="138"/>
      <c r="C83" s="597" t="str">
        <f t="shared" ref="C83:C89" si="6">C60</f>
        <v>Emergency bed days</v>
      </c>
      <c r="D83" s="1194">
        <f>VLOOKUP($C83,local_data_input!$B$4:$K$20,2,FALSE)</f>
        <v>471.55482717174652</v>
      </c>
      <c r="E83" s="771">
        <f>VLOOKUP($C83,local_data_input!$B$4:$K$20,7,FALSE)</f>
        <v>2190</v>
      </c>
      <c r="F83" s="1194">
        <f>VLOOKUP($C83,local_data_input!$B$4:$K$20,8,FALSE)</f>
        <v>76.38780719409533</v>
      </c>
      <c r="G83" s="1194">
        <f>VLOOKUP($C83,local_data_input!$B$4:$K$20,9,FALSE)</f>
        <v>76.38780719409533</v>
      </c>
      <c r="H83" s="67"/>
      <c r="I83" s="67"/>
      <c r="J83" s="67"/>
      <c r="K83" s="1275"/>
      <c r="L83" s="67"/>
      <c r="M83" s="67"/>
      <c r="N83" s="35"/>
      <c r="O83" s="35"/>
      <c r="P83" s="35"/>
      <c r="Q83" s="35"/>
      <c r="R83" s="35"/>
      <c r="S83" s="35"/>
      <c r="T83" s="35"/>
      <c r="U83" s="35"/>
      <c r="V83" s="35"/>
      <c r="W83" s="35"/>
    </row>
    <row r="84" spans="2:23" ht="15">
      <c r="B84" s="138"/>
      <c r="C84" s="597" t="str">
        <f t="shared" si="6"/>
        <v>ED attends</v>
      </c>
      <c r="D84" s="1194">
        <f>VLOOKUP($C84,local_data_input!$B$4:$K$20,2,FALSE)</f>
        <v>154.19493390737</v>
      </c>
      <c r="E84" s="771">
        <f>VLOOKUP($C84,local_data_input!$B$4:$K$20,7,FALSE)</f>
        <v>4725</v>
      </c>
      <c r="F84" s="1194">
        <f>VLOOKUP($C84,local_data_input!$B$4:$K$20,8,FALSE)</f>
        <v>13.011251318371977</v>
      </c>
      <c r="G84" s="1194">
        <f>VLOOKUP($C84,local_data_input!$B$4:$K$20,9,FALSE)</f>
        <v>13.011251318371977</v>
      </c>
      <c r="H84" s="67"/>
      <c r="I84" s="67"/>
      <c r="J84" s="67"/>
      <c r="K84" s="1275"/>
      <c r="L84" s="67"/>
      <c r="M84" s="67"/>
      <c r="N84" s="35"/>
      <c r="O84" s="35"/>
      <c r="P84" s="35"/>
      <c r="Q84" s="35"/>
      <c r="R84" s="35"/>
      <c r="S84" s="35"/>
      <c r="T84" s="35"/>
      <c r="U84" s="35"/>
      <c r="V84" s="35"/>
      <c r="W84" s="35"/>
    </row>
    <row r="85" spans="2:23" ht="15">
      <c r="B85" s="138"/>
      <c r="C85" s="597" t="str">
        <f t="shared" si="6"/>
        <v>Ambulance - see and convey to ED</v>
      </c>
      <c r="D85" s="1194">
        <f>VLOOKUP($C85,local_data_input!$B$4:$K$20,2,FALSE)</f>
        <v>233.02000068717058</v>
      </c>
      <c r="E85" s="771">
        <f>VLOOKUP($C85,local_data_input!$B$4:$K$20,7,FALSE)</f>
        <v>3150</v>
      </c>
      <c r="F85" s="1194">
        <f>VLOOKUP($C85,local_data_input!$B$4:$K$20,8,FALSE)</f>
        <v>25.747699999999998</v>
      </c>
      <c r="G85" s="1194">
        <f>VLOOKUP($C85,local_data_input!$B$4:$K$20,9,FALSE)</f>
        <v>25.747699999999998</v>
      </c>
      <c r="H85" s="67"/>
      <c r="I85" s="67"/>
      <c r="J85" s="67"/>
      <c r="K85" s="1275"/>
      <c r="L85" s="67"/>
      <c r="M85" s="67"/>
      <c r="N85" s="35"/>
      <c r="O85" s="35"/>
      <c r="P85" s="35"/>
      <c r="Q85" s="35"/>
      <c r="R85" s="35"/>
      <c r="S85" s="35"/>
      <c r="T85" s="35"/>
      <c r="U85" s="35"/>
      <c r="V85" s="35"/>
      <c r="W85" s="35"/>
    </row>
    <row r="86" spans="2:23" ht="15">
      <c r="B86" s="138"/>
      <c r="C86" s="597" t="str">
        <f t="shared" si="6"/>
        <v>OOH home visits</v>
      </c>
      <c r="D86" s="1194">
        <f>VLOOKUP($C86,local_data_input!$B$4:$K$20,2,FALSE)</f>
        <v>150</v>
      </c>
      <c r="E86" s="771">
        <f>VLOOKUP($C86,local_data_input!$B$4:$K$20,7,FALSE)</f>
        <v>1575</v>
      </c>
      <c r="F86" s="1194">
        <f>VLOOKUP($C86,local_data_input!$B$4:$K$20,8,FALSE)</f>
        <v>16.737817499831213</v>
      </c>
      <c r="G86" s="1194">
        <f>VLOOKUP($C86,local_data_input!$B$4:$K$20,9,FALSE)</f>
        <v>16.737817499831213</v>
      </c>
      <c r="H86" s="67"/>
      <c r="I86" s="67"/>
      <c r="J86" s="67"/>
      <c r="K86" s="1275"/>
      <c r="L86" s="67"/>
      <c r="M86" s="67"/>
      <c r="N86" s="35"/>
      <c r="O86" s="35"/>
      <c r="P86" s="35"/>
      <c r="Q86" s="35"/>
      <c r="R86" s="35"/>
      <c r="S86" s="35"/>
      <c r="T86" s="35"/>
      <c r="U86" s="35"/>
      <c r="V86" s="35"/>
      <c r="W86" s="35"/>
    </row>
    <row r="87" spans="2:23" ht="15">
      <c r="B87" s="138"/>
      <c r="C87" s="597" t="str">
        <f t="shared" si="6"/>
        <v>GP visits</v>
      </c>
      <c r="D87" s="1194">
        <f>VLOOKUP($C87,local_data_input!$B$4:$K$20,2,FALSE)</f>
        <v>61</v>
      </c>
      <c r="E87" s="771">
        <f>VLOOKUP($C87,local_data_input!$B$4:$K$20,7,FALSE)</f>
        <v>1</v>
      </c>
      <c r="F87" s="1194">
        <f>VLOOKUP($C87,local_data_input!$B$4:$K$20,8,FALSE)</f>
        <v>6.6732474999327049</v>
      </c>
      <c r="G87" s="1194">
        <f>VLOOKUP($C87,local_data_input!$B$4:$K$20,9,FALSE)</f>
        <v>6.6732474999327049</v>
      </c>
      <c r="H87" s="67"/>
      <c r="I87" s="67"/>
      <c r="J87" s="67"/>
      <c r="K87" s="1275"/>
      <c r="L87" s="381"/>
      <c r="M87" s="67"/>
      <c r="N87" s="35"/>
      <c r="O87" s="35"/>
      <c r="P87" s="35"/>
      <c r="Q87" s="35"/>
      <c r="R87" s="35"/>
      <c r="S87" s="35"/>
      <c r="T87" s="35"/>
      <c r="U87" s="35"/>
      <c r="V87" s="35"/>
      <c r="W87" s="35"/>
    </row>
    <row r="88" spans="2:23" ht="15">
      <c r="B88" s="138"/>
      <c r="C88" s="597" t="str">
        <f t="shared" si="6"/>
        <v>Community contacts</v>
      </c>
      <c r="D88" s="1194">
        <f>VLOOKUP($C88,local_data_input!$B$4:$K$20,2,FALSE)</f>
        <v>37.264451156891667</v>
      </c>
      <c r="E88" s="771">
        <f>VLOOKUP($C88,local_data_input!$B$4:$K$20,7,FALSE)</f>
        <v>3150</v>
      </c>
      <c r="F88" s="1194">
        <f>VLOOKUP($C88,local_data_input!$B$4:$K$20,8,FALSE)</f>
        <v>3.8289124999613882</v>
      </c>
      <c r="G88" s="1194">
        <f>VLOOKUP($C88,local_data_input!$B$4:$K$20,9,FALSE)</f>
        <v>3.8289124999613882</v>
      </c>
      <c r="H88" s="67"/>
      <c r="I88" s="67"/>
      <c r="J88" s="67"/>
      <c r="K88" s="1275"/>
      <c r="L88" s="67"/>
      <c r="M88" s="67"/>
      <c r="N88" s="35"/>
      <c r="O88" s="35"/>
      <c r="P88" s="35"/>
      <c r="Q88" s="35"/>
      <c r="R88" s="35"/>
      <c r="S88" s="35"/>
      <c r="T88" s="35"/>
      <c r="U88" s="35"/>
      <c r="V88" s="35"/>
      <c r="W88" s="35"/>
    </row>
    <row r="89" spans="2:23" ht="15">
      <c r="B89" s="138"/>
      <c r="C89" s="597" t="str">
        <f t="shared" si="6"/>
        <v>111 calls (clinical advisor)</v>
      </c>
      <c r="D89" s="1194">
        <f>VLOOKUP($C89,local_data_input!$B$4:$K$20,2,FALSE)</f>
        <v>20</v>
      </c>
      <c r="E89" s="771">
        <f>VLOOKUP($C89,local_data_input!$B$4:$K$20,7,FALSE)</f>
        <v>9450</v>
      </c>
      <c r="F89" s="1194">
        <f>VLOOKUP($C89,local_data_input!$B$4:$K$20,8,FALSE)</f>
        <v>1.0019999999999984</v>
      </c>
      <c r="G89" s="1194">
        <f>VLOOKUP($C89,local_data_input!$B$4:$K$20,9,FALSE)</f>
        <v>1.0019999999999984</v>
      </c>
      <c r="H89" s="67"/>
      <c r="I89" s="67"/>
      <c r="J89" s="67"/>
      <c r="K89" s="1275"/>
      <c r="L89" s="67"/>
      <c r="M89" s="67"/>
      <c r="N89" s="35"/>
      <c r="O89" s="35"/>
      <c r="P89" s="35"/>
      <c r="Q89" s="35"/>
      <c r="R89" s="35"/>
      <c r="S89" s="35"/>
      <c r="T89" s="35"/>
      <c r="U89" s="35"/>
      <c r="V89" s="35"/>
      <c r="W89" s="35"/>
    </row>
    <row r="90" spans="2:23">
      <c r="B90" s="138"/>
      <c r="C90" s="67"/>
      <c r="D90" s="67"/>
      <c r="E90" s="67"/>
      <c r="F90" s="67"/>
      <c r="G90" s="170"/>
      <c r="H90" s="67"/>
      <c r="I90" s="67"/>
      <c r="J90" s="67"/>
      <c r="K90" s="1275"/>
      <c r="L90" s="67"/>
      <c r="M90" s="67"/>
      <c r="N90" s="35"/>
      <c r="O90" s="35"/>
      <c r="P90" s="35"/>
      <c r="Q90" s="35"/>
      <c r="R90" s="35"/>
      <c r="S90" s="35"/>
      <c r="T90" s="35"/>
      <c r="U90" s="35"/>
      <c r="V90" s="35"/>
      <c r="W90" s="35"/>
    </row>
    <row r="91" spans="2:23">
      <c r="B91" s="138"/>
      <c r="C91" s="67"/>
      <c r="D91" s="67"/>
      <c r="E91" s="67"/>
      <c r="F91" s="67"/>
      <c r="G91" s="170"/>
      <c r="H91" s="67"/>
      <c r="I91" s="67"/>
      <c r="J91" s="67"/>
      <c r="K91" s="1275"/>
      <c r="L91" s="67"/>
      <c r="M91" s="67"/>
      <c r="N91" s="35"/>
      <c r="O91" s="35"/>
      <c r="P91" s="35"/>
      <c r="Q91" s="35"/>
      <c r="R91" s="35"/>
      <c r="S91" s="35"/>
      <c r="T91" s="35"/>
      <c r="U91" s="35"/>
      <c r="V91" s="35"/>
      <c r="W91" s="35"/>
    </row>
    <row r="92" spans="2:23">
      <c r="B92" s="138"/>
      <c r="C92" s="67"/>
      <c r="D92" s="67"/>
      <c r="E92" s="67"/>
      <c r="F92" s="67"/>
      <c r="G92" s="170"/>
      <c r="H92" s="67"/>
      <c r="I92" s="67"/>
      <c r="J92" s="67"/>
      <c r="K92" s="1275"/>
      <c r="L92" s="67"/>
      <c r="M92" s="67"/>
      <c r="N92" s="35"/>
      <c r="O92" s="35"/>
      <c r="P92" s="35"/>
      <c r="Q92" s="35"/>
      <c r="R92" s="35"/>
      <c r="S92" s="35"/>
      <c r="T92" s="35"/>
      <c r="U92" s="35"/>
      <c r="V92" s="35"/>
      <c r="W92" s="35"/>
    </row>
    <row r="93" spans="2:23">
      <c r="B93" s="138"/>
      <c r="C93" s="67"/>
      <c r="D93" s="67"/>
      <c r="E93" s="67"/>
      <c r="F93" s="67"/>
      <c r="G93" s="170"/>
      <c r="H93" s="67"/>
      <c r="I93" s="67"/>
      <c r="J93" s="67"/>
      <c r="K93" s="1275"/>
      <c r="L93" s="67"/>
      <c r="M93" s="67"/>
      <c r="N93" s="35"/>
      <c r="O93" s="35"/>
      <c r="P93" s="35"/>
      <c r="Q93" s="35"/>
      <c r="R93" s="35"/>
      <c r="S93" s="35"/>
      <c r="T93" s="35"/>
      <c r="U93" s="35"/>
      <c r="V93" s="35"/>
      <c r="W93" s="35"/>
    </row>
    <row r="94" spans="2:23">
      <c r="B94" s="138"/>
      <c r="C94" s="67"/>
      <c r="D94" s="67"/>
      <c r="E94" s="67"/>
      <c r="F94" s="67"/>
      <c r="G94" s="170"/>
      <c r="H94" s="67"/>
      <c r="I94" s="67"/>
      <c r="J94" s="67"/>
      <c r="K94" s="1275"/>
      <c r="L94" s="67"/>
      <c r="M94" s="67"/>
      <c r="N94" s="35"/>
      <c r="O94" s="35"/>
      <c r="P94" s="35"/>
      <c r="Q94" s="35"/>
      <c r="R94" s="35"/>
      <c r="S94" s="35"/>
      <c r="T94" s="35"/>
      <c r="U94" s="35"/>
      <c r="V94" s="35"/>
      <c r="W94" s="35"/>
    </row>
    <row r="95" spans="2:23" ht="15">
      <c r="B95" s="169"/>
      <c r="C95" s="533"/>
      <c r="D95" s="533"/>
      <c r="E95" s="533"/>
      <c r="F95" s="533"/>
      <c r="G95" s="533"/>
      <c r="H95" s="67"/>
      <c r="I95" s="67"/>
      <c r="J95" s="67"/>
      <c r="K95" s="1418"/>
      <c r="L95" s="36"/>
      <c r="M95" s="36"/>
      <c r="N95" s="36"/>
      <c r="O95" s="56"/>
      <c r="P95" s="35"/>
      <c r="Q95" s="35"/>
      <c r="R95" s="35"/>
      <c r="S95" s="35"/>
      <c r="T95" s="35"/>
      <c r="U95" s="35"/>
      <c r="V95" s="35"/>
    </row>
    <row r="96" spans="2:23" ht="15">
      <c r="B96" s="2533" t="s">
        <v>97</v>
      </c>
      <c r="C96" s="2534"/>
      <c r="D96" s="2534"/>
      <c r="E96" s="2534"/>
      <c r="F96" s="2534"/>
      <c r="G96" s="2534"/>
      <c r="H96" s="2534"/>
      <c r="I96" s="2534"/>
      <c r="J96" s="2534"/>
      <c r="K96" s="2535"/>
      <c r="L96" s="36"/>
      <c r="M96" s="36"/>
      <c r="N96" s="36"/>
      <c r="O96" s="36"/>
      <c r="P96" s="35"/>
      <c r="Q96" s="35"/>
      <c r="S96" s="35"/>
      <c r="T96" s="35"/>
      <c r="U96" s="35"/>
      <c r="V96" s="35"/>
      <c r="W96" s="35"/>
    </row>
    <row r="97" spans="2:25">
      <c r="B97" s="965"/>
      <c r="C97" s="67"/>
      <c r="D97" s="36"/>
      <c r="E97" s="36"/>
      <c r="F97" s="62"/>
      <c r="G97" s="62"/>
      <c r="H97" s="36"/>
      <c r="I97" s="36"/>
      <c r="J97" s="36"/>
      <c r="K97" s="2149"/>
      <c r="L97" s="36"/>
      <c r="M97" s="36"/>
      <c r="N97" s="35"/>
      <c r="O97" s="35"/>
      <c r="P97" s="35"/>
      <c r="Q97" s="35"/>
      <c r="R97" s="35"/>
      <c r="S97" s="35"/>
      <c r="T97" s="35"/>
      <c r="U97" s="4"/>
      <c r="V97" s="4"/>
      <c r="W97" s="5"/>
      <c r="X97" s="5"/>
      <c r="Y97" s="5"/>
    </row>
    <row r="98" spans="2:25">
      <c r="B98" s="138"/>
      <c r="C98" s="62"/>
      <c r="D98" s="36"/>
      <c r="E98" s="36"/>
      <c r="F98" s="62"/>
      <c r="G98" s="62"/>
      <c r="H98" s="36"/>
      <c r="I98" s="36"/>
      <c r="J98" s="36"/>
      <c r="K98" s="153"/>
      <c r="L98" s="36"/>
      <c r="M98" s="36"/>
      <c r="N98" s="35"/>
      <c r="O98" s="35"/>
      <c r="P98" s="35"/>
      <c r="Q98" s="35"/>
      <c r="R98" s="35"/>
      <c r="S98" s="35"/>
      <c r="T98" s="35"/>
      <c r="U98" s="4"/>
      <c r="V98" s="4"/>
      <c r="W98" s="5"/>
      <c r="X98" s="5"/>
      <c r="Y98" s="5"/>
    </row>
    <row r="99" spans="2:25">
      <c r="B99" s="138"/>
      <c r="C99" s="62"/>
      <c r="D99" s="36"/>
      <c r="E99" s="36"/>
      <c r="F99" s="62"/>
      <c r="G99" s="62"/>
      <c r="H99" s="36"/>
      <c r="I99" s="36"/>
      <c r="J99" s="36"/>
      <c r="K99" s="153"/>
      <c r="L99" s="36"/>
      <c r="M99" s="36"/>
      <c r="N99" s="35"/>
      <c r="O99" s="35"/>
      <c r="P99" s="35"/>
      <c r="Q99" s="35"/>
      <c r="R99" s="35"/>
      <c r="S99" s="35"/>
      <c r="T99" s="35"/>
      <c r="U99" s="4"/>
      <c r="V99" s="4"/>
      <c r="W99" s="5"/>
      <c r="X99" s="5"/>
      <c r="Y99" s="5"/>
    </row>
    <row r="100" spans="2:25">
      <c r="B100" s="138"/>
      <c r="C100" s="62"/>
      <c r="D100" s="36"/>
      <c r="E100" s="36"/>
      <c r="F100" s="62"/>
      <c r="G100" s="62"/>
      <c r="H100" s="36"/>
      <c r="I100" s="36"/>
      <c r="J100" s="36"/>
      <c r="K100" s="153"/>
      <c r="L100" s="36"/>
      <c r="M100" s="36"/>
      <c r="N100" s="35"/>
      <c r="O100" s="35"/>
      <c r="P100" s="35"/>
      <c r="Q100" s="35"/>
      <c r="R100" s="35"/>
      <c r="S100" s="35"/>
      <c r="T100" s="35"/>
      <c r="U100" s="4"/>
      <c r="V100" s="4"/>
      <c r="W100" s="5"/>
      <c r="X100" s="5"/>
      <c r="Y100" s="5"/>
    </row>
    <row r="101" spans="2:25">
      <c r="B101" s="138"/>
      <c r="C101" s="62"/>
      <c r="D101" s="36"/>
      <c r="E101" s="36"/>
      <c r="F101" s="62"/>
      <c r="G101" s="62"/>
      <c r="H101" s="36"/>
      <c r="I101" s="36"/>
      <c r="J101" s="36"/>
      <c r="K101" s="153"/>
      <c r="L101" s="36"/>
      <c r="M101" s="36"/>
      <c r="N101" s="35"/>
      <c r="O101" s="35"/>
      <c r="P101" s="35"/>
      <c r="Q101" s="35"/>
      <c r="R101" s="35"/>
      <c r="S101" s="35"/>
      <c r="T101" s="35"/>
      <c r="U101" s="4"/>
      <c r="V101" s="4"/>
      <c r="W101" s="5"/>
      <c r="X101" s="5"/>
      <c r="Y101" s="5"/>
    </row>
    <row r="102" spans="2:25">
      <c r="B102" s="138"/>
      <c r="C102" s="62"/>
      <c r="D102" s="36"/>
      <c r="E102" s="36"/>
      <c r="F102" s="62"/>
      <c r="G102" s="62"/>
      <c r="H102" s="36"/>
      <c r="I102" s="36"/>
      <c r="J102" s="36"/>
      <c r="K102" s="153"/>
      <c r="L102" s="36"/>
      <c r="M102" s="36"/>
      <c r="N102" s="35"/>
      <c r="O102" s="35"/>
      <c r="P102" s="35"/>
      <c r="Q102" s="35"/>
      <c r="R102" s="35"/>
      <c r="S102" s="35"/>
      <c r="T102" s="35"/>
      <c r="U102" s="4"/>
      <c r="V102" s="4"/>
      <c r="W102" s="5"/>
      <c r="X102" s="5"/>
      <c r="Y102" s="5"/>
    </row>
    <row r="103" spans="2:25">
      <c r="B103" s="138"/>
      <c r="C103" s="62"/>
      <c r="D103" s="36"/>
      <c r="E103" s="36"/>
      <c r="F103" s="62"/>
      <c r="G103" s="62"/>
      <c r="H103" s="36"/>
      <c r="I103" s="36"/>
      <c r="J103" s="36"/>
      <c r="K103" s="153"/>
      <c r="L103" s="36"/>
      <c r="M103" s="36"/>
      <c r="N103" s="35"/>
      <c r="O103" s="35"/>
      <c r="P103" s="35"/>
      <c r="Q103" s="35"/>
      <c r="R103" s="35"/>
      <c r="S103" s="35"/>
      <c r="T103" s="35"/>
      <c r="U103" s="4"/>
      <c r="V103" s="4"/>
      <c r="W103" s="5"/>
      <c r="X103" s="5"/>
      <c r="Y103" s="5"/>
    </row>
    <row r="104" spans="2:25">
      <c r="B104" s="138"/>
      <c r="C104" s="62"/>
      <c r="D104" s="36"/>
      <c r="E104" s="36"/>
      <c r="F104" s="62"/>
      <c r="G104" s="62"/>
      <c r="H104" s="36"/>
      <c r="I104" s="36"/>
      <c r="J104" s="36"/>
      <c r="K104" s="153"/>
      <c r="L104" s="36"/>
      <c r="M104" s="36"/>
      <c r="N104" s="35"/>
      <c r="O104" s="35"/>
      <c r="P104" s="35"/>
      <c r="Q104" s="35"/>
      <c r="R104" s="35"/>
      <c r="S104" s="35"/>
      <c r="T104" s="35"/>
      <c r="U104" s="4"/>
      <c r="V104" s="4"/>
      <c r="W104" s="5"/>
      <c r="X104" s="5"/>
      <c r="Y104" s="5"/>
    </row>
    <row r="105" spans="2:25">
      <c r="B105" s="138"/>
      <c r="C105" s="62"/>
      <c r="D105" s="36"/>
      <c r="E105" s="36"/>
      <c r="F105" s="62"/>
      <c r="G105" s="62"/>
      <c r="H105" s="36"/>
      <c r="I105" s="36"/>
      <c r="J105" s="36"/>
      <c r="K105" s="153"/>
      <c r="L105" s="36"/>
      <c r="M105" s="36"/>
      <c r="N105" s="35"/>
      <c r="O105" s="35"/>
      <c r="P105" s="35"/>
      <c r="Q105" s="35"/>
      <c r="R105" s="35"/>
      <c r="S105" s="35"/>
      <c r="T105" s="35"/>
      <c r="U105" s="4"/>
      <c r="V105" s="4"/>
      <c r="W105" s="5"/>
      <c r="X105" s="5"/>
      <c r="Y105" s="5"/>
    </row>
    <row r="106" spans="2:25">
      <c r="B106" s="138"/>
      <c r="C106" s="62"/>
      <c r="D106" s="36"/>
      <c r="E106" s="36"/>
      <c r="F106" s="62"/>
      <c r="G106" s="62"/>
      <c r="H106" s="36"/>
      <c r="I106" s="36"/>
      <c r="J106" s="36"/>
      <c r="K106" s="153"/>
      <c r="L106" s="36"/>
      <c r="M106" s="36"/>
      <c r="N106" s="35"/>
      <c r="O106" s="35"/>
      <c r="P106" s="35"/>
      <c r="Q106" s="35"/>
      <c r="R106" s="35"/>
      <c r="S106" s="35"/>
      <c r="T106" s="35"/>
      <c r="U106" s="4"/>
      <c r="V106" s="4"/>
      <c r="W106" s="5"/>
      <c r="X106" s="5"/>
      <c r="Y106" s="5"/>
    </row>
    <row r="107" spans="2:25">
      <c r="B107" s="138"/>
      <c r="C107" s="62"/>
      <c r="D107" s="36"/>
      <c r="E107" s="36"/>
      <c r="F107" s="62"/>
      <c r="G107" s="62"/>
      <c r="H107" s="36"/>
      <c r="I107" s="36"/>
      <c r="J107" s="36"/>
      <c r="K107" s="2531"/>
      <c r="L107" s="36"/>
      <c r="M107" s="36"/>
      <c r="N107" s="35"/>
      <c r="O107" s="35"/>
      <c r="P107" s="35"/>
      <c r="Q107" s="35"/>
      <c r="R107" s="35"/>
      <c r="S107" s="35"/>
      <c r="T107" s="35"/>
      <c r="U107" s="35"/>
      <c r="V107" s="35"/>
    </row>
    <row r="108" spans="2:25" ht="15">
      <c r="B108" s="138"/>
      <c r="C108" s="537"/>
      <c r="D108" s="36"/>
      <c r="E108" s="36"/>
      <c r="F108" s="62"/>
      <c r="G108" s="62"/>
      <c r="H108" s="36"/>
      <c r="I108" s="36"/>
      <c r="J108" s="36"/>
      <c r="K108" s="2531"/>
      <c r="L108" s="36"/>
      <c r="M108" s="36"/>
      <c r="N108" s="35"/>
      <c r="O108" s="35"/>
      <c r="P108" s="35"/>
      <c r="Q108" s="35"/>
      <c r="R108" s="35"/>
      <c r="S108" s="35"/>
      <c r="T108" s="35"/>
      <c r="U108" s="35"/>
      <c r="V108" s="35"/>
    </row>
    <row r="109" spans="2:25" ht="15.75" thickBot="1">
      <c r="B109" s="142"/>
      <c r="C109" s="2150"/>
      <c r="D109" s="2151"/>
      <c r="E109" s="2151"/>
      <c r="F109" s="2152"/>
      <c r="G109" s="2152"/>
      <c r="H109" s="2152"/>
      <c r="I109" s="2152"/>
      <c r="J109" s="2152"/>
      <c r="K109" s="2532"/>
      <c r="L109" s="36"/>
      <c r="M109" s="36"/>
      <c r="N109" s="35"/>
      <c r="O109" s="35"/>
      <c r="P109" s="35"/>
      <c r="Q109" s="35"/>
      <c r="R109" s="35"/>
      <c r="S109" s="35"/>
      <c r="T109" s="35"/>
      <c r="U109" s="35"/>
      <c r="V109" s="35"/>
    </row>
    <row r="110" spans="2:25" ht="15">
      <c r="B110" s="35"/>
      <c r="C110" s="56"/>
      <c r="D110" s="36"/>
      <c r="E110" s="36"/>
      <c r="F110" s="62"/>
      <c r="G110" s="62"/>
      <c r="H110" s="62"/>
      <c r="I110" s="62"/>
      <c r="J110" s="62"/>
      <c r="K110" s="62"/>
      <c r="L110" s="36"/>
      <c r="M110" s="35"/>
      <c r="N110" s="35"/>
      <c r="O110" s="35"/>
      <c r="P110" s="35"/>
      <c r="Q110" s="35"/>
      <c r="R110" s="35"/>
      <c r="S110" s="35"/>
      <c r="T110" s="35"/>
      <c r="U110" s="4"/>
      <c r="V110" s="4"/>
      <c r="W110" s="5"/>
      <c r="X110" s="5"/>
      <c r="Y110" s="5"/>
    </row>
    <row r="111" spans="2:25" ht="15">
      <c r="B111" s="35"/>
      <c r="C111" s="56"/>
      <c r="D111" s="35"/>
      <c r="E111" s="35"/>
      <c r="F111" s="62"/>
      <c r="G111" s="62"/>
      <c r="H111" s="62"/>
      <c r="I111" s="62"/>
      <c r="J111" s="62"/>
      <c r="K111" s="62"/>
      <c r="L111" s="36"/>
      <c r="M111" s="35"/>
      <c r="N111" s="35"/>
      <c r="O111" s="35"/>
      <c r="P111" s="35"/>
      <c r="Q111" s="35"/>
      <c r="R111" s="35"/>
      <c r="S111" s="35"/>
      <c r="T111" s="35"/>
      <c r="U111" s="4"/>
      <c r="V111" s="4"/>
      <c r="W111" s="5"/>
      <c r="X111" s="5"/>
      <c r="Y111" s="5"/>
    </row>
    <row r="112" spans="2:25" ht="15">
      <c r="B112" s="35"/>
      <c r="C112" s="56"/>
      <c r="D112" s="56"/>
      <c r="E112" s="56"/>
      <c r="F112" s="62"/>
      <c r="G112" s="62"/>
      <c r="H112" s="62"/>
      <c r="I112" s="62"/>
      <c r="J112" s="62"/>
      <c r="K112" s="62"/>
      <c r="L112" s="36"/>
      <c r="M112" s="35"/>
      <c r="N112" s="35"/>
      <c r="O112" s="35"/>
      <c r="P112" s="35"/>
      <c r="Q112" s="35"/>
      <c r="R112" s="35"/>
      <c r="S112" s="35"/>
      <c r="T112" s="35"/>
      <c r="U112" s="4"/>
      <c r="V112" s="4"/>
      <c r="W112" s="5"/>
      <c r="X112" s="5"/>
      <c r="Y112" s="5"/>
    </row>
    <row r="113" spans="2:25" ht="15">
      <c r="B113" s="35"/>
      <c r="C113" s="56"/>
      <c r="D113" s="56"/>
      <c r="E113" s="56"/>
      <c r="F113" s="62"/>
      <c r="G113" s="62"/>
      <c r="H113" s="62"/>
      <c r="I113" s="62"/>
      <c r="J113" s="62"/>
      <c r="K113" s="62"/>
      <c r="L113" s="36"/>
      <c r="M113" s="35"/>
      <c r="N113" s="35"/>
      <c r="O113" s="35"/>
      <c r="P113" s="35"/>
      <c r="Q113" s="35"/>
      <c r="R113" s="35"/>
      <c r="S113" s="35"/>
      <c r="U113" s="4"/>
      <c r="V113" s="4"/>
      <c r="W113" s="5"/>
      <c r="X113" s="5"/>
      <c r="Y113" s="5"/>
    </row>
    <row r="114" spans="2:25">
      <c r="B114" s="35"/>
      <c r="C114" s="62"/>
      <c r="D114" s="36"/>
      <c r="E114" s="36"/>
      <c r="F114" s="111"/>
      <c r="G114" s="111"/>
      <c r="H114" s="111"/>
      <c r="I114" s="111"/>
      <c r="J114" s="111"/>
      <c r="K114" s="111"/>
      <c r="L114" s="36"/>
      <c r="M114" s="35"/>
      <c r="N114" s="35"/>
      <c r="O114" s="35"/>
      <c r="P114" s="35"/>
      <c r="Q114" s="35"/>
      <c r="R114" s="35"/>
      <c r="S114" s="35"/>
      <c r="U114" s="4"/>
      <c r="V114" s="4"/>
      <c r="W114" s="5"/>
      <c r="X114" s="5"/>
      <c r="Y114" s="5"/>
    </row>
    <row r="115" spans="2:25">
      <c r="B115" s="35"/>
      <c r="C115" s="62"/>
      <c r="D115" s="36"/>
      <c r="E115" s="36"/>
      <c r="F115" s="62"/>
      <c r="G115" s="62"/>
      <c r="H115" s="62"/>
      <c r="I115" s="62"/>
      <c r="J115" s="62"/>
      <c r="K115" s="62"/>
      <c r="L115" s="36"/>
      <c r="M115" s="35"/>
      <c r="N115" s="35"/>
      <c r="O115" s="35"/>
      <c r="P115" s="35"/>
      <c r="Q115" s="35"/>
      <c r="R115" s="35"/>
      <c r="S115" s="35"/>
      <c r="U115" s="4"/>
      <c r="V115" s="4"/>
      <c r="W115" s="5"/>
      <c r="X115" s="5"/>
      <c r="Y115" s="5"/>
    </row>
    <row r="116" spans="2:25">
      <c r="B116" s="35"/>
      <c r="C116" s="112"/>
      <c r="D116" s="36"/>
      <c r="E116" s="36"/>
      <c r="F116" s="67"/>
      <c r="G116" s="62"/>
      <c r="H116" s="62"/>
      <c r="I116" s="62"/>
      <c r="J116" s="62"/>
      <c r="K116" s="62"/>
      <c r="L116" s="36"/>
      <c r="M116" s="35"/>
      <c r="N116" s="35"/>
      <c r="O116" s="35"/>
      <c r="P116" s="35"/>
      <c r="Q116" s="35"/>
      <c r="R116" s="35"/>
      <c r="S116" s="35"/>
      <c r="U116" s="4"/>
      <c r="V116" s="4"/>
      <c r="W116" s="5"/>
      <c r="X116" s="5"/>
      <c r="Y116" s="5"/>
    </row>
    <row r="117" spans="2:25">
      <c r="B117" s="35"/>
      <c r="C117" s="36"/>
      <c r="D117" s="36"/>
      <c r="E117" s="36"/>
      <c r="F117" s="36"/>
      <c r="G117" s="36"/>
      <c r="H117" s="36"/>
      <c r="I117" s="36"/>
      <c r="J117" s="36"/>
      <c r="K117" s="36"/>
      <c r="L117" s="36"/>
      <c r="M117" s="35"/>
      <c r="N117" s="35"/>
      <c r="O117" s="35"/>
      <c r="P117" s="35"/>
      <c r="Q117" s="35"/>
      <c r="R117" s="35"/>
      <c r="S117" s="35"/>
      <c r="U117" s="4"/>
      <c r="V117" s="4"/>
      <c r="W117" s="5"/>
      <c r="X117" s="5"/>
      <c r="Y117" s="5"/>
    </row>
    <row r="118" spans="2:25">
      <c r="B118" s="35"/>
      <c r="C118" s="62"/>
      <c r="D118" s="36"/>
      <c r="E118" s="36"/>
      <c r="F118" s="113"/>
      <c r="G118" s="113"/>
      <c r="H118" s="113"/>
      <c r="I118" s="113"/>
      <c r="J118" s="113"/>
      <c r="K118" s="113"/>
      <c r="L118" s="36"/>
      <c r="M118" s="35"/>
      <c r="N118" s="35"/>
      <c r="O118" s="35"/>
      <c r="P118" s="35"/>
      <c r="Q118" s="35"/>
      <c r="R118" s="35"/>
      <c r="S118" s="35"/>
      <c r="U118" s="4"/>
      <c r="V118" s="4"/>
      <c r="W118" s="5"/>
      <c r="X118" s="5"/>
      <c r="Y118" s="5"/>
    </row>
    <row r="119" spans="2:25">
      <c r="B119" s="35"/>
      <c r="C119" s="62"/>
      <c r="D119" s="36"/>
      <c r="E119" s="36"/>
      <c r="F119" s="62"/>
      <c r="G119" s="62"/>
      <c r="H119" s="62"/>
      <c r="I119" s="62"/>
      <c r="J119" s="62"/>
      <c r="K119" s="62"/>
      <c r="L119" s="36"/>
      <c r="M119" s="35"/>
      <c r="N119" s="35"/>
      <c r="O119" s="35"/>
      <c r="P119" s="35"/>
      <c r="Q119" s="35"/>
      <c r="R119" s="35"/>
      <c r="S119" s="35"/>
      <c r="U119" s="4"/>
      <c r="V119" s="4"/>
      <c r="W119" s="5"/>
      <c r="X119" s="5"/>
      <c r="Y119" s="5"/>
    </row>
    <row r="120" spans="2:25">
      <c r="B120" s="35"/>
      <c r="C120" s="62"/>
      <c r="D120" s="36"/>
      <c r="E120" s="36"/>
      <c r="F120" s="62"/>
      <c r="G120" s="62"/>
      <c r="H120" s="62"/>
      <c r="I120" s="62"/>
      <c r="J120" s="62"/>
      <c r="K120" s="62"/>
      <c r="L120" s="36"/>
      <c r="M120" s="35"/>
      <c r="N120" s="35"/>
      <c r="O120" s="35"/>
      <c r="P120" s="35"/>
      <c r="Q120" s="35"/>
      <c r="R120" s="35"/>
      <c r="S120" s="35"/>
      <c r="U120" s="4"/>
      <c r="V120" s="4"/>
      <c r="W120" s="5"/>
      <c r="X120" s="5"/>
      <c r="Y120" s="5"/>
    </row>
    <row r="121" spans="2:25" ht="15">
      <c r="B121" s="35"/>
      <c r="C121" s="56"/>
      <c r="D121" s="36"/>
      <c r="E121" s="36"/>
      <c r="F121" s="62"/>
      <c r="G121" s="62"/>
      <c r="H121" s="62"/>
      <c r="I121" s="62"/>
      <c r="J121" s="62"/>
      <c r="K121" s="62"/>
      <c r="L121" s="35"/>
      <c r="M121" s="35"/>
      <c r="N121" s="35"/>
      <c r="O121" s="35"/>
      <c r="P121" s="35"/>
      <c r="Q121" s="35"/>
      <c r="R121" s="35"/>
      <c r="S121" s="35"/>
      <c r="U121" s="4"/>
      <c r="V121" s="4"/>
      <c r="W121" s="5"/>
      <c r="X121" s="5"/>
      <c r="Y121" s="5"/>
    </row>
    <row r="122" spans="2:25">
      <c r="B122" s="35"/>
      <c r="C122" s="62"/>
      <c r="D122" s="36"/>
      <c r="E122" s="36"/>
      <c r="F122" s="113"/>
      <c r="G122" s="113"/>
      <c r="H122" s="113"/>
      <c r="I122" s="113"/>
      <c r="J122" s="113"/>
      <c r="K122" s="113"/>
      <c r="L122" s="35"/>
      <c r="M122" s="35"/>
      <c r="N122" s="35"/>
      <c r="O122" s="35"/>
      <c r="P122" s="35"/>
      <c r="Q122" s="35"/>
      <c r="R122" s="35"/>
      <c r="S122" s="35"/>
      <c r="U122" s="4"/>
      <c r="V122" s="4"/>
      <c r="W122" s="5"/>
      <c r="X122" s="5"/>
      <c r="Y122" s="5"/>
    </row>
    <row r="123" spans="2:25">
      <c r="B123" s="35"/>
      <c r="C123" s="62"/>
      <c r="D123" s="36"/>
      <c r="E123" s="36"/>
      <c r="F123" s="62"/>
      <c r="G123" s="62"/>
      <c r="H123" s="62"/>
      <c r="I123" s="62"/>
      <c r="J123" s="62"/>
      <c r="K123" s="62"/>
      <c r="L123" s="35"/>
      <c r="M123" s="35"/>
      <c r="N123" s="35"/>
      <c r="O123" s="35"/>
      <c r="P123" s="35"/>
      <c r="Q123" s="35"/>
      <c r="R123" s="35"/>
      <c r="S123" s="35"/>
      <c r="U123" s="4"/>
      <c r="V123" s="4"/>
      <c r="W123" s="5"/>
      <c r="X123" s="5"/>
      <c r="Y123" s="5"/>
    </row>
    <row r="124" spans="2:25">
      <c r="C124" s="35"/>
      <c r="D124" s="35"/>
      <c r="E124" s="35"/>
      <c r="F124" s="35"/>
      <c r="G124" s="35"/>
      <c r="H124" s="35"/>
      <c r="I124" s="35"/>
      <c r="J124" s="35"/>
      <c r="K124" s="35"/>
      <c r="L124" s="35"/>
      <c r="M124" s="35"/>
      <c r="N124" s="35"/>
      <c r="O124" s="35"/>
      <c r="P124" s="35"/>
      <c r="Q124" s="35"/>
      <c r="R124" s="35"/>
      <c r="S124" s="35"/>
    </row>
  </sheetData>
  <mergeCells count="37">
    <mergeCell ref="C3:D4"/>
    <mergeCell ref="D9:G9"/>
    <mergeCell ref="D8:G8"/>
    <mergeCell ref="C21:D21"/>
    <mergeCell ref="C23:D23"/>
    <mergeCell ref="C15:D15"/>
    <mergeCell ref="C16:D16"/>
    <mergeCell ref="C17:D17"/>
    <mergeCell ref="C18:D18"/>
    <mergeCell ref="C19:D19"/>
    <mergeCell ref="C20:D20"/>
    <mergeCell ref="F2:H2"/>
    <mergeCell ref="O2:P2"/>
    <mergeCell ref="O3:P3"/>
    <mergeCell ref="O4:P4"/>
    <mergeCell ref="E1:F1"/>
    <mergeCell ref="H1:I1"/>
    <mergeCell ref="N60:N61"/>
    <mergeCell ref="C31:D31"/>
    <mergeCell ref="C34:D34"/>
    <mergeCell ref="C35:D35"/>
    <mergeCell ref="C36:D36"/>
    <mergeCell ref="K107:K109"/>
    <mergeCell ref="B27:K27"/>
    <mergeCell ref="B55:K55"/>
    <mergeCell ref="B96:K96"/>
    <mergeCell ref="B13:K13"/>
    <mergeCell ref="C24:D24"/>
    <mergeCell ref="C25:D25"/>
    <mergeCell ref="J67:J68"/>
    <mergeCell ref="C37:D37"/>
    <mergeCell ref="C22:D22"/>
    <mergeCell ref="O7:P7"/>
    <mergeCell ref="O8:P8"/>
    <mergeCell ref="O5:P5"/>
    <mergeCell ref="O6:P6"/>
    <mergeCell ref="F5:H5"/>
  </mergeCells>
  <conditionalFormatting sqref="J60 J67">
    <cfRule type="expression" dxfId="1" priority="1" stopIfTrue="1">
      <formula>$J$60&gt;$E$21</formula>
    </cfRule>
  </conditionalFormatting>
  <pageMargins left="0.15748031496062992" right="0.15748031496062992" top="0.74803149606299213" bottom="0.74803149606299213" header="0.31496062992125984" footer="0.31496062992125984"/>
  <pageSetup paperSize="9" scale="39"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staff_costs!$A$4:$A$21</xm:f>
          </x14:formula1>
          <xm:sqref>D40:D41</xm:sqref>
        </x14:dataValidation>
      </x14:dataValidations>
    </ex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4" tint="-0.249977111117893"/>
    <pageSetUpPr fitToPage="1"/>
  </sheetPr>
  <dimension ref="A1:BX146"/>
  <sheetViews>
    <sheetView showGridLines="0" topLeftCell="C1" zoomScale="75" zoomScaleNormal="75" zoomScalePageLayoutView="75" workbookViewId="0">
      <selection activeCell="H32" sqref="H32"/>
    </sheetView>
  </sheetViews>
  <sheetFormatPr defaultColWidth="8.85546875" defaultRowHeight="14.25" outlineLevelCol="1"/>
  <cols>
    <col min="1" max="1" width="61.85546875" style="38" hidden="1" customWidth="1" outlineLevel="1"/>
    <col min="2" max="2" width="15.7109375" style="38" hidden="1" customWidth="1" outlineLevel="1"/>
    <col min="3" max="3" width="45.7109375" style="428" customWidth="1" collapsed="1"/>
    <col min="4" max="4" width="18.140625" style="38" customWidth="1"/>
    <col min="5" max="9" width="15.7109375" style="38" customWidth="1"/>
    <col min="10" max="10" width="45.7109375" style="38" customWidth="1"/>
    <col min="11" max="11" width="26" style="38" customWidth="1"/>
    <col min="12" max="12" width="19.140625" style="38" customWidth="1"/>
    <col min="13" max="13" width="8.42578125" style="38" customWidth="1"/>
    <col min="14" max="16" width="8.85546875" style="38"/>
    <col min="17" max="17" width="3" style="38" customWidth="1"/>
    <col min="18" max="18" width="9.42578125" style="38" customWidth="1"/>
    <col min="19" max="20" width="34.7109375" style="38" customWidth="1"/>
    <col min="21" max="21" width="14.7109375" style="38" customWidth="1"/>
    <col min="22" max="22" width="17.7109375" style="38" customWidth="1"/>
    <col min="23" max="23" width="15.42578125" style="38" customWidth="1"/>
    <col min="24" max="16384" width="8.85546875" style="38"/>
  </cols>
  <sheetData>
    <row r="1" spans="1:76" s="51" customFormat="1" ht="42.75" customHeight="1" thickBot="1">
      <c r="B1" s="1762"/>
      <c r="C1" s="1850" t="str">
        <f>HYPERLINK("[.\]Menu!A1", "To Menu")</f>
        <v>To Menu</v>
      </c>
      <c r="D1" s="1760"/>
      <c r="E1" s="2311" t="str">
        <f>HYPERLINK("[.\]control_sheet_and_graphs!A1", "To Control sheet and graphical results")</f>
        <v>To Control sheet and graphical results</v>
      </c>
      <c r="F1" s="2312"/>
      <c r="G1" s="1765"/>
      <c r="H1" s="2311" t="str">
        <f>HYPERLINK("[.\]outputs_by_channel!A1", "To Intervention data outputs by channel")</f>
        <v>To Intervention data outputs by channel</v>
      </c>
      <c r="I1" s="2312"/>
      <c r="J1" s="1763"/>
      <c r="K1" s="1078"/>
      <c r="L1" s="1762"/>
      <c r="P1" s="52"/>
      <c r="R1" s="52"/>
      <c r="S1" s="52"/>
      <c r="T1" s="52"/>
      <c r="U1" s="52"/>
      <c r="W1" s="52"/>
      <c r="X1" s="52"/>
      <c r="Y1" s="52"/>
      <c r="Z1" s="52"/>
      <c r="AB1" s="52"/>
      <c r="AC1" s="52"/>
      <c r="AD1" s="52"/>
      <c r="AE1" s="52"/>
      <c r="AG1" s="52"/>
      <c r="AH1" s="52"/>
      <c r="AI1" s="52"/>
      <c r="AJ1" s="52"/>
      <c r="AL1" s="52"/>
      <c r="AM1" s="52"/>
      <c r="AN1" s="52"/>
      <c r="AO1" s="52"/>
      <c r="AQ1" s="52"/>
      <c r="AR1" s="52"/>
      <c r="AS1" s="52"/>
      <c r="AT1" s="52"/>
      <c r="AV1" s="52"/>
      <c r="AW1" s="52"/>
      <c r="AX1" s="52"/>
      <c r="AY1" s="52"/>
      <c r="BA1" s="52"/>
      <c r="BB1" s="52"/>
      <c r="BC1" s="52"/>
      <c r="BD1" s="52"/>
      <c r="BF1" s="52"/>
      <c r="BG1" s="52"/>
      <c r="BH1" s="52"/>
      <c r="BI1" s="52"/>
      <c r="BK1" s="52"/>
      <c r="BL1" s="52"/>
      <c r="BM1" s="52"/>
      <c r="BN1" s="52"/>
      <c r="BP1" s="52"/>
      <c r="BQ1" s="52"/>
      <c r="BR1" s="52"/>
      <c r="BS1" s="52"/>
      <c r="BU1" s="52"/>
      <c r="BV1" s="52"/>
      <c r="BW1" s="52"/>
      <c r="BX1" s="52"/>
    </row>
    <row r="2" spans="1:76" ht="15">
      <c r="A2" s="35"/>
      <c r="B2" s="2055"/>
      <c r="C2" s="2154"/>
      <c r="D2" s="2135"/>
      <c r="E2" s="2155"/>
      <c r="F2" s="2135"/>
      <c r="G2" s="2135"/>
      <c r="H2" s="2054"/>
      <c r="I2" s="2135"/>
      <c r="J2" s="2113"/>
      <c r="K2" s="2113"/>
      <c r="L2" s="2114"/>
      <c r="M2" s="613"/>
      <c r="N2" s="36"/>
      <c r="O2" s="35"/>
      <c r="P2" s="35"/>
      <c r="Q2" s="35"/>
      <c r="R2" s="35"/>
      <c r="S2" s="35"/>
    </row>
    <row r="3" spans="1:76" ht="15.75" thickBot="1">
      <c r="A3" s="138"/>
      <c r="B3" s="138"/>
      <c r="C3" s="2128"/>
      <c r="D3" s="613"/>
      <c r="E3" s="614"/>
      <c r="F3" s="613"/>
      <c r="G3" s="613"/>
      <c r="H3" s="36"/>
      <c r="I3" s="613"/>
      <c r="J3" s="2070"/>
      <c r="K3" s="2074"/>
      <c r="L3" s="2083"/>
      <c r="M3" s="139"/>
      <c r="N3" s="35"/>
      <c r="O3" s="35"/>
      <c r="P3" s="35"/>
      <c r="Q3" s="35"/>
      <c r="R3" s="35"/>
      <c r="S3" s="35"/>
    </row>
    <row r="4" spans="1:76" ht="15">
      <c r="A4" s="138"/>
      <c r="B4" s="138"/>
      <c r="C4" s="2452" t="s">
        <v>1218</v>
      </c>
      <c r="D4" s="2398"/>
      <c r="E4" s="2123"/>
      <c r="F4" s="2123"/>
      <c r="G4" s="2521"/>
      <c r="H4" s="2124"/>
      <c r="I4" s="593"/>
      <c r="J4" s="2070"/>
      <c r="K4" s="2074"/>
      <c r="L4" s="2083"/>
      <c r="M4" s="139"/>
      <c r="N4" s="35"/>
      <c r="O4" s="35"/>
      <c r="P4" s="35"/>
      <c r="Q4" s="35"/>
      <c r="R4" s="35"/>
      <c r="S4" s="35"/>
    </row>
    <row r="5" spans="1:76" ht="15.75" thickBot="1">
      <c r="A5" s="138"/>
      <c r="B5" s="138"/>
      <c r="C5" s="2440"/>
      <c r="D5" s="2399"/>
      <c r="E5" s="2123"/>
      <c r="F5" s="2123"/>
      <c r="G5" s="2521"/>
      <c r="H5" s="1701"/>
      <c r="I5" s="593"/>
      <c r="J5" s="2070"/>
      <c r="K5" s="2076"/>
      <c r="L5" s="2094"/>
      <c r="M5" s="139"/>
      <c r="N5" s="35"/>
      <c r="O5" s="35"/>
      <c r="P5" s="35"/>
      <c r="Q5" s="35"/>
      <c r="R5" s="35"/>
      <c r="S5" s="35"/>
    </row>
    <row r="6" spans="1:76" ht="15.75" thickBot="1">
      <c r="A6" s="138"/>
      <c r="B6" s="138"/>
      <c r="C6" s="525"/>
      <c r="D6" s="526"/>
      <c r="E6" s="580"/>
      <c r="F6" s="594"/>
      <c r="G6" s="580"/>
      <c r="H6" s="580"/>
      <c r="I6" s="580"/>
      <c r="J6" s="2070"/>
      <c r="K6" s="2077"/>
      <c r="L6" s="2085"/>
      <c r="M6" s="139"/>
      <c r="N6" s="35"/>
      <c r="O6" s="35"/>
      <c r="P6" s="35"/>
      <c r="Q6" s="35"/>
      <c r="R6" s="35"/>
      <c r="S6" s="35"/>
    </row>
    <row r="7" spans="1:76" ht="15.75" thickBot="1">
      <c r="A7" s="138"/>
      <c r="B7" s="138"/>
      <c r="C7" s="2136" t="s">
        <v>582</v>
      </c>
      <c r="D7" s="1536">
        <v>1000000</v>
      </c>
      <c r="E7" s="594"/>
      <c r="F7" s="40"/>
      <c r="G7" s="580"/>
      <c r="H7" s="580"/>
      <c r="I7" s="580"/>
      <c r="J7" s="2070"/>
      <c r="K7" s="2074"/>
      <c r="L7" s="2095"/>
      <c r="M7" s="139"/>
      <c r="N7" s="35"/>
      <c r="O7" s="35"/>
      <c r="P7" s="35"/>
      <c r="Q7" s="35"/>
      <c r="R7" s="35"/>
      <c r="S7" s="35"/>
    </row>
    <row r="8" spans="1:76" ht="15">
      <c r="A8" s="138"/>
      <c r="B8" s="138"/>
      <c r="C8" s="1157"/>
      <c r="D8" s="535"/>
      <c r="E8" s="535"/>
      <c r="F8" s="613"/>
      <c r="G8" s="613"/>
      <c r="H8" s="613"/>
      <c r="I8" s="613"/>
      <c r="J8" s="2070"/>
      <c r="K8" s="2076"/>
      <c r="L8" s="2094"/>
      <c r="M8" s="139"/>
      <c r="N8" s="35"/>
      <c r="O8" s="35"/>
      <c r="P8" s="35"/>
      <c r="Q8" s="35"/>
      <c r="R8" s="35"/>
      <c r="S8" s="35"/>
    </row>
    <row r="9" spans="1:76" ht="15">
      <c r="A9" s="138"/>
      <c r="B9" s="169"/>
      <c r="C9" s="51"/>
      <c r="D9" s="36"/>
      <c r="E9" s="36"/>
      <c r="F9" s="36"/>
      <c r="G9" s="36"/>
      <c r="H9" s="36"/>
      <c r="I9" s="36"/>
      <c r="J9" s="36"/>
      <c r="K9" s="36"/>
      <c r="L9" s="2097"/>
      <c r="M9" s="67"/>
      <c r="N9" s="35"/>
      <c r="O9" s="35"/>
      <c r="P9" s="35"/>
      <c r="Q9" s="35"/>
      <c r="R9" s="35"/>
      <c r="S9" s="35"/>
      <c r="T9" s="35"/>
    </row>
    <row r="10" spans="1:76" s="42" customFormat="1" ht="15">
      <c r="A10" s="2036" t="s">
        <v>103</v>
      </c>
      <c r="B10" s="2395" t="s">
        <v>119</v>
      </c>
      <c r="C10" s="2541"/>
      <c r="D10" s="2541"/>
      <c r="E10" s="2541"/>
      <c r="F10" s="2541"/>
      <c r="G10" s="2541"/>
      <c r="H10" s="2541"/>
      <c r="I10" s="2541"/>
      <c r="J10" s="2541"/>
      <c r="K10" s="2541"/>
      <c r="L10" s="2542"/>
      <c r="M10" s="39"/>
      <c r="N10" s="39"/>
      <c r="O10" s="39"/>
    </row>
    <row r="11" spans="1:76" s="65" customFormat="1" ht="15">
      <c r="A11" s="138"/>
      <c r="B11" s="965"/>
      <c r="C11" s="599"/>
      <c r="D11" s="1187"/>
      <c r="E11" s="1187"/>
      <c r="F11" s="1187"/>
      <c r="G11" s="1187"/>
      <c r="H11" s="1187"/>
      <c r="I11" s="1187"/>
      <c r="J11" s="1187"/>
      <c r="K11" s="1187"/>
      <c r="L11" s="1702"/>
    </row>
    <row r="12" spans="1:76" s="39" customFormat="1" ht="15">
      <c r="A12" s="84"/>
      <c r="B12" s="84"/>
      <c r="C12" s="578" t="s">
        <v>633</v>
      </c>
      <c r="D12" s="573">
        <v>100000</v>
      </c>
      <c r="E12" s="40"/>
      <c r="F12" s="2127"/>
      <c r="G12" s="40"/>
      <c r="H12" s="40"/>
      <c r="I12" s="40"/>
      <c r="J12" s="40"/>
      <c r="K12" s="551"/>
      <c r="L12" s="552" t="s">
        <v>141</v>
      </c>
      <c r="M12" s="40"/>
    </row>
    <row r="13" spans="1:76" s="39" customFormat="1" ht="15">
      <c r="A13" s="1703"/>
      <c r="B13" s="1703"/>
      <c r="C13" s="578" t="s">
        <v>552</v>
      </c>
      <c r="D13" s="652">
        <v>0.1</v>
      </c>
      <c r="E13" s="40"/>
      <c r="F13" s="2127"/>
      <c r="G13" s="40"/>
      <c r="H13" s="618"/>
      <c r="I13" s="40"/>
      <c r="J13" s="40"/>
      <c r="K13" s="63"/>
      <c r="L13" s="552" t="s">
        <v>143</v>
      </c>
      <c r="M13" s="40"/>
    </row>
    <row r="14" spans="1:76" s="39" customFormat="1" ht="15">
      <c r="A14" s="84"/>
      <c r="B14" s="84"/>
      <c r="C14" s="578" t="s">
        <v>776</v>
      </c>
      <c r="D14" s="573">
        <f>D13*D12</f>
        <v>10000</v>
      </c>
      <c r="E14" s="40"/>
      <c r="F14" s="2127"/>
      <c r="G14" s="40"/>
      <c r="H14" s="2127"/>
      <c r="I14" s="40"/>
      <c r="J14" s="40"/>
      <c r="K14" s="554" t="s">
        <v>556</v>
      </c>
      <c r="L14" s="552" t="s">
        <v>143</v>
      </c>
      <c r="M14" s="40"/>
    </row>
    <row r="15" spans="1:76" s="39" customFormat="1" ht="42.75">
      <c r="A15" s="84"/>
      <c r="B15" s="84"/>
      <c r="C15" s="578" t="s">
        <v>187</v>
      </c>
      <c r="D15" s="640">
        <f>K43</f>
        <v>1750</v>
      </c>
      <c r="E15" s="40"/>
      <c r="F15" s="2127"/>
      <c r="G15" s="40"/>
      <c r="H15" s="40"/>
      <c r="I15" s="40"/>
      <c r="J15" s="40"/>
      <c r="K15" s="2193"/>
      <c r="L15" s="507" t="s">
        <v>1299</v>
      </c>
      <c r="M15" s="40"/>
    </row>
    <row r="16" spans="1:76" s="39" customFormat="1" ht="15">
      <c r="A16" s="84"/>
      <c r="B16" s="84"/>
      <c r="C16" s="578" t="s">
        <v>590</v>
      </c>
      <c r="D16" s="641">
        <f>D15/D14</f>
        <v>0.17499999999999999</v>
      </c>
      <c r="E16" s="40"/>
      <c r="F16" s="2127"/>
      <c r="G16" s="40"/>
      <c r="H16" s="40"/>
      <c r="I16" s="40"/>
      <c r="J16" s="40"/>
      <c r="K16" s="40"/>
      <c r="L16" s="555"/>
      <c r="M16" s="40"/>
    </row>
    <row r="17" spans="1:20" s="39" customFormat="1" ht="15">
      <c r="A17" s="84"/>
      <c r="B17" s="130"/>
      <c r="C17" s="525"/>
      <c r="D17" s="2127"/>
      <c r="E17" s="2127"/>
      <c r="F17" s="525"/>
      <c r="G17" s="2127"/>
      <c r="H17" s="40"/>
      <c r="I17" s="663"/>
      <c r="J17" s="2127"/>
      <c r="K17" s="2127"/>
      <c r="L17" s="591"/>
      <c r="M17" s="40"/>
    </row>
    <row r="18" spans="1:20" ht="15">
      <c r="A18" s="39"/>
      <c r="B18" s="2395" t="s">
        <v>236</v>
      </c>
      <c r="C18" s="2401"/>
      <c r="D18" s="2401"/>
      <c r="E18" s="2401"/>
      <c r="F18" s="2401"/>
      <c r="G18" s="2401"/>
      <c r="H18" s="2401"/>
      <c r="I18" s="2401"/>
      <c r="J18" s="2401"/>
      <c r="K18" s="2401"/>
      <c r="L18" s="2543"/>
      <c r="M18" s="67"/>
      <c r="N18" s="35"/>
      <c r="O18" s="35"/>
    </row>
    <row r="19" spans="1:20" s="42" customFormat="1" ht="15">
      <c r="A19" s="39"/>
      <c r="B19" s="781"/>
      <c r="C19" s="1719"/>
      <c r="D19" s="526"/>
      <c r="E19" s="40"/>
      <c r="F19" s="560"/>
      <c r="G19" s="526"/>
      <c r="H19" s="526"/>
      <c r="I19" s="526"/>
      <c r="J19" s="526"/>
      <c r="K19" s="2111"/>
      <c r="L19" s="615"/>
      <c r="M19" s="73"/>
      <c r="N19" s="39"/>
      <c r="O19" s="39"/>
    </row>
    <row r="20" spans="1:20" s="42" customFormat="1" ht="15">
      <c r="A20" s="35"/>
      <c r="B20" s="138"/>
      <c r="C20" s="2415" t="s">
        <v>1070</v>
      </c>
      <c r="D20" s="2413"/>
      <c r="E20" s="1208">
        <v>10000</v>
      </c>
      <c r="F20" s="2112"/>
      <c r="G20" s="526"/>
      <c r="H20" s="526"/>
      <c r="I20" s="526"/>
      <c r="J20" s="2111"/>
      <c r="K20" s="2111"/>
      <c r="L20" s="615"/>
      <c r="M20" s="73"/>
      <c r="N20" s="39"/>
      <c r="O20" s="39"/>
    </row>
    <row r="21" spans="1:20" s="42" customFormat="1" ht="15">
      <c r="A21" s="39"/>
      <c r="B21" s="84"/>
      <c r="C21" s="525"/>
      <c r="D21" s="526"/>
      <c r="E21" s="526"/>
      <c r="F21" s="526"/>
      <c r="G21" s="526"/>
      <c r="H21" s="526"/>
      <c r="I21" s="526"/>
      <c r="J21" s="2111"/>
      <c r="K21" s="2111"/>
      <c r="L21" s="615"/>
      <c r="M21" s="40"/>
      <c r="N21" s="39"/>
      <c r="O21" s="39"/>
      <c r="P21" s="39"/>
      <c r="Q21" s="39"/>
      <c r="R21" s="39"/>
      <c r="S21" s="39"/>
      <c r="T21" s="39"/>
    </row>
    <row r="22" spans="1:20" s="42" customFormat="1" ht="15">
      <c r="A22" s="39"/>
      <c r="B22" s="84"/>
      <c r="C22" s="2112"/>
      <c r="D22" s="526"/>
      <c r="E22" s="526"/>
      <c r="F22" s="526"/>
      <c r="G22" s="526"/>
      <c r="H22" s="526"/>
      <c r="I22" s="526"/>
      <c r="J22" s="2111"/>
      <c r="K22" s="2111"/>
      <c r="L22" s="615"/>
      <c r="M22" s="40"/>
      <c r="N22" s="39"/>
      <c r="O22" s="39"/>
      <c r="P22" s="39"/>
      <c r="Q22" s="39"/>
      <c r="R22" s="39"/>
      <c r="S22" s="39"/>
      <c r="T22" s="39"/>
    </row>
    <row r="23" spans="1:20" s="42" customFormat="1" ht="60">
      <c r="A23" s="39"/>
      <c r="B23" s="1704"/>
      <c r="C23" s="2156" t="s">
        <v>133</v>
      </c>
      <c r="D23" s="684" t="s">
        <v>116</v>
      </c>
      <c r="E23" s="444" t="s">
        <v>115</v>
      </c>
      <c r="F23" s="2121" t="s">
        <v>114</v>
      </c>
      <c r="G23" s="2121" t="s">
        <v>113</v>
      </c>
      <c r="H23" s="2121" t="s">
        <v>112</v>
      </c>
      <c r="I23" s="2112"/>
      <c r="J23" s="564" t="s">
        <v>634</v>
      </c>
      <c r="K23" s="2121" t="s">
        <v>110</v>
      </c>
      <c r="L23" s="615"/>
      <c r="M23" s="40"/>
      <c r="N23" s="39"/>
      <c r="O23" s="39"/>
      <c r="P23" s="39"/>
      <c r="Q23" s="39"/>
      <c r="R23" s="39"/>
    </row>
    <row r="24" spans="1:20" s="42" customFormat="1" ht="15">
      <c r="A24" s="39"/>
      <c r="B24" s="1704"/>
      <c r="C24" s="2157" t="s">
        <v>8</v>
      </c>
      <c r="D24" s="665" t="s">
        <v>8</v>
      </c>
      <c r="E24" s="666">
        <v>0.5</v>
      </c>
      <c r="F24" s="1133">
        <f>IF(D24&lt;&gt;"",VLOOKUP(D24,staff_costs!$A$3:$H$22,6,0),"")</f>
        <v>111848</v>
      </c>
      <c r="G24" s="568">
        <v>0.2</v>
      </c>
      <c r="H24" s="568">
        <v>0.35</v>
      </c>
      <c r="I24" s="2112"/>
      <c r="J24" s="1680" t="str">
        <f t="shared" ref="J24:J29" si="0">IF(C24&gt;"",C24,"")</f>
        <v>GP</v>
      </c>
      <c r="K24" s="1133">
        <f t="shared" ref="K24:K29" si="1">IF($E24="","",E24*F24+(E24*G24*(F24*H24)))</f>
        <v>59838.68</v>
      </c>
      <c r="L24" s="106"/>
      <c r="M24" s="40"/>
      <c r="N24" s="39"/>
      <c r="O24" s="39"/>
      <c r="P24" s="39"/>
      <c r="Q24" s="39"/>
      <c r="R24" s="39"/>
    </row>
    <row r="25" spans="1:20" s="42" customFormat="1" ht="15">
      <c r="A25" s="39"/>
      <c r="B25" s="1704"/>
      <c r="C25" s="2158" t="s">
        <v>235</v>
      </c>
      <c r="D25" s="665">
        <v>7</v>
      </c>
      <c r="E25" s="666">
        <v>1</v>
      </c>
      <c r="F25" s="1133">
        <f>IF(D25&lt;&gt;"",VLOOKUP(D25,staff_costs!$A$3:$H$22,6,0),"")</f>
        <v>44950</v>
      </c>
      <c r="G25" s="568">
        <v>0.2</v>
      </c>
      <c r="H25" s="568">
        <v>0.35</v>
      </c>
      <c r="I25" s="2112"/>
      <c r="J25" s="1680" t="str">
        <f t="shared" si="0"/>
        <v>Advanced nurse practitioner</v>
      </c>
      <c r="K25" s="1133">
        <f t="shared" si="1"/>
        <v>48096.5</v>
      </c>
      <c r="L25" s="106"/>
      <c r="M25" s="40"/>
      <c r="N25" s="39"/>
      <c r="O25" s="39"/>
      <c r="P25" s="39"/>
      <c r="Q25" s="39"/>
      <c r="R25" s="39"/>
    </row>
    <row r="26" spans="1:20" s="42" customFormat="1" ht="15">
      <c r="A26" s="39"/>
      <c r="B26" s="1704"/>
      <c r="C26" s="2158" t="s">
        <v>1230</v>
      </c>
      <c r="D26" s="665">
        <v>5</v>
      </c>
      <c r="E26" s="666">
        <v>1</v>
      </c>
      <c r="F26" s="1133">
        <f>IF(D26&lt;&gt;"",VLOOKUP(D26,staff_costs!$A$3:$H$22,6,0),"")</f>
        <v>31369.52</v>
      </c>
      <c r="G26" s="568">
        <v>0.2</v>
      </c>
      <c r="H26" s="568">
        <v>0.35</v>
      </c>
      <c r="I26" s="2112"/>
      <c r="J26" s="1680" t="str">
        <f t="shared" si="0"/>
        <v>Nurse</v>
      </c>
      <c r="K26" s="1133">
        <f t="shared" si="1"/>
        <v>33565.386400000003</v>
      </c>
      <c r="L26" s="106"/>
      <c r="M26" s="40"/>
      <c r="N26" s="39"/>
      <c r="O26" s="39"/>
      <c r="P26" s="39"/>
      <c r="Q26" s="39"/>
      <c r="R26" s="39"/>
    </row>
    <row r="27" spans="1:20" s="42" customFormat="1" ht="15">
      <c r="A27" s="39"/>
      <c r="B27" s="1704"/>
      <c r="C27" s="2157" t="s">
        <v>313</v>
      </c>
      <c r="D27" s="665">
        <v>3</v>
      </c>
      <c r="E27" s="666">
        <v>1</v>
      </c>
      <c r="F27" s="1133">
        <f>IF(D27&lt;&gt;"",VLOOKUP(D27,staff_costs!$A$3:$H$22,6,0),"")</f>
        <v>22508.48</v>
      </c>
      <c r="G27" s="568">
        <v>0.2</v>
      </c>
      <c r="H27" s="568">
        <v>0.35</v>
      </c>
      <c r="I27" s="2112"/>
      <c r="J27" s="1680" t="str">
        <f t="shared" si="0"/>
        <v>Receptionist</v>
      </c>
      <c r="K27" s="1133">
        <f t="shared" si="1"/>
        <v>24084.0736</v>
      </c>
      <c r="L27" s="106"/>
      <c r="M27" s="40"/>
      <c r="N27" s="39"/>
      <c r="O27" s="39"/>
      <c r="P27" s="39"/>
      <c r="Q27" s="39"/>
      <c r="R27" s="39"/>
    </row>
    <row r="28" spans="1:20" s="42" customFormat="1" ht="15">
      <c r="A28" s="39"/>
      <c r="B28" s="1704"/>
      <c r="C28" s="2157"/>
      <c r="D28" s="665"/>
      <c r="E28" s="666"/>
      <c r="F28" s="1133" t="str">
        <f>IF(D28&lt;&gt;"",VLOOKUP(D28,staff_costs!$A$3:$H$22,6,0),"")</f>
        <v/>
      </c>
      <c r="G28" s="568"/>
      <c r="H28" s="568"/>
      <c r="I28" s="2112"/>
      <c r="J28" s="1680" t="str">
        <f t="shared" si="0"/>
        <v/>
      </c>
      <c r="K28" s="1133" t="str">
        <f t="shared" si="1"/>
        <v/>
      </c>
      <c r="L28" s="106"/>
      <c r="M28" s="40"/>
      <c r="N28" s="39"/>
      <c r="O28" s="39"/>
      <c r="P28" s="39"/>
      <c r="Q28" s="39"/>
      <c r="R28" s="39"/>
    </row>
    <row r="29" spans="1:20" s="42" customFormat="1" ht="15">
      <c r="A29" s="39"/>
      <c r="B29" s="1704"/>
      <c r="C29" s="2157"/>
      <c r="D29" s="665"/>
      <c r="E29" s="666"/>
      <c r="F29" s="1133" t="str">
        <f>IF(D29&lt;&gt;"",VLOOKUP(D29,staff_costs!$A$3:$H$22,6,0),"")</f>
        <v/>
      </c>
      <c r="G29" s="568"/>
      <c r="H29" s="568"/>
      <c r="I29" s="2112"/>
      <c r="J29" s="1680" t="str">
        <f t="shared" si="0"/>
        <v/>
      </c>
      <c r="K29" s="1133" t="str">
        <f t="shared" si="1"/>
        <v/>
      </c>
      <c r="L29" s="106"/>
      <c r="M29" s="40"/>
      <c r="N29" s="39"/>
      <c r="O29" s="39"/>
      <c r="P29" s="39"/>
      <c r="Q29" s="39"/>
      <c r="R29" s="39"/>
    </row>
    <row r="30" spans="1:20" s="42" customFormat="1" ht="15">
      <c r="A30" s="39"/>
      <c r="B30" s="1704"/>
      <c r="C30" s="2143" t="s">
        <v>109</v>
      </c>
      <c r="D30" s="2144"/>
      <c r="E30" s="667">
        <f>SUM(E24:E29)</f>
        <v>3.5</v>
      </c>
      <c r="F30" s="40"/>
      <c r="G30" s="2112"/>
      <c r="H30" s="526"/>
      <c r="I30" s="40"/>
      <c r="J30" s="1680" t="s">
        <v>184</v>
      </c>
      <c r="K30" s="1133">
        <f>SUM(K24:K29)</f>
        <v>165584.64000000001</v>
      </c>
      <c r="L30" s="106"/>
      <c r="M30" s="40"/>
      <c r="N30" s="39"/>
      <c r="O30" s="39"/>
      <c r="P30" s="39"/>
      <c r="Q30" s="39"/>
      <c r="R30" s="39"/>
    </row>
    <row r="31" spans="1:20" s="42" customFormat="1" ht="15">
      <c r="A31" s="39"/>
      <c r="B31" s="84"/>
      <c r="C31" s="181"/>
      <c r="D31" s="526"/>
      <c r="E31" s="204"/>
      <c r="F31" s="40"/>
      <c r="G31" s="559"/>
      <c r="H31" s="526"/>
      <c r="I31" s="40"/>
      <c r="J31" s="526"/>
      <c r="K31" s="2127"/>
      <c r="L31" s="620"/>
      <c r="M31" s="40"/>
      <c r="N31" s="39"/>
      <c r="O31" s="39"/>
      <c r="P31" s="39"/>
      <c r="Q31" s="39"/>
      <c r="R31" s="39"/>
    </row>
    <row r="32" spans="1:20" s="42" customFormat="1" ht="30">
      <c r="A32" s="39"/>
      <c r="B32" s="1704"/>
      <c r="C32" s="2159" t="s">
        <v>233</v>
      </c>
      <c r="D32" s="684" t="s">
        <v>132</v>
      </c>
      <c r="E32" s="2121" t="s">
        <v>131</v>
      </c>
      <c r="F32" s="2112"/>
      <c r="G32" s="2112"/>
      <c r="H32" s="40"/>
      <c r="I32" s="2112"/>
      <c r="J32" s="2143" t="s">
        <v>233</v>
      </c>
      <c r="K32" s="564"/>
      <c r="L32" s="83"/>
      <c r="M32" s="560"/>
      <c r="N32" s="39"/>
      <c r="O32" s="39"/>
      <c r="P32" s="39"/>
      <c r="Q32" s="39"/>
      <c r="R32" s="39"/>
    </row>
    <row r="33" spans="1:20" s="42" customFormat="1" ht="15">
      <c r="A33" s="39"/>
      <c r="B33" s="1704"/>
      <c r="C33" s="2160" t="s">
        <v>1219</v>
      </c>
      <c r="D33" s="666">
        <f>E30</f>
        <v>3.5</v>
      </c>
      <c r="E33" s="1208">
        <v>100</v>
      </c>
      <c r="F33" s="2112" t="s">
        <v>645</v>
      </c>
      <c r="G33" s="2112"/>
      <c r="H33" s="40"/>
      <c r="I33" s="2112"/>
      <c r="J33" s="1040" t="str">
        <f>IF(C33&gt;"",C33,"")</f>
        <v>Variable cost linked to WTE</v>
      </c>
      <c r="K33" s="1133">
        <f>E33*D33</f>
        <v>350</v>
      </c>
      <c r="L33" s="257"/>
      <c r="M33" s="1679"/>
      <c r="N33" s="39"/>
      <c r="O33" s="39"/>
      <c r="P33" s="39"/>
      <c r="Q33" s="39"/>
      <c r="R33" s="39"/>
    </row>
    <row r="34" spans="1:20" s="42" customFormat="1" ht="15">
      <c r="A34" s="39"/>
      <c r="B34" s="1704"/>
      <c r="C34" s="2160" t="s">
        <v>1220</v>
      </c>
      <c r="D34" s="666">
        <f>K43</f>
        <v>1750</v>
      </c>
      <c r="E34" s="1208">
        <v>20</v>
      </c>
      <c r="F34" s="2112" t="s">
        <v>646</v>
      </c>
      <c r="G34" s="2112"/>
      <c r="H34" s="40"/>
      <c r="I34" s="2112"/>
      <c r="J34" s="1040" t="str">
        <f>IF(C34&gt;"",C34,"")</f>
        <v>Variable cost linked to capacity / cases</v>
      </c>
      <c r="K34" s="1133">
        <f>E34*D34</f>
        <v>35000</v>
      </c>
      <c r="L34" s="257"/>
      <c r="M34" s="1679"/>
      <c r="N34" s="39"/>
      <c r="O34" s="39"/>
      <c r="P34" s="39"/>
      <c r="Q34" s="39"/>
      <c r="R34" s="39"/>
    </row>
    <row r="35" spans="1:20" s="42" customFormat="1" ht="15">
      <c r="A35" s="39"/>
      <c r="B35" s="1704"/>
      <c r="C35" s="2160" t="s">
        <v>644</v>
      </c>
      <c r="D35" s="666">
        <v>1</v>
      </c>
      <c r="E35" s="1208">
        <v>20000</v>
      </c>
      <c r="F35" s="2112" t="s">
        <v>682</v>
      </c>
      <c r="G35" s="2112"/>
      <c r="H35" s="40"/>
      <c r="I35" s="2112"/>
      <c r="J35" s="1040" t="str">
        <f>IF(C35&gt;"",C35,"")</f>
        <v xml:space="preserve">Other recurring cost </v>
      </c>
      <c r="K35" s="1133">
        <f>E35*D35</f>
        <v>20000</v>
      </c>
      <c r="L35" s="257"/>
      <c r="M35" s="1679"/>
      <c r="N35" s="39"/>
      <c r="O35" s="39"/>
      <c r="P35" s="39"/>
      <c r="Q35" s="39"/>
      <c r="R35" s="39"/>
    </row>
    <row r="36" spans="1:20" s="42" customFormat="1" ht="15">
      <c r="A36" s="39"/>
      <c r="B36" s="1704"/>
      <c r="C36" s="2160"/>
      <c r="D36" s="666"/>
      <c r="E36" s="1208"/>
      <c r="F36" s="2112"/>
      <c r="G36" s="2112"/>
      <c r="H36" s="40"/>
      <c r="I36" s="2112"/>
      <c r="J36" s="1040" t="str">
        <f>IF(C36&gt;"",C36,"")</f>
        <v/>
      </c>
      <c r="K36" s="1133">
        <f>E36*D36</f>
        <v>0</v>
      </c>
      <c r="L36" s="257"/>
      <c r="M36" s="1679"/>
      <c r="N36" s="39"/>
      <c r="O36" s="39"/>
      <c r="P36" s="39"/>
      <c r="Q36" s="39"/>
      <c r="R36" s="39"/>
    </row>
    <row r="37" spans="1:20" s="42" customFormat="1" ht="15">
      <c r="A37" s="84"/>
      <c r="B37" s="84"/>
      <c r="C37" s="51"/>
      <c r="D37" s="40"/>
      <c r="E37" s="40"/>
      <c r="F37" s="40"/>
      <c r="G37" s="40"/>
      <c r="H37" s="40"/>
      <c r="I37" s="2112"/>
      <c r="J37" s="1040" t="s">
        <v>281</v>
      </c>
      <c r="K37" s="1133">
        <f>SUM(K33:K36)</f>
        <v>55350</v>
      </c>
      <c r="L37" s="257"/>
      <c r="M37" s="1679"/>
      <c r="N37" s="39"/>
      <c r="O37" s="39"/>
      <c r="P37" s="39"/>
      <c r="Q37" s="39"/>
      <c r="R37" s="39"/>
    </row>
    <row r="38" spans="1:20" s="42" customFormat="1" ht="15">
      <c r="A38" s="84"/>
      <c r="B38" s="84"/>
      <c r="C38" s="51"/>
      <c r="D38" s="40"/>
      <c r="E38" s="40"/>
      <c r="F38" s="40"/>
      <c r="G38" s="40"/>
      <c r="H38" s="40"/>
      <c r="I38" s="584"/>
      <c r="J38" s="580"/>
      <c r="K38" s="2111"/>
      <c r="L38" s="83"/>
      <c r="M38" s="40"/>
      <c r="N38" s="39"/>
      <c r="O38" s="39"/>
      <c r="P38" s="39"/>
      <c r="Q38" s="39"/>
      <c r="R38" s="39"/>
      <c r="S38" s="156"/>
      <c r="T38" s="39"/>
    </row>
    <row r="39" spans="1:20" s="42" customFormat="1" ht="15">
      <c r="A39" s="84"/>
      <c r="B39" s="84"/>
      <c r="C39" s="51"/>
      <c r="D39" s="40"/>
      <c r="E39" s="40"/>
      <c r="F39" s="40"/>
      <c r="G39" s="40"/>
      <c r="H39" s="40"/>
      <c r="I39" s="2112"/>
      <c r="J39" s="1040" t="s">
        <v>25</v>
      </c>
      <c r="K39" s="1133">
        <f>K37+K30</f>
        <v>220934.64</v>
      </c>
      <c r="L39" s="83"/>
      <c r="M39" s="40"/>
      <c r="N39" s="39"/>
      <c r="O39" s="39"/>
      <c r="P39" s="39"/>
      <c r="Q39" s="39"/>
      <c r="R39" s="39"/>
      <c r="S39" s="39"/>
      <c r="T39" s="39"/>
    </row>
    <row r="40" spans="1:20" s="42" customFormat="1" ht="15">
      <c r="A40" s="84"/>
      <c r="B40" s="84"/>
      <c r="C40" s="51"/>
      <c r="D40" s="526"/>
      <c r="E40" s="40"/>
      <c r="F40" s="526"/>
      <c r="G40" s="40"/>
      <c r="H40" s="40"/>
      <c r="I40" s="40"/>
      <c r="J40" s="40"/>
      <c r="K40" s="2111"/>
      <c r="L40" s="83"/>
      <c r="M40" s="40"/>
      <c r="N40" s="39"/>
      <c r="O40" s="39"/>
      <c r="P40" s="39"/>
      <c r="Q40" s="39"/>
      <c r="R40" s="39"/>
      <c r="S40" s="39"/>
      <c r="T40" s="39"/>
    </row>
    <row r="41" spans="1:20" s="42" customFormat="1" ht="15">
      <c r="A41" s="84"/>
      <c r="B41" s="84"/>
      <c r="C41" s="2112"/>
      <c r="D41" s="526"/>
      <c r="E41" s="40"/>
      <c r="F41" s="526"/>
      <c r="G41" s="40"/>
      <c r="H41" s="40"/>
      <c r="I41" s="40"/>
      <c r="J41" s="40"/>
      <c r="K41" s="2111"/>
      <c r="L41" s="83"/>
      <c r="M41" s="40"/>
      <c r="N41" s="39"/>
      <c r="O41" s="39"/>
      <c r="P41" s="39"/>
      <c r="Q41" s="39"/>
      <c r="R41" s="39"/>
      <c r="S41" s="39"/>
      <c r="T41" s="39"/>
    </row>
    <row r="42" spans="1:20" s="42" customFormat="1" ht="15">
      <c r="A42" s="84"/>
      <c r="B42" s="84"/>
      <c r="C42" s="525" t="s">
        <v>1221</v>
      </c>
      <c r="D42" s="526"/>
      <c r="E42" s="40"/>
      <c r="F42" s="526"/>
      <c r="G42" s="40"/>
      <c r="H42" s="40"/>
      <c r="I42" s="40"/>
      <c r="J42" s="40"/>
      <c r="K42" s="2111"/>
      <c r="L42" s="83"/>
      <c r="M42" s="40"/>
      <c r="N42" s="39"/>
      <c r="O42" s="39"/>
      <c r="P42" s="39"/>
      <c r="Q42" s="39"/>
      <c r="R42" s="39"/>
      <c r="S42" s="39"/>
      <c r="T42" s="39"/>
    </row>
    <row r="43" spans="1:20" s="42" customFormat="1" ht="15">
      <c r="A43" s="39"/>
      <c r="B43" s="1704"/>
      <c r="C43" s="2161" t="s">
        <v>635</v>
      </c>
      <c r="D43" s="666">
        <f>E30</f>
        <v>3.5</v>
      </c>
      <c r="E43" s="2112" t="s">
        <v>683</v>
      </c>
      <c r="F43" s="2112"/>
      <c r="G43" s="40"/>
      <c r="H43" s="40"/>
      <c r="I43" s="40"/>
      <c r="J43" s="1040" t="s">
        <v>641</v>
      </c>
      <c r="K43" s="1337">
        <f>D45*D43</f>
        <v>1750</v>
      </c>
      <c r="L43" s="83"/>
      <c r="M43" s="40"/>
      <c r="N43" s="39"/>
      <c r="O43" s="39"/>
      <c r="P43" s="39"/>
      <c r="Q43" s="39"/>
      <c r="R43" s="39"/>
      <c r="S43" s="39"/>
      <c r="T43" s="39"/>
    </row>
    <row r="44" spans="1:20" s="42" customFormat="1" ht="15">
      <c r="A44" s="39"/>
      <c r="B44" s="84"/>
      <c r="C44" s="51"/>
      <c r="D44" s="526"/>
      <c r="E44" s="40"/>
      <c r="F44" s="526"/>
      <c r="G44" s="40"/>
      <c r="H44" s="40"/>
      <c r="I44" s="40"/>
      <c r="J44" s="40"/>
      <c r="K44" s="2111"/>
      <c r="L44" s="83"/>
      <c r="M44" s="40"/>
      <c r="N44" s="39"/>
      <c r="O44" s="39"/>
      <c r="P44" s="39"/>
      <c r="Q44" s="39"/>
      <c r="R44" s="39"/>
      <c r="S44" s="39"/>
      <c r="T44" s="39"/>
    </row>
    <row r="45" spans="1:20" s="42" customFormat="1" ht="15">
      <c r="A45" s="39"/>
      <c r="B45" s="1704"/>
      <c r="C45" s="2161" t="s">
        <v>636</v>
      </c>
      <c r="D45" s="666">
        <v>500</v>
      </c>
      <c r="E45" s="40" t="s">
        <v>643</v>
      </c>
      <c r="F45" s="2112"/>
      <c r="G45" s="40"/>
      <c r="H45" s="40"/>
      <c r="I45" s="2112"/>
      <c r="J45" s="1040" t="s">
        <v>65</v>
      </c>
      <c r="K45" s="1194">
        <f>K39/K43</f>
        <v>126.24836571428573</v>
      </c>
      <c r="L45" s="83"/>
      <c r="M45" s="40"/>
      <c r="N45" s="39"/>
      <c r="O45" s="39"/>
      <c r="P45" s="39"/>
      <c r="Q45" s="39"/>
      <c r="R45" s="39"/>
      <c r="S45" s="39"/>
      <c r="T45" s="39"/>
    </row>
    <row r="46" spans="1:20" s="39" customFormat="1" ht="15">
      <c r="B46" s="84"/>
      <c r="C46" s="51"/>
      <c r="D46" s="40"/>
      <c r="E46" s="40"/>
      <c r="F46" s="40"/>
      <c r="G46" s="40"/>
      <c r="H46" s="40"/>
      <c r="I46" s="2115"/>
      <c r="J46" s="673"/>
      <c r="K46" s="40"/>
      <c r="L46" s="83"/>
      <c r="M46" s="40"/>
    </row>
    <row r="47" spans="1:20" s="42" customFormat="1">
      <c r="A47" s="39"/>
      <c r="B47" s="84"/>
      <c r="C47" s="1525"/>
      <c r="D47" s="2112"/>
      <c r="E47" s="2112"/>
      <c r="F47" s="2112"/>
      <c r="G47" s="40"/>
      <c r="H47" s="40"/>
      <c r="I47" s="40"/>
      <c r="J47" s="40"/>
      <c r="K47" s="40"/>
      <c r="L47" s="83"/>
      <c r="M47" s="73"/>
      <c r="N47" s="39"/>
      <c r="O47" s="39"/>
    </row>
    <row r="48" spans="1:20" s="42" customFormat="1" ht="15">
      <c r="A48" s="39"/>
      <c r="B48" s="84"/>
      <c r="C48" s="525"/>
      <c r="D48" s="526"/>
      <c r="E48" s="526"/>
      <c r="F48" s="526"/>
      <c r="G48" s="40"/>
      <c r="H48" s="40"/>
      <c r="I48" s="40"/>
      <c r="J48" s="40"/>
      <c r="K48" s="40"/>
      <c r="L48" s="83"/>
      <c r="M48" s="73"/>
      <c r="N48" s="39"/>
      <c r="O48" s="39"/>
    </row>
    <row r="49" spans="1:23" s="42" customFormat="1" ht="15">
      <c r="A49" s="39"/>
      <c r="B49" s="2395" t="s">
        <v>102</v>
      </c>
      <c r="C49" s="2401"/>
      <c r="D49" s="2401"/>
      <c r="E49" s="2401"/>
      <c r="F49" s="2401"/>
      <c r="G49" s="2401"/>
      <c r="H49" s="2401"/>
      <c r="I49" s="2401"/>
      <c r="J49" s="2401"/>
      <c r="K49" s="2401"/>
      <c r="L49" s="2543"/>
      <c r="M49" s="73"/>
      <c r="N49" s="39"/>
      <c r="O49" s="39"/>
    </row>
    <row r="50" spans="1:23" s="42" customFormat="1" ht="15">
      <c r="A50" s="84"/>
      <c r="B50" s="781"/>
      <c r="C50" s="2386"/>
      <c r="D50" s="2386"/>
      <c r="E50" s="2386"/>
      <c r="F50" s="2386"/>
      <c r="G50" s="2117"/>
      <c r="H50" s="40"/>
      <c r="I50" s="1263"/>
      <c r="J50" s="1263"/>
      <c r="K50" s="2111"/>
      <c r="L50" s="83"/>
      <c r="M50" s="73"/>
      <c r="N50" s="2"/>
      <c r="O50" s="2"/>
      <c r="P50" s="3"/>
      <c r="Q50" s="3"/>
      <c r="R50" s="3"/>
    </row>
    <row r="51" spans="1:23" s="42" customFormat="1" ht="15">
      <c r="A51" s="84"/>
      <c r="B51" s="84"/>
      <c r="C51" s="2386"/>
      <c r="D51" s="2386"/>
      <c r="E51" s="2386"/>
      <c r="F51" s="2386"/>
      <c r="G51" s="2117"/>
      <c r="H51" s="37"/>
      <c r="I51" s="37"/>
      <c r="J51" s="1680" t="s">
        <v>637</v>
      </c>
      <c r="K51" s="598">
        <f>K43</f>
        <v>1750</v>
      </c>
      <c r="L51" s="83"/>
      <c r="M51" s="73"/>
      <c r="N51" s="2"/>
      <c r="O51" s="2"/>
      <c r="P51" s="3"/>
      <c r="Q51" s="3"/>
      <c r="R51" s="3"/>
    </row>
    <row r="52" spans="1:23" s="42" customFormat="1" ht="30.75" customHeight="1">
      <c r="A52" s="39"/>
      <c r="B52" s="84"/>
      <c r="C52" s="2411" t="s">
        <v>638</v>
      </c>
      <c r="D52" s="2413"/>
      <c r="E52" s="1705"/>
      <c r="F52" s="525"/>
      <c r="G52" s="2117"/>
      <c r="H52" s="37"/>
      <c r="I52" s="37"/>
      <c r="J52" s="2162"/>
      <c r="K52" s="523"/>
      <c r="L52" s="1430"/>
      <c r="M52" s="19"/>
      <c r="N52" s="19"/>
      <c r="O52" s="3"/>
    </row>
    <row r="53" spans="1:23" s="70" customFormat="1" ht="45">
      <c r="B53" s="1287"/>
      <c r="C53" s="1037" t="s">
        <v>640</v>
      </c>
      <c r="D53" s="1037" t="s">
        <v>639</v>
      </c>
      <c r="E53" s="69"/>
      <c r="F53" s="628"/>
      <c r="G53" s="69"/>
      <c r="H53" s="37"/>
      <c r="I53" s="37"/>
      <c r="J53" s="2143" t="s">
        <v>1001</v>
      </c>
      <c r="K53" s="2121" t="s">
        <v>121</v>
      </c>
      <c r="L53" s="1134" t="s">
        <v>148</v>
      </c>
      <c r="M53" s="2126"/>
      <c r="N53" s="72"/>
      <c r="O53" s="68"/>
      <c r="P53" s="68"/>
      <c r="Q53" s="68"/>
      <c r="R53" s="68"/>
      <c r="S53" s="35"/>
      <c r="T53" s="68"/>
      <c r="U53" s="68"/>
      <c r="V53" s="68"/>
    </row>
    <row r="54" spans="1:23" ht="15">
      <c r="A54" s="192"/>
      <c r="B54" s="1707"/>
      <c r="C54" s="2161" t="s">
        <v>69</v>
      </c>
      <c r="D54" s="382">
        <v>0.02</v>
      </c>
      <c r="E54" s="67"/>
      <c r="F54" s="628"/>
      <c r="G54" s="67"/>
      <c r="H54" s="170"/>
      <c r="I54" s="67"/>
      <c r="J54" s="2163" t="str">
        <f t="shared" ref="J54:J69" si="2">C54</f>
        <v>Emergency bed days</v>
      </c>
      <c r="K54" s="1337">
        <f t="shared" ref="K54:K69" si="3">D54*K$51</f>
        <v>35</v>
      </c>
      <c r="L54" s="1706">
        <f t="shared" ref="L54:L69" si="4">SIGN(K54)*INT(ABS(K54)/E74)*E74</f>
        <v>0</v>
      </c>
      <c r="M54" s="36"/>
      <c r="N54" s="36"/>
      <c r="O54" s="35"/>
      <c r="P54" s="35"/>
      <c r="Q54" s="35"/>
      <c r="R54" s="35"/>
      <c r="S54" s="35"/>
      <c r="T54" s="35"/>
      <c r="U54" s="35"/>
      <c r="V54" s="35"/>
      <c r="W54" s="35"/>
    </row>
    <row r="55" spans="1:23" ht="15">
      <c r="A55" s="192"/>
      <c r="B55" s="1707"/>
      <c r="C55" s="2161" t="s">
        <v>43</v>
      </c>
      <c r="D55" s="382">
        <v>0.02</v>
      </c>
      <c r="E55" s="67"/>
      <c r="F55" s="628"/>
      <c r="G55" s="67"/>
      <c r="H55" s="170"/>
      <c r="I55" s="67"/>
      <c r="J55" s="2163" t="str">
        <f t="shared" si="2"/>
        <v>ED attends</v>
      </c>
      <c r="K55" s="1337">
        <f t="shared" si="3"/>
        <v>35</v>
      </c>
      <c r="L55" s="1706">
        <f t="shared" si="4"/>
        <v>0</v>
      </c>
      <c r="M55" s="36"/>
      <c r="N55" s="36"/>
      <c r="O55" s="35"/>
      <c r="P55" s="35"/>
      <c r="Q55" s="35"/>
      <c r="R55" s="35"/>
      <c r="S55" s="35"/>
      <c r="T55" s="35"/>
      <c r="U55" s="35"/>
      <c r="V55" s="35"/>
      <c r="W55" s="35"/>
    </row>
    <row r="56" spans="1:23" ht="15">
      <c r="A56" s="192"/>
      <c r="B56" s="1707"/>
      <c r="C56" s="2161" t="s">
        <v>49</v>
      </c>
      <c r="D56" s="382">
        <v>0.02</v>
      </c>
      <c r="E56" s="67"/>
      <c r="F56" s="628"/>
      <c r="G56" s="67"/>
      <c r="H56" s="170"/>
      <c r="I56" s="67"/>
      <c r="J56" s="2163" t="str">
        <f t="shared" si="2"/>
        <v>ED Minor attends</v>
      </c>
      <c r="K56" s="1337">
        <f t="shared" si="3"/>
        <v>35</v>
      </c>
      <c r="L56" s="1706">
        <f t="shared" si="4"/>
        <v>0</v>
      </c>
      <c r="M56" s="36"/>
      <c r="N56" s="36"/>
      <c r="O56" s="35"/>
      <c r="P56" s="35"/>
      <c r="Q56" s="35"/>
      <c r="R56" s="35"/>
      <c r="S56" s="35"/>
      <c r="T56" s="35"/>
      <c r="U56" s="35"/>
      <c r="V56" s="35"/>
      <c r="W56" s="35"/>
    </row>
    <row r="57" spans="1:23" ht="15">
      <c r="A57" s="192"/>
      <c r="B57" s="1707"/>
      <c r="C57" s="2161" t="s">
        <v>67</v>
      </c>
      <c r="D57" s="382">
        <v>0.02</v>
      </c>
      <c r="E57" s="67"/>
      <c r="F57" s="628"/>
      <c r="G57" s="67"/>
      <c r="H57" s="170"/>
      <c r="I57" s="67"/>
      <c r="J57" s="2163" t="str">
        <f t="shared" si="2"/>
        <v>UCC attends</v>
      </c>
      <c r="K57" s="1337">
        <f t="shared" si="3"/>
        <v>35</v>
      </c>
      <c r="L57" s="1706">
        <f t="shared" si="4"/>
        <v>0</v>
      </c>
      <c r="M57" s="36"/>
      <c r="N57" s="36"/>
      <c r="O57" s="35"/>
      <c r="P57" s="35"/>
      <c r="Q57" s="35"/>
      <c r="R57" s="35"/>
      <c r="S57" s="35"/>
      <c r="T57" s="35"/>
      <c r="U57" s="35"/>
      <c r="V57" s="35"/>
      <c r="W57" s="35"/>
    </row>
    <row r="58" spans="1:23" ht="15">
      <c r="A58" s="192"/>
      <c r="B58" s="1707"/>
      <c r="C58" s="2161" t="s">
        <v>44</v>
      </c>
      <c r="D58" s="382">
        <v>0.02</v>
      </c>
      <c r="E58" s="67"/>
      <c r="F58" s="628"/>
      <c r="G58" s="67"/>
      <c r="H58" s="170"/>
      <c r="I58" s="67"/>
      <c r="J58" s="2163" t="str">
        <f t="shared" si="2"/>
        <v>OOH clinic visits</v>
      </c>
      <c r="K58" s="1337">
        <f t="shared" si="3"/>
        <v>35</v>
      </c>
      <c r="L58" s="1706">
        <f t="shared" si="4"/>
        <v>0</v>
      </c>
      <c r="M58" s="36"/>
      <c r="N58" s="36"/>
      <c r="O58" s="35"/>
      <c r="P58" s="35"/>
      <c r="Q58" s="35"/>
      <c r="R58" s="35"/>
      <c r="S58" s="35"/>
      <c r="T58" s="35"/>
      <c r="U58" s="35"/>
      <c r="V58" s="35"/>
      <c r="W58" s="35"/>
    </row>
    <row r="59" spans="1:23" ht="15">
      <c r="A59" s="192"/>
      <c r="B59" s="1707"/>
      <c r="C59" s="2161" t="s">
        <v>45</v>
      </c>
      <c r="D59" s="382">
        <v>0.02</v>
      </c>
      <c r="E59" s="67"/>
      <c r="F59" s="628"/>
      <c r="G59" s="67"/>
      <c r="H59" s="170"/>
      <c r="I59" s="67"/>
      <c r="J59" s="2163" t="str">
        <f t="shared" si="2"/>
        <v>OOH home visits</v>
      </c>
      <c r="K59" s="1337">
        <f t="shared" si="3"/>
        <v>35</v>
      </c>
      <c r="L59" s="1706">
        <f t="shared" si="4"/>
        <v>0</v>
      </c>
      <c r="M59" s="36"/>
      <c r="N59" s="36"/>
      <c r="O59" s="35"/>
      <c r="P59" s="35"/>
      <c r="Q59" s="35"/>
      <c r="R59" s="35"/>
      <c r="S59" s="35"/>
      <c r="T59" s="35"/>
      <c r="U59" s="35"/>
      <c r="V59" s="35"/>
      <c r="W59" s="35"/>
    </row>
    <row r="60" spans="1:23" ht="15">
      <c r="A60" s="192"/>
      <c r="B60" s="1707"/>
      <c r="C60" s="2161" t="s">
        <v>50</v>
      </c>
      <c r="D60" s="382">
        <v>0.02</v>
      </c>
      <c r="E60" s="67"/>
      <c r="F60" s="628"/>
      <c r="G60" s="67"/>
      <c r="H60" s="170"/>
      <c r="I60" s="67"/>
      <c r="J60" s="2163" t="str">
        <f t="shared" si="2"/>
        <v>111 calls (call handler)</v>
      </c>
      <c r="K60" s="1337">
        <f t="shared" si="3"/>
        <v>35</v>
      </c>
      <c r="L60" s="1706">
        <f t="shared" si="4"/>
        <v>0</v>
      </c>
      <c r="M60" s="36"/>
      <c r="N60" s="36"/>
      <c r="O60" s="35"/>
      <c r="P60" s="35"/>
      <c r="Q60" s="35"/>
      <c r="R60" s="35"/>
      <c r="S60" s="35"/>
      <c r="T60" s="35"/>
      <c r="U60" s="35"/>
      <c r="V60" s="35"/>
      <c r="W60" s="35"/>
    </row>
    <row r="61" spans="1:23" ht="15">
      <c r="A61" s="192"/>
      <c r="B61" s="1707"/>
      <c r="C61" s="2161" t="s">
        <v>51</v>
      </c>
      <c r="D61" s="382">
        <v>0.02</v>
      </c>
      <c r="E61" s="67"/>
      <c r="F61" s="628"/>
      <c r="G61" s="67"/>
      <c r="H61" s="170"/>
      <c r="I61" s="67"/>
      <c r="J61" s="2163" t="str">
        <f t="shared" si="2"/>
        <v>111 calls (clinical advisor)</v>
      </c>
      <c r="K61" s="1337">
        <f t="shared" si="3"/>
        <v>35</v>
      </c>
      <c r="L61" s="1706">
        <f t="shared" si="4"/>
        <v>0</v>
      </c>
      <c r="M61" s="36"/>
      <c r="N61" s="36"/>
      <c r="O61" s="35"/>
      <c r="P61" s="35"/>
      <c r="Q61" s="35"/>
      <c r="R61" s="35"/>
      <c r="S61" s="35"/>
      <c r="T61" s="35"/>
      <c r="U61" s="35"/>
      <c r="V61" s="35"/>
      <c r="W61" s="35"/>
    </row>
    <row r="62" spans="1:23" ht="15">
      <c r="A62" s="192"/>
      <c r="B62" s="1707"/>
      <c r="C62" s="2161" t="s">
        <v>41</v>
      </c>
      <c r="D62" s="382">
        <v>0.02</v>
      </c>
      <c r="E62" s="67"/>
      <c r="F62" s="628"/>
      <c r="G62" s="67"/>
      <c r="H62" s="170"/>
      <c r="I62" s="67"/>
      <c r="J62" s="2163" t="str">
        <f t="shared" si="2"/>
        <v>Community pharmacy attends</v>
      </c>
      <c r="K62" s="1337">
        <f t="shared" si="3"/>
        <v>35</v>
      </c>
      <c r="L62" s="1706">
        <f t="shared" si="4"/>
        <v>35</v>
      </c>
      <c r="M62" s="36"/>
      <c r="N62" s="36"/>
      <c r="O62" s="35"/>
      <c r="P62" s="35"/>
      <c r="Q62" s="35"/>
      <c r="R62" s="35"/>
      <c r="S62" s="35"/>
      <c r="T62" s="35"/>
      <c r="U62" s="35"/>
      <c r="V62" s="35"/>
      <c r="W62" s="35"/>
    </row>
    <row r="63" spans="1:23" ht="15">
      <c r="A63" s="192"/>
      <c r="B63" s="1707"/>
      <c r="C63" s="2161" t="s">
        <v>76</v>
      </c>
      <c r="D63" s="382">
        <v>0.02</v>
      </c>
      <c r="E63" s="67"/>
      <c r="F63" s="628"/>
      <c r="G63" s="67"/>
      <c r="H63" s="170"/>
      <c r="I63" s="67"/>
      <c r="J63" s="2163" t="str">
        <f t="shared" si="2"/>
        <v>Ambulance - See and treat</v>
      </c>
      <c r="K63" s="1337">
        <f t="shared" si="3"/>
        <v>35</v>
      </c>
      <c r="L63" s="1706">
        <f t="shared" si="4"/>
        <v>0</v>
      </c>
      <c r="M63" s="36"/>
      <c r="N63" s="36"/>
      <c r="O63" s="35"/>
      <c r="P63" s="35"/>
      <c r="Q63" s="35"/>
      <c r="R63" s="35"/>
      <c r="S63" s="35"/>
      <c r="T63" s="35"/>
      <c r="U63" s="35"/>
      <c r="V63" s="35"/>
      <c r="W63" s="35"/>
    </row>
    <row r="64" spans="1:23" ht="15">
      <c r="A64" s="192"/>
      <c r="B64" s="1707"/>
      <c r="C64" s="2161" t="s">
        <v>46</v>
      </c>
      <c r="D64" s="382">
        <v>0.02</v>
      </c>
      <c r="E64" s="67"/>
      <c r="F64" s="628"/>
      <c r="G64" s="67"/>
      <c r="H64" s="170"/>
      <c r="I64" s="67"/>
      <c r="J64" s="2163" t="str">
        <f t="shared" si="2"/>
        <v>Ambulance - see and convey to ED</v>
      </c>
      <c r="K64" s="1337">
        <f t="shared" si="3"/>
        <v>35</v>
      </c>
      <c r="L64" s="1706">
        <f t="shared" si="4"/>
        <v>0</v>
      </c>
      <c r="M64" s="36"/>
      <c r="N64" s="36"/>
      <c r="O64" s="35"/>
      <c r="P64" s="35"/>
      <c r="Q64" s="35"/>
      <c r="R64" s="35"/>
      <c r="S64" s="35"/>
      <c r="T64" s="35"/>
      <c r="U64" s="35"/>
      <c r="V64" s="35"/>
      <c r="W64" s="35"/>
    </row>
    <row r="65" spans="1:25" ht="15">
      <c r="A65" s="192"/>
      <c r="B65" s="1707"/>
      <c r="C65" s="2161" t="s">
        <v>30</v>
      </c>
      <c r="D65" s="382">
        <v>0.02</v>
      </c>
      <c r="E65" s="67"/>
      <c r="F65" s="628"/>
      <c r="G65" s="67"/>
      <c r="H65" s="170"/>
      <c r="I65" s="67"/>
      <c r="J65" s="2163" t="str">
        <f t="shared" si="2"/>
        <v>Community contacts</v>
      </c>
      <c r="K65" s="1337">
        <f t="shared" si="3"/>
        <v>35</v>
      </c>
      <c r="L65" s="1706">
        <f t="shared" si="4"/>
        <v>0</v>
      </c>
      <c r="M65" s="36"/>
      <c r="N65" s="36"/>
      <c r="O65" s="35"/>
      <c r="P65" s="35"/>
      <c r="Q65" s="35"/>
      <c r="R65" s="35"/>
      <c r="S65" s="35"/>
      <c r="T65" s="35"/>
      <c r="U65" s="35"/>
      <c r="V65" s="35"/>
      <c r="W65" s="35"/>
    </row>
    <row r="66" spans="1:25" ht="15">
      <c r="A66" s="192"/>
      <c r="B66" s="1707"/>
      <c r="C66" s="2161" t="s">
        <v>48</v>
      </c>
      <c r="D66" s="382">
        <v>0.02</v>
      </c>
      <c r="E66" s="67"/>
      <c r="F66" s="628"/>
      <c r="G66" s="67"/>
      <c r="H66" s="170"/>
      <c r="I66" s="67"/>
      <c r="J66" s="2163" t="str">
        <f t="shared" si="2"/>
        <v>Intermediate care bed days</v>
      </c>
      <c r="K66" s="1337">
        <f t="shared" si="3"/>
        <v>35</v>
      </c>
      <c r="L66" s="1706">
        <f t="shared" si="4"/>
        <v>0</v>
      </c>
      <c r="M66" s="36"/>
      <c r="N66" s="36"/>
      <c r="O66" s="35"/>
      <c r="P66" s="35"/>
      <c r="Q66" s="35"/>
      <c r="R66" s="35"/>
      <c r="S66" s="35"/>
      <c r="T66" s="35"/>
      <c r="U66" s="35"/>
      <c r="V66" s="35"/>
      <c r="W66" s="35"/>
    </row>
    <row r="67" spans="1:25" ht="15">
      <c r="A67" s="192"/>
      <c r="B67" s="1707"/>
      <c r="C67" s="2161" t="s">
        <v>225</v>
      </c>
      <c r="D67" s="382">
        <v>0.02</v>
      </c>
      <c r="E67" s="67"/>
      <c r="F67" s="628"/>
      <c r="G67" s="67"/>
      <c r="H67" s="170"/>
      <c r="I67" s="67"/>
      <c r="J67" s="2163" t="str">
        <f t="shared" si="2"/>
        <v>Social services domiciliary care</v>
      </c>
      <c r="K67" s="1337">
        <f t="shared" si="3"/>
        <v>35</v>
      </c>
      <c r="L67" s="1706">
        <f t="shared" si="4"/>
        <v>0</v>
      </c>
      <c r="M67" s="36"/>
      <c r="N67" s="36"/>
      <c r="O67" s="35"/>
      <c r="P67" s="35"/>
      <c r="Q67" s="35"/>
      <c r="R67" s="35"/>
      <c r="S67" s="35"/>
      <c r="T67" s="35"/>
      <c r="U67" s="35"/>
      <c r="V67" s="35"/>
      <c r="W67" s="35"/>
    </row>
    <row r="68" spans="1:25" ht="15">
      <c r="A68" s="192"/>
      <c r="B68" s="1707"/>
      <c r="C68" s="2161" t="s">
        <v>32</v>
      </c>
      <c r="D68" s="382">
        <v>0.02</v>
      </c>
      <c r="E68" s="67"/>
      <c r="F68" s="628"/>
      <c r="G68" s="67"/>
      <c r="H68" s="170"/>
      <c r="I68" s="67"/>
      <c r="J68" s="2163" t="str">
        <f t="shared" si="2"/>
        <v>GP attends</v>
      </c>
      <c r="K68" s="1337">
        <f t="shared" si="3"/>
        <v>35</v>
      </c>
      <c r="L68" s="1706">
        <f t="shared" si="4"/>
        <v>35</v>
      </c>
      <c r="M68" s="36"/>
      <c r="N68" s="36"/>
      <c r="O68" s="35"/>
      <c r="P68" s="35"/>
      <c r="Q68" s="35"/>
      <c r="R68" s="35"/>
      <c r="S68" s="35"/>
      <c r="T68" s="35"/>
      <c r="U68" s="35"/>
      <c r="V68" s="35"/>
      <c r="W68" s="35"/>
    </row>
    <row r="69" spans="1:25" ht="15">
      <c r="A69" s="192"/>
      <c r="B69" s="1707"/>
      <c r="C69" s="2161" t="s">
        <v>34</v>
      </c>
      <c r="D69" s="382">
        <v>0.02</v>
      </c>
      <c r="E69" s="67"/>
      <c r="F69" s="628"/>
      <c r="G69" s="67"/>
      <c r="H69" s="62"/>
      <c r="I69" s="67"/>
      <c r="J69" s="2163" t="str">
        <f t="shared" si="2"/>
        <v>GP visits</v>
      </c>
      <c r="K69" s="1337">
        <f t="shared" si="3"/>
        <v>35</v>
      </c>
      <c r="L69" s="1706">
        <f t="shared" si="4"/>
        <v>35</v>
      </c>
      <c r="M69" s="62"/>
      <c r="N69" s="36"/>
      <c r="O69" s="35"/>
      <c r="P69" s="35"/>
      <c r="Q69" s="35"/>
      <c r="R69" s="35"/>
      <c r="S69" s="35"/>
      <c r="T69" s="35"/>
      <c r="U69" s="35"/>
      <c r="V69" s="35"/>
      <c r="W69" s="35"/>
      <c r="X69" s="35"/>
    </row>
    <row r="70" spans="1:25" ht="15">
      <c r="B70" s="192"/>
      <c r="C70" s="51"/>
      <c r="D70" s="67"/>
      <c r="E70" s="628"/>
      <c r="F70" s="628"/>
      <c r="G70" s="67"/>
      <c r="H70" s="62"/>
      <c r="I70" s="170"/>
      <c r="J70" s="170"/>
      <c r="K70" s="2118"/>
      <c r="L70" s="2145"/>
      <c r="M70" s="62"/>
      <c r="N70" s="36"/>
      <c r="O70" s="36"/>
      <c r="P70" s="35"/>
      <c r="Q70" s="35"/>
      <c r="R70" s="35"/>
      <c r="S70" s="35"/>
      <c r="T70" s="35"/>
      <c r="U70" s="35"/>
      <c r="V70" s="35"/>
      <c r="W70" s="35"/>
      <c r="X70" s="35"/>
    </row>
    <row r="71" spans="1:25" ht="15">
      <c r="B71" s="192"/>
      <c r="C71" s="51"/>
      <c r="D71" s="67"/>
      <c r="E71" s="628"/>
      <c r="F71" s="628"/>
      <c r="G71" s="67"/>
      <c r="H71" s="62"/>
      <c r="I71" s="170"/>
      <c r="J71" s="170"/>
      <c r="K71" s="2118"/>
      <c r="L71" s="2125"/>
      <c r="M71" s="62"/>
      <c r="N71" s="36"/>
      <c r="O71" s="36"/>
      <c r="P71" s="35"/>
      <c r="Q71" s="35"/>
      <c r="R71" s="35"/>
      <c r="S71" s="35"/>
      <c r="T71" s="35"/>
      <c r="U71" s="35"/>
      <c r="V71" s="35"/>
      <c r="W71" s="35"/>
      <c r="X71" s="35"/>
    </row>
    <row r="72" spans="1:25" ht="15">
      <c r="B72" s="192"/>
      <c r="C72" s="51"/>
      <c r="D72" s="656"/>
      <c r="E72" s="67"/>
      <c r="F72" s="67"/>
      <c r="G72" s="67"/>
      <c r="H72" s="67"/>
      <c r="I72" s="67"/>
      <c r="J72" s="1184"/>
      <c r="K72" s="628"/>
      <c r="L72" s="1708"/>
      <c r="M72" s="67"/>
      <c r="N72" s="36"/>
      <c r="O72" s="36"/>
      <c r="P72" s="35"/>
      <c r="Q72" s="35"/>
      <c r="R72" s="35"/>
      <c r="S72" s="35"/>
      <c r="T72" s="35"/>
      <c r="U72" s="35"/>
      <c r="V72" s="35"/>
      <c r="W72" s="35"/>
      <c r="X72" s="35"/>
      <c r="Y72" s="35"/>
    </row>
    <row r="73" spans="1:25" ht="75">
      <c r="B73" s="1707"/>
      <c r="C73" s="2121" t="s">
        <v>1222</v>
      </c>
      <c r="D73" s="2121" t="s">
        <v>660</v>
      </c>
      <c r="E73" s="2121" t="s">
        <v>145</v>
      </c>
      <c r="F73" s="2121" t="s">
        <v>144</v>
      </c>
      <c r="G73" s="2121" t="s">
        <v>561</v>
      </c>
      <c r="H73" s="67"/>
      <c r="I73" s="67"/>
      <c r="J73" s="2147" t="s">
        <v>1032</v>
      </c>
      <c r="K73" s="691" t="s">
        <v>661</v>
      </c>
      <c r="L73" s="1173" t="s">
        <v>120</v>
      </c>
      <c r="M73" s="67"/>
      <c r="N73" s="36"/>
      <c r="O73" s="36"/>
      <c r="P73" s="35"/>
      <c r="Q73" s="35"/>
      <c r="R73" s="35"/>
      <c r="S73" s="35"/>
      <c r="T73" s="35"/>
      <c r="U73" s="35"/>
      <c r="V73" s="35"/>
      <c r="W73" s="35"/>
      <c r="X73" s="35"/>
      <c r="Y73" s="35"/>
    </row>
    <row r="74" spans="1:25" ht="15">
      <c r="B74" s="1707"/>
      <c r="C74" s="2161" t="str">
        <f t="shared" ref="C74:C89" si="5">C54</f>
        <v>Emergency bed days</v>
      </c>
      <c r="D74" s="2110">
        <f>VLOOKUP(C74,local_data_input!$B$4:$K$20,2,FALSE)</f>
        <v>471.55482717174652</v>
      </c>
      <c r="E74" s="771">
        <f>VLOOKUP(C74,local_data_input!$B$4:$K$20,7,FALSE)</f>
        <v>2190</v>
      </c>
      <c r="F74" s="2110">
        <f>VLOOKUP(C74,local_data_input!$B$4:$K$20,8,FALSE)</f>
        <v>76.38780719409533</v>
      </c>
      <c r="G74" s="2110">
        <f>VLOOKUP(C74,local_data_input!$B$4:$K$20,9,FALSE)</f>
        <v>76.38780719409533</v>
      </c>
      <c r="H74" s="67"/>
      <c r="I74" s="67"/>
      <c r="J74" s="2163" t="str">
        <f t="shared" ref="J74:J89" si="6">C54</f>
        <v>Emergency bed days</v>
      </c>
      <c r="K74" s="812">
        <f t="shared" ref="K74:K89" si="7">K54*D74</f>
        <v>16504.418951011128</v>
      </c>
      <c r="L74" s="1709">
        <f t="shared" ref="L74:L89" si="8">(K54-L54)*F74+(L54*G74)</f>
        <v>2673.5732517933366</v>
      </c>
      <c r="M74" s="67"/>
      <c r="N74" s="36"/>
      <c r="O74" s="36"/>
      <c r="P74" s="35"/>
      <c r="Q74" s="35"/>
      <c r="R74" s="35"/>
      <c r="S74" s="35"/>
      <c r="T74" s="35"/>
      <c r="U74" s="35"/>
      <c r="V74" s="35"/>
      <c r="W74" s="35"/>
      <c r="X74" s="35"/>
      <c r="Y74" s="35"/>
    </row>
    <row r="75" spans="1:25" ht="15">
      <c r="B75" s="1707"/>
      <c r="C75" s="2161" t="str">
        <f t="shared" si="5"/>
        <v>ED attends</v>
      </c>
      <c r="D75" s="2110">
        <f>VLOOKUP(C75,local_data_input!$B$4:$K$20,2,FALSE)</f>
        <v>154.19493390737</v>
      </c>
      <c r="E75" s="771">
        <f>VLOOKUP(C75,local_data_input!$B$4:$K$20,7,FALSE)</f>
        <v>4725</v>
      </c>
      <c r="F75" s="2110">
        <f>VLOOKUP(C75,local_data_input!$B$4:$K$20,8,FALSE)</f>
        <v>13.011251318371977</v>
      </c>
      <c r="G75" s="2110">
        <f>VLOOKUP(C75,local_data_input!$B$4:$K$20,9,FALSE)</f>
        <v>13.011251318371977</v>
      </c>
      <c r="H75" s="67"/>
      <c r="I75" s="67"/>
      <c r="J75" s="2163" t="str">
        <f t="shared" si="6"/>
        <v>ED attends</v>
      </c>
      <c r="K75" s="812">
        <f t="shared" si="7"/>
        <v>5396.8226867579497</v>
      </c>
      <c r="L75" s="1709">
        <f t="shared" si="8"/>
        <v>455.39379614301919</v>
      </c>
      <c r="M75" s="67"/>
      <c r="N75" s="36"/>
      <c r="O75" s="36"/>
      <c r="P75" s="35"/>
      <c r="Q75" s="35"/>
      <c r="R75" s="35"/>
      <c r="S75" s="35"/>
      <c r="T75" s="35"/>
      <c r="U75" s="35"/>
      <c r="V75" s="35"/>
      <c r="W75" s="35"/>
      <c r="X75" s="35"/>
      <c r="Y75" s="35"/>
    </row>
    <row r="76" spans="1:25" ht="15">
      <c r="B76" s="1707"/>
      <c r="C76" s="2161" t="str">
        <f t="shared" si="5"/>
        <v>ED Minor attends</v>
      </c>
      <c r="D76" s="2110">
        <f>VLOOKUP(C76,local_data_input!$B$4:$K$20,2,FALSE)</f>
        <v>89.533100846051653</v>
      </c>
      <c r="E76" s="771">
        <f>VLOOKUP(C76,local_data_input!$B$4:$K$20,7,FALSE)</f>
        <v>6300</v>
      </c>
      <c r="F76" s="2110">
        <f>VLOOKUP(C76,local_data_input!$B$4:$K$20,8,FALSE)</f>
        <v>10.909433797711889</v>
      </c>
      <c r="G76" s="2110">
        <f>VLOOKUP(C76,local_data_input!$B$4:$K$20,9,FALSE)</f>
        <v>10.909433797711889</v>
      </c>
      <c r="H76" s="67"/>
      <c r="I76" s="67"/>
      <c r="J76" s="2163" t="str">
        <f t="shared" si="6"/>
        <v>ED Minor attends</v>
      </c>
      <c r="K76" s="812">
        <f t="shared" si="7"/>
        <v>3133.6585296118078</v>
      </c>
      <c r="L76" s="1709">
        <f t="shared" si="8"/>
        <v>381.83018291991613</v>
      </c>
      <c r="M76" s="67"/>
      <c r="N76" s="36"/>
      <c r="O76" s="36"/>
      <c r="P76" s="35"/>
      <c r="Q76" s="35"/>
      <c r="R76" s="35"/>
      <c r="S76" s="35"/>
      <c r="T76" s="35"/>
      <c r="U76" s="35"/>
      <c r="V76" s="35"/>
      <c r="W76" s="35"/>
      <c r="X76" s="35"/>
      <c r="Y76" s="35"/>
    </row>
    <row r="77" spans="1:25" ht="15">
      <c r="B77" s="1707"/>
      <c r="C77" s="2161" t="str">
        <f t="shared" si="5"/>
        <v>UCC attends</v>
      </c>
      <c r="D77" s="2110">
        <f>VLOOKUP(C77,local_data_input!$B$4:$K$20,2,FALSE)</f>
        <v>57</v>
      </c>
      <c r="E77" s="771">
        <f>VLOOKUP(C77,local_data_input!$B$4:$K$20,7,FALSE)</f>
        <v>4725</v>
      </c>
      <c r="F77" s="2110">
        <f>VLOOKUP(C77,local_data_input!$B$4:$K$20,8,FALSE)</f>
        <v>4.3599999999999994</v>
      </c>
      <c r="G77" s="2110">
        <f>VLOOKUP(C77,local_data_input!$B$4:$K$20,9,FALSE)</f>
        <v>4.3599999999999994</v>
      </c>
      <c r="H77" s="67"/>
      <c r="I77" s="67"/>
      <c r="J77" s="2163" t="str">
        <f t="shared" si="6"/>
        <v>UCC attends</v>
      </c>
      <c r="K77" s="812">
        <f t="shared" si="7"/>
        <v>1995</v>
      </c>
      <c r="L77" s="1709">
        <f t="shared" si="8"/>
        <v>152.59999999999997</v>
      </c>
      <c r="M77" s="67"/>
      <c r="N77" s="36"/>
      <c r="O77" s="36"/>
      <c r="P77" s="35"/>
      <c r="Q77" s="35"/>
      <c r="R77" s="35"/>
      <c r="S77" s="35"/>
      <c r="T77" s="35"/>
      <c r="U77" s="35"/>
      <c r="V77" s="35"/>
      <c r="W77" s="35"/>
      <c r="X77" s="35"/>
      <c r="Y77" s="35"/>
    </row>
    <row r="78" spans="1:25" ht="15">
      <c r="B78" s="1707"/>
      <c r="C78" s="2161" t="str">
        <f t="shared" si="5"/>
        <v>OOH clinic visits</v>
      </c>
      <c r="D78" s="2110">
        <f>VLOOKUP(C78,local_data_input!$B$4:$K$20,2,FALSE)</f>
        <v>68.3</v>
      </c>
      <c r="E78" s="771">
        <f>VLOOKUP(C78,local_data_input!$B$4:$K$20,7,FALSE)</f>
        <v>6300</v>
      </c>
      <c r="F78" s="2110">
        <f>VLOOKUP(C78,local_data_input!$B$4:$K$20,8,FALSE)</f>
        <v>7.6578249999227763</v>
      </c>
      <c r="G78" s="2110">
        <f>VLOOKUP(C78,local_data_input!$B$4:$K$20,9,FALSE)</f>
        <v>7.6578249999227763</v>
      </c>
      <c r="H78" s="67"/>
      <c r="I78" s="67"/>
      <c r="J78" s="2163" t="str">
        <f t="shared" si="6"/>
        <v>OOH clinic visits</v>
      </c>
      <c r="K78" s="812">
        <f t="shared" si="7"/>
        <v>2390.5</v>
      </c>
      <c r="L78" s="1709">
        <f t="shared" si="8"/>
        <v>268.02387499729718</v>
      </c>
      <c r="M78" s="67"/>
      <c r="N78" s="36"/>
      <c r="O78" s="36"/>
      <c r="P78" s="35"/>
      <c r="Q78" s="35"/>
      <c r="R78" s="35"/>
      <c r="S78" s="35"/>
      <c r="T78" s="35"/>
      <c r="U78" s="35"/>
      <c r="V78" s="35"/>
      <c r="W78" s="35"/>
      <c r="X78" s="35"/>
      <c r="Y78" s="35"/>
    </row>
    <row r="79" spans="1:25" ht="15">
      <c r="B79" s="1707"/>
      <c r="C79" s="2161" t="str">
        <f t="shared" si="5"/>
        <v>OOH home visits</v>
      </c>
      <c r="D79" s="2110">
        <f>VLOOKUP(C79,local_data_input!$B$4:$K$20,2,FALSE)</f>
        <v>150</v>
      </c>
      <c r="E79" s="771">
        <f>VLOOKUP(C79,local_data_input!$B$4:$K$20,7,FALSE)</f>
        <v>1575</v>
      </c>
      <c r="F79" s="2110">
        <f>VLOOKUP(C79,local_data_input!$B$4:$K$20,8,FALSE)</f>
        <v>16.737817499831213</v>
      </c>
      <c r="G79" s="2110">
        <f>VLOOKUP(C79,local_data_input!$B$4:$K$20,9,FALSE)</f>
        <v>16.737817499831213</v>
      </c>
      <c r="H79" s="67"/>
      <c r="I79" s="67"/>
      <c r="J79" s="2163" t="str">
        <f t="shared" si="6"/>
        <v>OOH home visits</v>
      </c>
      <c r="K79" s="812">
        <f t="shared" si="7"/>
        <v>5250</v>
      </c>
      <c r="L79" s="1709">
        <f t="shared" si="8"/>
        <v>585.82361249409246</v>
      </c>
      <c r="M79" s="67"/>
      <c r="N79" s="36"/>
      <c r="O79" s="36"/>
      <c r="P79" s="35"/>
      <c r="Q79" s="35"/>
      <c r="R79" s="35"/>
      <c r="S79" s="35"/>
      <c r="T79" s="35"/>
      <c r="U79" s="35"/>
      <c r="V79" s="35"/>
      <c r="W79" s="35"/>
      <c r="X79" s="35"/>
      <c r="Y79" s="35"/>
    </row>
    <row r="80" spans="1:25" ht="15">
      <c r="B80" s="1707"/>
      <c r="C80" s="2161" t="str">
        <f t="shared" si="5"/>
        <v>111 calls (call handler)</v>
      </c>
      <c r="D80" s="2110">
        <f>VLOOKUP(C80,local_data_input!$B$4:$K$20,2,FALSE)</f>
        <v>7</v>
      </c>
      <c r="E80" s="771">
        <f>VLOOKUP(C80,local_data_input!$B$4:$K$20,7,FALSE)</f>
        <v>9450</v>
      </c>
      <c r="F80" s="2110">
        <f>VLOOKUP(C80,local_data_input!$B$4:$K$20,8,FALSE)</f>
        <v>0.35069999999999946</v>
      </c>
      <c r="G80" s="2110">
        <f>VLOOKUP(C80,local_data_input!$B$4:$K$20,9,FALSE)</f>
        <v>0.35069999999999946</v>
      </c>
      <c r="H80" s="67"/>
      <c r="I80" s="67"/>
      <c r="J80" s="2163" t="str">
        <f t="shared" si="6"/>
        <v>111 calls (call handler)</v>
      </c>
      <c r="K80" s="812">
        <f t="shared" si="7"/>
        <v>245</v>
      </c>
      <c r="L80" s="1709">
        <f t="shared" si="8"/>
        <v>12.27449999999998</v>
      </c>
      <c r="M80" s="67"/>
      <c r="N80" s="36"/>
      <c r="O80" s="36"/>
      <c r="P80" s="35"/>
      <c r="Q80" s="35"/>
      <c r="R80" s="35"/>
      <c r="S80" s="35"/>
      <c r="T80" s="35"/>
      <c r="U80" s="35"/>
      <c r="V80" s="35"/>
      <c r="W80" s="35"/>
      <c r="X80" s="35"/>
      <c r="Y80" s="35"/>
    </row>
    <row r="81" spans="1:25" ht="15">
      <c r="B81" s="1707"/>
      <c r="C81" s="2161" t="str">
        <f t="shared" si="5"/>
        <v>111 calls (clinical advisor)</v>
      </c>
      <c r="D81" s="2110">
        <f>VLOOKUP(C81,local_data_input!$B$4:$K$20,2,FALSE)</f>
        <v>20</v>
      </c>
      <c r="E81" s="771">
        <f>VLOOKUP(C81,local_data_input!$B$4:$K$20,7,FALSE)</f>
        <v>9450</v>
      </c>
      <c r="F81" s="2110">
        <f>VLOOKUP(C81,local_data_input!$B$4:$K$20,8,FALSE)</f>
        <v>1.0019999999999984</v>
      </c>
      <c r="G81" s="2110">
        <f>VLOOKUP(C81,local_data_input!$B$4:$K$20,9,FALSE)</f>
        <v>1.0019999999999984</v>
      </c>
      <c r="H81" s="67"/>
      <c r="I81" s="67"/>
      <c r="J81" s="2163" t="str">
        <f t="shared" si="6"/>
        <v>111 calls (clinical advisor)</v>
      </c>
      <c r="K81" s="812">
        <f t="shared" si="7"/>
        <v>700</v>
      </c>
      <c r="L81" s="1709">
        <f t="shared" si="8"/>
        <v>35.069999999999943</v>
      </c>
      <c r="M81" s="67"/>
      <c r="N81" s="36"/>
      <c r="O81" s="36"/>
      <c r="P81" s="35"/>
      <c r="Q81" s="35"/>
      <c r="R81" s="35"/>
      <c r="S81" s="35"/>
      <c r="T81" s="35"/>
      <c r="U81" s="35"/>
      <c r="V81" s="35"/>
      <c r="W81" s="35"/>
      <c r="X81" s="35"/>
      <c r="Y81" s="35"/>
    </row>
    <row r="82" spans="1:25" ht="15">
      <c r="B82" s="1707"/>
      <c r="C82" s="2161" t="str">
        <f t="shared" si="5"/>
        <v>Community pharmacy attends</v>
      </c>
      <c r="D82" s="2110">
        <f>VLOOKUP(C82,local_data_input!$B$4:$K$20,2,FALSE)</f>
        <v>14</v>
      </c>
      <c r="E82" s="771">
        <f>VLOOKUP(C82,local_data_input!$B$4:$K$20,7,FALSE)</f>
        <v>1</v>
      </c>
      <c r="F82" s="2110">
        <f>VLOOKUP(C82,local_data_input!$B$4:$K$20,8,FALSE)</f>
        <v>14</v>
      </c>
      <c r="G82" s="2110">
        <f>VLOOKUP(C82,local_data_input!$B$4:$K$20,9,FALSE)</f>
        <v>14</v>
      </c>
      <c r="H82" s="67"/>
      <c r="I82" s="67"/>
      <c r="J82" s="2163" t="str">
        <f t="shared" si="6"/>
        <v>Community pharmacy attends</v>
      </c>
      <c r="K82" s="812">
        <f t="shared" si="7"/>
        <v>490</v>
      </c>
      <c r="L82" s="1709">
        <f t="shared" si="8"/>
        <v>490</v>
      </c>
      <c r="M82" s="67"/>
      <c r="N82" s="36"/>
      <c r="O82" s="36"/>
      <c r="P82" s="35"/>
      <c r="Q82" s="35"/>
      <c r="R82" s="35"/>
      <c r="S82" s="35"/>
      <c r="T82" s="35"/>
      <c r="U82" s="35"/>
      <c r="V82" s="35"/>
      <c r="W82" s="35"/>
      <c r="X82" s="35"/>
      <c r="Y82" s="35"/>
    </row>
    <row r="83" spans="1:25" ht="15">
      <c r="B83" s="1707"/>
      <c r="C83" s="2161" t="str">
        <f t="shared" si="5"/>
        <v>Ambulance - See and treat</v>
      </c>
      <c r="D83" s="2110">
        <f>VLOOKUP(C83,local_data_input!$B$4:$K$20,2,FALSE)</f>
        <v>179.83161675760465</v>
      </c>
      <c r="E83" s="771">
        <f>VLOOKUP(C83,local_data_input!$B$4:$K$20,7,FALSE)</f>
        <v>3150</v>
      </c>
      <c r="F83" s="2110">
        <f>VLOOKUP(C83,local_data_input!$B$4:$K$20,8,FALSE)</f>
        <v>16.153499999999998</v>
      </c>
      <c r="G83" s="2110">
        <f>VLOOKUP(C83,local_data_input!$B$4:$K$20,9,FALSE)</f>
        <v>16.153499999999998</v>
      </c>
      <c r="H83" s="67"/>
      <c r="I83" s="67"/>
      <c r="J83" s="2163" t="str">
        <f t="shared" si="6"/>
        <v>Ambulance - See and treat</v>
      </c>
      <c r="K83" s="812">
        <f t="shared" si="7"/>
        <v>6294.1065865161627</v>
      </c>
      <c r="L83" s="1709">
        <f t="shared" si="8"/>
        <v>565.37249999999995</v>
      </c>
      <c r="M83" s="67"/>
      <c r="N83" s="36"/>
      <c r="O83" s="36"/>
      <c r="P83" s="35"/>
      <c r="Q83" s="35"/>
      <c r="R83" s="35"/>
      <c r="S83" s="35"/>
      <c r="T83" s="35"/>
      <c r="U83" s="35"/>
      <c r="V83" s="35"/>
      <c r="W83" s="35"/>
      <c r="X83" s="35"/>
      <c r="Y83" s="35"/>
    </row>
    <row r="84" spans="1:25" ht="15">
      <c r="B84" s="1707"/>
      <c r="C84" s="2161" t="str">
        <f t="shared" si="5"/>
        <v>Ambulance - see and convey to ED</v>
      </c>
      <c r="D84" s="2110">
        <f>VLOOKUP(C84,local_data_input!$B$4:$K$20,2,FALSE)</f>
        <v>233.02000068717058</v>
      </c>
      <c r="E84" s="771">
        <f>VLOOKUP(C84,local_data_input!$B$4:$K$20,7,FALSE)</f>
        <v>3150</v>
      </c>
      <c r="F84" s="2110">
        <f>VLOOKUP(C84,local_data_input!$B$4:$K$20,8,FALSE)</f>
        <v>25.747699999999998</v>
      </c>
      <c r="G84" s="2110">
        <f>VLOOKUP(C84,local_data_input!$B$4:$K$20,9,FALSE)</f>
        <v>25.747699999999998</v>
      </c>
      <c r="H84" s="67"/>
      <c r="I84" s="67"/>
      <c r="J84" s="2163" t="str">
        <f t="shared" si="6"/>
        <v>Ambulance - see and convey to ED</v>
      </c>
      <c r="K84" s="812">
        <f t="shared" si="7"/>
        <v>8155.7000240509706</v>
      </c>
      <c r="L84" s="1709">
        <f t="shared" si="8"/>
        <v>901.16949999999997</v>
      </c>
      <c r="M84" s="67"/>
      <c r="N84" s="36"/>
      <c r="O84" s="36"/>
      <c r="P84" s="35"/>
      <c r="Q84" s="35"/>
      <c r="R84" s="35"/>
      <c r="S84" s="35"/>
      <c r="T84" s="35"/>
      <c r="U84" s="35"/>
      <c r="V84" s="35"/>
      <c r="W84" s="35"/>
      <c r="X84" s="35"/>
      <c r="Y84" s="35"/>
    </row>
    <row r="85" spans="1:25" ht="15">
      <c r="B85" s="1707"/>
      <c r="C85" s="2161" t="str">
        <f t="shared" si="5"/>
        <v>Community contacts</v>
      </c>
      <c r="D85" s="2110">
        <f>VLOOKUP(C85,local_data_input!$B$4:$K$20,2,FALSE)</f>
        <v>37.264451156891667</v>
      </c>
      <c r="E85" s="771">
        <f>VLOOKUP(C85,local_data_input!$B$4:$K$20,7,FALSE)</f>
        <v>3150</v>
      </c>
      <c r="F85" s="2110">
        <f>VLOOKUP(C85,local_data_input!$B$4:$K$20,8,FALSE)</f>
        <v>3.8289124999613882</v>
      </c>
      <c r="G85" s="2110">
        <f>VLOOKUP(C85,local_data_input!$B$4:$K$20,9,FALSE)</f>
        <v>3.8289124999613882</v>
      </c>
      <c r="H85" s="67"/>
      <c r="I85" s="67"/>
      <c r="J85" s="2163" t="str">
        <f t="shared" si="6"/>
        <v>Community contacts</v>
      </c>
      <c r="K85" s="812">
        <f t="shared" si="7"/>
        <v>1304.2557904912082</v>
      </c>
      <c r="L85" s="1709">
        <f t="shared" si="8"/>
        <v>134.01193749864859</v>
      </c>
      <c r="M85" s="67"/>
      <c r="N85" s="36"/>
      <c r="O85" s="36"/>
      <c r="P85" s="35"/>
      <c r="Q85" s="35"/>
      <c r="R85" s="35"/>
      <c r="S85" s="35"/>
      <c r="T85" s="35"/>
      <c r="U85" s="35"/>
      <c r="V85" s="35"/>
      <c r="W85" s="35"/>
      <c r="X85" s="35"/>
      <c r="Y85" s="35"/>
    </row>
    <row r="86" spans="1:25" ht="15">
      <c r="B86" s="1707"/>
      <c r="C86" s="2161" t="str">
        <f t="shared" si="5"/>
        <v>Intermediate care bed days</v>
      </c>
      <c r="D86" s="2110">
        <f>VLOOKUP(C86,local_data_input!$B$4:$K$20,2,FALSE)</f>
        <v>282.26243393069001</v>
      </c>
      <c r="E86" s="771">
        <f>VLOOKUP(C86,local_data_input!$B$4:$K$20,7,FALSE)</f>
        <v>1460</v>
      </c>
      <c r="F86" s="2110">
        <f>VLOOKUP(C86,local_data_input!$B$4:$K$20,8,FALSE)</f>
        <v>21.879499999779362</v>
      </c>
      <c r="G86" s="2110">
        <f>VLOOKUP(C86,local_data_input!$B$4:$K$20,9,FALSE)</f>
        <v>21.879499999779362</v>
      </c>
      <c r="H86" s="67"/>
      <c r="I86" s="67"/>
      <c r="J86" s="2163" t="str">
        <f t="shared" si="6"/>
        <v>Intermediate care bed days</v>
      </c>
      <c r="K86" s="812">
        <f t="shared" si="7"/>
        <v>9879.1851875741504</v>
      </c>
      <c r="L86" s="1709">
        <f t="shared" si="8"/>
        <v>765.78249999227774</v>
      </c>
      <c r="M86" s="67"/>
      <c r="N86" s="36"/>
      <c r="O86" s="36"/>
      <c r="P86" s="35"/>
      <c r="Q86" s="35"/>
      <c r="R86" s="35"/>
      <c r="S86" s="35"/>
      <c r="T86" s="35"/>
      <c r="U86" s="35"/>
      <c r="V86" s="35"/>
      <c r="W86" s="35"/>
      <c r="X86" s="35"/>
      <c r="Y86" s="35"/>
    </row>
    <row r="87" spans="1:25" ht="15">
      <c r="B87" s="1707"/>
      <c r="C87" s="2161" t="str">
        <f t="shared" si="5"/>
        <v>Social services domiciliary care</v>
      </c>
      <c r="D87" s="2110">
        <f>VLOOKUP(C87,local_data_input!$B$4:$K$20,2,FALSE)</f>
        <v>24</v>
      </c>
      <c r="E87" s="771">
        <f>VLOOKUP(C87,local_data_input!$B$4:$K$20,7,FALSE)</f>
        <v>3150</v>
      </c>
      <c r="F87" s="2110">
        <f>VLOOKUP(C87,local_data_input!$B$4:$K$20,8,FALSE)</f>
        <v>2.7349374999724203</v>
      </c>
      <c r="G87" s="2110">
        <f>VLOOKUP(C87,local_data_input!$B$4:$K$20,9,FALSE)</f>
        <v>2.7349374999724203</v>
      </c>
      <c r="H87" s="67"/>
      <c r="I87" s="67"/>
      <c r="J87" s="2163" t="str">
        <f t="shared" si="6"/>
        <v>Social services domiciliary care</v>
      </c>
      <c r="K87" s="812">
        <f t="shared" si="7"/>
        <v>840</v>
      </c>
      <c r="L87" s="1709">
        <f t="shared" si="8"/>
        <v>95.722812499034717</v>
      </c>
      <c r="M87" s="67"/>
      <c r="N87" s="36"/>
      <c r="O87" s="36"/>
      <c r="P87" s="35"/>
      <c r="Q87" s="35"/>
      <c r="R87" s="35"/>
      <c r="S87" s="35"/>
      <c r="T87" s="35"/>
      <c r="U87" s="35"/>
      <c r="V87" s="35"/>
      <c r="W87" s="35"/>
      <c r="X87" s="35"/>
      <c r="Y87" s="35"/>
    </row>
    <row r="88" spans="1:25" ht="15">
      <c r="B88" s="1707"/>
      <c r="C88" s="2161" t="str">
        <f t="shared" si="5"/>
        <v>GP attends</v>
      </c>
      <c r="D88" s="2110">
        <f>VLOOKUP(C88,local_data_input!$B$4:$K$20,2,FALSE)</f>
        <v>37</v>
      </c>
      <c r="E88" s="771">
        <f>VLOOKUP(C88,local_data_input!$B$4:$K$20,7,FALSE)</f>
        <v>1</v>
      </c>
      <c r="F88" s="2110">
        <f>VLOOKUP(C88,local_data_input!$B$4:$K$20,8,FALSE)</f>
        <v>4.1571049999580785</v>
      </c>
      <c r="G88" s="2110">
        <f>VLOOKUP(C88,local_data_input!$B$4:$K$20,9,FALSE)</f>
        <v>4.1571049999580785</v>
      </c>
      <c r="H88" s="67"/>
      <c r="I88" s="67"/>
      <c r="J88" s="2163" t="str">
        <f t="shared" si="6"/>
        <v>GP attends</v>
      </c>
      <c r="K88" s="812">
        <f t="shared" si="7"/>
        <v>1295</v>
      </c>
      <c r="L88" s="1709">
        <f t="shared" si="8"/>
        <v>145.49867499853275</v>
      </c>
      <c r="M88" s="67"/>
      <c r="N88" s="36"/>
      <c r="O88" s="36"/>
      <c r="P88" s="35"/>
      <c r="Q88" s="35"/>
      <c r="R88" s="35"/>
      <c r="S88" s="35"/>
      <c r="T88" s="35"/>
      <c r="U88" s="35"/>
      <c r="V88" s="35"/>
      <c r="W88" s="35"/>
      <c r="X88" s="35"/>
      <c r="Y88" s="35"/>
    </row>
    <row r="89" spans="1:25" ht="15">
      <c r="B89" s="1707"/>
      <c r="C89" s="2161" t="str">
        <f t="shared" si="5"/>
        <v>GP visits</v>
      </c>
      <c r="D89" s="2110">
        <f>VLOOKUP(C89,local_data_input!$B$4:$K$20,2,FALSE)</f>
        <v>61</v>
      </c>
      <c r="E89" s="771">
        <f>VLOOKUP(C89,local_data_input!$B$4:$K$20,7,FALSE)</f>
        <v>1</v>
      </c>
      <c r="F89" s="2110">
        <f>VLOOKUP(C89,local_data_input!$B$4:$K$20,8,FALSE)</f>
        <v>6.6732474999327049</v>
      </c>
      <c r="G89" s="2110">
        <f>VLOOKUP(C89,local_data_input!$B$4:$K$20,9,FALSE)</f>
        <v>6.6732474999327049</v>
      </c>
      <c r="H89" s="67"/>
      <c r="I89" s="67"/>
      <c r="J89" s="2163" t="str">
        <f t="shared" si="6"/>
        <v>GP visits</v>
      </c>
      <c r="K89" s="812">
        <f t="shared" si="7"/>
        <v>2135</v>
      </c>
      <c r="L89" s="1709">
        <f t="shared" si="8"/>
        <v>233.56366249764469</v>
      </c>
      <c r="M89" s="67"/>
      <c r="N89" s="36"/>
      <c r="O89" s="36"/>
      <c r="P89" s="35"/>
      <c r="Q89" s="35"/>
      <c r="R89" s="35"/>
      <c r="S89" s="35"/>
      <c r="T89" s="35"/>
      <c r="U89" s="35"/>
      <c r="V89" s="35"/>
      <c r="W89" s="35"/>
      <c r="X89" s="35"/>
      <c r="Y89" s="35"/>
    </row>
    <row r="90" spans="1:25" ht="15">
      <c r="B90" s="192"/>
      <c r="C90" s="51"/>
      <c r="D90" s="67"/>
      <c r="E90" s="67"/>
      <c r="F90" s="67"/>
      <c r="G90" s="67"/>
      <c r="H90" s="67"/>
      <c r="I90" s="67"/>
      <c r="J90" s="2163" t="s">
        <v>98</v>
      </c>
      <c r="K90" s="812">
        <f>SUM(K74:K89)</f>
        <v>66008.647756013379</v>
      </c>
      <c r="L90" s="1709">
        <f>SUM(L74:L89)</f>
        <v>7895.7108058337999</v>
      </c>
      <c r="M90" s="67"/>
      <c r="N90" s="36"/>
      <c r="O90" s="36"/>
      <c r="P90" s="35"/>
      <c r="Q90" s="35"/>
      <c r="R90" s="35"/>
      <c r="S90" s="35"/>
      <c r="T90" s="35"/>
      <c r="U90" s="35"/>
      <c r="V90" s="35"/>
      <c r="W90" s="35"/>
      <c r="X90" s="35"/>
      <c r="Y90" s="35"/>
    </row>
    <row r="91" spans="1:25" ht="15">
      <c r="B91" s="192"/>
      <c r="C91" s="51"/>
      <c r="D91" s="67"/>
      <c r="E91" s="67"/>
      <c r="F91" s="67"/>
      <c r="G91" s="67"/>
      <c r="H91" s="67"/>
      <c r="I91" s="67"/>
      <c r="J91" s="537"/>
      <c r="K91" s="170"/>
      <c r="L91" s="1295"/>
      <c r="M91" s="67"/>
      <c r="N91" s="36"/>
      <c r="O91" s="36"/>
      <c r="P91" s="35"/>
      <c r="Q91" s="35"/>
      <c r="R91" s="35"/>
      <c r="S91" s="35"/>
      <c r="T91" s="35"/>
      <c r="U91" s="35"/>
      <c r="V91" s="35"/>
      <c r="W91" s="35"/>
      <c r="X91" s="35"/>
      <c r="Y91" s="35"/>
    </row>
    <row r="92" spans="1:25" ht="15">
      <c r="B92" s="192"/>
      <c r="C92" s="51"/>
      <c r="D92" s="67"/>
      <c r="E92" s="67"/>
      <c r="F92" s="67"/>
      <c r="G92" s="67"/>
      <c r="H92" s="170"/>
      <c r="I92" s="67"/>
      <c r="J92" s="2116"/>
      <c r="K92" s="2153"/>
      <c r="L92" s="2164"/>
      <c r="M92" s="67"/>
      <c r="N92" s="62"/>
      <c r="O92" s="36"/>
      <c r="P92" s="35"/>
      <c r="Q92" s="35"/>
      <c r="R92" s="35"/>
      <c r="S92" s="35"/>
      <c r="T92" s="35"/>
      <c r="U92" s="35"/>
      <c r="V92" s="35"/>
      <c r="W92" s="35"/>
      <c r="X92" s="35"/>
      <c r="Y92" s="35"/>
    </row>
    <row r="93" spans="1:25" ht="15">
      <c r="B93" s="192"/>
      <c r="C93" s="51"/>
      <c r="D93" s="628"/>
      <c r="E93" s="62"/>
      <c r="F93" s="62"/>
      <c r="G93" s="1184"/>
      <c r="H93" s="1184"/>
      <c r="I93" s="1184"/>
      <c r="J93" s="533"/>
      <c r="K93" s="533"/>
      <c r="L93" s="1272"/>
      <c r="M93" s="533"/>
      <c r="N93" s="53"/>
      <c r="O93" s="36"/>
      <c r="P93" s="36"/>
      <c r="Q93" s="56"/>
      <c r="R93" s="35"/>
      <c r="S93" s="35"/>
      <c r="T93" s="35"/>
      <c r="U93" s="35"/>
      <c r="V93" s="35"/>
      <c r="W93" s="35"/>
      <c r="X93" s="35"/>
    </row>
    <row r="94" spans="1:25" ht="15">
      <c r="B94" s="192"/>
      <c r="C94" s="2115"/>
      <c r="D94" s="67"/>
      <c r="E94" s="67"/>
      <c r="F94" s="67"/>
      <c r="G94" s="67"/>
      <c r="H94" s="67"/>
      <c r="I94" s="67"/>
      <c r="J94" s="67"/>
      <c r="K94" s="628"/>
      <c r="L94" s="1273"/>
      <c r="M94" s="533"/>
      <c r="N94" s="53"/>
      <c r="O94" s="36"/>
      <c r="P94" s="36"/>
      <c r="Q94" s="56"/>
      <c r="R94" s="35"/>
      <c r="S94" s="35"/>
      <c r="T94" s="35"/>
      <c r="U94" s="35"/>
      <c r="V94" s="35"/>
      <c r="W94" s="35"/>
      <c r="X94" s="35"/>
    </row>
    <row r="95" spans="1:25" s="42" customFormat="1" ht="15">
      <c r="A95" s="40"/>
      <c r="B95" s="2395" t="s">
        <v>327</v>
      </c>
      <c r="C95" s="2401"/>
      <c r="D95" s="2401"/>
      <c r="E95" s="2401"/>
      <c r="F95" s="2401"/>
      <c r="G95" s="2401"/>
      <c r="H95" s="2401"/>
      <c r="I95" s="2401"/>
      <c r="J95" s="2401"/>
      <c r="K95" s="2401"/>
      <c r="L95" s="2543"/>
      <c r="M95" s="526"/>
      <c r="N95" s="39"/>
      <c r="O95" s="39"/>
    </row>
    <row r="96" spans="1:25" s="42" customFormat="1">
      <c r="A96" s="39"/>
      <c r="B96" s="781"/>
      <c r="C96" s="1525"/>
      <c r="D96" s="2112"/>
      <c r="E96" s="40"/>
      <c r="F96" s="40"/>
      <c r="G96" s="40"/>
      <c r="H96" s="40"/>
      <c r="I96" s="40"/>
      <c r="J96" s="40"/>
      <c r="K96" s="40"/>
      <c r="L96" s="2165"/>
      <c r="M96" s="40"/>
      <c r="N96" s="2"/>
      <c r="O96" s="2"/>
      <c r="P96" s="3"/>
      <c r="Q96" s="3"/>
      <c r="R96" s="3"/>
    </row>
    <row r="97" spans="1:18" s="42" customFormat="1" ht="15">
      <c r="A97" s="39"/>
      <c r="B97" s="84"/>
      <c r="C97" s="51"/>
      <c r="D97" s="40"/>
      <c r="E97" s="40"/>
      <c r="F97" s="40"/>
      <c r="G97" s="2386" t="s">
        <v>289</v>
      </c>
      <c r="H97" s="2386"/>
      <c r="I97" s="2386"/>
      <c r="J97" s="2386"/>
      <c r="K97" s="2386"/>
      <c r="L97" s="83"/>
      <c r="M97" s="40"/>
      <c r="N97" s="2"/>
      <c r="O97" s="2"/>
      <c r="P97" s="3"/>
      <c r="Q97" s="3"/>
      <c r="R97" s="3"/>
    </row>
    <row r="98" spans="1:18" s="42" customFormat="1">
      <c r="A98" s="39"/>
      <c r="B98" s="84"/>
      <c r="C98" s="51"/>
      <c r="D98" s="40"/>
      <c r="E98" s="40"/>
      <c r="F98" s="40"/>
      <c r="G98" s="40" t="s">
        <v>642</v>
      </c>
      <c r="H98" s="40"/>
      <c r="I98" s="40"/>
      <c r="J98" s="40"/>
      <c r="K98" s="40"/>
      <c r="L98" s="83"/>
      <c r="M98" s="40"/>
      <c r="N98" s="2"/>
      <c r="O98" s="2"/>
      <c r="P98" s="3"/>
      <c r="Q98" s="3"/>
      <c r="R98" s="3"/>
    </row>
    <row r="99" spans="1:18" s="42" customFormat="1">
      <c r="A99" s="39"/>
      <c r="B99" s="84"/>
      <c r="C99" s="51"/>
      <c r="D99" s="40"/>
      <c r="E99" s="40"/>
      <c r="F99" s="40"/>
      <c r="G99" s="40"/>
      <c r="H99" s="40"/>
      <c r="I99" s="40"/>
      <c r="J99" s="40"/>
      <c r="K99" s="2112"/>
      <c r="L99" s="83"/>
      <c r="M99" s="40"/>
      <c r="N99" s="2"/>
      <c r="O99" s="2"/>
      <c r="P99" s="3"/>
      <c r="Q99" s="3"/>
      <c r="R99" s="3"/>
    </row>
    <row r="100" spans="1:18" s="42" customFormat="1">
      <c r="A100" s="39"/>
      <c r="B100" s="84"/>
      <c r="C100" s="51"/>
      <c r="D100" s="40"/>
      <c r="E100" s="40"/>
      <c r="F100" s="40"/>
      <c r="G100" s="40"/>
      <c r="H100" s="40"/>
      <c r="I100" s="40"/>
      <c r="J100" s="40"/>
      <c r="K100" s="2112"/>
      <c r="L100" s="83"/>
      <c r="M100" s="40"/>
      <c r="N100" s="2"/>
      <c r="O100" s="2"/>
      <c r="P100" s="3"/>
      <c r="Q100" s="3"/>
      <c r="R100" s="3"/>
    </row>
    <row r="101" spans="1:18" s="42" customFormat="1" ht="15" thickBot="1">
      <c r="A101" s="39"/>
      <c r="B101" s="108"/>
      <c r="C101" s="2166"/>
      <c r="D101" s="2167"/>
      <c r="E101" s="2167"/>
      <c r="F101" s="2167"/>
      <c r="G101" s="2167"/>
      <c r="H101" s="2167"/>
      <c r="I101" s="2167"/>
      <c r="J101" s="2168"/>
      <c r="K101" s="2168"/>
      <c r="L101" s="110"/>
      <c r="M101" s="40"/>
      <c r="N101" s="2"/>
      <c r="O101" s="2"/>
      <c r="P101" s="3"/>
      <c r="Q101" s="3"/>
      <c r="R101" s="3"/>
    </row>
    <row r="102" spans="1:18" s="42" customFormat="1" ht="15">
      <c r="A102" s="39"/>
      <c r="B102" s="39"/>
      <c r="C102" s="525"/>
      <c r="D102" s="44"/>
      <c r="E102" s="40"/>
      <c r="F102" s="40"/>
      <c r="G102" s="40"/>
      <c r="H102" s="40"/>
      <c r="I102" s="40"/>
      <c r="J102" s="40"/>
      <c r="K102" s="40"/>
      <c r="L102" s="40"/>
      <c r="M102" s="40"/>
      <c r="N102" s="2"/>
      <c r="O102" s="2"/>
      <c r="P102" s="3"/>
      <c r="Q102" s="3"/>
      <c r="R102" s="3"/>
    </row>
    <row r="103" spans="1:18" s="42" customFormat="1" ht="15">
      <c r="A103" s="39"/>
      <c r="B103" s="39"/>
      <c r="C103" s="525"/>
      <c r="D103" s="44"/>
      <c r="E103" s="39"/>
      <c r="F103" s="40"/>
      <c r="G103" s="40"/>
      <c r="H103" s="40"/>
      <c r="I103" s="40"/>
      <c r="J103" s="40"/>
      <c r="K103" s="40"/>
      <c r="L103" s="40"/>
      <c r="M103" s="40"/>
      <c r="N103" s="2"/>
      <c r="O103" s="2"/>
      <c r="P103" s="3"/>
      <c r="Q103" s="3"/>
      <c r="R103" s="3"/>
    </row>
    <row r="104" spans="1:18" s="42" customFormat="1" ht="15">
      <c r="A104" s="39"/>
      <c r="B104" s="39"/>
      <c r="C104" s="525"/>
      <c r="D104" s="44"/>
      <c r="E104" s="44"/>
      <c r="F104" s="40"/>
      <c r="G104" s="40"/>
      <c r="H104" s="40"/>
      <c r="I104" s="40"/>
      <c r="J104" s="40"/>
      <c r="K104" s="40"/>
      <c r="L104" s="40"/>
      <c r="M104" s="40"/>
      <c r="N104" s="2"/>
      <c r="O104" s="2"/>
      <c r="P104" s="3"/>
      <c r="Q104" s="3"/>
      <c r="R104" s="3"/>
    </row>
    <row r="105" spans="1:18" s="42" customFormat="1" ht="15">
      <c r="A105" s="39"/>
      <c r="B105" s="39"/>
      <c r="C105" s="525"/>
      <c r="D105" s="44"/>
      <c r="E105" s="44"/>
      <c r="F105" s="40"/>
      <c r="G105" s="40"/>
      <c r="H105" s="40"/>
      <c r="I105" s="40"/>
      <c r="J105" s="40"/>
      <c r="K105" s="40"/>
      <c r="L105" s="40"/>
      <c r="M105" s="40"/>
      <c r="N105" s="2"/>
      <c r="O105" s="2"/>
      <c r="P105" s="3"/>
      <c r="Q105" s="3"/>
      <c r="R105" s="3"/>
    </row>
    <row r="106" spans="1:18" s="42" customFormat="1">
      <c r="A106" s="39"/>
      <c r="B106" s="39"/>
      <c r="C106" s="51"/>
      <c r="D106" s="40"/>
      <c r="E106" s="40"/>
      <c r="F106" s="208"/>
      <c r="G106" s="208"/>
      <c r="H106" s="208"/>
      <c r="I106" s="208"/>
      <c r="J106" s="208"/>
      <c r="K106" s="208"/>
      <c r="L106" s="208"/>
      <c r="M106" s="208"/>
      <c r="N106" s="2"/>
      <c r="O106" s="2"/>
      <c r="P106" s="3"/>
      <c r="Q106" s="3"/>
      <c r="R106" s="3"/>
    </row>
    <row r="107" spans="1:18" s="42" customFormat="1">
      <c r="A107" s="39"/>
      <c r="B107" s="39"/>
      <c r="C107" s="51"/>
      <c r="D107" s="40"/>
      <c r="E107" s="40"/>
      <c r="F107" s="40"/>
      <c r="G107" s="40"/>
      <c r="H107" s="40"/>
      <c r="I107" s="40"/>
      <c r="J107" s="40"/>
      <c r="K107" s="40"/>
      <c r="L107" s="40"/>
      <c r="M107" s="40"/>
      <c r="N107" s="2"/>
      <c r="O107" s="2"/>
      <c r="P107" s="3"/>
      <c r="Q107" s="3"/>
      <c r="R107" s="3"/>
    </row>
    <row r="108" spans="1:18" s="42" customFormat="1">
      <c r="A108" s="39"/>
      <c r="B108" s="39"/>
      <c r="C108" s="441"/>
      <c r="D108" s="209"/>
      <c r="E108" s="40"/>
      <c r="F108" s="73"/>
      <c r="G108" s="40"/>
      <c r="H108" s="40"/>
      <c r="I108" s="40"/>
      <c r="J108" s="40"/>
      <c r="K108" s="40"/>
      <c r="L108" s="40"/>
      <c r="M108" s="40"/>
      <c r="N108" s="2"/>
      <c r="O108" s="2"/>
      <c r="P108" s="3"/>
      <c r="Q108" s="3"/>
      <c r="R108" s="3"/>
    </row>
    <row r="109" spans="1:18" s="42" customFormat="1">
      <c r="A109" s="39"/>
      <c r="B109" s="39"/>
      <c r="C109" s="51"/>
      <c r="D109" s="40"/>
      <c r="E109" s="40"/>
      <c r="F109" s="40"/>
      <c r="G109" s="40"/>
      <c r="H109" s="40"/>
      <c r="I109" s="40"/>
      <c r="J109" s="40"/>
      <c r="K109" s="40"/>
      <c r="L109" s="40"/>
      <c r="M109" s="40"/>
      <c r="N109" s="2"/>
      <c r="O109" s="2"/>
      <c r="P109" s="3"/>
      <c r="Q109" s="3"/>
      <c r="R109" s="3"/>
    </row>
    <row r="110" spans="1:18" s="42" customFormat="1">
      <c r="A110" s="39"/>
      <c r="B110" s="39"/>
      <c r="C110" s="51"/>
      <c r="D110" s="40"/>
      <c r="E110" s="40"/>
      <c r="F110" s="210"/>
      <c r="G110" s="210"/>
      <c r="H110" s="210"/>
      <c r="I110" s="210"/>
      <c r="J110" s="210"/>
      <c r="K110" s="210"/>
      <c r="L110" s="210"/>
      <c r="M110" s="210"/>
      <c r="N110" s="2"/>
      <c r="O110" s="2"/>
      <c r="P110" s="3"/>
      <c r="Q110" s="3"/>
      <c r="R110" s="3"/>
    </row>
    <row r="111" spans="1:18" s="42" customFormat="1">
      <c r="A111" s="39"/>
      <c r="B111" s="39"/>
      <c r="C111" s="51"/>
      <c r="D111" s="40"/>
      <c r="E111" s="40"/>
      <c r="F111" s="40"/>
      <c r="G111" s="40"/>
      <c r="H111" s="40"/>
      <c r="I111" s="40"/>
      <c r="J111" s="40"/>
      <c r="K111" s="40"/>
      <c r="L111" s="40"/>
      <c r="M111" s="40"/>
      <c r="N111" s="2"/>
      <c r="O111" s="2"/>
      <c r="P111" s="3"/>
      <c r="Q111" s="3"/>
      <c r="R111" s="3"/>
    </row>
    <row r="112" spans="1:18" s="42" customFormat="1">
      <c r="A112" s="39"/>
      <c r="B112" s="39"/>
      <c r="C112" s="51"/>
      <c r="D112" s="40"/>
      <c r="E112" s="40"/>
      <c r="F112" s="40"/>
      <c r="G112" s="40"/>
      <c r="H112" s="40"/>
      <c r="I112" s="40"/>
      <c r="J112" s="40"/>
      <c r="K112" s="40"/>
      <c r="L112" s="40"/>
      <c r="M112" s="40"/>
      <c r="N112" s="2"/>
      <c r="O112" s="2"/>
      <c r="P112" s="3"/>
      <c r="Q112" s="3"/>
      <c r="R112" s="3"/>
    </row>
    <row r="113" spans="1:19" s="42" customFormat="1" ht="15">
      <c r="A113" s="39"/>
      <c r="B113" s="39"/>
      <c r="C113" s="525"/>
      <c r="D113" s="44"/>
      <c r="E113" s="40"/>
      <c r="F113" s="40"/>
      <c r="G113" s="40"/>
      <c r="H113" s="40"/>
      <c r="I113" s="40"/>
      <c r="J113" s="40"/>
      <c r="K113" s="40"/>
      <c r="L113" s="40"/>
      <c r="M113" s="40"/>
      <c r="N113" s="2"/>
      <c r="O113" s="2"/>
      <c r="P113" s="3"/>
      <c r="Q113" s="3"/>
      <c r="R113" s="3"/>
    </row>
    <row r="114" spans="1:19" s="42" customFormat="1">
      <c r="A114" s="39"/>
      <c r="B114" s="39"/>
      <c r="C114" s="51"/>
      <c r="D114" s="40"/>
      <c r="E114" s="40"/>
      <c r="F114" s="210"/>
      <c r="G114" s="210"/>
      <c r="H114" s="210"/>
      <c r="I114" s="210"/>
      <c r="J114" s="210"/>
      <c r="K114" s="210"/>
      <c r="L114" s="210"/>
      <c r="M114" s="210"/>
      <c r="N114" s="2"/>
      <c r="O114" s="2"/>
      <c r="P114" s="3"/>
      <c r="Q114" s="3"/>
      <c r="R114" s="3"/>
    </row>
    <row r="115" spans="1:19" s="42" customFormat="1">
      <c r="A115" s="39"/>
      <c r="B115" s="39"/>
      <c r="C115" s="51"/>
      <c r="D115" s="40"/>
      <c r="E115" s="40"/>
      <c r="F115" s="40"/>
      <c r="G115" s="40"/>
      <c r="H115" s="40"/>
      <c r="I115" s="40"/>
      <c r="J115" s="40"/>
      <c r="K115" s="40"/>
      <c r="L115" s="40"/>
      <c r="M115" s="40"/>
      <c r="N115" s="2"/>
      <c r="O115" s="2"/>
      <c r="P115" s="3"/>
      <c r="Q115" s="3"/>
      <c r="R115" s="3"/>
    </row>
    <row r="116" spans="1:19" s="42" customFormat="1">
      <c r="A116" s="39"/>
      <c r="B116" s="39"/>
      <c r="C116" s="51"/>
      <c r="D116" s="40"/>
      <c r="E116" s="40"/>
      <c r="F116" s="40"/>
      <c r="G116" s="40"/>
      <c r="H116" s="40"/>
      <c r="I116" s="40"/>
      <c r="J116" s="40"/>
      <c r="K116" s="40"/>
      <c r="L116" s="40"/>
      <c r="M116" s="40"/>
      <c r="N116" s="2"/>
      <c r="O116" s="2"/>
      <c r="P116" s="3"/>
      <c r="Q116" s="3"/>
      <c r="R116" s="3"/>
    </row>
    <row r="117" spans="1:19" s="42" customFormat="1">
      <c r="A117" s="39"/>
      <c r="B117" s="39"/>
      <c r="C117" s="51"/>
      <c r="D117" s="40"/>
      <c r="E117" s="40"/>
      <c r="F117" s="210"/>
      <c r="G117" s="210"/>
      <c r="H117" s="210"/>
      <c r="I117" s="210"/>
      <c r="J117" s="210"/>
      <c r="K117" s="210"/>
      <c r="L117" s="210"/>
      <c r="M117" s="210"/>
      <c r="N117" s="2"/>
      <c r="O117" s="2"/>
      <c r="P117" s="3"/>
      <c r="Q117" s="3"/>
      <c r="R117" s="3"/>
    </row>
    <row r="118" spans="1:19" s="42" customFormat="1">
      <c r="A118" s="39"/>
      <c r="B118" s="39"/>
      <c r="C118" s="51"/>
      <c r="D118" s="40"/>
      <c r="E118" s="40"/>
      <c r="F118" s="208"/>
      <c r="G118" s="208"/>
      <c r="H118" s="208"/>
      <c r="I118" s="208"/>
      <c r="J118" s="208"/>
      <c r="K118" s="208"/>
      <c r="L118" s="208"/>
      <c r="M118" s="208"/>
      <c r="N118" s="2"/>
      <c r="O118" s="2"/>
      <c r="P118" s="3"/>
      <c r="Q118" s="3"/>
      <c r="R118" s="3"/>
    </row>
    <row r="119" spans="1:19" s="42" customFormat="1">
      <c r="A119" s="39"/>
      <c r="B119" s="39"/>
      <c r="C119" s="51"/>
      <c r="D119" s="40"/>
      <c r="E119" s="40"/>
      <c r="F119" s="208"/>
      <c r="G119" s="208"/>
      <c r="H119" s="208"/>
      <c r="I119" s="208"/>
      <c r="J119" s="208"/>
      <c r="K119" s="208"/>
      <c r="L119" s="208"/>
      <c r="M119" s="208"/>
      <c r="N119" s="2"/>
      <c r="O119" s="2"/>
      <c r="P119" s="3"/>
      <c r="Q119" s="3"/>
      <c r="R119" s="3"/>
    </row>
    <row r="120" spans="1:19" s="42" customFormat="1" ht="15">
      <c r="A120" s="39"/>
      <c r="B120" s="39"/>
      <c r="C120" s="525"/>
      <c r="D120" s="44"/>
      <c r="E120" s="40"/>
      <c r="F120" s="211"/>
      <c r="G120" s="211"/>
      <c r="H120" s="211"/>
      <c r="I120" s="211"/>
      <c r="J120" s="211"/>
      <c r="K120" s="211"/>
      <c r="L120" s="211"/>
      <c r="M120" s="211"/>
      <c r="N120" s="2"/>
      <c r="O120" s="2"/>
      <c r="P120" s="3"/>
      <c r="Q120" s="3"/>
      <c r="R120" s="3"/>
    </row>
    <row r="121" spans="1:19" s="42" customFormat="1" ht="15">
      <c r="A121" s="39"/>
      <c r="B121" s="39"/>
      <c r="C121" s="525"/>
      <c r="D121" s="44"/>
      <c r="E121" s="40"/>
      <c r="F121" s="211"/>
      <c r="G121" s="211"/>
      <c r="H121" s="211"/>
      <c r="I121" s="211"/>
      <c r="J121" s="211"/>
      <c r="K121" s="211"/>
      <c r="L121" s="211"/>
      <c r="M121" s="211"/>
      <c r="N121" s="2"/>
      <c r="O121" s="2"/>
      <c r="P121" s="3"/>
      <c r="Q121" s="3"/>
      <c r="R121" s="3"/>
    </row>
    <row r="122" spans="1:19" s="42" customFormat="1" ht="15">
      <c r="A122" s="39"/>
      <c r="B122" s="39"/>
      <c r="C122" s="525"/>
      <c r="D122" s="44"/>
      <c r="E122" s="40"/>
      <c r="F122" s="211"/>
      <c r="G122" s="211"/>
      <c r="H122" s="211"/>
      <c r="I122" s="211"/>
      <c r="J122" s="211"/>
      <c r="K122" s="211"/>
      <c r="L122" s="211"/>
      <c r="M122" s="211"/>
      <c r="N122" s="2"/>
      <c r="O122" s="2"/>
      <c r="P122" s="3"/>
      <c r="Q122" s="3"/>
      <c r="R122" s="3"/>
    </row>
    <row r="123" spans="1:19" s="42" customFormat="1">
      <c r="A123" s="39"/>
      <c r="B123" s="39"/>
      <c r="C123" s="51"/>
      <c r="D123" s="40"/>
      <c r="E123" s="40"/>
      <c r="F123" s="208"/>
      <c r="G123" s="208"/>
      <c r="H123" s="208"/>
      <c r="I123" s="208"/>
      <c r="J123" s="208"/>
      <c r="K123" s="208"/>
      <c r="L123" s="208"/>
      <c r="M123" s="208"/>
      <c r="N123" s="2"/>
      <c r="O123" s="2"/>
      <c r="P123" s="3"/>
      <c r="Q123" s="3"/>
      <c r="R123" s="3"/>
    </row>
    <row r="124" spans="1:19" s="42" customFormat="1">
      <c r="A124" s="39"/>
      <c r="B124" s="39"/>
      <c r="C124" s="51"/>
      <c r="D124" s="40"/>
      <c r="E124" s="40"/>
      <c r="F124" s="40"/>
      <c r="G124" s="40"/>
      <c r="H124" s="40"/>
      <c r="I124" s="40"/>
      <c r="J124" s="40"/>
      <c r="K124" s="39"/>
      <c r="L124" s="39"/>
      <c r="M124" s="39"/>
      <c r="N124" s="39"/>
      <c r="O124" s="39"/>
      <c r="P124" s="39"/>
      <c r="Q124" s="39"/>
      <c r="R124" s="39"/>
      <c r="S124" s="39"/>
    </row>
    <row r="125" spans="1:19">
      <c r="A125" s="39"/>
      <c r="B125" s="39"/>
      <c r="C125" s="51"/>
      <c r="D125" s="62"/>
      <c r="E125" s="62" t="s">
        <v>42</v>
      </c>
      <c r="F125" s="62"/>
      <c r="G125" s="62"/>
      <c r="H125" s="62"/>
      <c r="I125" s="62"/>
      <c r="J125" s="62"/>
      <c r="K125" s="203"/>
      <c r="L125" s="203"/>
      <c r="M125" s="203"/>
      <c r="N125" s="203"/>
      <c r="O125" s="203"/>
      <c r="P125" s="203"/>
      <c r="Q125" s="203"/>
      <c r="R125" s="203"/>
      <c r="S125" s="203"/>
    </row>
    <row r="126" spans="1:19">
      <c r="A126" s="39"/>
      <c r="B126" s="39"/>
      <c r="C126" s="885"/>
      <c r="D126" s="35"/>
      <c r="E126" s="35"/>
      <c r="F126" s="35"/>
      <c r="G126" s="35"/>
      <c r="H126" s="35"/>
      <c r="I126" s="35"/>
      <c r="J126" s="35"/>
      <c r="K126" s="35"/>
      <c r="L126" s="203"/>
      <c r="M126" s="203"/>
      <c r="N126" s="203"/>
      <c r="O126" s="203"/>
      <c r="P126" s="203"/>
      <c r="Q126" s="203"/>
      <c r="R126" s="203"/>
      <c r="S126" s="203"/>
    </row>
    <row r="127" spans="1:19">
      <c r="A127" s="35"/>
      <c r="B127" s="35"/>
      <c r="C127" s="885"/>
      <c r="D127" s="35"/>
      <c r="E127" s="35"/>
      <c r="F127" s="35"/>
      <c r="G127" s="35"/>
      <c r="H127" s="35"/>
      <c r="I127" s="35"/>
      <c r="J127" s="35"/>
      <c r="K127" s="35"/>
      <c r="L127" s="203"/>
      <c r="M127" s="203"/>
      <c r="N127" s="203"/>
      <c r="O127" s="203"/>
      <c r="P127" s="203"/>
      <c r="Q127" s="203"/>
      <c r="R127" s="203"/>
      <c r="S127" s="203"/>
    </row>
    <row r="128" spans="1:19">
      <c r="A128" s="35"/>
      <c r="B128" s="35"/>
      <c r="C128" s="885"/>
      <c r="D128" s="35"/>
      <c r="E128" s="35"/>
      <c r="F128" s="35"/>
      <c r="G128" s="35"/>
      <c r="H128" s="35"/>
      <c r="I128" s="35"/>
      <c r="J128" s="35"/>
      <c r="K128" s="35"/>
      <c r="L128" s="203"/>
      <c r="M128" s="203"/>
      <c r="N128" s="203"/>
      <c r="O128" s="203"/>
      <c r="P128" s="203"/>
      <c r="Q128" s="203"/>
      <c r="R128" s="203"/>
      <c r="S128" s="203"/>
    </row>
    <row r="129" spans="1:23">
      <c r="A129" s="35"/>
      <c r="B129" s="35"/>
      <c r="C129" s="885"/>
      <c r="D129" s="35"/>
      <c r="E129" s="35"/>
      <c r="F129" s="35"/>
      <c r="G129" s="35"/>
      <c r="H129" s="35"/>
      <c r="I129" s="35"/>
      <c r="J129" s="35"/>
      <c r="K129" s="35"/>
      <c r="L129" s="203"/>
      <c r="M129" s="203"/>
      <c r="N129" s="203"/>
      <c r="O129" s="203"/>
      <c r="P129" s="203"/>
      <c r="Q129" s="203"/>
      <c r="R129" s="203"/>
      <c r="S129" s="203"/>
    </row>
    <row r="130" spans="1:23">
      <c r="A130" s="35"/>
      <c r="B130" s="35"/>
      <c r="C130" s="885"/>
      <c r="D130" s="35"/>
      <c r="E130" s="35"/>
      <c r="F130" s="35"/>
      <c r="G130" s="35"/>
      <c r="H130" s="35"/>
      <c r="I130" s="35"/>
      <c r="J130" s="35"/>
      <c r="K130" s="35"/>
      <c r="L130" s="203"/>
      <c r="M130" s="203"/>
      <c r="N130" s="203"/>
      <c r="O130" s="203"/>
      <c r="P130" s="203"/>
      <c r="Q130" s="203"/>
      <c r="R130" s="203"/>
      <c r="S130" s="203"/>
    </row>
    <row r="131" spans="1:23">
      <c r="A131" s="35"/>
      <c r="B131" s="35"/>
      <c r="C131" s="885"/>
      <c r="D131" s="35"/>
      <c r="E131" s="35"/>
      <c r="F131" s="35"/>
      <c r="G131" s="35"/>
      <c r="H131" s="35"/>
      <c r="I131" s="35"/>
      <c r="J131" s="35"/>
      <c r="K131" s="35"/>
      <c r="L131" s="203"/>
      <c r="M131" s="203"/>
      <c r="N131" s="203"/>
      <c r="O131" s="203"/>
      <c r="P131" s="203"/>
      <c r="Q131" s="203"/>
      <c r="R131" s="203"/>
      <c r="S131" s="203"/>
    </row>
    <row r="132" spans="1:23">
      <c r="A132" s="35"/>
      <c r="B132" s="35"/>
      <c r="C132" s="885"/>
      <c r="D132" s="35"/>
      <c r="E132" s="35"/>
      <c r="F132" s="35"/>
      <c r="G132" s="35"/>
      <c r="H132" s="35"/>
      <c r="I132" s="35"/>
      <c r="J132" s="35"/>
      <c r="K132" s="35"/>
      <c r="L132" s="203"/>
      <c r="M132" s="203"/>
      <c r="N132" s="203"/>
      <c r="O132" s="203"/>
      <c r="P132" s="203"/>
      <c r="Q132" s="203"/>
      <c r="R132" s="203"/>
      <c r="S132" s="203"/>
    </row>
    <row r="133" spans="1:23">
      <c r="A133" s="35"/>
      <c r="B133" s="35"/>
      <c r="C133" s="885"/>
      <c r="D133" s="35"/>
      <c r="E133" s="35"/>
      <c r="F133" s="35"/>
      <c r="G133" s="35"/>
      <c r="H133" s="35"/>
      <c r="I133" s="35"/>
      <c r="J133" s="35"/>
      <c r="K133" s="35"/>
      <c r="L133" s="203"/>
      <c r="M133" s="203"/>
      <c r="N133" s="203"/>
      <c r="O133" s="203"/>
      <c r="P133" s="203"/>
      <c r="Q133" s="203"/>
      <c r="R133" s="203"/>
      <c r="S133" s="203"/>
    </row>
    <row r="134" spans="1:23">
      <c r="A134" s="35"/>
      <c r="B134" s="35"/>
      <c r="C134" s="885"/>
      <c r="D134" s="35"/>
      <c r="E134" s="35"/>
      <c r="F134" s="35"/>
      <c r="G134" s="35"/>
      <c r="H134" s="35"/>
      <c r="I134" s="35"/>
      <c r="J134" s="35"/>
      <c r="K134" s="35"/>
      <c r="L134" s="203"/>
      <c r="M134" s="203"/>
      <c r="N134" s="203"/>
      <c r="O134" s="203"/>
      <c r="P134" s="203"/>
      <c r="Q134" s="203"/>
      <c r="R134" s="203"/>
      <c r="S134" s="203"/>
    </row>
    <row r="135" spans="1:23">
      <c r="A135" s="35"/>
      <c r="B135" s="35"/>
      <c r="C135" s="885"/>
      <c r="D135" s="35"/>
      <c r="E135" s="35"/>
      <c r="F135" s="35"/>
      <c r="G135" s="35"/>
      <c r="H135" s="35"/>
      <c r="I135" s="35"/>
      <c r="J135" s="35"/>
      <c r="K135" s="35"/>
      <c r="L135" s="203"/>
      <c r="M135" s="203"/>
      <c r="N135" s="203"/>
      <c r="O135" s="203"/>
      <c r="P135" s="203"/>
      <c r="Q135" s="203"/>
      <c r="R135" s="203"/>
      <c r="S135" s="203"/>
    </row>
    <row r="136" spans="1:23">
      <c r="A136" s="35"/>
      <c r="B136" s="35"/>
      <c r="C136" s="885"/>
      <c r="D136" s="35"/>
      <c r="E136" s="35"/>
      <c r="F136" s="35"/>
      <c r="G136" s="35"/>
      <c r="H136" s="35"/>
      <c r="I136" s="35"/>
      <c r="J136" s="35"/>
      <c r="K136" s="35"/>
      <c r="L136" s="203"/>
      <c r="M136" s="203"/>
      <c r="N136" s="203"/>
      <c r="O136" s="203"/>
      <c r="P136" s="203"/>
      <c r="Q136" s="203"/>
      <c r="R136" s="203"/>
      <c r="S136" s="203"/>
    </row>
    <row r="137" spans="1:23">
      <c r="A137" s="35"/>
      <c r="B137" s="35"/>
      <c r="C137" s="885"/>
      <c r="D137" s="35"/>
      <c r="E137" s="35"/>
      <c r="F137" s="35"/>
      <c r="G137" s="35"/>
      <c r="H137" s="35"/>
      <c r="I137" s="35"/>
      <c r="J137" s="35"/>
      <c r="K137" s="35"/>
      <c r="L137" s="203"/>
      <c r="M137" s="203"/>
      <c r="N137" s="203"/>
      <c r="O137" s="203"/>
      <c r="P137" s="203"/>
      <c r="Q137" s="203"/>
      <c r="R137" s="203"/>
      <c r="S137" s="203"/>
    </row>
    <row r="138" spans="1:23">
      <c r="A138" s="35"/>
      <c r="B138" s="35"/>
      <c r="C138" s="885"/>
      <c r="D138" s="35"/>
      <c r="E138" s="35"/>
      <c r="F138" s="35"/>
      <c r="G138" s="35"/>
      <c r="H138" s="35"/>
      <c r="I138" s="35"/>
      <c r="J138" s="35"/>
      <c r="K138" s="35"/>
      <c r="L138" s="203"/>
      <c r="M138" s="203"/>
      <c r="N138" s="203"/>
      <c r="O138" s="203"/>
      <c r="P138" s="203"/>
      <c r="Q138" s="203"/>
      <c r="R138" s="203"/>
      <c r="S138" s="203"/>
    </row>
    <row r="139" spans="1:23">
      <c r="A139" s="35"/>
      <c r="B139" s="35"/>
      <c r="C139" s="885"/>
      <c r="D139" s="35"/>
      <c r="E139" s="35"/>
      <c r="F139" s="35"/>
      <c r="G139" s="35"/>
      <c r="H139" s="35"/>
      <c r="I139" s="35"/>
      <c r="J139" s="35"/>
      <c r="K139" s="35"/>
      <c r="L139" s="203"/>
      <c r="M139" s="203"/>
      <c r="N139" s="203"/>
      <c r="O139" s="203"/>
      <c r="P139" s="203"/>
      <c r="Q139" s="203"/>
      <c r="R139" s="203"/>
      <c r="S139" s="203"/>
    </row>
    <row r="140" spans="1:23">
      <c r="A140" s="35"/>
      <c r="B140" s="35"/>
      <c r="C140" s="885"/>
      <c r="D140" s="35"/>
      <c r="E140" s="35"/>
      <c r="F140" s="35"/>
      <c r="G140" s="35"/>
      <c r="H140" s="35"/>
      <c r="I140" s="35"/>
      <c r="J140" s="35"/>
      <c r="K140" s="35"/>
      <c r="L140" s="203"/>
      <c r="M140" s="203"/>
      <c r="N140" s="203"/>
      <c r="O140" s="203"/>
      <c r="P140" s="203"/>
      <c r="Q140" s="203"/>
      <c r="R140" s="203"/>
      <c r="S140" s="203"/>
      <c r="T140" s="10"/>
      <c r="U140" s="10"/>
      <c r="V140" s="10"/>
      <c r="W140" s="10"/>
    </row>
    <row r="141" spans="1:23">
      <c r="A141" s="35"/>
      <c r="B141" s="35"/>
      <c r="C141" s="885"/>
      <c r="D141" s="35"/>
      <c r="E141" s="35"/>
      <c r="F141" s="35"/>
      <c r="G141" s="35"/>
      <c r="H141" s="35"/>
      <c r="I141" s="35"/>
      <c r="J141" s="35"/>
      <c r="K141" s="35"/>
      <c r="L141" s="203"/>
      <c r="M141" s="203"/>
      <c r="N141" s="203"/>
      <c r="O141" s="203"/>
      <c r="P141" s="203"/>
      <c r="Q141" s="203"/>
      <c r="R141" s="203"/>
      <c r="S141" s="203"/>
    </row>
    <row r="142" spans="1:23">
      <c r="A142" s="35"/>
      <c r="B142" s="35"/>
      <c r="C142" s="885"/>
      <c r="D142" s="35"/>
      <c r="E142" s="35"/>
      <c r="F142" s="35"/>
      <c r="G142" s="35"/>
      <c r="H142" s="35"/>
      <c r="I142" s="35"/>
      <c r="J142" s="35"/>
      <c r="K142" s="35"/>
      <c r="L142" s="203"/>
      <c r="M142" s="203"/>
      <c r="N142" s="203"/>
      <c r="O142" s="203"/>
      <c r="P142" s="203"/>
      <c r="Q142" s="203"/>
      <c r="R142" s="203"/>
      <c r="S142" s="203"/>
    </row>
    <row r="143" spans="1:23">
      <c r="A143" s="35"/>
      <c r="B143" s="35"/>
      <c r="C143" s="885"/>
      <c r="D143" s="35"/>
      <c r="E143" s="35"/>
      <c r="F143" s="35"/>
      <c r="G143" s="35"/>
      <c r="H143" s="35"/>
      <c r="I143" s="35"/>
      <c r="J143" s="35"/>
      <c r="K143" s="35"/>
      <c r="L143" s="203"/>
      <c r="M143" s="203"/>
      <c r="N143" s="203"/>
      <c r="O143" s="203"/>
      <c r="P143" s="203"/>
      <c r="Q143" s="203"/>
      <c r="R143" s="203"/>
      <c r="S143" s="203"/>
    </row>
    <row r="144" spans="1:23">
      <c r="A144" s="35"/>
      <c r="B144" s="35"/>
      <c r="C144" s="885"/>
      <c r="D144" s="35"/>
      <c r="E144" s="35"/>
      <c r="F144" s="35"/>
      <c r="G144" s="35"/>
      <c r="H144" s="35"/>
      <c r="I144" s="35"/>
      <c r="J144" s="35"/>
      <c r="K144" s="35"/>
      <c r="L144" s="203"/>
      <c r="M144" s="203"/>
      <c r="N144" s="203"/>
      <c r="O144" s="203"/>
      <c r="P144" s="203"/>
      <c r="Q144" s="203"/>
      <c r="R144" s="203"/>
      <c r="S144" s="203"/>
    </row>
    <row r="145" spans="1:19">
      <c r="A145" s="35"/>
      <c r="B145" s="35"/>
      <c r="C145" s="885"/>
      <c r="D145" s="35"/>
      <c r="E145" s="35"/>
      <c r="F145" s="35"/>
      <c r="G145" s="35"/>
      <c r="H145" s="35"/>
      <c r="I145" s="35"/>
      <c r="J145" s="35"/>
      <c r="K145" s="35"/>
      <c r="L145" s="203"/>
      <c r="M145" s="203"/>
      <c r="N145" s="203"/>
      <c r="O145" s="203"/>
      <c r="P145" s="203"/>
      <c r="Q145" s="203"/>
      <c r="R145" s="203"/>
      <c r="S145" s="203"/>
    </row>
    <row r="146" spans="1:19">
      <c r="A146" s="35"/>
      <c r="B146" s="35"/>
    </row>
  </sheetData>
  <mergeCells count="13">
    <mergeCell ref="E1:F1"/>
    <mergeCell ref="H1:I1"/>
    <mergeCell ref="B49:L49"/>
    <mergeCell ref="C52:D52"/>
    <mergeCell ref="B95:L95"/>
    <mergeCell ref="G97:K97"/>
    <mergeCell ref="G4:G5"/>
    <mergeCell ref="C51:F51"/>
    <mergeCell ref="C50:F50"/>
    <mergeCell ref="C4:D5"/>
    <mergeCell ref="B10:L10"/>
    <mergeCell ref="B18:L18"/>
    <mergeCell ref="C20:D20"/>
  </mergeCells>
  <conditionalFormatting sqref="K51">
    <cfRule type="expression" dxfId="0" priority="19">
      <formula>#REF!&gt;$I$18</formula>
    </cfRule>
  </conditionalFormatting>
  <dataValidations count="1">
    <dataValidation type="list" allowBlank="1" showInputMessage="1" prompt="Select from list or type in job title" sqref="C24:C29">
      <formula1>Staff_List</formula1>
    </dataValidation>
  </dataValidations>
  <pageMargins left="0.70866141732283472" right="0.70866141732283472" top="0.74803149606299213" bottom="0.74803149606299213" header="0.31496062992125984" footer="0.31496062992125984"/>
  <pageSetup paperSize="9" scale="36"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staff_costs!$A$4:$A$21</xm:f>
          </x14:formula1>
          <xm:sqref>D24:D29</xm:sqref>
        </x14:dataValidation>
      </x14:dataValidations>
    </ex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pageSetUpPr fitToPage="1"/>
  </sheetPr>
  <dimension ref="A1:H15"/>
  <sheetViews>
    <sheetView showGridLines="0" zoomScale="75" zoomScaleNormal="75" zoomScalePageLayoutView="75" workbookViewId="0">
      <selection activeCell="A4" sqref="A4"/>
    </sheetView>
  </sheetViews>
  <sheetFormatPr defaultColWidth="8.85546875" defaultRowHeight="14.25"/>
  <cols>
    <col min="1" max="1" width="64.42578125" style="38" bestFit="1" customWidth="1"/>
    <col min="2" max="2" width="8.85546875" style="38"/>
    <col min="3" max="3" width="9.85546875" style="38" customWidth="1"/>
    <col min="4" max="4" width="28.42578125" style="38" customWidth="1"/>
    <col min="5" max="5" width="19.42578125" style="38" customWidth="1"/>
    <col min="6" max="16384" width="8.85546875" style="38"/>
  </cols>
  <sheetData>
    <row r="1" spans="1:8" s="42" customFormat="1" ht="26.1" customHeight="1">
      <c r="A1" s="1794" t="str">
        <f>HYPERLINK("[.\]Menu!A1", "To Menu")</f>
        <v>To Menu</v>
      </c>
      <c r="B1" s="1720"/>
      <c r="C1" s="1720"/>
      <c r="D1" s="1720"/>
      <c r="E1" s="1720"/>
      <c r="F1" s="1720"/>
      <c r="G1" s="1720"/>
      <c r="H1" s="1720"/>
    </row>
    <row r="2" spans="1:8" s="42" customFormat="1" ht="15" customHeight="1">
      <c r="A2" s="1450"/>
      <c r="B2" s="1450"/>
      <c r="C2" s="1450"/>
      <c r="D2" s="168"/>
      <c r="E2" s="608"/>
      <c r="F2" s="1450"/>
      <c r="G2" s="1450"/>
      <c r="H2" s="1450"/>
    </row>
    <row r="3" spans="1:8" s="42" customFormat="1" ht="26.1" customHeight="1">
      <c r="A3" s="1794" t="str">
        <f>HYPERLINK("[.\]hear_and_treat!B2", "Back to hear and treat")</f>
        <v>Back to hear and treat</v>
      </c>
    </row>
    <row r="4" spans="1:8" s="42" customFormat="1" ht="15">
      <c r="A4" s="455" t="s">
        <v>137</v>
      </c>
    </row>
    <row r="5" spans="1:8" s="42" customFormat="1"/>
    <row r="6" spans="1:8" s="42" customFormat="1" ht="21" customHeight="1">
      <c r="A6" s="383" t="s">
        <v>136</v>
      </c>
      <c r="D6" s="1315">
        <v>20000</v>
      </c>
    </row>
    <row r="7" spans="1:8" s="42" customFormat="1" ht="21" customHeight="1"/>
    <row r="8" spans="1:8" s="42" customFormat="1" ht="21" customHeight="1"/>
    <row r="9" spans="1:8" s="42" customFormat="1" ht="26.1" customHeight="1">
      <c r="A9" s="1794" t="str">
        <f>HYPERLINK("[.\]see_and_treat!B2", "Back to see and treat")</f>
        <v>Back to see and treat</v>
      </c>
    </row>
    <row r="10" spans="1:8" s="42" customFormat="1" ht="15">
      <c r="A10" s="455" t="s">
        <v>135</v>
      </c>
    </row>
    <row r="11" spans="1:8" s="42" customFormat="1">
      <c r="E11" s="49" t="s">
        <v>98</v>
      </c>
    </row>
    <row r="12" spans="1:8" s="42" customFormat="1" ht="15">
      <c r="A12" s="383" t="s">
        <v>134</v>
      </c>
      <c r="B12" s="40"/>
      <c r="C12" s="384">
        <v>2</v>
      </c>
      <c r="D12" s="1315">
        <v>7000</v>
      </c>
      <c r="E12" s="1316">
        <f>D12*C12</f>
        <v>14000</v>
      </c>
    </row>
    <row r="13" spans="1:8" s="42" customFormat="1" ht="15">
      <c r="A13" s="383" t="s">
        <v>537</v>
      </c>
      <c r="B13" s="40"/>
      <c r="C13" s="384">
        <v>2</v>
      </c>
      <c r="D13" s="1315">
        <v>2000</v>
      </c>
      <c r="E13" s="1316">
        <f>D13*C13</f>
        <v>4000</v>
      </c>
    </row>
    <row r="14" spans="1:8" s="42" customFormat="1" ht="15">
      <c r="A14" s="383" t="s">
        <v>128</v>
      </c>
      <c r="B14" s="40"/>
      <c r="C14" s="384">
        <v>7</v>
      </c>
      <c r="D14" s="1315">
        <v>1000</v>
      </c>
      <c r="E14" s="1316">
        <f>D14*C14</f>
        <v>7000</v>
      </c>
    </row>
    <row r="15" spans="1:8" s="42" customFormat="1" ht="15">
      <c r="A15" s="86" t="s">
        <v>98</v>
      </c>
      <c r="B15" s="40"/>
      <c r="C15" s="217"/>
      <c r="D15" s="378"/>
      <c r="E15" s="1316">
        <f>SUM(E12:E14)</f>
        <v>25000</v>
      </c>
    </row>
  </sheetData>
  <pageMargins left="0.70866141732283472" right="0.70866141732283472" top="0.74803149606299213" bottom="0.74803149606299213" header="0.31496062992125984" footer="0.31496062992125984"/>
  <pageSetup paperSize="9" scale="55"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pageSetUpPr fitToPage="1"/>
  </sheetPr>
  <dimension ref="A1:B42"/>
  <sheetViews>
    <sheetView showGridLines="0" zoomScale="75" zoomScaleNormal="75" zoomScalePageLayoutView="75" workbookViewId="0">
      <pane ySplit="1" topLeftCell="A2" activePane="bottomLeft" state="frozen"/>
      <selection pane="bottomLeft" activeCell="T35" sqref="T35"/>
    </sheetView>
  </sheetViews>
  <sheetFormatPr defaultColWidth="8.7109375" defaultRowHeight="14.25"/>
  <cols>
    <col min="1" max="1" width="52.42578125" style="1079" customWidth="1"/>
    <col min="2" max="2" width="28.42578125" style="1079" customWidth="1"/>
    <col min="3" max="3" width="14.7109375" style="1079" customWidth="1"/>
    <col min="4" max="16384" width="8.7109375" style="1079"/>
  </cols>
  <sheetData>
    <row r="1" spans="1:2" ht="26.1" customHeight="1">
      <c r="A1" s="1794" t="str">
        <f>HYPERLINK("[.\]Menu!A1", "To Menu")</f>
        <v>To Menu</v>
      </c>
    </row>
    <row r="2" spans="1:2" s="1090" customFormat="1" ht="15" customHeight="1"/>
    <row r="3" spans="1:2" ht="26.1" customHeight="1">
      <c r="A3" s="1794" t="str">
        <f>HYPERLINK("[.\]Clinical_advisor_consultations!B2", "Back to clinical advisor consultations")</f>
        <v>Back to clinical advisor consultations</v>
      </c>
    </row>
    <row r="4" spans="1:2" s="1090" customFormat="1" ht="15">
      <c r="A4" s="455" t="s">
        <v>1058</v>
      </c>
    </row>
    <row r="5" spans="1:2" s="1090" customFormat="1">
      <c r="A5" s="1090" t="s">
        <v>183</v>
      </c>
    </row>
    <row r="6" spans="1:2" s="1090" customFormat="1" ht="15">
      <c r="B6" s="455" t="s">
        <v>176</v>
      </c>
    </row>
    <row r="7" spans="1:2" s="1090" customFormat="1" ht="21" customHeight="1">
      <c r="A7" s="1520" t="s">
        <v>136</v>
      </c>
      <c r="B7" s="1521">
        <v>20000</v>
      </c>
    </row>
    <row r="8" spans="1:2" s="1090" customFormat="1" ht="21" customHeight="1"/>
    <row r="9" spans="1:2" s="1090" customFormat="1" ht="21" customHeight="1"/>
    <row r="10" spans="1:2" s="1090" customFormat="1" ht="15">
      <c r="A10" s="455" t="s">
        <v>182</v>
      </c>
    </row>
    <row r="11" spans="1:2" s="1090" customFormat="1" ht="39.75" customHeight="1">
      <c r="A11" s="2544" t="s">
        <v>181</v>
      </c>
      <c r="B11" s="2273"/>
    </row>
    <row r="12" spans="1:2" s="1090" customFormat="1" ht="29.25" customHeight="1">
      <c r="A12" s="2544" t="s">
        <v>681</v>
      </c>
      <c r="B12" s="2273"/>
    </row>
    <row r="13" spans="1:2" s="1090" customFormat="1" ht="15">
      <c r="B13" s="1522" t="s">
        <v>176</v>
      </c>
    </row>
    <row r="14" spans="1:2" s="1090" customFormat="1" ht="15">
      <c r="A14" s="1520" t="s">
        <v>180</v>
      </c>
      <c r="B14" s="1521">
        <v>100000</v>
      </c>
    </row>
    <row r="15" spans="1:2" s="1090" customFormat="1" ht="15">
      <c r="A15" s="1520" t="s">
        <v>179</v>
      </c>
      <c r="B15" s="1521">
        <v>100000</v>
      </c>
    </row>
    <row r="16" spans="1:2" s="1090" customFormat="1" ht="15">
      <c r="A16" s="1520" t="s">
        <v>1059</v>
      </c>
      <c r="B16" s="1521">
        <v>200000</v>
      </c>
    </row>
    <row r="17" spans="1:2" s="1090" customFormat="1" ht="15">
      <c r="A17" s="1520" t="s">
        <v>1118</v>
      </c>
      <c r="B17" s="1521">
        <v>50000</v>
      </c>
    </row>
    <row r="18" spans="1:2" s="1090" customFormat="1" ht="15">
      <c r="A18" s="1520" t="s">
        <v>178</v>
      </c>
      <c r="B18" s="1521">
        <v>30000</v>
      </c>
    </row>
    <row r="19" spans="1:2" s="1090" customFormat="1" ht="15">
      <c r="A19" s="1520" t="s">
        <v>1060</v>
      </c>
      <c r="B19" s="1521"/>
    </row>
    <row r="20" spans="1:2" s="1090" customFormat="1" ht="15">
      <c r="A20" s="1520" t="s">
        <v>98</v>
      </c>
      <c r="B20" s="1521">
        <f>SUM(B14:B19)</f>
        <v>480000</v>
      </c>
    </row>
    <row r="21" spans="1:2" s="1090" customFormat="1"/>
    <row r="22" spans="1:2" s="1090" customFormat="1"/>
    <row r="23" spans="1:2" s="1090" customFormat="1" ht="26.1" customHeight="1">
      <c r="A23" s="1794" t="str">
        <f>HYPERLINK("[.\]integration_of_hubs!B2", "Back to integration of hubs")</f>
        <v>Back to integration of hubs</v>
      </c>
    </row>
    <row r="24" spans="1:2" s="1090" customFormat="1" ht="48.75" customHeight="1">
      <c r="A24" s="2545" t="s">
        <v>177</v>
      </c>
      <c r="B24" s="2273"/>
    </row>
    <row r="25" spans="1:2" s="1090" customFormat="1"/>
    <row r="26" spans="1:2" s="1090" customFormat="1" ht="15">
      <c r="A26" s="1520" t="s">
        <v>95</v>
      </c>
      <c r="B26" s="1522" t="s">
        <v>176</v>
      </c>
    </row>
    <row r="27" spans="1:2" s="1090" customFormat="1" ht="15">
      <c r="A27" s="1520" t="s">
        <v>175</v>
      </c>
      <c r="B27" s="1521">
        <v>45317</v>
      </c>
    </row>
    <row r="28" spans="1:2" s="1090" customFormat="1" ht="15">
      <c r="A28" s="1520" t="s">
        <v>174</v>
      </c>
      <c r="B28" s="1521">
        <v>60000</v>
      </c>
    </row>
    <row r="29" spans="1:2" s="1090" customFormat="1" ht="15">
      <c r="A29" s="1520" t="s">
        <v>173</v>
      </c>
      <c r="B29" s="1521">
        <v>48500</v>
      </c>
    </row>
    <row r="30" spans="1:2" s="1090" customFormat="1" ht="15">
      <c r="A30" s="1520" t="s">
        <v>172</v>
      </c>
      <c r="B30" s="1521">
        <v>20000</v>
      </c>
    </row>
    <row r="31" spans="1:2" s="1090" customFormat="1" ht="15">
      <c r="A31" s="1520" t="s">
        <v>171</v>
      </c>
      <c r="B31" s="1521">
        <v>100000</v>
      </c>
    </row>
    <row r="32" spans="1:2" s="1090" customFormat="1" ht="15">
      <c r="A32" s="1520" t="s">
        <v>170</v>
      </c>
      <c r="B32" s="1521">
        <v>0</v>
      </c>
    </row>
    <row r="33" spans="1:2" s="1090" customFormat="1" ht="15">
      <c r="A33" s="1520" t="s">
        <v>169</v>
      </c>
      <c r="B33" s="1521">
        <v>20000</v>
      </c>
    </row>
    <row r="34" spans="1:2" s="1090" customFormat="1" ht="15">
      <c r="A34" s="1520" t="s">
        <v>1061</v>
      </c>
      <c r="B34" s="1521">
        <v>0</v>
      </c>
    </row>
    <row r="35" spans="1:2" s="1090" customFormat="1" ht="15">
      <c r="A35" s="1520" t="s">
        <v>1062</v>
      </c>
      <c r="B35" s="1521">
        <v>3000</v>
      </c>
    </row>
    <row r="36" spans="1:2" s="1090" customFormat="1" ht="15">
      <c r="A36" s="1520" t="s">
        <v>168</v>
      </c>
      <c r="B36" s="1521">
        <v>18000</v>
      </c>
    </row>
    <row r="37" spans="1:2" s="1090" customFormat="1" ht="15">
      <c r="A37" s="1520" t="s">
        <v>1063</v>
      </c>
      <c r="B37" s="1521">
        <v>0</v>
      </c>
    </row>
    <row r="38" spans="1:2" s="1090" customFormat="1" ht="15">
      <c r="A38" s="1520" t="s">
        <v>1064</v>
      </c>
      <c r="B38" s="1521">
        <v>232032</v>
      </c>
    </row>
    <row r="39" spans="1:2" s="1090" customFormat="1" ht="15">
      <c r="A39" s="1520" t="s">
        <v>167</v>
      </c>
      <c r="B39" s="1521">
        <v>25000</v>
      </c>
    </row>
    <row r="40" spans="1:2" s="1090" customFormat="1" ht="15">
      <c r="A40" s="1520" t="s">
        <v>166</v>
      </c>
      <c r="B40" s="1521">
        <v>50000</v>
      </c>
    </row>
    <row r="41" spans="1:2" s="1090" customFormat="1" ht="15">
      <c r="A41" s="1520" t="s">
        <v>165</v>
      </c>
      <c r="B41" s="1521">
        <v>23125</v>
      </c>
    </row>
    <row r="42" spans="1:2" s="1090" customFormat="1" ht="15">
      <c r="A42" s="1520" t="s">
        <v>164</v>
      </c>
      <c r="B42" s="1521">
        <f>SUM(B27:B41)</f>
        <v>644974</v>
      </c>
    </row>
  </sheetData>
  <mergeCells count="3">
    <mergeCell ref="A11:B11"/>
    <mergeCell ref="A12:B12"/>
    <mergeCell ref="A24:B24"/>
  </mergeCells>
  <pageMargins left="0.70866141732283472" right="0.70866141732283472" top="0.74803149606299213" bottom="0.74803149606299213" header="0.31496062992125984" footer="0.31496062992125984"/>
  <pageSetup paperSize="9" scale="66" orientation="portrait"/>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1:B6"/>
  <sheetViews>
    <sheetView showGridLines="0" zoomScale="75" zoomScaleNormal="75" zoomScalePageLayoutView="75" workbookViewId="0"/>
  </sheetViews>
  <sheetFormatPr defaultColWidth="8.85546875" defaultRowHeight="14.25"/>
  <cols>
    <col min="1" max="1" width="40" style="38" customWidth="1"/>
    <col min="2" max="2" width="14.140625" style="38" customWidth="1"/>
    <col min="3" max="3" width="26.85546875" style="38" customWidth="1"/>
    <col min="4" max="16384" width="8.85546875" style="38"/>
  </cols>
  <sheetData>
    <row r="1" spans="1:2" s="1079" customFormat="1" ht="26.1" customHeight="1">
      <c r="A1" s="1794" t="str">
        <f>HYPERLINK("[.\]Menu!A1", "To Menu")</f>
        <v>To Menu</v>
      </c>
    </row>
    <row r="2" spans="1:2" s="1079" customFormat="1" ht="15" customHeight="1">
      <c r="A2" s="1794"/>
    </row>
    <row r="3" spans="1:2" s="1079" customFormat="1" ht="26.1" customHeight="1">
      <c r="A3" s="1794" t="str">
        <f>HYPERLINK("[.\]AEC!B2", "Back to ambulatory emergency care")</f>
        <v>Back to ambulatory emergency care</v>
      </c>
    </row>
    <row r="4" spans="1:2" ht="15">
      <c r="A4" s="66" t="s">
        <v>219</v>
      </c>
    </row>
    <row r="5" spans="1:2">
      <c r="A5" s="38" t="s">
        <v>218</v>
      </c>
      <c r="B5" s="385">
        <v>40000</v>
      </c>
    </row>
    <row r="6" spans="1:2">
      <c r="B6" s="386"/>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7030A0"/>
    <pageSetUpPr fitToPage="1"/>
  </sheetPr>
  <dimension ref="A1:K65"/>
  <sheetViews>
    <sheetView showGridLines="0" zoomScale="75" zoomScaleNormal="75" zoomScalePageLayoutView="75" workbookViewId="0">
      <pane ySplit="1" topLeftCell="A2" activePane="bottomLeft" state="frozen"/>
      <selection pane="bottomLeft"/>
    </sheetView>
  </sheetViews>
  <sheetFormatPr defaultColWidth="8.85546875" defaultRowHeight="14.25"/>
  <cols>
    <col min="1" max="1" width="10.85546875" style="38" customWidth="1"/>
    <col min="2" max="2" width="22.140625" style="38" customWidth="1"/>
    <col min="3" max="3" width="8.85546875" style="38"/>
    <col min="4" max="4" width="16.42578125" style="38" customWidth="1"/>
    <col min="5" max="5" width="8.85546875" style="38"/>
    <col min="6" max="6" width="11.85546875" style="38" customWidth="1"/>
    <col min="7" max="8" width="8.85546875" style="38"/>
    <col min="9" max="9" width="3" style="38" customWidth="1"/>
    <col min="10" max="10" width="8.85546875" style="38"/>
    <col min="11" max="11" width="3.140625" style="38" customWidth="1"/>
    <col min="12" max="12" width="4.85546875" style="38" customWidth="1"/>
    <col min="13" max="13" width="40.7109375" style="38" customWidth="1"/>
    <col min="14" max="15" width="6.85546875" style="38" customWidth="1"/>
    <col min="16" max="16" width="5" style="38" customWidth="1"/>
    <col min="17" max="17" width="6.140625" style="38" customWidth="1"/>
    <col min="18" max="24" width="8.85546875" style="38"/>
    <col min="25" max="25" width="9.85546875" style="38" customWidth="1"/>
    <col min="26" max="16384" width="8.85546875" style="38"/>
  </cols>
  <sheetData>
    <row r="1" spans="1:11" s="1079" customFormat="1" ht="26.1" customHeight="1">
      <c r="A1" s="1794" t="str">
        <f>HYPERLINK("[.\]Menu!A1", "To Menu")</f>
        <v>To Menu</v>
      </c>
    </row>
    <row r="2" spans="1:11" s="1079" customFormat="1" ht="15" customHeight="1">
      <c r="A2" s="1719"/>
    </row>
    <row r="3" spans="1:11" ht="26.1" customHeight="1">
      <c r="A3" s="1794" t="str">
        <f>HYPERLINK("[.\]Care_planning!B2", "Back to care planning")</f>
        <v>Back to care planning</v>
      </c>
      <c r="B3" s="1523"/>
      <c r="C3" s="67"/>
      <c r="D3" s="67"/>
      <c r="E3" s="67"/>
      <c r="F3" s="67"/>
      <c r="G3" s="67"/>
      <c r="H3" s="67"/>
    </row>
    <row r="4" spans="1:11" ht="15" thickBot="1">
      <c r="B4" s="38" t="s">
        <v>277</v>
      </c>
    </row>
    <row r="5" spans="1:11">
      <c r="A5" s="152"/>
      <c r="B5" s="387"/>
      <c r="C5" s="387"/>
      <c r="D5" s="387"/>
      <c r="E5" s="387"/>
      <c r="F5" s="387"/>
      <c r="G5" s="387"/>
      <c r="H5" s="387"/>
      <c r="I5" s="387"/>
      <c r="J5" s="387"/>
      <c r="K5" s="388"/>
    </row>
    <row r="6" spans="1:11" ht="15">
      <c r="A6" s="2550" t="s">
        <v>276</v>
      </c>
      <c r="B6" s="2551"/>
      <c r="C6" s="2551"/>
      <c r="D6" s="2551"/>
      <c r="E6" s="2551"/>
      <c r="F6" s="2551"/>
      <c r="G6" s="2551"/>
      <c r="H6" s="2551"/>
      <c r="I6" s="2551"/>
      <c r="J6" s="2551"/>
      <c r="K6" s="2552"/>
    </row>
    <row r="7" spans="1:11" ht="15" thickBot="1">
      <c r="A7" s="142"/>
      <c r="B7" s="173"/>
      <c r="C7" s="173"/>
      <c r="D7" s="173"/>
      <c r="E7" s="173"/>
      <c r="F7" s="173"/>
      <c r="G7" s="173"/>
      <c r="H7" s="173"/>
      <c r="I7" s="173"/>
      <c r="J7" s="173"/>
      <c r="K7" s="202"/>
    </row>
    <row r="8" spans="1:11" ht="15" thickBot="1">
      <c r="A8" s="190"/>
      <c r="B8" s="36"/>
      <c r="C8" s="36"/>
      <c r="D8" s="36"/>
      <c r="E8" s="36"/>
      <c r="F8" s="36"/>
      <c r="G8" s="36"/>
      <c r="H8" s="36"/>
      <c r="I8" s="36"/>
      <c r="J8" s="36"/>
      <c r="K8" s="359"/>
    </row>
    <row r="9" spans="1:11" ht="15">
      <c r="A9" s="190"/>
      <c r="B9" s="2555" t="s">
        <v>273</v>
      </c>
      <c r="C9" s="2557" t="s">
        <v>272</v>
      </c>
      <c r="D9" s="2557"/>
      <c r="E9" s="2557"/>
      <c r="F9" s="2557"/>
      <c r="G9" s="778"/>
      <c r="H9" s="544" t="s">
        <v>275</v>
      </c>
      <c r="I9" s="544"/>
      <c r="J9" s="544" t="s">
        <v>274</v>
      </c>
      <c r="K9" s="935"/>
    </row>
    <row r="10" spans="1:11" ht="15.75" thickBot="1">
      <c r="A10" s="190"/>
      <c r="B10" s="2556"/>
      <c r="C10" s="2558"/>
      <c r="D10" s="2558"/>
      <c r="E10" s="2558"/>
      <c r="F10" s="2558"/>
      <c r="G10" s="610"/>
      <c r="H10" s="610" t="s">
        <v>271</v>
      </c>
      <c r="I10" s="610"/>
      <c r="J10" s="610" t="s">
        <v>271</v>
      </c>
      <c r="K10" s="110"/>
    </row>
    <row r="11" spans="1:11" ht="15">
      <c r="A11" s="190"/>
      <c r="B11" s="929"/>
      <c r="C11" s="930"/>
      <c r="D11" s="930"/>
      <c r="E11" s="930"/>
      <c r="F11" s="930"/>
      <c r="G11" s="930"/>
      <c r="H11" s="931"/>
      <c r="I11" s="931"/>
      <c r="J11" s="931"/>
      <c r="K11" s="932"/>
    </row>
    <row r="12" spans="1:11" ht="15">
      <c r="A12" s="190"/>
      <c r="B12" s="933">
        <v>1</v>
      </c>
      <c r="C12" s="2553" t="s">
        <v>270</v>
      </c>
      <c r="D12" s="2553"/>
      <c r="E12" s="2553"/>
      <c r="F12" s="2553"/>
      <c r="G12" s="37">
        <v>60</v>
      </c>
      <c r="H12" s="687"/>
      <c r="I12" s="687"/>
      <c r="J12" s="687"/>
      <c r="K12" s="153"/>
    </row>
    <row r="13" spans="1:11" ht="15">
      <c r="A13" s="190"/>
      <c r="B13" s="933"/>
      <c r="C13" s="2553"/>
      <c r="D13" s="2553"/>
      <c r="E13" s="2553"/>
      <c r="F13" s="2553"/>
      <c r="G13" s="37"/>
      <c r="H13" s="687"/>
      <c r="I13" s="687"/>
      <c r="J13" s="687"/>
      <c r="K13" s="153"/>
    </row>
    <row r="14" spans="1:11" ht="38.25" customHeight="1">
      <c r="A14" s="190"/>
      <c r="B14" s="192"/>
      <c r="C14" s="2553" t="s">
        <v>269</v>
      </c>
      <c r="D14" s="2553"/>
      <c r="E14" s="2553"/>
      <c r="F14" s="2553"/>
      <c r="G14" s="170">
        <f>Care_planning!E45</f>
        <v>240</v>
      </c>
      <c r="H14" s="451"/>
      <c r="I14" s="451"/>
      <c r="J14" s="451"/>
      <c r="K14" s="153"/>
    </row>
    <row r="15" spans="1:11">
      <c r="A15" s="190"/>
      <c r="B15" s="933">
        <v>6</v>
      </c>
      <c r="C15" s="2554" t="s">
        <v>268</v>
      </c>
      <c r="D15" s="2554"/>
      <c r="E15" s="2554"/>
      <c r="F15" s="2554"/>
      <c r="G15" s="36"/>
      <c r="H15" s="924">
        <v>10</v>
      </c>
      <c r="I15" s="451"/>
      <c r="J15" s="924">
        <v>2</v>
      </c>
      <c r="K15" s="153"/>
    </row>
    <row r="16" spans="1:11" ht="28.5" customHeight="1">
      <c r="A16" s="190"/>
      <c r="B16" s="933">
        <v>7</v>
      </c>
      <c r="C16" s="2564" t="s">
        <v>267</v>
      </c>
      <c r="D16" s="2564"/>
      <c r="E16" s="2564"/>
      <c r="F16" s="2564"/>
      <c r="G16" s="36">
        <v>0.96</v>
      </c>
      <c r="H16" s="451"/>
      <c r="I16" s="451"/>
      <c r="J16" s="451"/>
      <c r="K16" s="153"/>
    </row>
    <row r="17" spans="1:11" ht="27.75" customHeight="1">
      <c r="A17" s="190"/>
      <c r="B17" s="933">
        <v>8</v>
      </c>
      <c r="C17" s="2564" t="s">
        <v>685</v>
      </c>
      <c r="D17" s="2564"/>
      <c r="E17" s="2564"/>
      <c r="F17" s="2564"/>
      <c r="G17" s="36"/>
      <c r="H17" s="924">
        <f>G16*G14</f>
        <v>230.39999999999998</v>
      </c>
      <c r="I17" s="451"/>
      <c r="J17" s="924">
        <f>H17/4</f>
        <v>57.599999999999994</v>
      </c>
      <c r="K17" s="153"/>
    </row>
    <row r="18" spans="1:11" ht="15" thickBot="1">
      <c r="A18" s="190"/>
      <c r="B18" s="138"/>
      <c r="C18" s="36"/>
      <c r="D18" s="36"/>
      <c r="E18" s="36"/>
      <c r="F18" s="36"/>
      <c r="G18" s="36"/>
      <c r="H18" s="451"/>
      <c r="I18" s="451"/>
      <c r="J18" s="451"/>
      <c r="K18" s="153"/>
    </row>
    <row r="19" spans="1:11" ht="15" thickBot="1">
      <c r="A19" s="190"/>
      <c r="B19" s="138"/>
      <c r="C19" s="2564" t="s">
        <v>266</v>
      </c>
      <c r="D19" s="2564"/>
      <c r="E19" s="2564"/>
      <c r="F19" s="2564"/>
      <c r="G19" s="36"/>
      <c r="H19" s="934">
        <f>SUM(H14:H18)</f>
        <v>240.39999999999998</v>
      </c>
      <c r="I19" s="451"/>
      <c r="J19" s="934">
        <f>SUM(J14:J18)</f>
        <v>59.599999999999994</v>
      </c>
      <c r="K19" s="153"/>
    </row>
    <row r="20" spans="1:11">
      <c r="A20" s="190"/>
      <c r="B20" s="138"/>
      <c r="C20" s="36"/>
      <c r="D20" s="36"/>
      <c r="E20" s="36"/>
      <c r="F20" s="36"/>
      <c r="G20" s="36"/>
      <c r="H20" s="451"/>
      <c r="I20" s="451"/>
      <c r="J20" s="451"/>
      <c r="K20" s="153"/>
    </row>
    <row r="21" spans="1:11">
      <c r="A21" s="190"/>
      <c r="B21" s="138"/>
      <c r="C21" s="36"/>
      <c r="D21" s="36"/>
      <c r="E21" s="36"/>
      <c r="F21" s="36"/>
      <c r="G21" s="36"/>
      <c r="H21" s="36"/>
      <c r="I21" s="36"/>
      <c r="J21" s="36"/>
      <c r="K21" s="153"/>
    </row>
    <row r="22" spans="1:11" ht="15" thickBot="1">
      <c r="A22" s="190"/>
      <c r="B22" s="142"/>
      <c r="C22" s="173"/>
      <c r="D22" s="173"/>
      <c r="E22" s="173"/>
      <c r="F22" s="173"/>
      <c r="G22" s="173"/>
      <c r="H22" s="173"/>
      <c r="I22" s="173"/>
      <c r="J22" s="173"/>
      <c r="K22" s="202"/>
    </row>
    <row r="23" spans="1:11">
      <c r="A23" s="36"/>
      <c r="B23" s="36"/>
      <c r="C23" s="36"/>
      <c r="D23" s="36"/>
      <c r="E23" s="36"/>
      <c r="F23" s="36"/>
      <c r="G23" s="36"/>
      <c r="H23" s="36"/>
      <c r="I23" s="36"/>
      <c r="J23" s="36"/>
      <c r="K23" s="36"/>
    </row>
    <row r="24" spans="1:11" ht="15">
      <c r="A24" s="2559" t="s">
        <v>265</v>
      </c>
      <c r="B24" s="2560"/>
      <c r="C24" s="2560"/>
      <c r="D24" s="2560"/>
      <c r="E24" s="2560"/>
      <c r="F24" s="2560"/>
      <c r="G24" s="2560"/>
      <c r="H24" s="2560"/>
      <c r="I24" s="2560"/>
      <c r="J24" s="2560"/>
      <c r="K24" s="2561"/>
    </row>
    <row r="25" spans="1:11" ht="15">
      <c r="A25" s="190"/>
      <c r="B25" s="36"/>
      <c r="C25" s="525" t="s">
        <v>264</v>
      </c>
      <c r="D25" s="36"/>
      <c r="E25" s="36"/>
      <c r="F25" s="36"/>
      <c r="G25" s="36"/>
      <c r="H25" s="36"/>
      <c r="I25" s="36"/>
      <c r="J25" s="36"/>
      <c r="K25" s="359"/>
    </row>
    <row r="26" spans="1:11">
      <c r="A26" s="190"/>
      <c r="B26" s="36"/>
      <c r="C26" s="51" t="s">
        <v>263</v>
      </c>
      <c r="D26" s="36"/>
      <c r="E26" s="36"/>
      <c r="F26" s="36"/>
      <c r="G26" s="2546">
        <f>G16*1000</f>
        <v>960</v>
      </c>
      <c r="H26" s="2547"/>
      <c r="I26" s="36"/>
      <c r="J26" s="36"/>
      <c r="K26" s="359"/>
    </row>
    <row r="27" spans="1:11" ht="15">
      <c r="A27" s="190"/>
      <c r="B27" s="36"/>
      <c r="C27" s="525" t="s">
        <v>262</v>
      </c>
      <c r="D27" s="36"/>
      <c r="E27" s="36"/>
      <c r="F27" s="36"/>
      <c r="G27" s="243"/>
      <c r="H27" s="243"/>
      <c r="I27" s="36"/>
      <c r="J27" s="36"/>
      <c r="K27" s="359"/>
    </row>
    <row r="28" spans="1:11">
      <c r="A28" s="190"/>
      <c r="B28" s="36"/>
      <c r="C28" s="51" t="s">
        <v>261</v>
      </c>
      <c r="D28" s="36"/>
      <c r="E28" s="36"/>
      <c r="F28" s="36"/>
      <c r="G28" s="2548">
        <f>J19*1000</f>
        <v>59599.999999999993</v>
      </c>
      <c r="H28" s="2549"/>
      <c r="I28" s="36"/>
      <c r="J28" s="36"/>
      <c r="K28" s="359"/>
    </row>
    <row r="29" spans="1:11" ht="15">
      <c r="A29" s="190"/>
      <c r="B29" s="36"/>
      <c r="C29" s="525" t="s">
        <v>260</v>
      </c>
      <c r="D29" s="36"/>
      <c r="E29" s="36"/>
      <c r="F29" s="36"/>
      <c r="G29" s="243"/>
      <c r="H29" s="924">
        <f>H15*1000</f>
        <v>10000</v>
      </c>
      <c r="I29" s="36"/>
      <c r="J29" s="36"/>
      <c r="K29" s="359"/>
    </row>
    <row r="30" spans="1:11" ht="15">
      <c r="A30" s="308"/>
      <c r="B30" s="58"/>
      <c r="C30" s="309"/>
      <c r="D30" s="58"/>
      <c r="E30" s="58"/>
      <c r="F30" s="58"/>
      <c r="G30" s="58"/>
      <c r="H30" s="392"/>
      <c r="I30" s="58"/>
      <c r="J30" s="58"/>
      <c r="K30" s="376"/>
    </row>
    <row r="31" spans="1:11" ht="15" thickBot="1">
      <c r="A31" s="67"/>
      <c r="B31" s="393"/>
      <c r="C31" s="67"/>
      <c r="D31" s="67"/>
      <c r="E31" s="67"/>
      <c r="F31" s="67"/>
      <c r="G31" s="67"/>
      <c r="H31" s="67"/>
      <c r="I31" s="67"/>
      <c r="J31" s="67"/>
      <c r="K31" s="67"/>
    </row>
    <row r="32" spans="1:11">
      <c r="A32" s="152"/>
      <c r="B32" s="394"/>
      <c r="C32" s="387"/>
      <c r="D32" s="387"/>
      <c r="E32" s="387"/>
      <c r="F32" s="387"/>
      <c r="G32" s="387"/>
      <c r="H32" s="387"/>
      <c r="I32" s="387"/>
      <c r="J32" s="388"/>
      <c r="K32" s="67"/>
    </row>
    <row r="33" spans="1:11" ht="24.75" customHeight="1">
      <c r="A33" s="138"/>
      <c r="B33" s="60" t="s">
        <v>259</v>
      </c>
      <c r="C33" s="36"/>
      <c r="D33" s="36"/>
      <c r="E33" s="36"/>
      <c r="F33" s="36"/>
      <c r="G33" s="36"/>
      <c r="H33" s="36"/>
      <c r="I33" s="36"/>
      <c r="J33" s="153"/>
      <c r="K33" s="67"/>
    </row>
    <row r="34" spans="1:11">
      <c r="A34" s="138"/>
      <c r="B34" s="36"/>
      <c r="C34" s="36"/>
      <c r="D34" s="36"/>
      <c r="E34" s="36"/>
      <c r="F34" s="36"/>
      <c r="G34" s="36"/>
      <c r="H34" s="36"/>
      <c r="I34" s="36"/>
      <c r="J34" s="153"/>
      <c r="K34" s="67"/>
    </row>
    <row r="35" spans="1:11" ht="66" customHeight="1">
      <c r="A35" s="191">
        <v>1</v>
      </c>
      <c r="B35" s="2553" t="s">
        <v>258</v>
      </c>
      <c r="C35" s="2553"/>
      <c r="D35" s="2553"/>
      <c r="E35" s="2553"/>
      <c r="F35" s="36"/>
      <c r="G35" s="170">
        <v>60</v>
      </c>
      <c r="H35" s="36"/>
      <c r="I35" s="36"/>
      <c r="J35" s="153"/>
      <c r="K35" s="67"/>
    </row>
    <row r="36" spans="1:11" ht="36" customHeight="1">
      <c r="A36" s="191">
        <v>2</v>
      </c>
      <c r="B36" s="2553" t="s">
        <v>257</v>
      </c>
      <c r="C36" s="2553"/>
      <c r="D36" s="2553"/>
      <c r="E36" s="2553"/>
      <c r="F36" s="36"/>
      <c r="G36" s="395">
        <v>61779</v>
      </c>
      <c r="H36" s="36"/>
      <c r="I36" s="36"/>
      <c r="J36" s="153"/>
      <c r="K36" s="67"/>
    </row>
    <row r="37" spans="1:11" ht="15" customHeight="1">
      <c r="A37" s="191">
        <v>3</v>
      </c>
      <c r="B37" s="2553" t="s">
        <v>256</v>
      </c>
      <c r="C37" s="2553"/>
      <c r="D37" s="2553"/>
      <c r="E37" s="2553"/>
      <c r="F37" s="36"/>
      <c r="G37" s="395">
        <f>G36*1.2</f>
        <v>74134.8</v>
      </c>
      <c r="H37" s="36"/>
      <c r="I37" s="36"/>
      <c r="J37" s="153"/>
      <c r="K37" s="67"/>
    </row>
    <row r="38" spans="1:11" ht="30.75" customHeight="1">
      <c r="A38" s="191">
        <v>4</v>
      </c>
      <c r="B38" s="2553" t="s">
        <v>255</v>
      </c>
      <c r="C38" s="2553"/>
      <c r="D38" s="2553"/>
      <c r="E38" s="2553"/>
      <c r="F38" s="36"/>
      <c r="G38" s="396">
        <v>1</v>
      </c>
      <c r="H38" s="36"/>
      <c r="I38" s="36"/>
      <c r="J38" s="153"/>
      <c r="K38" s="67"/>
    </row>
    <row r="39" spans="1:11" ht="30.75" customHeight="1">
      <c r="A39" s="191">
        <v>5</v>
      </c>
      <c r="B39" s="2553" t="s">
        <v>254</v>
      </c>
      <c r="C39" s="2553"/>
      <c r="D39" s="2553"/>
      <c r="E39" s="2553"/>
      <c r="F39" s="36"/>
      <c r="G39" s="396">
        <v>0.25</v>
      </c>
      <c r="H39" s="36"/>
      <c r="I39" s="36"/>
      <c r="J39" s="153"/>
      <c r="K39" s="67"/>
    </row>
    <row r="40" spans="1:11" ht="15">
      <c r="A40" s="191">
        <v>6</v>
      </c>
      <c r="B40" s="36" t="s">
        <v>253</v>
      </c>
      <c r="C40" s="36"/>
      <c r="D40" s="36"/>
      <c r="E40" s="36"/>
      <c r="F40" s="36"/>
      <c r="G40" s="396">
        <v>0.25</v>
      </c>
      <c r="H40" s="36"/>
      <c r="I40" s="36"/>
      <c r="J40" s="153"/>
      <c r="K40" s="67"/>
    </row>
    <row r="41" spans="1:11" ht="15" customHeight="1">
      <c r="A41" s="191">
        <v>7</v>
      </c>
      <c r="B41" s="2553" t="s">
        <v>678</v>
      </c>
      <c r="C41" s="2553"/>
      <c r="D41" s="2553"/>
      <c r="E41" s="2553"/>
      <c r="F41" s="36"/>
      <c r="G41" s="395">
        <v>960</v>
      </c>
      <c r="H41" s="36"/>
      <c r="I41" s="36"/>
      <c r="J41" s="153"/>
      <c r="K41" s="67"/>
    </row>
    <row r="42" spans="1:11" ht="15" customHeight="1">
      <c r="A42" s="191">
        <v>8</v>
      </c>
      <c r="B42" s="2553" t="s">
        <v>252</v>
      </c>
      <c r="C42" s="2553"/>
      <c r="D42" s="2553"/>
      <c r="E42" s="2553"/>
      <c r="F42" s="36"/>
      <c r="G42" s="396">
        <v>0.25</v>
      </c>
      <c r="H42" s="36"/>
      <c r="I42" s="36"/>
      <c r="J42" s="153"/>
    </row>
    <row r="43" spans="1:11" ht="18.75" customHeight="1" thickBot="1">
      <c r="A43" s="142"/>
      <c r="B43" s="173"/>
      <c r="C43" s="173"/>
      <c r="D43" s="173"/>
      <c r="E43" s="173"/>
      <c r="F43" s="173"/>
      <c r="G43" s="173"/>
      <c r="H43" s="173"/>
      <c r="I43" s="173"/>
      <c r="J43" s="202"/>
    </row>
    <row r="44" spans="1:11" ht="27" customHeight="1" thickBot="1"/>
    <row r="45" spans="1:11" ht="16.5" customHeight="1">
      <c r="A45" s="397"/>
      <c r="B45" s="398"/>
      <c r="C45" s="398"/>
      <c r="D45" s="398"/>
      <c r="E45" s="398"/>
      <c r="F45" s="399"/>
    </row>
    <row r="46" spans="1:11" ht="18">
      <c r="A46" s="400"/>
      <c r="B46" s="2562" t="s">
        <v>251</v>
      </c>
      <c r="C46" s="2562"/>
      <c r="D46" s="2562"/>
      <c r="E46" s="2562"/>
      <c r="F46" s="2563"/>
    </row>
    <row r="47" spans="1:11" ht="46.5" customHeight="1">
      <c r="A47" s="400"/>
      <c r="B47" s="401"/>
      <c r="C47" s="403"/>
      <c r="D47" s="403"/>
      <c r="E47" s="403" t="s">
        <v>250</v>
      </c>
      <c r="F47" s="402"/>
    </row>
    <row r="48" spans="1:11" ht="10.5" customHeight="1">
      <c r="A48" s="404"/>
      <c r="B48" s="405"/>
      <c r="C48" s="405"/>
      <c r="D48" s="405"/>
      <c r="E48" s="405"/>
      <c r="F48" s="406"/>
    </row>
    <row r="49" spans="1:6">
      <c r="A49" s="138"/>
      <c r="B49" s="36"/>
      <c r="C49" s="36"/>
      <c r="D49" s="36"/>
      <c r="E49" s="36"/>
      <c r="F49" s="153"/>
    </row>
    <row r="50" spans="1:6" ht="15" customHeight="1">
      <c r="A50" s="138">
        <v>1</v>
      </c>
      <c r="B50" s="360" t="s">
        <v>679</v>
      </c>
      <c r="C50" s="360"/>
      <c r="D50" s="360"/>
      <c r="E50" s="1524">
        <v>3</v>
      </c>
      <c r="F50" s="153"/>
    </row>
    <row r="51" spans="1:6" ht="23.25" customHeight="1">
      <c r="A51" s="138">
        <v>2</v>
      </c>
      <c r="B51" s="360" t="s">
        <v>249</v>
      </c>
      <c r="C51" s="360"/>
      <c r="D51" s="360"/>
      <c r="E51" s="1524">
        <v>8</v>
      </c>
      <c r="F51" s="153"/>
    </row>
    <row r="52" spans="1:6" ht="30" customHeight="1">
      <c r="A52" s="201">
        <v>3</v>
      </c>
      <c r="B52" s="112" t="s">
        <v>248</v>
      </c>
      <c r="C52" s="112"/>
      <c r="D52" s="112"/>
      <c r="E52" s="1524">
        <v>8</v>
      </c>
      <c r="F52" s="153"/>
    </row>
    <row r="53" spans="1:6" ht="28.5">
      <c r="A53" s="138">
        <v>4</v>
      </c>
      <c r="B53" s="112" t="s">
        <v>247</v>
      </c>
      <c r="C53" s="112"/>
      <c r="D53" s="112"/>
      <c r="E53" s="1455"/>
      <c r="F53" s="153"/>
    </row>
    <row r="54" spans="1:6" ht="28.5">
      <c r="A54" s="138">
        <v>5</v>
      </c>
      <c r="B54" s="112" t="s">
        <v>246</v>
      </c>
      <c r="C54" s="112"/>
      <c r="D54" s="112"/>
      <c r="E54" s="1524">
        <v>1</v>
      </c>
      <c r="F54" s="153"/>
    </row>
    <row r="55" spans="1:6" ht="15" customHeight="1">
      <c r="A55" s="138">
        <v>6</v>
      </c>
      <c r="B55" s="112" t="s">
        <v>245</v>
      </c>
      <c r="C55" s="112"/>
      <c r="D55" s="112"/>
      <c r="E55" s="1524"/>
      <c r="F55" s="153"/>
    </row>
    <row r="56" spans="1:6">
      <c r="A56" s="138"/>
      <c r="B56" s="36" t="s">
        <v>680</v>
      </c>
      <c r="C56" s="36"/>
      <c r="D56" s="36">
        <v>3</v>
      </c>
      <c r="E56" s="1524"/>
      <c r="F56" s="153"/>
    </row>
    <row r="57" spans="1:6">
      <c r="A57" s="138"/>
      <c r="B57" s="36" t="s">
        <v>244</v>
      </c>
      <c r="C57" s="36"/>
      <c r="D57" s="36">
        <v>3</v>
      </c>
      <c r="E57" s="1524"/>
      <c r="F57" s="153"/>
    </row>
    <row r="58" spans="1:6">
      <c r="A58" s="138"/>
      <c r="B58" s="36" t="s">
        <v>243</v>
      </c>
      <c r="C58" s="36"/>
      <c r="D58" s="36">
        <v>4</v>
      </c>
      <c r="E58" s="1524"/>
      <c r="F58" s="153"/>
    </row>
    <row r="59" spans="1:6">
      <c r="A59" s="138"/>
      <c r="B59" s="36" t="s">
        <v>242</v>
      </c>
      <c r="C59" s="36"/>
      <c r="D59" s="36"/>
      <c r="E59" s="1524">
        <f>SUM(D56:D58)</f>
        <v>10</v>
      </c>
      <c r="F59" s="153"/>
    </row>
    <row r="60" spans="1:6">
      <c r="A60" s="138">
        <v>7</v>
      </c>
      <c r="B60" s="36" t="s">
        <v>241</v>
      </c>
      <c r="C60" s="36"/>
      <c r="D60" s="36"/>
      <c r="E60" s="1524">
        <v>1</v>
      </c>
      <c r="F60" s="153"/>
    </row>
    <row r="61" spans="1:6">
      <c r="A61" s="138">
        <v>8</v>
      </c>
      <c r="B61" s="36" t="s">
        <v>240</v>
      </c>
      <c r="C61" s="36"/>
      <c r="D61" s="36"/>
      <c r="E61" s="1524">
        <v>9</v>
      </c>
      <c r="F61" s="153"/>
    </row>
    <row r="62" spans="1:6" ht="15" thickBot="1">
      <c r="A62" s="138"/>
      <c r="B62" s="36"/>
      <c r="C62" s="36"/>
      <c r="D62" s="36"/>
      <c r="E62" s="1524"/>
      <c r="F62" s="153"/>
    </row>
    <row r="63" spans="1:6" ht="15.75" thickBot="1">
      <c r="A63" s="138"/>
      <c r="B63" s="36" t="s">
        <v>239</v>
      </c>
      <c r="C63" s="36"/>
      <c r="D63" s="36"/>
      <c r="E63" s="407">
        <f>SUM(E50:E61)</f>
        <v>40</v>
      </c>
      <c r="F63" s="153"/>
    </row>
    <row r="64" spans="1:6">
      <c r="A64" s="138"/>
      <c r="B64" s="36"/>
      <c r="C64" s="36"/>
      <c r="D64" s="36"/>
      <c r="E64" s="36"/>
      <c r="F64" s="153"/>
    </row>
    <row r="65" spans="1:6" ht="15" thickBot="1">
      <c r="A65" s="142"/>
      <c r="B65" s="173"/>
      <c r="C65" s="173"/>
      <c r="D65" s="173"/>
      <c r="E65" s="173"/>
      <c r="F65" s="202"/>
    </row>
  </sheetData>
  <mergeCells count="21">
    <mergeCell ref="B46:F46"/>
    <mergeCell ref="C16:F16"/>
    <mergeCell ref="C17:F17"/>
    <mergeCell ref="C19:F19"/>
    <mergeCell ref="B42:E42"/>
    <mergeCell ref="B41:E41"/>
    <mergeCell ref="B39:E39"/>
    <mergeCell ref="B38:E38"/>
    <mergeCell ref="B37:E37"/>
    <mergeCell ref="B36:E36"/>
    <mergeCell ref="B35:E35"/>
    <mergeCell ref="G26:H26"/>
    <mergeCell ref="G28:H28"/>
    <mergeCell ref="A6:K6"/>
    <mergeCell ref="C14:F14"/>
    <mergeCell ref="C12:F12"/>
    <mergeCell ref="C13:F13"/>
    <mergeCell ref="C15:F15"/>
    <mergeCell ref="B9:B10"/>
    <mergeCell ref="C9:F10"/>
    <mergeCell ref="A24:K24"/>
  </mergeCells>
  <pageMargins left="0.70866141732283472" right="0.70866141732283472" top="0.74803149606299213" bottom="0.74803149606299213" header="0.31496062992125984" footer="0.31496062992125984"/>
  <pageSetup paperSize="9" scale="61" orientation="portrait"/>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sheetPr>
  <dimension ref="A1:D8"/>
  <sheetViews>
    <sheetView showGridLines="0" zoomScale="75" zoomScaleNormal="75" zoomScalePageLayoutView="75" workbookViewId="0">
      <selection activeCell="A3" sqref="A3"/>
    </sheetView>
  </sheetViews>
  <sheetFormatPr defaultColWidth="8.85546875" defaultRowHeight="14.25"/>
  <cols>
    <col min="1" max="1" width="40" style="38" customWidth="1"/>
    <col min="2" max="2" width="11.85546875" style="38" bestFit="1" customWidth="1"/>
    <col min="3" max="3" width="8.85546875" style="38"/>
    <col min="4" max="4" width="26.85546875" style="38" customWidth="1"/>
    <col min="5" max="16384" width="8.85546875" style="38"/>
  </cols>
  <sheetData>
    <row r="1" spans="1:4" s="1079" customFormat="1" ht="26.1" customHeight="1">
      <c r="A1" s="1794" t="str">
        <f>HYPERLINK("[.\]Menu!A1", "To Menu")</f>
        <v>To Menu</v>
      </c>
    </row>
    <row r="2" spans="1:4" s="1079" customFormat="1" ht="15" customHeight="1">
      <c r="A2" s="1719"/>
    </row>
    <row r="3" spans="1:4" s="1079" customFormat="1" ht="26.1" customHeight="1">
      <c r="A3" s="2069" t="str">
        <f>HYPERLINK("[.\]Colocate_UTC!B2", "Back to co-location of UTC")</f>
        <v>Back to co-location of UTC</v>
      </c>
    </row>
    <row r="4" spans="1:4" ht="15">
      <c r="A4" s="408"/>
      <c r="C4" s="409"/>
      <c r="D4" s="410"/>
    </row>
    <row r="5" spans="1:4">
      <c r="A5" s="42" t="s">
        <v>218</v>
      </c>
      <c r="B5" s="928">
        <v>142885</v>
      </c>
      <c r="C5" s="409"/>
      <c r="D5" s="410"/>
    </row>
    <row r="6" spans="1:4">
      <c r="A6" s="42" t="s">
        <v>287</v>
      </c>
      <c r="B6" s="928">
        <v>383112</v>
      </c>
      <c r="C6" s="410"/>
      <c r="D6" s="410"/>
    </row>
    <row r="7" spans="1:4">
      <c r="A7" s="42" t="s">
        <v>98</v>
      </c>
      <c r="B7" s="928">
        <f>B5+B6</f>
        <v>525997</v>
      </c>
    </row>
    <row r="8" spans="1:4">
      <c r="B8" s="927"/>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D7"/>
  <sheetViews>
    <sheetView showGridLines="0" zoomScale="75" zoomScaleNormal="75" zoomScalePageLayoutView="75" workbookViewId="0"/>
  </sheetViews>
  <sheetFormatPr defaultColWidth="8.85546875" defaultRowHeight="14.25"/>
  <cols>
    <col min="1" max="1" width="40" style="38" customWidth="1"/>
    <col min="2" max="2" width="11.85546875" style="38" bestFit="1" customWidth="1"/>
    <col min="3" max="3" width="9.42578125" style="38" bestFit="1" customWidth="1"/>
    <col min="4" max="4" width="26.85546875" style="38" customWidth="1"/>
    <col min="5" max="16384" width="8.85546875" style="38"/>
  </cols>
  <sheetData>
    <row r="1" spans="1:4" s="1079" customFormat="1" ht="26.1" customHeight="1">
      <c r="A1" s="1794" t="str">
        <f>HYPERLINK("[.\]Menu!A1", "To Menu")</f>
        <v>To Menu</v>
      </c>
    </row>
    <row r="2" spans="1:4" s="1079" customFormat="1" ht="15" customHeight="1">
      <c r="A2" s="1719"/>
    </row>
    <row r="3" spans="1:4" s="1079" customFormat="1" ht="26.1" customHeight="1">
      <c r="A3" s="1794" t="str">
        <f>HYPERLINK("[.\]Enhanced_UCS!B2", "Back to enhanced urgent care standards")</f>
        <v>Back to enhanced urgent care standards</v>
      </c>
    </row>
    <row r="4" spans="1:4">
      <c r="A4" s="758" t="s">
        <v>218</v>
      </c>
      <c r="B4" s="758"/>
      <c r="C4" s="926">
        <v>10000</v>
      </c>
      <c r="D4" s="758" t="s">
        <v>294</v>
      </c>
    </row>
    <row r="5" spans="1:4">
      <c r="A5" s="410"/>
      <c r="B5" s="410"/>
      <c r="C5" s="409"/>
      <c r="D5" s="410"/>
    </row>
    <row r="6" spans="1:4">
      <c r="A6" s="410"/>
      <c r="B6" s="410"/>
      <c r="C6" s="410"/>
      <c r="D6" s="410"/>
    </row>
    <row r="7" spans="1:4">
      <c r="A7" s="411"/>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7030A0"/>
  </sheetPr>
  <dimension ref="A1:B8"/>
  <sheetViews>
    <sheetView showGridLines="0" zoomScale="75" zoomScaleNormal="75" zoomScalePageLayoutView="75" workbookViewId="0"/>
  </sheetViews>
  <sheetFormatPr defaultColWidth="8.85546875" defaultRowHeight="14.25"/>
  <cols>
    <col min="1" max="1" width="31" style="38" customWidth="1"/>
    <col min="2" max="2" width="14.140625" style="38" customWidth="1"/>
    <col min="3" max="3" width="26.85546875" style="38" customWidth="1"/>
    <col min="4" max="16384" width="8.85546875" style="38"/>
  </cols>
  <sheetData>
    <row r="1" spans="1:2" s="1079" customFormat="1" ht="26.1" customHeight="1">
      <c r="A1" s="1794" t="str">
        <f>HYPERLINK("[.\]Menu!A1", "To Menu")</f>
        <v>To Menu</v>
      </c>
    </row>
    <row r="2" spans="1:2" s="1079" customFormat="1" ht="15" customHeight="1">
      <c r="A2" s="1719"/>
    </row>
    <row r="3" spans="1:2" s="1079" customFormat="1" ht="26.1" customHeight="1">
      <c r="A3" s="1794" t="str">
        <f>HYPERLINK("[.\]GP_Hours!B2", "Back to GP extended hours")</f>
        <v>Back to GP extended hours</v>
      </c>
    </row>
    <row r="4" spans="1:2" ht="15">
      <c r="A4" s="66" t="s">
        <v>326</v>
      </c>
    </row>
    <row r="5" spans="1:2">
      <c r="A5" s="38" t="s">
        <v>218</v>
      </c>
      <c r="B5" s="386">
        <v>142885</v>
      </c>
    </row>
    <row r="6" spans="1:2">
      <c r="A6" s="38" t="s">
        <v>325</v>
      </c>
      <c r="B6" s="386">
        <v>383112</v>
      </c>
    </row>
    <row r="7" spans="1:2">
      <c r="A7" s="38" t="s">
        <v>98</v>
      </c>
      <c r="B7" s="386">
        <f>B5+B6</f>
        <v>525997</v>
      </c>
    </row>
    <row r="8" spans="1:2">
      <c r="B8" s="386"/>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24"/>
  <sheetViews>
    <sheetView zoomScale="90" zoomScaleNormal="90" zoomScaleSheetLayoutView="115" zoomScalePageLayoutView="90" workbookViewId="0">
      <selection activeCell="G4" sqref="G4"/>
    </sheetView>
  </sheetViews>
  <sheetFormatPr defaultColWidth="8.85546875" defaultRowHeight="15"/>
  <sheetData>
    <row r="1" spans="1:7">
      <c r="A1" s="1004" t="s">
        <v>69</v>
      </c>
      <c r="B1" s="1006"/>
      <c r="C1" s="1006"/>
      <c r="D1" s="1006"/>
      <c r="E1" s="1006"/>
      <c r="F1" s="1006"/>
      <c r="G1" s="1007">
        <f t="shared" ref="G1:G19" si="0">G2-0.1</f>
        <v>-6.3837823915946501E-16</v>
      </c>
    </row>
    <row r="2" spans="1:7">
      <c r="A2" s="1005" t="s">
        <v>43</v>
      </c>
      <c r="B2" s="921"/>
      <c r="C2" s="921"/>
      <c r="D2" s="921"/>
      <c r="E2" s="921"/>
      <c r="F2" s="921"/>
      <c r="G2" s="1008">
        <f t="shared" si="0"/>
        <v>9.9999999999999367E-2</v>
      </c>
    </row>
    <row r="3" spans="1:7">
      <c r="A3" s="1005" t="s">
        <v>49</v>
      </c>
      <c r="B3" s="921"/>
      <c r="C3" s="921"/>
      <c r="D3" s="921"/>
      <c r="E3" s="921"/>
      <c r="F3" s="921"/>
      <c r="G3" s="1008">
        <f t="shared" si="0"/>
        <v>0.19999999999999937</v>
      </c>
    </row>
    <row r="4" spans="1:7">
      <c r="A4" s="1005" t="s">
        <v>67</v>
      </c>
      <c r="B4" s="921"/>
      <c r="C4" s="921"/>
      <c r="D4" s="921"/>
      <c r="E4" s="921"/>
      <c r="F4" s="921"/>
      <c r="G4" s="1008">
        <f t="shared" si="0"/>
        <v>0.29999999999999938</v>
      </c>
    </row>
    <row r="5" spans="1:7">
      <c r="A5" s="1005" t="s">
        <v>44</v>
      </c>
      <c r="B5" s="921"/>
      <c r="C5" s="921"/>
      <c r="D5" s="921"/>
      <c r="E5" s="921"/>
      <c r="F5" s="921"/>
      <c r="G5" s="1008">
        <f t="shared" si="0"/>
        <v>0.39999999999999936</v>
      </c>
    </row>
    <row r="6" spans="1:7">
      <c r="A6" s="1005" t="s">
        <v>45</v>
      </c>
      <c r="B6" s="921"/>
      <c r="C6" s="921"/>
      <c r="D6" s="921"/>
      <c r="E6" s="921"/>
      <c r="F6" s="921"/>
      <c r="G6" s="1008">
        <f t="shared" si="0"/>
        <v>0.49999999999999933</v>
      </c>
    </row>
    <row r="7" spans="1:7">
      <c r="A7" s="1005" t="s">
        <v>83</v>
      </c>
      <c r="B7" s="921"/>
      <c r="C7" s="921"/>
      <c r="D7" s="921"/>
      <c r="E7" s="921"/>
      <c r="F7" s="921"/>
      <c r="G7" s="1008">
        <f t="shared" si="0"/>
        <v>0.59999999999999931</v>
      </c>
    </row>
    <row r="8" spans="1:7">
      <c r="A8" s="1005" t="s">
        <v>84</v>
      </c>
      <c r="B8" s="921"/>
      <c r="C8" s="921"/>
      <c r="D8" s="921"/>
      <c r="E8" s="921"/>
      <c r="F8" s="921"/>
      <c r="G8" s="1008">
        <f t="shared" si="0"/>
        <v>0.69999999999999929</v>
      </c>
    </row>
    <row r="9" spans="1:7">
      <c r="A9" s="1005" t="s">
        <v>41</v>
      </c>
      <c r="B9" s="921"/>
      <c r="C9" s="921"/>
      <c r="D9" s="921"/>
      <c r="E9" s="921"/>
      <c r="F9" s="921"/>
      <c r="G9" s="1008">
        <f t="shared" si="0"/>
        <v>0.79999999999999927</v>
      </c>
    </row>
    <row r="10" spans="1:7">
      <c r="A10" s="1005" t="s">
        <v>567</v>
      </c>
      <c r="B10" s="921"/>
      <c r="C10" s="921"/>
      <c r="D10" s="921"/>
      <c r="E10" s="921"/>
      <c r="F10" s="921"/>
      <c r="G10" s="1008">
        <f t="shared" si="0"/>
        <v>0.89999999999999925</v>
      </c>
    </row>
    <row r="11" spans="1:7">
      <c r="A11" s="1005" t="s">
        <v>76</v>
      </c>
      <c r="B11" s="921"/>
      <c r="C11" s="921"/>
      <c r="D11" s="921"/>
      <c r="E11" s="921"/>
      <c r="F11" s="921"/>
      <c r="G11" s="1008">
        <f t="shared" si="0"/>
        <v>0.99999999999999922</v>
      </c>
    </row>
    <row r="12" spans="1:7">
      <c r="A12" s="1005" t="s">
        <v>46</v>
      </c>
      <c r="B12" s="921"/>
      <c r="C12" s="921"/>
      <c r="D12" s="921"/>
      <c r="E12" s="921"/>
      <c r="F12" s="921"/>
      <c r="G12" s="1008">
        <f t="shared" si="0"/>
        <v>1.0999999999999992</v>
      </c>
    </row>
    <row r="13" spans="1:7">
      <c r="A13" s="1005" t="s">
        <v>30</v>
      </c>
      <c r="B13" s="921"/>
      <c r="C13" s="921"/>
      <c r="D13" s="921"/>
      <c r="E13" s="921"/>
      <c r="F13" s="921"/>
      <c r="G13" s="1008">
        <f t="shared" si="0"/>
        <v>1.1999999999999993</v>
      </c>
    </row>
    <row r="14" spans="1:7">
      <c r="A14" s="1005" t="s">
        <v>48</v>
      </c>
      <c r="B14" s="921"/>
      <c r="C14" s="921"/>
      <c r="D14" s="921"/>
      <c r="E14" s="921"/>
      <c r="F14" s="921"/>
      <c r="G14" s="1008">
        <f t="shared" si="0"/>
        <v>1.2999999999999994</v>
      </c>
    </row>
    <row r="15" spans="1:7">
      <c r="A15" s="1005" t="s">
        <v>225</v>
      </c>
      <c r="B15" s="921"/>
      <c r="C15" s="921"/>
      <c r="D15" s="921"/>
      <c r="E15" s="921"/>
      <c r="F15" s="921"/>
      <c r="G15" s="1008">
        <f t="shared" si="0"/>
        <v>1.3999999999999995</v>
      </c>
    </row>
    <row r="16" spans="1:7">
      <c r="A16" s="1005" t="s">
        <v>32</v>
      </c>
      <c r="B16" s="921"/>
      <c r="C16" s="921"/>
      <c r="D16" s="921"/>
      <c r="E16" s="921"/>
      <c r="F16" s="921"/>
      <c r="G16" s="1008">
        <f t="shared" si="0"/>
        <v>1.4999999999999996</v>
      </c>
    </row>
    <row r="17" spans="1:7">
      <c r="A17" s="1005" t="s">
        <v>34</v>
      </c>
      <c r="B17" s="921"/>
      <c r="C17" s="921"/>
      <c r="D17" s="921"/>
      <c r="E17" s="921"/>
      <c r="F17" s="921"/>
      <c r="G17" s="1008">
        <f t="shared" si="0"/>
        <v>1.5999999999999996</v>
      </c>
    </row>
    <row r="18" spans="1:7">
      <c r="A18" s="1009"/>
      <c r="B18" s="921"/>
      <c r="C18" s="921"/>
      <c r="D18" s="921"/>
      <c r="E18" s="921"/>
      <c r="F18" s="921"/>
      <c r="G18" s="1008">
        <f t="shared" si="0"/>
        <v>1.6999999999999997</v>
      </c>
    </row>
    <row r="19" spans="1:7">
      <c r="A19" s="1009"/>
      <c r="B19" s="921"/>
      <c r="C19" s="921"/>
      <c r="D19" s="921"/>
      <c r="E19" s="921"/>
      <c r="F19" s="921"/>
      <c r="G19" s="1008">
        <f t="shared" si="0"/>
        <v>1.7999999999999998</v>
      </c>
    </row>
    <row r="20" spans="1:7">
      <c r="A20" s="1009"/>
      <c r="B20" s="921"/>
      <c r="C20" s="921"/>
      <c r="D20" s="921"/>
      <c r="E20" s="921"/>
      <c r="F20" s="921"/>
      <c r="G20" s="1008">
        <f>G21-0.1</f>
        <v>1.9</v>
      </c>
    </row>
    <row r="21" spans="1:7">
      <c r="A21" s="1010"/>
      <c r="B21" s="1011"/>
      <c r="C21" s="1011"/>
      <c r="D21" s="1011"/>
      <c r="E21" s="1011"/>
      <c r="F21" s="1011"/>
      <c r="G21" s="1012">
        <v>2</v>
      </c>
    </row>
    <row r="22" spans="1:7">
      <c r="G22" s="7"/>
    </row>
    <row r="23" spans="1:7">
      <c r="G23" s="7"/>
    </row>
    <row r="24" spans="1:7">
      <c r="G24" s="7"/>
    </row>
  </sheetData>
  <sortState ref="G1:G21">
    <sortCondition ref="G1:G21"/>
  </sortState>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sheetPr>
  <dimension ref="A1:M7"/>
  <sheetViews>
    <sheetView showGridLines="0" zoomScale="75" zoomScaleNormal="75" zoomScalePageLayoutView="75" workbookViewId="0">
      <selection activeCell="A3" sqref="A3"/>
    </sheetView>
  </sheetViews>
  <sheetFormatPr defaultColWidth="8.85546875" defaultRowHeight="14.25"/>
  <cols>
    <col min="1" max="1" width="14.42578125" style="38" customWidth="1"/>
    <col min="2" max="2" width="11.42578125" style="38" bestFit="1" customWidth="1"/>
    <col min="3" max="16384" width="8.85546875" style="38"/>
  </cols>
  <sheetData>
    <row r="1" spans="1:13" s="1079" customFormat="1" ht="26.1" customHeight="1">
      <c r="A1" s="1794" t="str">
        <f>HYPERLINK("[.\]Menu!A1", "To Menu")</f>
        <v>To Menu</v>
      </c>
    </row>
    <row r="2" spans="1:13" s="1079" customFormat="1" ht="15" customHeight="1">
      <c r="A2" s="1719"/>
    </row>
    <row r="3" spans="1:13" s="1079" customFormat="1" ht="26.1" customHeight="1">
      <c r="A3" s="1794" t="str">
        <f>HYPERLINK("[.\]PGD_Minor_ailments!B2", "Back to PGD minor ailments service")</f>
        <v>Back to PGD minor ailments service</v>
      </c>
    </row>
    <row r="4" spans="1:13" s="1079" customFormat="1" ht="26.1" customHeight="1">
      <c r="A4" s="1794" t="str">
        <f>HYPERLINK("[.\]Emergency_medication_supply!B2", "Back to emergency medication supply")</f>
        <v>Back to emergency medication supply</v>
      </c>
    </row>
    <row r="5" spans="1:13">
      <c r="A5" s="36" t="s">
        <v>341</v>
      </c>
      <c r="B5" s="925">
        <v>10000</v>
      </c>
      <c r="C5" s="36"/>
      <c r="D5" s="36"/>
      <c r="E5" s="36"/>
      <c r="F5" s="36"/>
      <c r="G5" s="36"/>
      <c r="H5" s="36"/>
      <c r="I5" s="36"/>
      <c r="J5" s="36"/>
      <c r="K5" s="36"/>
      <c r="L5" s="36"/>
      <c r="M5" s="36"/>
    </row>
    <row r="6" spans="1:13">
      <c r="A6" s="36"/>
      <c r="B6" s="36"/>
      <c r="C6" s="36"/>
      <c r="D6" s="36"/>
      <c r="E6" s="36"/>
      <c r="F6" s="36"/>
      <c r="G6" s="36"/>
      <c r="H6" s="36"/>
      <c r="I6" s="36"/>
      <c r="J6" s="36"/>
      <c r="K6" s="36"/>
      <c r="L6" s="36"/>
      <c r="M6" s="36"/>
    </row>
    <row r="7" spans="1:13">
      <c r="A7" s="36" t="s">
        <v>340</v>
      </c>
      <c r="B7" s="36"/>
      <c r="C7" s="36"/>
      <c r="D7" s="36"/>
      <c r="E7" s="36"/>
      <c r="F7" s="36"/>
      <c r="G7" s="36"/>
      <c r="H7" s="36"/>
      <c r="I7" s="36"/>
      <c r="J7" s="36"/>
      <c r="K7" s="36"/>
      <c r="L7" s="36"/>
      <c r="M7" s="36"/>
    </row>
  </sheetData>
  <pageMargins left="0.7" right="0.7" top="0.75" bottom="0.75" header="0.3" footer="0.3"/>
  <pageSetup paperSize="9" scale="68"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A1:H19"/>
  <sheetViews>
    <sheetView showGridLines="0" zoomScale="75" zoomScaleNormal="75" zoomScalePageLayoutView="75" workbookViewId="0">
      <selection activeCell="G14" sqref="G14"/>
    </sheetView>
  </sheetViews>
  <sheetFormatPr defaultColWidth="8.85546875" defaultRowHeight="14.25"/>
  <cols>
    <col min="1" max="1" width="11.7109375" style="49" customWidth="1"/>
    <col min="2" max="2" width="7" style="49" bestFit="1" customWidth="1"/>
    <col min="3" max="3" width="32" style="49" bestFit="1" customWidth="1"/>
    <col min="4" max="5" width="15.7109375" style="49" customWidth="1"/>
    <col min="6" max="6" width="8.85546875" style="49"/>
    <col min="7" max="7" width="36" style="49" customWidth="1"/>
    <col min="8" max="8" width="12" style="49" bestFit="1" customWidth="1"/>
    <col min="9" max="16384" width="8.85546875" style="49"/>
  </cols>
  <sheetData>
    <row r="1" spans="1:8" s="1079" customFormat="1" ht="26.1" customHeight="1">
      <c r="A1" s="1794" t="str">
        <f>HYPERLINK("[.\]Menu!A1", "To Menu")</f>
        <v>To Menu</v>
      </c>
    </row>
    <row r="2" spans="1:8" s="1079" customFormat="1" ht="15" customHeight="1">
      <c r="A2" s="1719"/>
    </row>
    <row r="3" spans="1:8" s="1079" customFormat="1" ht="26.1" customHeight="1">
      <c r="A3" s="1794" t="str">
        <f>HYPERLINK("[.\]IP_drug_reconciliation!B2", "Back to IP drug reconciliation")</f>
        <v>Back to IP drug reconciliation</v>
      </c>
    </row>
    <row r="4" spans="1:8" s="1079" customFormat="1" ht="26.1" customHeight="1">
      <c r="A4" s="1794" t="str">
        <f>HYPERLINK("[.\]SCR_in_ED!B2", "Back to SCR use in ED")</f>
        <v>Back to SCR use in ED</v>
      </c>
    </row>
    <row r="5" spans="1:8">
      <c r="A5" s="1452"/>
      <c r="B5" s="1452"/>
      <c r="C5" s="1452"/>
      <c r="D5" s="1452"/>
      <c r="E5" s="1452"/>
      <c r="F5" s="168"/>
    </row>
    <row r="6" spans="1:8" ht="15">
      <c r="A6" s="2567" t="s">
        <v>276</v>
      </c>
      <c r="B6" s="2567"/>
      <c r="C6" s="2567"/>
      <c r="D6" s="2567"/>
      <c r="E6" s="2567"/>
      <c r="F6" s="2567"/>
    </row>
    <row r="7" spans="1:8">
      <c r="A7" s="1452"/>
      <c r="B7" s="1452"/>
      <c r="C7" s="1452"/>
      <c r="D7" s="1452"/>
      <c r="E7" s="1452"/>
      <c r="F7" s="168"/>
    </row>
    <row r="8" spans="1:8">
      <c r="A8" s="1452"/>
      <c r="B8" s="1452"/>
      <c r="C8" s="1452"/>
      <c r="D8" s="1452"/>
      <c r="E8" s="1452"/>
      <c r="F8" s="168"/>
    </row>
    <row r="9" spans="1:8" ht="15">
      <c r="A9" s="1452"/>
      <c r="B9" s="2565" t="s">
        <v>273</v>
      </c>
      <c r="C9" s="2565" t="s">
        <v>272</v>
      </c>
      <c r="D9" s="1818" t="s">
        <v>275</v>
      </c>
      <c r="E9" s="1818" t="s">
        <v>274</v>
      </c>
      <c r="F9" s="168"/>
    </row>
    <row r="10" spans="1:8" ht="15">
      <c r="A10" s="1452"/>
      <c r="B10" s="2566"/>
      <c r="C10" s="2566"/>
      <c r="D10" s="1819" t="s">
        <v>271</v>
      </c>
      <c r="E10" s="1819" t="s">
        <v>271</v>
      </c>
      <c r="F10" s="168"/>
      <c r="G10" s="485"/>
    </row>
    <row r="11" spans="1:8" ht="15">
      <c r="A11" s="1452"/>
      <c r="B11" s="1457">
        <v>1</v>
      </c>
      <c r="C11" s="2042" t="s">
        <v>365</v>
      </c>
      <c r="D11" s="2043">
        <v>400</v>
      </c>
      <c r="E11" s="2043"/>
      <c r="F11" s="168"/>
      <c r="G11" s="485"/>
    </row>
    <row r="12" spans="1:8">
      <c r="A12" s="1452"/>
      <c r="B12" s="1458">
        <v>2</v>
      </c>
      <c r="C12" s="2044" t="s">
        <v>364</v>
      </c>
      <c r="D12" s="2045">
        <v>10000</v>
      </c>
      <c r="E12" s="2045">
        <v>1000</v>
      </c>
      <c r="F12" s="168"/>
      <c r="H12" s="922"/>
    </row>
    <row r="13" spans="1:8" ht="15">
      <c r="A13" s="1452"/>
      <c r="B13" s="882">
        <v>3</v>
      </c>
      <c r="C13" s="2046" t="s">
        <v>363</v>
      </c>
      <c r="D13" s="2045" t="s">
        <v>362</v>
      </c>
      <c r="E13" s="2045"/>
      <c r="F13" s="168"/>
      <c r="G13" s="485"/>
      <c r="H13" s="923"/>
    </row>
    <row r="14" spans="1:8">
      <c r="A14" s="1452"/>
      <c r="B14" s="882">
        <v>4</v>
      </c>
      <c r="C14" s="2046" t="s">
        <v>361</v>
      </c>
      <c r="D14" s="2045"/>
      <c r="E14" s="2045">
        <v>700</v>
      </c>
      <c r="F14" s="168"/>
    </row>
    <row r="15" spans="1:8" ht="28.5">
      <c r="A15" s="1452"/>
      <c r="B15" s="1459">
        <v>5</v>
      </c>
      <c r="C15" s="2047" t="s">
        <v>360</v>
      </c>
      <c r="D15" s="2048">
        <v>300</v>
      </c>
      <c r="E15" s="2048">
        <v>300</v>
      </c>
      <c r="F15" s="168"/>
    </row>
    <row r="16" spans="1:8">
      <c r="A16" s="1452"/>
      <c r="B16" s="1452"/>
      <c r="C16" s="1456" t="s">
        <v>359</v>
      </c>
      <c r="D16" s="924">
        <f>SUM(D11:D15)</f>
        <v>10700</v>
      </c>
      <c r="E16" s="451"/>
      <c r="F16" s="168"/>
    </row>
    <row r="17" spans="1:6">
      <c r="A17" s="1452"/>
      <c r="B17" s="1452"/>
      <c r="C17" s="1456"/>
      <c r="D17" s="451"/>
      <c r="E17" s="451"/>
      <c r="F17" s="168"/>
    </row>
    <row r="18" spans="1:6">
      <c r="A18" s="1452"/>
      <c r="B18" s="1452"/>
      <c r="C18" s="168"/>
      <c r="D18" s="168"/>
      <c r="E18" s="1455"/>
      <c r="F18" s="168"/>
    </row>
    <row r="19" spans="1:6">
      <c r="A19" s="168"/>
      <c r="B19" s="127"/>
      <c r="C19" s="168"/>
      <c r="D19" s="168"/>
      <c r="E19" s="168"/>
    </row>
  </sheetData>
  <mergeCells count="3">
    <mergeCell ref="B9:B10"/>
    <mergeCell ref="C9:C10"/>
    <mergeCell ref="A6:F6"/>
  </mergeCells>
  <pageMargins left="0.70866141732283472" right="0.70866141732283472" top="0.74803149606299213" bottom="0.74803149606299213" header="0.31496062992125984" footer="0.31496062992125984"/>
  <pageSetup paperSize="9" scale="95" orientation="portrait"/>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sheetPr>
  <dimension ref="A1:K44"/>
  <sheetViews>
    <sheetView showGridLines="0" zoomScale="75" zoomScaleNormal="75" zoomScalePageLayoutView="75" workbookViewId="0">
      <selection activeCell="A3" sqref="A3"/>
    </sheetView>
  </sheetViews>
  <sheetFormatPr defaultColWidth="8.42578125" defaultRowHeight="14.25"/>
  <cols>
    <col min="1" max="1" width="47.140625" style="1796" bestFit="1" customWidth="1"/>
    <col min="2" max="2" width="20.7109375" style="1796" customWidth="1"/>
    <col min="3" max="3" width="21.28515625" style="1796" customWidth="1"/>
    <col min="4" max="4" width="20.7109375" style="1796" customWidth="1"/>
    <col min="5" max="7" width="19.42578125" style="1796" customWidth="1"/>
    <col min="8" max="16384" width="8.42578125" style="1796"/>
  </cols>
  <sheetData>
    <row r="1" spans="1:4" s="1079" customFormat="1" ht="26.1" customHeight="1">
      <c r="A1" s="1794" t="str">
        <f>HYPERLINK("[.\]Menu!A1", "To Menu")</f>
        <v>To Menu</v>
      </c>
    </row>
    <row r="2" spans="1:4" s="1079" customFormat="1" ht="15" customHeight="1">
      <c r="A2" s="1719"/>
    </row>
    <row r="3" spans="1:4" ht="26.1" customHeight="1">
      <c r="A3" s="1794" t="str">
        <f>HYPERLINK("[.\]IR_in_AS!B2", "Back to IR in ambulance service")</f>
        <v>Back to IR in ambulance service</v>
      </c>
      <c r="B3" s="1795"/>
    </row>
    <row r="4" spans="1:4" ht="26.1" customHeight="1">
      <c r="A4" s="1794" t="str">
        <f>HYPERLINK("[.\]IR_in_ED!B2", "Back to IR in ED")</f>
        <v>Back to IR in ED</v>
      </c>
      <c r="B4" s="1795"/>
    </row>
    <row r="5" spans="1:4" ht="26.1" customHeight="1">
      <c r="A5" s="1794" t="str">
        <f>HYPERLINK("[.\]IR_in_CH!B2", "Back to IR in care homes")</f>
        <v>Back to IR in care homes</v>
      </c>
      <c r="B5" s="1795"/>
    </row>
    <row r="7" spans="1:4" ht="15">
      <c r="A7" s="1821" t="s">
        <v>219</v>
      </c>
    </row>
    <row r="8" spans="1:4" ht="45">
      <c r="B8" s="1820" t="s">
        <v>906</v>
      </c>
      <c r="C8" s="1820" t="s">
        <v>905</v>
      </c>
      <c r="D8" s="1820" t="s">
        <v>904</v>
      </c>
    </row>
    <row r="9" spans="1:4" ht="15">
      <c r="A9" s="639" t="s">
        <v>736</v>
      </c>
      <c r="B9" s="1797"/>
      <c r="C9" s="1797"/>
      <c r="D9" s="1797"/>
    </row>
    <row r="10" spans="1:4">
      <c r="A10" s="1798" t="s">
        <v>903</v>
      </c>
      <c r="B10" s="1799">
        <v>34620</v>
      </c>
      <c r="C10" s="1799">
        <f>B10/3</f>
        <v>11540</v>
      </c>
      <c r="D10" s="1800">
        <f>B10/5</f>
        <v>6924</v>
      </c>
    </row>
    <row r="11" spans="1:4">
      <c r="A11" s="1801" t="s">
        <v>901</v>
      </c>
      <c r="B11" s="1802">
        <v>65000</v>
      </c>
      <c r="C11" s="1802">
        <f>B11/3</f>
        <v>21666.666666666668</v>
      </c>
      <c r="D11" s="1803">
        <f>B11/5</f>
        <v>13000</v>
      </c>
    </row>
    <row r="12" spans="1:4">
      <c r="A12" s="1801" t="s">
        <v>900</v>
      </c>
      <c r="B12" s="1802">
        <v>60000</v>
      </c>
      <c r="C12" s="1802">
        <f>B12/3</f>
        <v>20000</v>
      </c>
      <c r="D12" s="1803">
        <f>B12/5</f>
        <v>12000</v>
      </c>
    </row>
    <row r="13" spans="1:4">
      <c r="A13" s="1804" t="s">
        <v>98</v>
      </c>
      <c r="B13" s="1805">
        <f>SUM(B10:B12)</f>
        <v>159620</v>
      </c>
      <c r="C13" s="1805">
        <f>SUM(C10:C12)</f>
        <v>53206.666666666672</v>
      </c>
      <c r="D13" s="1806">
        <f>SUM(D10:D12)</f>
        <v>31924</v>
      </c>
    </row>
    <row r="14" spans="1:4" ht="15">
      <c r="A14" s="1797"/>
      <c r="B14" s="1797"/>
      <c r="C14" s="1797"/>
      <c r="D14" s="1797"/>
    </row>
    <row r="15" spans="1:4" ht="15">
      <c r="A15" s="639" t="s">
        <v>902</v>
      </c>
      <c r="B15" s="1807"/>
      <c r="C15" s="1807"/>
      <c r="D15" s="1807"/>
    </row>
    <row r="16" spans="1:4">
      <c r="A16" s="1798" t="s">
        <v>128</v>
      </c>
      <c r="B16" s="1808">
        <f t="shared" ref="B16:D17" si="0">B10/5</f>
        <v>6924</v>
      </c>
      <c r="C16" s="1799">
        <f t="shared" si="0"/>
        <v>2308</v>
      </c>
      <c r="D16" s="1800">
        <f t="shared" si="0"/>
        <v>1384.8</v>
      </c>
    </row>
    <row r="17" spans="1:11">
      <c r="A17" s="1801" t="s">
        <v>901</v>
      </c>
      <c r="B17" s="1809">
        <f t="shared" si="0"/>
        <v>13000</v>
      </c>
      <c r="C17" s="1802">
        <f t="shared" si="0"/>
        <v>4333.3333333333339</v>
      </c>
      <c r="D17" s="1803">
        <f t="shared" si="0"/>
        <v>2600</v>
      </c>
    </row>
    <row r="18" spans="1:11">
      <c r="A18" s="1801" t="s">
        <v>900</v>
      </c>
      <c r="B18" s="1809"/>
      <c r="C18" s="1802"/>
      <c r="D18" s="1803"/>
    </row>
    <row r="19" spans="1:11">
      <c r="A19" s="1804" t="s">
        <v>899</v>
      </c>
      <c r="B19" s="1810">
        <f>SUM(B16:B18)</f>
        <v>19924</v>
      </c>
      <c r="C19" s="1805">
        <f>SUM(C16:C18)</f>
        <v>6641.3333333333339</v>
      </c>
      <c r="D19" s="1806">
        <f>SUM(D16:D18)</f>
        <v>3984.8</v>
      </c>
    </row>
    <row r="20" spans="1:11">
      <c r="A20" s="1759"/>
      <c r="B20" s="1795"/>
      <c r="C20" s="1795"/>
      <c r="D20" s="1795"/>
      <c r="E20" s="1795"/>
      <c r="F20" s="1795"/>
      <c r="G20" s="1795"/>
      <c r="H20" s="1795"/>
      <c r="I20" s="1795"/>
      <c r="J20" s="1795"/>
      <c r="K20" s="1795"/>
    </row>
    <row r="21" spans="1:11">
      <c r="A21" s="1795"/>
      <c r="B21" s="1795"/>
      <c r="C21" s="1795"/>
      <c r="D21" s="1795"/>
      <c r="E21" s="1795"/>
      <c r="F21" s="1795"/>
      <c r="G21" s="1795"/>
      <c r="H21" s="1795"/>
      <c r="I21" s="1795"/>
      <c r="J21" s="1795"/>
      <c r="K21" s="1795"/>
    </row>
    <row r="22" spans="1:11" ht="15">
      <c r="A22" s="2569" t="s">
        <v>898</v>
      </c>
      <c r="B22" s="2372"/>
      <c r="C22" s="2372"/>
      <c r="D22" s="2372"/>
    </row>
    <row r="23" spans="1:11">
      <c r="A23" s="2570" t="s">
        <v>983</v>
      </c>
      <c r="B23" s="2570"/>
      <c r="C23" s="2570"/>
      <c r="D23" s="2570"/>
    </row>
    <row r="25" spans="1:11" ht="15">
      <c r="A25" s="1811" t="s">
        <v>897</v>
      </c>
    </row>
    <row r="26" spans="1:11" ht="28.5">
      <c r="A26" s="1812" t="s">
        <v>893</v>
      </c>
      <c r="B26" s="1813">
        <v>15000</v>
      </c>
      <c r="C26" s="1814" t="s">
        <v>892</v>
      </c>
    </row>
    <row r="27" spans="1:11" ht="28.5">
      <c r="A27" s="1812" t="s">
        <v>891</v>
      </c>
      <c r="B27" s="1813">
        <v>11000</v>
      </c>
      <c r="C27" s="1814" t="s">
        <v>890</v>
      </c>
    </row>
    <row r="28" spans="1:11" ht="42.75">
      <c r="A28" s="1812" t="s">
        <v>896</v>
      </c>
      <c r="B28" s="1813">
        <v>10000</v>
      </c>
      <c r="C28" s="1814" t="s">
        <v>895</v>
      </c>
    </row>
    <row r="29" spans="1:11" ht="85.5">
      <c r="A29" s="1812" t="s">
        <v>970</v>
      </c>
      <c r="B29" s="1807"/>
    </row>
    <row r="30" spans="1:11">
      <c r="A30" s="1814" t="s">
        <v>98</v>
      </c>
      <c r="B30" s="1813">
        <f>SUM(B26:B29)</f>
        <v>36000</v>
      </c>
    </row>
    <row r="31" spans="1:11" ht="18.95" customHeight="1"/>
    <row r="32" spans="1:11" ht="15">
      <c r="A32" s="1718" t="s">
        <v>894</v>
      </c>
      <c r="B32" s="1795"/>
    </row>
    <row r="33" spans="1:11" ht="28.5">
      <c r="A33" s="1815" t="s">
        <v>893</v>
      </c>
      <c r="B33" s="1816">
        <v>30000</v>
      </c>
      <c r="C33" s="1814" t="s">
        <v>892</v>
      </c>
    </row>
    <row r="34" spans="1:11" ht="28.5">
      <c r="A34" s="1815" t="s">
        <v>891</v>
      </c>
      <c r="B34" s="1816">
        <v>30000</v>
      </c>
      <c r="C34" s="1814" t="s">
        <v>890</v>
      </c>
    </row>
    <row r="35" spans="1:11" ht="42.75">
      <c r="A35" s="1815" t="s">
        <v>889</v>
      </c>
      <c r="B35" s="1816">
        <v>10000</v>
      </c>
      <c r="C35" s="1814" t="s">
        <v>888</v>
      </c>
    </row>
    <row r="36" spans="1:11" ht="85.5">
      <c r="A36" s="1815" t="s">
        <v>887</v>
      </c>
      <c r="B36" s="1816">
        <v>20000</v>
      </c>
      <c r="C36" s="1814" t="s">
        <v>886</v>
      </c>
    </row>
    <row r="37" spans="1:11" ht="71.25">
      <c r="A37" s="1815" t="s">
        <v>885</v>
      </c>
      <c r="B37" s="1817"/>
    </row>
    <row r="38" spans="1:11">
      <c r="A38" s="1815" t="s">
        <v>98</v>
      </c>
      <c r="B38" s="1816">
        <f>SUM(B33:B37)</f>
        <v>90000</v>
      </c>
    </row>
    <row r="39" spans="1:11">
      <c r="B39" s="1817"/>
    </row>
    <row r="41" spans="1:11" ht="69" customHeight="1">
      <c r="A41" s="1795"/>
      <c r="B41" s="1795"/>
      <c r="C41" s="1795"/>
      <c r="D41" s="1795"/>
      <c r="E41" s="1795"/>
      <c r="F41" s="1795"/>
      <c r="G41" s="1795"/>
      <c r="H41" s="1795"/>
      <c r="I41" s="2568"/>
      <c r="J41" s="1795"/>
      <c r="K41" s="1795"/>
    </row>
    <row r="42" spans="1:11">
      <c r="A42" s="1795"/>
      <c r="B42" s="1795"/>
      <c r="C42" s="1795"/>
      <c r="D42" s="1795"/>
      <c r="E42" s="1795"/>
      <c r="F42" s="1795"/>
      <c r="G42" s="1795"/>
      <c r="H42" s="1795"/>
      <c r="I42" s="2568"/>
      <c r="J42" s="1795"/>
      <c r="K42" s="1795"/>
    </row>
    <row r="43" spans="1:11">
      <c r="A43" s="1795"/>
      <c r="B43" s="1795"/>
      <c r="C43" s="1795"/>
      <c r="D43" s="1795"/>
      <c r="E43" s="1795"/>
      <c r="F43" s="1795"/>
      <c r="G43" s="1795"/>
      <c r="H43" s="1795"/>
      <c r="I43" s="2568"/>
      <c r="J43" s="1795"/>
      <c r="K43" s="1795"/>
    </row>
    <row r="44" spans="1:11">
      <c r="A44" s="1795"/>
      <c r="B44" s="1795"/>
      <c r="C44" s="1795"/>
      <c r="D44" s="1795"/>
      <c r="E44" s="1795"/>
      <c r="F44" s="1795"/>
      <c r="G44" s="1795"/>
      <c r="H44" s="1795"/>
      <c r="I44" s="1795"/>
      <c r="J44" s="1795"/>
      <c r="K44" s="1795"/>
    </row>
  </sheetData>
  <mergeCells count="3">
    <mergeCell ref="I41:I43"/>
    <mergeCell ref="A22:D22"/>
    <mergeCell ref="A23:D23"/>
  </mergeCells>
  <pageMargins left="0.7" right="0.7" top="0.75" bottom="0.75" header="0.3" footer="0.3"/>
  <pageSetup paperSize="9" scale="55" orientation="portrait"/>
  <colBreaks count="1" manualBreakCount="1">
    <brk id="4" max="1048575" man="1"/>
  </colBreaks>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sheetPr>
  <dimension ref="A1:E20"/>
  <sheetViews>
    <sheetView showGridLines="0" zoomScale="75" zoomScaleNormal="75" zoomScalePageLayoutView="75" workbookViewId="0">
      <selection activeCell="D4" sqref="D4"/>
    </sheetView>
  </sheetViews>
  <sheetFormatPr defaultColWidth="8.85546875" defaultRowHeight="14.25"/>
  <cols>
    <col min="1" max="1" width="21.85546875" style="910" bestFit="1" customWidth="1"/>
    <col min="2" max="3" width="15.7109375" style="910" customWidth="1"/>
    <col min="4" max="4" width="38" style="910" customWidth="1"/>
    <col min="5" max="256" width="8.85546875" style="910"/>
    <col min="257" max="257" width="37.7109375" style="910" customWidth="1"/>
    <col min="258" max="258" width="8" style="910" customWidth="1"/>
    <col min="259" max="259" width="8.85546875" style="910"/>
    <col min="260" max="260" width="43.42578125" style="910" customWidth="1"/>
    <col min="261" max="512" width="8.85546875" style="910"/>
    <col min="513" max="513" width="37.7109375" style="910" customWidth="1"/>
    <col min="514" max="514" width="8" style="910" customWidth="1"/>
    <col min="515" max="515" width="8.85546875" style="910"/>
    <col min="516" max="516" width="43.42578125" style="910" customWidth="1"/>
    <col min="517" max="768" width="8.85546875" style="910"/>
    <col min="769" max="769" width="37.7109375" style="910" customWidth="1"/>
    <col min="770" max="770" width="8" style="910" customWidth="1"/>
    <col min="771" max="771" width="8.85546875" style="910"/>
    <col min="772" max="772" width="43.42578125" style="910" customWidth="1"/>
    <col min="773" max="1024" width="8.85546875" style="910"/>
    <col min="1025" max="1025" width="37.7109375" style="910" customWidth="1"/>
    <col min="1026" max="1026" width="8" style="910" customWidth="1"/>
    <col min="1027" max="1027" width="8.85546875" style="910"/>
    <col min="1028" max="1028" width="43.42578125" style="910" customWidth="1"/>
    <col min="1029" max="1280" width="8.85546875" style="910"/>
    <col min="1281" max="1281" width="37.7109375" style="910" customWidth="1"/>
    <col min="1282" max="1282" width="8" style="910" customWidth="1"/>
    <col min="1283" max="1283" width="8.85546875" style="910"/>
    <col min="1284" max="1284" width="43.42578125" style="910" customWidth="1"/>
    <col min="1285" max="1536" width="8.85546875" style="910"/>
    <col min="1537" max="1537" width="37.7109375" style="910" customWidth="1"/>
    <col min="1538" max="1538" width="8" style="910" customWidth="1"/>
    <col min="1539" max="1539" width="8.85546875" style="910"/>
    <col min="1540" max="1540" width="43.42578125" style="910" customWidth="1"/>
    <col min="1541" max="1792" width="8.85546875" style="910"/>
    <col min="1793" max="1793" width="37.7109375" style="910" customWidth="1"/>
    <col min="1794" max="1794" width="8" style="910" customWidth="1"/>
    <col min="1795" max="1795" width="8.85546875" style="910"/>
    <col min="1796" max="1796" width="43.42578125" style="910" customWidth="1"/>
    <col min="1797" max="2048" width="8.85546875" style="910"/>
    <col min="2049" max="2049" width="37.7109375" style="910" customWidth="1"/>
    <col min="2050" max="2050" width="8" style="910" customWidth="1"/>
    <col min="2051" max="2051" width="8.85546875" style="910"/>
    <col min="2052" max="2052" width="43.42578125" style="910" customWidth="1"/>
    <col min="2053" max="2304" width="8.85546875" style="910"/>
    <col min="2305" max="2305" width="37.7109375" style="910" customWidth="1"/>
    <col min="2306" max="2306" width="8" style="910" customWidth="1"/>
    <col min="2307" max="2307" width="8.85546875" style="910"/>
    <col min="2308" max="2308" width="43.42578125" style="910" customWidth="1"/>
    <col min="2309" max="2560" width="8.85546875" style="910"/>
    <col min="2561" max="2561" width="37.7109375" style="910" customWidth="1"/>
    <col min="2562" max="2562" width="8" style="910" customWidth="1"/>
    <col min="2563" max="2563" width="8.85546875" style="910"/>
    <col min="2564" max="2564" width="43.42578125" style="910" customWidth="1"/>
    <col min="2565" max="2816" width="8.85546875" style="910"/>
    <col min="2817" max="2817" width="37.7109375" style="910" customWidth="1"/>
    <col min="2818" max="2818" width="8" style="910" customWidth="1"/>
    <col min="2819" max="2819" width="8.85546875" style="910"/>
    <col min="2820" max="2820" width="43.42578125" style="910" customWidth="1"/>
    <col min="2821" max="3072" width="8.85546875" style="910"/>
    <col min="3073" max="3073" width="37.7109375" style="910" customWidth="1"/>
    <col min="3074" max="3074" width="8" style="910" customWidth="1"/>
    <col min="3075" max="3075" width="8.85546875" style="910"/>
    <col min="3076" max="3076" width="43.42578125" style="910" customWidth="1"/>
    <col min="3077" max="3328" width="8.85546875" style="910"/>
    <col min="3329" max="3329" width="37.7109375" style="910" customWidth="1"/>
    <col min="3330" max="3330" width="8" style="910" customWidth="1"/>
    <col min="3331" max="3331" width="8.85546875" style="910"/>
    <col min="3332" max="3332" width="43.42578125" style="910" customWidth="1"/>
    <col min="3333" max="3584" width="8.85546875" style="910"/>
    <col min="3585" max="3585" width="37.7109375" style="910" customWidth="1"/>
    <col min="3586" max="3586" width="8" style="910" customWidth="1"/>
    <col min="3587" max="3587" width="8.85546875" style="910"/>
    <col min="3588" max="3588" width="43.42578125" style="910" customWidth="1"/>
    <col min="3589" max="3840" width="8.85546875" style="910"/>
    <col min="3841" max="3841" width="37.7109375" style="910" customWidth="1"/>
    <col min="3842" max="3842" width="8" style="910" customWidth="1"/>
    <col min="3843" max="3843" width="8.85546875" style="910"/>
    <col min="3844" max="3844" width="43.42578125" style="910" customWidth="1"/>
    <col min="3845" max="4096" width="8.85546875" style="910"/>
    <col min="4097" max="4097" width="37.7109375" style="910" customWidth="1"/>
    <col min="4098" max="4098" width="8" style="910" customWidth="1"/>
    <col min="4099" max="4099" width="8.85546875" style="910"/>
    <col min="4100" max="4100" width="43.42578125" style="910" customWidth="1"/>
    <col min="4101" max="4352" width="8.85546875" style="910"/>
    <col min="4353" max="4353" width="37.7109375" style="910" customWidth="1"/>
    <col min="4354" max="4354" width="8" style="910" customWidth="1"/>
    <col min="4355" max="4355" width="8.85546875" style="910"/>
    <col min="4356" max="4356" width="43.42578125" style="910" customWidth="1"/>
    <col min="4357" max="4608" width="8.85546875" style="910"/>
    <col min="4609" max="4609" width="37.7109375" style="910" customWidth="1"/>
    <col min="4610" max="4610" width="8" style="910" customWidth="1"/>
    <col min="4611" max="4611" width="8.85546875" style="910"/>
    <col min="4612" max="4612" width="43.42578125" style="910" customWidth="1"/>
    <col min="4613" max="4864" width="8.85546875" style="910"/>
    <col min="4865" max="4865" width="37.7109375" style="910" customWidth="1"/>
    <col min="4866" max="4866" width="8" style="910" customWidth="1"/>
    <col min="4867" max="4867" width="8.85546875" style="910"/>
    <col min="4868" max="4868" width="43.42578125" style="910" customWidth="1"/>
    <col min="4869" max="5120" width="8.85546875" style="910"/>
    <col min="5121" max="5121" width="37.7109375" style="910" customWidth="1"/>
    <col min="5122" max="5122" width="8" style="910" customWidth="1"/>
    <col min="5123" max="5123" width="8.85546875" style="910"/>
    <col min="5124" max="5124" width="43.42578125" style="910" customWidth="1"/>
    <col min="5125" max="5376" width="8.85546875" style="910"/>
    <col min="5377" max="5377" width="37.7109375" style="910" customWidth="1"/>
    <col min="5378" max="5378" width="8" style="910" customWidth="1"/>
    <col min="5379" max="5379" width="8.85546875" style="910"/>
    <col min="5380" max="5380" width="43.42578125" style="910" customWidth="1"/>
    <col min="5381" max="5632" width="8.85546875" style="910"/>
    <col min="5633" max="5633" width="37.7109375" style="910" customWidth="1"/>
    <col min="5634" max="5634" width="8" style="910" customWidth="1"/>
    <col min="5635" max="5635" width="8.85546875" style="910"/>
    <col min="5636" max="5636" width="43.42578125" style="910" customWidth="1"/>
    <col min="5637" max="5888" width="8.85546875" style="910"/>
    <col min="5889" max="5889" width="37.7109375" style="910" customWidth="1"/>
    <col min="5890" max="5890" width="8" style="910" customWidth="1"/>
    <col min="5891" max="5891" width="8.85546875" style="910"/>
    <col min="5892" max="5892" width="43.42578125" style="910" customWidth="1"/>
    <col min="5893" max="6144" width="8.85546875" style="910"/>
    <col min="6145" max="6145" width="37.7109375" style="910" customWidth="1"/>
    <col min="6146" max="6146" width="8" style="910" customWidth="1"/>
    <col min="6147" max="6147" width="8.85546875" style="910"/>
    <col min="6148" max="6148" width="43.42578125" style="910" customWidth="1"/>
    <col min="6149" max="6400" width="8.85546875" style="910"/>
    <col min="6401" max="6401" width="37.7109375" style="910" customWidth="1"/>
    <col min="6402" max="6402" width="8" style="910" customWidth="1"/>
    <col min="6403" max="6403" width="8.85546875" style="910"/>
    <col min="6404" max="6404" width="43.42578125" style="910" customWidth="1"/>
    <col min="6405" max="6656" width="8.85546875" style="910"/>
    <col min="6657" max="6657" width="37.7109375" style="910" customWidth="1"/>
    <col min="6658" max="6658" width="8" style="910" customWidth="1"/>
    <col min="6659" max="6659" width="8.85546875" style="910"/>
    <col min="6660" max="6660" width="43.42578125" style="910" customWidth="1"/>
    <col min="6661" max="6912" width="8.85546875" style="910"/>
    <col min="6913" max="6913" width="37.7109375" style="910" customWidth="1"/>
    <col min="6914" max="6914" width="8" style="910" customWidth="1"/>
    <col min="6915" max="6915" width="8.85546875" style="910"/>
    <col min="6916" max="6916" width="43.42578125" style="910" customWidth="1"/>
    <col min="6917" max="7168" width="8.85546875" style="910"/>
    <col min="7169" max="7169" width="37.7109375" style="910" customWidth="1"/>
    <col min="7170" max="7170" width="8" style="910" customWidth="1"/>
    <col min="7171" max="7171" width="8.85546875" style="910"/>
    <col min="7172" max="7172" width="43.42578125" style="910" customWidth="1"/>
    <col min="7173" max="7424" width="8.85546875" style="910"/>
    <col min="7425" max="7425" width="37.7109375" style="910" customWidth="1"/>
    <col min="7426" max="7426" width="8" style="910" customWidth="1"/>
    <col min="7427" max="7427" width="8.85546875" style="910"/>
    <col min="7428" max="7428" width="43.42578125" style="910" customWidth="1"/>
    <col min="7429" max="7680" width="8.85546875" style="910"/>
    <col min="7681" max="7681" width="37.7109375" style="910" customWidth="1"/>
    <col min="7682" max="7682" width="8" style="910" customWidth="1"/>
    <col min="7683" max="7683" width="8.85546875" style="910"/>
    <col min="7684" max="7684" width="43.42578125" style="910" customWidth="1"/>
    <col min="7685" max="7936" width="8.85546875" style="910"/>
    <col min="7937" max="7937" width="37.7109375" style="910" customWidth="1"/>
    <col min="7938" max="7938" width="8" style="910" customWidth="1"/>
    <col min="7939" max="7939" width="8.85546875" style="910"/>
    <col min="7940" max="7940" width="43.42578125" style="910" customWidth="1"/>
    <col min="7941" max="8192" width="8.85546875" style="910"/>
    <col min="8193" max="8193" width="37.7109375" style="910" customWidth="1"/>
    <col min="8194" max="8194" width="8" style="910" customWidth="1"/>
    <col min="8195" max="8195" width="8.85546875" style="910"/>
    <col min="8196" max="8196" width="43.42578125" style="910" customWidth="1"/>
    <col min="8197" max="8448" width="8.85546875" style="910"/>
    <col min="8449" max="8449" width="37.7109375" style="910" customWidth="1"/>
    <col min="8450" max="8450" width="8" style="910" customWidth="1"/>
    <col min="8451" max="8451" width="8.85546875" style="910"/>
    <col min="8452" max="8452" width="43.42578125" style="910" customWidth="1"/>
    <col min="8453" max="8704" width="8.85546875" style="910"/>
    <col min="8705" max="8705" width="37.7109375" style="910" customWidth="1"/>
    <col min="8706" max="8706" width="8" style="910" customWidth="1"/>
    <col min="8707" max="8707" width="8.85546875" style="910"/>
    <col min="8708" max="8708" width="43.42578125" style="910" customWidth="1"/>
    <col min="8709" max="8960" width="8.85546875" style="910"/>
    <col min="8961" max="8961" width="37.7109375" style="910" customWidth="1"/>
    <col min="8962" max="8962" width="8" style="910" customWidth="1"/>
    <col min="8963" max="8963" width="8.85546875" style="910"/>
    <col min="8964" max="8964" width="43.42578125" style="910" customWidth="1"/>
    <col min="8965" max="9216" width="8.85546875" style="910"/>
    <col min="9217" max="9217" width="37.7109375" style="910" customWidth="1"/>
    <col min="9218" max="9218" width="8" style="910" customWidth="1"/>
    <col min="9219" max="9219" width="8.85546875" style="910"/>
    <col min="9220" max="9220" width="43.42578125" style="910" customWidth="1"/>
    <col min="9221" max="9472" width="8.85546875" style="910"/>
    <col min="9473" max="9473" width="37.7109375" style="910" customWidth="1"/>
    <col min="9474" max="9474" width="8" style="910" customWidth="1"/>
    <col min="9475" max="9475" width="8.85546875" style="910"/>
    <col min="9476" max="9476" width="43.42578125" style="910" customWidth="1"/>
    <col min="9477" max="9728" width="8.85546875" style="910"/>
    <col min="9729" max="9729" width="37.7109375" style="910" customWidth="1"/>
    <col min="9730" max="9730" width="8" style="910" customWidth="1"/>
    <col min="9731" max="9731" width="8.85546875" style="910"/>
    <col min="9732" max="9732" width="43.42578125" style="910" customWidth="1"/>
    <col min="9733" max="9984" width="8.85546875" style="910"/>
    <col min="9985" max="9985" width="37.7109375" style="910" customWidth="1"/>
    <col min="9986" max="9986" width="8" style="910" customWidth="1"/>
    <col min="9987" max="9987" width="8.85546875" style="910"/>
    <col min="9988" max="9988" width="43.42578125" style="910" customWidth="1"/>
    <col min="9989" max="10240" width="8.85546875" style="910"/>
    <col min="10241" max="10241" width="37.7109375" style="910" customWidth="1"/>
    <col min="10242" max="10242" width="8" style="910" customWidth="1"/>
    <col min="10243" max="10243" width="8.85546875" style="910"/>
    <col min="10244" max="10244" width="43.42578125" style="910" customWidth="1"/>
    <col min="10245" max="10496" width="8.85546875" style="910"/>
    <col min="10497" max="10497" width="37.7109375" style="910" customWidth="1"/>
    <col min="10498" max="10498" width="8" style="910" customWidth="1"/>
    <col min="10499" max="10499" width="8.85546875" style="910"/>
    <col min="10500" max="10500" width="43.42578125" style="910" customWidth="1"/>
    <col min="10501" max="10752" width="8.85546875" style="910"/>
    <col min="10753" max="10753" width="37.7109375" style="910" customWidth="1"/>
    <col min="10754" max="10754" width="8" style="910" customWidth="1"/>
    <col min="10755" max="10755" width="8.85546875" style="910"/>
    <col min="10756" max="10756" width="43.42578125" style="910" customWidth="1"/>
    <col min="10757" max="11008" width="8.85546875" style="910"/>
    <col min="11009" max="11009" width="37.7109375" style="910" customWidth="1"/>
    <col min="11010" max="11010" width="8" style="910" customWidth="1"/>
    <col min="11011" max="11011" width="8.85546875" style="910"/>
    <col min="11012" max="11012" width="43.42578125" style="910" customWidth="1"/>
    <col min="11013" max="11264" width="8.85546875" style="910"/>
    <col min="11265" max="11265" width="37.7109375" style="910" customWidth="1"/>
    <col min="11266" max="11266" width="8" style="910" customWidth="1"/>
    <col min="11267" max="11267" width="8.85546875" style="910"/>
    <col min="11268" max="11268" width="43.42578125" style="910" customWidth="1"/>
    <col min="11269" max="11520" width="8.85546875" style="910"/>
    <col min="11521" max="11521" width="37.7109375" style="910" customWidth="1"/>
    <col min="11522" max="11522" width="8" style="910" customWidth="1"/>
    <col min="11523" max="11523" width="8.85546875" style="910"/>
    <col min="11524" max="11524" width="43.42578125" style="910" customWidth="1"/>
    <col min="11525" max="11776" width="8.85546875" style="910"/>
    <col min="11777" max="11777" width="37.7109375" style="910" customWidth="1"/>
    <col min="11778" max="11778" width="8" style="910" customWidth="1"/>
    <col min="11779" max="11779" width="8.85546875" style="910"/>
    <col min="11780" max="11780" width="43.42578125" style="910" customWidth="1"/>
    <col min="11781" max="12032" width="8.85546875" style="910"/>
    <col min="12033" max="12033" width="37.7109375" style="910" customWidth="1"/>
    <col min="12034" max="12034" width="8" style="910" customWidth="1"/>
    <col min="12035" max="12035" width="8.85546875" style="910"/>
    <col min="12036" max="12036" width="43.42578125" style="910" customWidth="1"/>
    <col min="12037" max="12288" width="8.85546875" style="910"/>
    <col min="12289" max="12289" width="37.7109375" style="910" customWidth="1"/>
    <col min="12290" max="12290" width="8" style="910" customWidth="1"/>
    <col min="12291" max="12291" width="8.85546875" style="910"/>
    <col min="12292" max="12292" width="43.42578125" style="910" customWidth="1"/>
    <col min="12293" max="12544" width="8.85546875" style="910"/>
    <col min="12545" max="12545" width="37.7109375" style="910" customWidth="1"/>
    <col min="12546" max="12546" width="8" style="910" customWidth="1"/>
    <col min="12547" max="12547" width="8.85546875" style="910"/>
    <col min="12548" max="12548" width="43.42578125" style="910" customWidth="1"/>
    <col min="12549" max="12800" width="8.85546875" style="910"/>
    <col min="12801" max="12801" width="37.7109375" style="910" customWidth="1"/>
    <col min="12802" max="12802" width="8" style="910" customWidth="1"/>
    <col min="12803" max="12803" width="8.85546875" style="910"/>
    <col min="12804" max="12804" width="43.42578125" style="910" customWidth="1"/>
    <col min="12805" max="13056" width="8.85546875" style="910"/>
    <col min="13057" max="13057" width="37.7109375" style="910" customWidth="1"/>
    <col min="13058" max="13058" width="8" style="910" customWidth="1"/>
    <col min="13059" max="13059" width="8.85546875" style="910"/>
    <col min="13060" max="13060" width="43.42578125" style="910" customWidth="1"/>
    <col min="13061" max="13312" width="8.85546875" style="910"/>
    <col min="13313" max="13313" width="37.7109375" style="910" customWidth="1"/>
    <col min="13314" max="13314" width="8" style="910" customWidth="1"/>
    <col min="13315" max="13315" width="8.85546875" style="910"/>
    <col min="13316" max="13316" width="43.42578125" style="910" customWidth="1"/>
    <col min="13317" max="13568" width="8.85546875" style="910"/>
    <col min="13569" max="13569" width="37.7109375" style="910" customWidth="1"/>
    <col min="13570" max="13570" width="8" style="910" customWidth="1"/>
    <col min="13571" max="13571" width="8.85546875" style="910"/>
    <col min="13572" max="13572" width="43.42578125" style="910" customWidth="1"/>
    <col min="13573" max="13824" width="8.85546875" style="910"/>
    <col min="13825" max="13825" width="37.7109375" style="910" customWidth="1"/>
    <col min="13826" max="13826" width="8" style="910" customWidth="1"/>
    <col min="13827" max="13827" width="8.85546875" style="910"/>
    <col min="13828" max="13828" width="43.42578125" style="910" customWidth="1"/>
    <col min="13829" max="14080" width="8.85546875" style="910"/>
    <col min="14081" max="14081" width="37.7109375" style="910" customWidth="1"/>
    <col min="14082" max="14082" width="8" style="910" customWidth="1"/>
    <col min="14083" max="14083" width="8.85546875" style="910"/>
    <col min="14084" max="14084" width="43.42578125" style="910" customWidth="1"/>
    <col min="14085" max="14336" width="8.85546875" style="910"/>
    <col min="14337" max="14337" width="37.7109375" style="910" customWidth="1"/>
    <col min="14338" max="14338" width="8" style="910" customWidth="1"/>
    <col min="14339" max="14339" width="8.85546875" style="910"/>
    <col min="14340" max="14340" width="43.42578125" style="910" customWidth="1"/>
    <col min="14341" max="14592" width="8.85546875" style="910"/>
    <col min="14593" max="14593" width="37.7109375" style="910" customWidth="1"/>
    <col min="14594" max="14594" width="8" style="910" customWidth="1"/>
    <col min="14595" max="14595" width="8.85546875" style="910"/>
    <col min="14596" max="14596" width="43.42578125" style="910" customWidth="1"/>
    <col min="14597" max="14848" width="8.85546875" style="910"/>
    <col min="14849" max="14849" width="37.7109375" style="910" customWidth="1"/>
    <col min="14850" max="14850" width="8" style="910" customWidth="1"/>
    <col min="14851" max="14851" width="8.85546875" style="910"/>
    <col min="14852" max="14852" width="43.42578125" style="910" customWidth="1"/>
    <col min="14853" max="15104" width="8.85546875" style="910"/>
    <col min="15105" max="15105" width="37.7109375" style="910" customWidth="1"/>
    <col min="15106" max="15106" width="8" style="910" customWidth="1"/>
    <col min="15107" max="15107" width="8.85546875" style="910"/>
    <col min="15108" max="15108" width="43.42578125" style="910" customWidth="1"/>
    <col min="15109" max="15360" width="8.85546875" style="910"/>
    <col min="15361" max="15361" width="37.7109375" style="910" customWidth="1"/>
    <col min="15362" max="15362" width="8" style="910" customWidth="1"/>
    <col min="15363" max="15363" width="8.85546875" style="910"/>
    <col min="15364" max="15364" width="43.42578125" style="910" customWidth="1"/>
    <col min="15365" max="15616" width="8.85546875" style="910"/>
    <col min="15617" max="15617" width="37.7109375" style="910" customWidth="1"/>
    <col min="15618" max="15618" width="8" style="910" customWidth="1"/>
    <col min="15619" max="15619" width="8.85546875" style="910"/>
    <col min="15620" max="15620" width="43.42578125" style="910" customWidth="1"/>
    <col min="15621" max="15872" width="8.85546875" style="910"/>
    <col min="15873" max="15873" width="37.7109375" style="910" customWidth="1"/>
    <col min="15874" max="15874" width="8" style="910" customWidth="1"/>
    <col min="15875" max="15875" width="8.85546875" style="910"/>
    <col min="15876" max="15876" width="43.42578125" style="910" customWidth="1"/>
    <col min="15877" max="16128" width="8.85546875" style="910"/>
    <col min="16129" max="16129" width="37.7109375" style="910" customWidth="1"/>
    <col min="16130" max="16130" width="8" style="910" customWidth="1"/>
    <col min="16131" max="16131" width="8.85546875" style="910"/>
    <col min="16132" max="16132" width="43.42578125" style="910" customWidth="1"/>
    <col min="16133" max="16384" width="8.85546875" style="910"/>
  </cols>
  <sheetData>
    <row r="1" spans="1:5" s="1079" customFormat="1" ht="26.1" customHeight="1">
      <c r="A1" s="1794" t="str">
        <f>HYPERLINK("[.\]Menu!A1", "To Menu")</f>
        <v>To Menu</v>
      </c>
    </row>
    <row r="2" spans="1:5" s="1079" customFormat="1" ht="15" customHeight="1">
      <c r="A2" s="1719"/>
    </row>
    <row r="3" spans="1:5" ht="26.1" customHeight="1">
      <c r="A3" s="1794" t="str">
        <f>HYPERLINK("[.\]Rapid_response!B2", "Back to rapid response")</f>
        <v>Back to rapid response</v>
      </c>
      <c r="B3" s="583"/>
      <c r="C3" s="583"/>
      <c r="D3" s="583"/>
      <c r="E3" s="583"/>
    </row>
    <row r="4" spans="1:5" ht="99.75">
      <c r="A4" s="220" t="s">
        <v>218</v>
      </c>
      <c r="B4" s="583"/>
      <c r="C4" s="911">
        <v>20000</v>
      </c>
      <c r="D4" s="1529" t="s">
        <v>969</v>
      </c>
      <c r="E4" s="583"/>
    </row>
    <row r="5" spans="1:5">
      <c r="A5" s="583"/>
      <c r="B5" s="583"/>
      <c r="C5" s="911"/>
      <c r="D5" s="583" t="s">
        <v>984</v>
      </c>
      <c r="E5" s="583"/>
    </row>
    <row r="6" spans="1:5">
      <c r="A6" s="583"/>
      <c r="B6" s="583"/>
      <c r="C6" s="911"/>
      <c r="D6" s="583"/>
      <c r="E6" s="583"/>
    </row>
    <row r="7" spans="1:5">
      <c r="A7" s="583"/>
      <c r="B7" s="583"/>
      <c r="C7" s="911"/>
      <c r="D7" s="583"/>
      <c r="E7" s="583"/>
    </row>
    <row r="8" spans="1:5" ht="15">
      <c r="A8" s="2571" t="s">
        <v>720</v>
      </c>
      <c r="B8" s="2571"/>
      <c r="C8" s="2571"/>
      <c r="D8" s="2571"/>
      <c r="E8" s="583"/>
    </row>
    <row r="9" spans="1:5">
      <c r="A9" s="583"/>
      <c r="B9" s="583"/>
      <c r="C9" s="769"/>
      <c r="D9" s="583"/>
      <c r="E9" s="583"/>
    </row>
    <row r="10" spans="1:5" ht="28.5">
      <c r="A10" s="1526" t="s">
        <v>719</v>
      </c>
      <c r="B10" s="914"/>
      <c r="C10" s="915">
        <v>600</v>
      </c>
      <c r="D10" s="916" t="s">
        <v>716</v>
      </c>
      <c r="E10" s="583"/>
    </row>
    <row r="11" spans="1:5" ht="28.5">
      <c r="A11" s="1527" t="s">
        <v>718</v>
      </c>
      <c r="B11" s="583"/>
      <c r="C11" s="913"/>
      <c r="D11" s="917"/>
      <c r="E11" s="583"/>
    </row>
    <row r="12" spans="1:5">
      <c r="A12" s="1527" t="s">
        <v>717</v>
      </c>
      <c r="B12" s="583"/>
      <c r="C12" s="912">
        <v>250</v>
      </c>
      <c r="D12" s="917" t="s">
        <v>716</v>
      </c>
      <c r="E12" s="583"/>
    </row>
    <row r="13" spans="1:5">
      <c r="A13" s="1527" t="s">
        <v>715</v>
      </c>
      <c r="B13" s="583"/>
      <c r="C13" s="912">
        <v>2000</v>
      </c>
      <c r="D13" s="917" t="s">
        <v>714</v>
      </c>
      <c r="E13" s="583"/>
    </row>
    <row r="14" spans="1:5" ht="28.5">
      <c r="A14" s="1527" t="s">
        <v>713</v>
      </c>
      <c r="B14" s="583"/>
      <c r="C14" s="769"/>
      <c r="D14" s="917" t="s">
        <v>712</v>
      </c>
      <c r="E14" s="583"/>
    </row>
    <row r="15" spans="1:5">
      <c r="A15" s="1527" t="s">
        <v>711</v>
      </c>
      <c r="B15" s="583"/>
      <c r="C15" s="913"/>
      <c r="D15" s="917"/>
      <c r="E15" s="583"/>
    </row>
    <row r="16" spans="1:5">
      <c r="A16" s="1528" t="s">
        <v>710</v>
      </c>
      <c r="B16" s="918"/>
      <c r="C16" s="919"/>
      <c r="D16" s="920"/>
      <c r="E16" s="583"/>
    </row>
    <row r="17" spans="1:5">
      <c r="A17" s="583"/>
      <c r="B17" s="583"/>
      <c r="C17" s="583"/>
      <c r="D17" s="583"/>
      <c r="E17" s="583"/>
    </row>
    <row r="18" spans="1:5">
      <c r="A18" s="583"/>
      <c r="B18" s="583"/>
      <c r="C18" s="583"/>
      <c r="D18" s="583"/>
      <c r="E18" s="583"/>
    </row>
    <row r="19" spans="1:5">
      <c r="A19" s="583"/>
      <c r="B19" s="583"/>
      <c r="C19" s="583"/>
      <c r="D19" s="583"/>
      <c r="E19" s="583"/>
    </row>
    <row r="20" spans="1:5">
      <c r="A20" s="583"/>
      <c r="B20" s="583"/>
      <c r="C20" s="583"/>
      <c r="D20" s="583"/>
      <c r="E20" s="583"/>
    </row>
  </sheetData>
  <mergeCells count="1">
    <mergeCell ref="A8:D8"/>
  </mergeCells>
  <pageMargins left="0.7" right="0.7" top="0.75" bottom="0.75" header="0.3" footer="0.3"/>
  <pageSetup paperSize="9" scale="73" orientation="portrait"/>
  <colBreaks count="1" manualBreakCount="1">
    <brk id="4" max="1048575" man="1"/>
  </colBreaks>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52"/>
  <sheetViews>
    <sheetView showGridLines="0" zoomScale="75" zoomScaleNormal="75" zoomScalePageLayoutView="75" workbookViewId="0">
      <pane xSplit="1" ySplit="10" topLeftCell="B11" activePane="bottomRight" state="frozen"/>
      <selection pane="topRight"/>
      <selection pane="bottomLeft"/>
      <selection pane="bottomRight" activeCell="A3" sqref="A3"/>
    </sheetView>
  </sheetViews>
  <sheetFormatPr defaultColWidth="8.85546875" defaultRowHeight="15"/>
  <cols>
    <col min="1" max="1" width="43.140625" style="516" customWidth="1"/>
    <col min="2" max="2" width="12.42578125" style="516" customWidth="1"/>
    <col min="3" max="4" width="10.42578125" style="516" customWidth="1"/>
    <col min="5" max="5" width="9.42578125" style="516" customWidth="1"/>
    <col min="6" max="6" width="7.42578125" style="516" customWidth="1"/>
    <col min="7" max="7" width="14" style="516" customWidth="1"/>
    <col min="8" max="8" width="7.85546875" style="1647" bestFit="1" customWidth="1"/>
    <col min="9" max="9" width="15.28515625" style="1648" customWidth="1"/>
    <col min="10" max="10" width="19.42578125" style="516" customWidth="1"/>
    <col min="11" max="11" width="8.85546875" style="516"/>
    <col min="12" max="12" width="10.42578125" style="516" bestFit="1" customWidth="1"/>
    <col min="13" max="256" width="8.85546875" style="516"/>
    <col min="257" max="257" width="43.140625" style="516" customWidth="1"/>
    <col min="258" max="258" width="12.42578125" style="516" customWidth="1"/>
    <col min="259" max="260" width="10.42578125" style="516" customWidth="1"/>
    <col min="261" max="261" width="9.42578125" style="516" customWidth="1"/>
    <col min="262" max="262" width="7.42578125" style="516" customWidth="1"/>
    <col min="263" max="263" width="14" style="516" customWidth="1"/>
    <col min="264" max="264" width="7.85546875" style="516" bestFit="1" customWidth="1"/>
    <col min="265" max="265" width="15.28515625" style="516" customWidth="1"/>
    <col min="266" max="266" width="19.42578125" style="516" customWidth="1"/>
    <col min="267" max="267" width="8.85546875" style="516"/>
    <col min="268" max="268" width="10.42578125" style="516" bestFit="1" customWidth="1"/>
    <col min="269" max="512" width="8.85546875" style="516"/>
    <col min="513" max="513" width="43.140625" style="516" customWidth="1"/>
    <col min="514" max="514" width="12.42578125" style="516" customWidth="1"/>
    <col min="515" max="516" width="10.42578125" style="516" customWidth="1"/>
    <col min="517" max="517" width="9.42578125" style="516" customWidth="1"/>
    <col min="518" max="518" width="7.42578125" style="516" customWidth="1"/>
    <col min="519" max="519" width="14" style="516" customWidth="1"/>
    <col min="520" max="520" width="7.85546875" style="516" bestFit="1" customWidth="1"/>
    <col min="521" max="521" width="15.28515625" style="516" customWidth="1"/>
    <col min="522" max="522" width="19.42578125" style="516" customWidth="1"/>
    <col min="523" max="523" width="8.85546875" style="516"/>
    <col min="524" max="524" width="10.42578125" style="516" bestFit="1" customWidth="1"/>
    <col min="525" max="768" width="8.85546875" style="516"/>
    <col min="769" max="769" width="43.140625" style="516" customWidth="1"/>
    <col min="770" max="770" width="12.42578125" style="516" customWidth="1"/>
    <col min="771" max="772" width="10.42578125" style="516" customWidth="1"/>
    <col min="773" max="773" width="9.42578125" style="516" customWidth="1"/>
    <col min="774" max="774" width="7.42578125" style="516" customWidth="1"/>
    <col min="775" max="775" width="14" style="516" customWidth="1"/>
    <col min="776" max="776" width="7.85546875" style="516" bestFit="1" customWidth="1"/>
    <col min="777" max="777" width="15.28515625" style="516" customWidth="1"/>
    <col min="778" max="778" width="19.42578125" style="516" customWidth="1"/>
    <col min="779" max="779" width="8.85546875" style="516"/>
    <col min="780" max="780" width="10.42578125" style="516" bestFit="1" customWidth="1"/>
    <col min="781" max="1024" width="8.85546875" style="516"/>
    <col min="1025" max="1025" width="43.140625" style="516" customWidth="1"/>
    <col min="1026" max="1026" width="12.42578125" style="516" customWidth="1"/>
    <col min="1027" max="1028" width="10.42578125" style="516" customWidth="1"/>
    <col min="1029" max="1029" width="9.42578125" style="516" customWidth="1"/>
    <col min="1030" max="1030" width="7.42578125" style="516" customWidth="1"/>
    <col min="1031" max="1031" width="14" style="516" customWidth="1"/>
    <col min="1032" max="1032" width="7.85546875" style="516" bestFit="1" customWidth="1"/>
    <col min="1033" max="1033" width="15.28515625" style="516" customWidth="1"/>
    <col min="1034" max="1034" width="19.42578125" style="516" customWidth="1"/>
    <col min="1035" max="1035" width="8.85546875" style="516"/>
    <col min="1036" max="1036" width="10.42578125" style="516" bestFit="1" customWidth="1"/>
    <col min="1037" max="1280" width="8.85546875" style="516"/>
    <col min="1281" max="1281" width="43.140625" style="516" customWidth="1"/>
    <col min="1282" max="1282" width="12.42578125" style="516" customWidth="1"/>
    <col min="1283" max="1284" width="10.42578125" style="516" customWidth="1"/>
    <col min="1285" max="1285" width="9.42578125" style="516" customWidth="1"/>
    <col min="1286" max="1286" width="7.42578125" style="516" customWidth="1"/>
    <col min="1287" max="1287" width="14" style="516" customWidth="1"/>
    <col min="1288" max="1288" width="7.85546875" style="516" bestFit="1" customWidth="1"/>
    <col min="1289" max="1289" width="15.28515625" style="516" customWidth="1"/>
    <col min="1290" max="1290" width="19.42578125" style="516" customWidth="1"/>
    <col min="1291" max="1291" width="8.85546875" style="516"/>
    <col min="1292" max="1292" width="10.42578125" style="516" bestFit="1" customWidth="1"/>
    <col min="1293" max="1536" width="8.85546875" style="516"/>
    <col min="1537" max="1537" width="43.140625" style="516" customWidth="1"/>
    <col min="1538" max="1538" width="12.42578125" style="516" customWidth="1"/>
    <col min="1539" max="1540" width="10.42578125" style="516" customWidth="1"/>
    <col min="1541" max="1541" width="9.42578125" style="516" customWidth="1"/>
    <col min="1542" max="1542" width="7.42578125" style="516" customWidth="1"/>
    <col min="1543" max="1543" width="14" style="516" customWidth="1"/>
    <col min="1544" max="1544" width="7.85546875" style="516" bestFit="1" customWidth="1"/>
    <col min="1545" max="1545" width="15.28515625" style="516" customWidth="1"/>
    <col min="1546" max="1546" width="19.42578125" style="516" customWidth="1"/>
    <col min="1547" max="1547" width="8.85546875" style="516"/>
    <col min="1548" max="1548" width="10.42578125" style="516" bestFit="1" customWidth="1"/>
    <col min="1549" max="1792" width="8.85546875" style="516"/>
    <col min="1793" max="1793" width="43.140625" style="516" customWidth="1"/>
    <col min="1794" max="1794" width="12.42578125" style="516" customWidth="1"/>
    <col min="1795" max="1796" width="10.42578125" style="516" customWidth="1"/>
    <col min="1797" max="1797" width="9.42578125" style="516" customWidth="1"/>
    <col min="1798" max="1798" width="7.42578125" style="516" customWidth="1"/>
    <col min="1799" max="1799" width="14" style="516" customWidth="1"/>
    <col min="1800" max="1800" width="7.85546875" style="516" bestFit="1" customWidth="1"/>
    <col min="1801" max="1801" width="15.28515625" style="516" customWidth="1"/>
    <col min="1802" max="1802" width="19.42578125" style="516" customWidth="1"/>
    <col min="1803" max="1803" width="8.85546875" style="516"/>
    <col min="1804" max="1804" width="10.42578125" style="516" bestFit="1" customWidth="1"/>
    <col min="1805" max="2048" width="8.85546875" style="516"/>
    <col min="2049" max="2049" width="43.140625" style="516" customWidth="1"/>
    <col min="2050" max="2050" width="12.42578125" style="516" customWidth="1"/>
    <col min="2051" max="2052" width="10.42578125" style="516" customWidth="1"/>
    <col min="2053" max="2053" width="9.42578125" style="516" customWidth="1"/>
    <col min="2054" max="2054" width="7.42578125" style="516" customWidth="1"/>
    <col min="2055" max="2055" width="14" style="516" customWidth="1"/>
    <col min="2056" max="2056" width="7.85546875" style="516" bestFit="1" customWidth="1"/>
    <col min="2057" max="2057" width="15.28515625" style="516" customWidth="1"/>
    <col min="2058" max="2058" width="19.42578125" style="516" customWidth="1"/>
    <col min="2059" max="2059" width="8.85546875" style="516"/>
    <col min="2060" max="2060" width="10.42578125" style="516" bestFit="1" customWidth="1"/>
    <col min="2061" max="2304" width="8.85546875" style="516"/>
    <col min="2305" max="2305" width="43.140625" style="516" customWidth="1"/>
    <col min="2306" max="2306" width="12.42578125" style="516" customWidth="1"/>
    <col min="2307" max="2308" width="10.42578125" style="516" customWidth="1"/>
    <col min="2309" max="2309" width="9.42578125" style="516" customWidth="1"/>
    <col min="2310" max="2310" width="7.42578125" style="516" customWidth="1"/>
    <col min="2311" max="2311" width="14" style="516" customWidth="1"/>
    <col min="2312" max="2312" width="7.85546875" style="516" bestFit="1" customWidth="1"/>
    <col min="2313" max="2313" width="15.28515625" style="516" customWidth="1"/>
    <col min="2314" max="2314" width="19.42578125" style="516" customWidth="1"/>
    <col min="2315" max="2315" width="8.85546875" style="516"/>
    <col min="2316" max="2316" width="10.42578125" style="516" bestFit="1" customWidth="1"/>
    <col min="2317" max="2560" width="8.85546875" style="516"/>
    <col min="2561" max="2561" width="43.140625" style="516" customWidth="1"/>
    <col min="2562" max="2562" width="12.42578125" style="516" customWidth="1"/>
    <col min="2563" max="2564" width="10.42578125" style="516" customWidth="1"/>
    <col min="2565" max="2565" width="9.42578125" style="516" customWidth="1"/>
    <col min="2566" max="2566" width="7.42578125" style="516" customWidth="1"/>
    <col min="2567" max="2567" width="14" style="516" customWidth="1"/>
    <col min="2568" max="2568" width="7.85546875" style="516" bestFit="1" customWidth="1"/>
    <col min="2569" max="2569" width="15.28515625" style="516" customWidth="1"/>
    <col min="2570" max="2570" width="19.42578125" style="516" customWidth="1"/>
    <col min="2571" max="2571" width="8.85546875" style="516"/>
    <col min="2572" max="2572" width="10.42578125" style="516" bestFit="1" customWidth="1"/>
    <col min="2573" max="2816" width="8.85546875" style="516"/>
    <col min="2817" max="2817" width="43.140625" style="516" customWidth="1"/>
    <col min="2818" max="2818" width="12.42578125" style="516" customWidth="1"/>
    <col min="2819" max="2820" width="10.42578125" style="516" customWidth="1"/>
    <col min="2821" max="2821" width="9.42578125" style="516" customWidth="1"/>
    <col min="2822" max="2822" width="7.42578125" style="516" customWidth="1"/>
    <col min="2823" max="2823" width="14" style="516" customWidth="1"/>
    <col min="2824" max="2824" width="7.85546875" style="516" bestFit="1" customWidth="1"/>
    <col min="2825" max="2825" width="15.28515625" style="516" customWidth="1"/>
    <col min="2826" max="2826" width="19.42578125" style="516" customWidth="1"/>
    <col min="2827" max="2827" width="8.85546875" style="516"/>
    <col min="2828" max="2828" width="10.42578125" style="516" bestFit="1" customWidth="1"/>
    <col min="2829" max="3072" width="8.85546875" style="516"/>
    <col min="3073" max="3073" width="43.140625" style="516" customWidth="1"/>
    <col min="3074" max="3074" width="12.42578125" style="516" customWidth="1"/>
    <col min="3075" max="3076" width="10.42578125" style="516" customWidth="1"/>
    <col min="3077" max="3077" width="9.42578125" style="516" customWidth="1"/>
    <col min="3078" max="3078" width="7.42578125" style="516" customWidth="1"/>
    <col min="3079" max="3079" width="14" style="516" customWidth="1"/>
    <col min="3080" max="3080" width="7.85546875" style="516" bestFit="1" customWidth="1"/>
    <col min="3081" max="3081" width="15.28515625" style="516" customWidth="1"/>
    <col min="3082" max="3082" width="19.42578125" style="516" customWidth="1"/>
    <col min="3083" max="3083" width="8.85546875" style="516"/>
    <col min="3084" max="3084" width="10.42578125" style="516" bestFit="1" customWidth="1"/>
    <col min="3085" max="3328" width="8.85546875" style="516"/>
    <col min="3329" max="3329" width="43.140625" style="516" customWidth="1"/>
    <col min="3330" max="3330" width="12.42578125" style="516" customWidth="1"/>
    <col min="3331" max="3332" width="10.42578125" style="516" customWidth="1"/>
    <col min="3333" max="3333" width="9.42578125" style="516" customWidth="1"/>
    <col min="3334" max="3334" width="7.42578125" style="516" customWidth="1"/>
    <col min="3335" max="3335" width="14" style="516" customWidth="1"/>
    <col min="3336" max="3336" width="7.85546875" style="516" bestFit="1" customWidth="1"/>
    <col min="3337" max="3337" width="15.28515625" style="516" customWidth="1"/>
    <col min="3338" max="3338" width="19.42578125" style="516" customWidth="1"/>
    <col min="3339" max="3339" width="8.85546875" style="516"/>
    <col min="3340" max="3340" width="10.42578125" style="516" bestFit="1" customWidth="1"/>
    <col min="3341" max="3584" width="8.85546875" style="516"/>
    <col min="3585" max="3585" width="43.140625" style="516" customWidth="1"/>
    <col min="3586" max="3586" width="12.42578125" style="516" customWidth="1"/>
    <col min="3587" max="3588" width="10.42578125" style="516" customWidth="1"/>
    <col min="3589" max="3589" width="9.42578125" style="516" customWidth="1"/>
    <col min="3590" max="3590" width="7.42578125" style="516" customWidth="1"/>
    <col min="3591" max="3591" width="14" style="516" customWidth="1"/>
    <col min="3592" max="3592" width="7.85546875" style="516" bestFit="1" customWidth="1"/>
    <col min="3593" max="3593" width="15.28515625" style="516" customWidth="1"/>
    <col min="3594" max="3594" width="19.42578125" style="516" customWidth="1"/>
    <col min="3595" max="3595" width="8.85546875" style="516"/>
    <col min="3596" max="3596" width="10.42578125" style="516" bestFit="1" customWidth="1"/>
    <col min="3597" max="3840" width="8.85546875" style="516"/>
    <col min="3841" max="3841" width="43.140625" style="516" customWidth="1"/>
    <col min="3842" max="3842" width="12.42578125" style="516" customWidth="1"/>
    <col min="3843" max="3844" width="10.42578125" style="516" customWidth="1"/>
    <col min="3845" max="3845" width="9.42578125" style="516" customWidth="1"/>
    <col min="3846" max="3846" width="7.42578125" style="516" customWidth="1"/>
    <col min="3847" max="3847" width="14" style="516" customWidth="1"/>
    <col min="3848" max="3848" width="7.85546875" style="516" bestFit="1" customWidth="1"/>
    <col min="3849" max="3849" width="15.28515625" style="516" customWidth="1"/>
    <col min="3850" max="3850" width="19.42578125" style="516" customWidth="1"/>
    <col min="3851" max="3851" width="8.85546875" style="516"/>
    <col min="3852" max="3852" width="10.42578125" style="516" bestFit="1" customWidth="1"/>
    <col min="3853" max="4096" width="8.85546875" style="516"/>
    <col min="4097" max="4097" width="43.140625" style="516" customWidth="1"/>
    <col min="4098" max="4098" width="12.42578125" style="516" customWidth="1"/>
    <col min="4099" max="4100" width="10.42578125" style="516" customWidth="1"/>
    <col min="4101" max="4101" width="9.42578125" style="516" customWidth="1"/>
    <col min="4102" max="4102" width="7.42578125" style="516" customWidth="1"/>
    <col min="4103" max="4103" width="14" style="516" customWidth="1"/>
    <col min="4104" max="4104" width="7.85546875" style="516" bestFit="1" customWidth="1"/>
    <col min="4105" max="4105" width="15.28515625" style="516" customWidth="1"/>
    <col min="4106" max="4106" width="19.42578125" style="516" customWidth="1"/>
    <col min="4107" max="4107" width="8.85546875" style="516"/>
    <col min="4108" max="4108" width="10.42578125" style="516" bestFit="1" customWidth="1"/>
    <col min="4109" max="4352" width="8.85546875" style="516"/>
    <col min="4353" max="4353" width="43.140625" style="516" customWidth="1"/>
    <col min="4354" max="4354" width="12.42578125" style="516" customWidth="1"/>
    <col min="4355" max="4356" width="10.42578125" style="516" customWidth="1"/>
    <col min="4357" max="4357" width="9.42578125" style="516" customWidth="1"/>
    <col min="4358" max="4358" width="7.42578125" style="516" customWidth="1"/>
    <col min="4359" max="4359" width="14" style="516" customWidth="1"/>
    <col min="4360" max="4360" width="7.85546875" style="516" bestFit="1" customWidth="1"/>
    <col min="4361" max="4361" width="15.28515625" style="516" customWidth="1"/>
    <col min="4362" max="4362" width="19.42578125" style="516" customWidth="1"/>
    <col min="4363" max="4363" width="8.85546875" style="516"/>
    <col min="4364" max="4364" width="10.42578125" style="516" bestFit="1" customWidth="1"/>
    <col min="4365" max="4608" width="8.85546875" style="516"/>
    <col min="4609" max="4609" width="43.140625" style="516" customWidth="1"/>
    <col min="4610" max="4610" width="12.42578125" style="516" customWidth="1"/>
    <col min="4611" max="4612" width="10.42578125" style="516" customWidth="1"/>
    <col min="4613" max="4613" width="9.42578125" style="516" customWidth="1"/>
    <col min="4614" max="4614" width="7.42578125" style="516" customWidth="1"/>
    <col min="4615" max="4615" width="14" style="516" customWidth="1"/>
    <col min="4616" max="4616" width="7.85546875" style="516" bestFit="1" customWidth="1"/>
    <col min="4617" max="4617" width="15.28515625" style="516" customWidth="1"/>
    <col min="4618" max="4618" width="19.42578125" style="516" customWidth="1"/>
    <col min="4619" max="4619" width="8.85546875" style="516"/>
    <col min="4620" max="4620" width="10.42578125" style="516" bestFit="1" customWidth="1"/>
    <col min="4621" max="4864" width="8.85546875" style="516"/>
    <col min="4865" max="4865" width="43.140625" style="516" customWidth="1"/>
    <col min="4866" max="4866" width="12.42578125" style="516" customWidth="1"/>
    <col min="4867" max="4868" width="10.42578125" style="516" customWidth="1"/>
    <col min="4869" max="4869" width="9.42578125" style="516" customWidth="1"/>
    <col min="4870" max="4870" width="7.42578125" style="516" customWidth="1"/>
    <col min="4871" max="4871" width="14" style="516" customWidth="1"/>
    <col min="4872" max="4872" width="7.85546875" style="516" bestFit="1" customWidth="1"/>
    <col min="4873" max="4873" width="15.28515625" style="516" customWidth="1"/>
    <col min="4874" max="4874" width="19.42578125" style="516" customWidth="1"/>
    <col min="4875" max="4875" width="8.85546875" style="516"/>
    <col min="4876" max="4876" width="10.42578125" style="516" bestFit="1" customWidth="1"/>
    <col min="4877" max="5120" width="8.85546875" style="516"/>
    <col min="5121" max="5121" width="43.140625" style="516" customWidth="1"/>
    <col min="5122" max="5122" width="12.42578125" style="516" customWidth="1"/>
    <col min="5123" max="5124" width="10.42578125" style="516" customWidth="1"/>
    <col min="5125" max="5125" width="9.42578125" style="516" customWidth="1"/>
    <col min="5126" max="5126" width="7.42578125" style="516" customWidth="1"/>
    <col min="5127" max="5127" width="14" style="516" customWidth="1"/>
    <col min="5128" max="5128" width="7.85546875" style="516" bestFit="1" customWidth="1"/>
    <col min="5129" max="5129" width="15.28515625" style="516" customWidth="1"/>
    <col min="5130" max="5130" width="19.42578125" style="516" customWidth="1"/>
    <col min="5131" max="5131" width="8.85546875" style="516"/>
    <col min="5132" max="5132" width="10.42578125" style="516" bestFit="1" customWidth="1"/>
    <col min="5133" max="5376" width="8.85546875" style="516"/>
    <col min="5377" max="5377" width="43.140625" style="516" customWidth="1"/>
    <col min="5378" max="5378" width="12.42578125" style="516" customWidth="1"/>
    <col min="5379" max="5380" width="10.42578125" style="516" customWidth="1"/>
    <col min="5381" max="5381" width="9.42578125" style="516" customWidth="1"/>
    <col min="5382" max="5382" width="7.42578125" style="516" customWidth="1"/>
    <col min="5383" max="5383" width="14" style="516" customWidth="1"/>
    <col min="5384" max="5384" width="7.85546875" style="516" bestFit="1" customWidth="1"/>
    <col min="5385" max="5385" width="15.28515625" style="516" customWidth="1"/>
    <col min="5386" max="5386" width="19.42578125" style="516" customWidth="1"/>
    <col min="5387" max="5387" width="8.85546875" style="516"/>
    <col min="5388" max="5388" width="10.42578125" style="516" bestFit="1" customWidth="1"/>
    <col min="5389" max="5632" width="8.85546875" style="516"/>
    <col min="5633" max="5633" width="43.140625" style="516" customWidth="1"/>
    <col min="5634" max="5634" width="12.42578125" style="516" customWidth="1"/>
    <col min="5635" max="5636" width="10.42578125" style="516" customWidth="1"/>
    <col min="5637" max="5637" width="9.42578125" style="516" customWidth="1"/>
    <col min="5638" max="5638" width="7.42578125" style="516" customWidth="1"/>
    <col min="5639" max="5639" width="14" style="516" customWidth="1"/>
    <col min="5640" max="5640" width="7.85546875" style="516" bestFit="1" customWidth="1"/>
    <col min="5641" max="5641" width="15.28515625" style="516" customWidth="1"/>
    <col min="5642" max="5642" width="19.42578125" style="516" customWidth="1"/>
    <col min="5643" max="5643" width="8.85546875" style="516"/>
    <col min="5644" max="5644" width="10.42578125" style="516" bestFit="1" customWidth="1"/>
    <col min="5645" max="5888" width="8.85546875" style="516"/>
    <col min="5889" max="5889" width="43.140625" style="516" customWidth="1"/>
    <col min="5890" max="5890" width="12.42578125" style="516" customWidth="1"/>
    <col min="5891" max="5892" width="10.42578125" style="516" customWidth="1"/>
    <col min="5893" max="5893" width="9.42578125" style="516" customWidth="1"/>
    <col min="5894" max="5894" width="7.42578125" style="516" customWidth="1"/>
    <col min="5895" max="5895" width="14" style="516" customWidth="1"/>
    <col min="5896" max="5896" width="7.85546875" style="516" bestFit="1" customWidth="1"/>
    <col min="5897" max="5897" width="15.28515625" style="516" customWidth="1"/>
    <col min="5898" max="5898" width="19.42578125" style="516" customWidth="1"/>
    <col min="5899" max="5899" width="8.85546875" style="516"/>
    <col min="5900" max="5900" width="10.42578125" style="516" bestFit="1" customWidth="1"/>
    <col min="5901" max="6144" width="8.85546875" style="516"/>
    <col min="6145" max="6145" width="43.140625" style="516" customWidth="1"/>
    <col min="6146" max="6146" width="12.42578125" style="516" customWidth="1"/>
    <col min="6147" max="6148" width="10.42578125" style="516" customWidth="1"/>
    <col min="6149" max="6149" width="9.42578125" style="516" customWidth="1"/>
    <col min="6150" max="6150" width="7.42578125" style="516" customWidth="1"/>
    <col min="6151" max="6151" width="14" style="516" customWidth="1"/>
    <col min="6152" max="6152" width="7.85546875" style="516" bestFit="1" customWidth="1"/>
    <col min="6153" max="6153" width="15.28515625" style="516" customWidth="1"/>
    <col min="6154" max="6154" width="19.42578125" style="516" customWidth="1"/>
    <col min="6155" max="6155" width="8.85546875" style="516"/>
    <col min="6156" max="6156" width="10.42578125" style="516" bestFit="1" customWidth="1"/>
    <col min="6157" max="6400" width="8.85546875" style="516"/>
    <col min="6401" max="6401" width="43.140625" style="516" customWidth="1"/>
    <col min="6402" max="6402" width="12.42578125" style="516" customWidth="1"/>
    <col min="6403" max="6404" width="10.42578125" style="516" customWidth="1"/>
    <col min="6405" max="6405" width="9.42578125" style="516" customWidth="1"/>
    <col min="6406" max="6406" width="7.42578125" style="516" customWidth="1"/>
    <col min="6407" max="6407" width="14" style="516" customWidth="1"/>
    <col min="6408" max="6408" width="7.85546875" style="516" bestFit="1" customWidth="1"/>
    <col min="6409" max="6409" width="15.28515625" style="516" customWidth="1"/>
    <col min="6410" max="6410" width="19.42578125" style="516" customWidth="1"/>
    <col min="6411" max="6411" width="8.85546875" style="516"/>
    <col min="6412" max="6412" width="10.42578125" style="516" bestFit="1" customWidth="1"/>
    <col min="6413" max="6656" width="8.85546875" style="516"/>
    <col min="6657" max="6657" width="43.140625" style="516" customWidth="1"/>
    <col min="6658" max="6658" width="12.42578125" style="516" customWidth="1"/>
    <col min="6659" max="6660" width="10.42578125" style="516" customWidth="1"/>
    <col min="6661" max="6661" width="9.42578125" style="516" customWidth="1"/>
    <col min="6662" max="6662" width="7.42578125" style="516" customWidth="1"/>
    <col min="6663" max="6663" width="14" style="516" customWidth="1"/>
    <col min="6664" max="6664" width="7.85546875" style="516" bestFit="1" customWidth="1"/>
    <col min="6665" max="6665" width="15.28515625" style="516" customWidth="1"/>
    <col min="6666" max="6666" width="19.42578125" style="516" customWidth="1"/>
    <col min="6667" max="6667" width="8.85546875" style="516"/>
    <col min="6668" max="6668" width="10.42578125" style="516" bestFit="1" customWidth="1"/>
    <col min="6669" max="6912" width="8.85546875" style="516"/>
    <col min="6913" max="6913" width="43.140625" style="516" customWidth="1"/>
    <col min="6914" max="6914" width="12.42578125" style="516" customWidth="1"/>
    <col min="6915" max="6916" width="10.42578125" style="516" customWidth="1"/>
    <col min="6917" max="6917" width="9.42578125" style="516" customWidth="1"/>
    <col min="6918" max="6918" width="7.42578125" style="516" customWidth="1"/>
    <col min="6919" max="6919" width="14" style="516" customWidth="1"/>
    <col min="6920" max="6920" width="7.85546875" style="516" bestFit="1" customWidth="1"/>
    <col min="6921" max="6921" width="15.28515625" style="516" customWidth="1"/>
    <col min="6922" max="6922" width="19.42578125" style="516" customWidth="1"/>
    <col min="6923" max="6923" width="8.85546875" style="516"/>
    <col min="6924" max="6924" width="10.42578125" style="516" bestFit="1" customWidth="1"/>
    <col min="6925" max="7168" width="8.85546875" style="516"/>
    <col min="7169" max="7169" width="43.140625" style="516" customWidth="1"/>
    <col min="7170" max="7170" width="12.42578125" style="516" customWidth="1"/>
    <col min="7171" max="7172" width="10.42578125" style="516" customWidth="1"/>
    <col min="7173" max="7173" width="9.42578125" style="516" customWidth="1"/>
    <col min="7174" max="7174" width="7.42578125" style="516" customWidth="1"/>
    <col min="7175" max="7175" width="14" style="516" customWidth="1"/>
    <col min="7176" max="7176" width="7.85546875" style="516" bestFit="1" customWidth="1"/>
    <col min="7177" max="7177" width="15.28515625" style="516" customWidth="1"/>
    <col min="7178" max="7178" width="19.42578125" style="516" customWidth="1"/>
    <col min="7179" max="7179" width="8.85546875" style="516"/>
    <col min="7180" max="7180" width="10.42578125" style="516" bestFit="1" customWidth="1"/>
    <col min="7181" max="7424" width="8.85546875" style="516"/>
    <col min="7425" max="7425" width="43.140625" style="516" customWidth="1"/>
    <col min="7426" max="7426" width="12.42578125" style="516" customWidth="1"/>
    <col min="7427" max="7428" width="10.42578125" style="516" customWidth="1"/>
    <col min="7429" max="7429" width="9.42578125" style="516" customWidth="1"/>
    <col min="7430" max="7430" width="7.42578125" style="516" customWidth="1"/>
    <col min="7431" max="7431" width="14" style="516" customWidth="1"/>
    <col min="7432" max="7432" width="7.85546875" style="516" bestFit="1" customWidth="1"/>
    <col min="7433" max="7433" width="15.28515625" style="516" customWidth="1"/>
    <col min="7434" max="7434" width="19.42578125" style="516" customWidth="1"/>
    <col min="7435" max="7435" width="8.85546875" style="516"/>
    <col min="7436" max="7436" width="10.42578125" style="516" bestFit="1" customWidth="1"/>
    <col min="7437" max="7680" width="8.85546875" style="516"/>
    <col min="7681" max="7681" width="43.140625" style="516" customWidth="1"/>
    <col min="7682" max="7682" width="12.42578125" style="516" customWidth="1"/>
    <col min="7683" max="7684" width="10.42578125" style="516" customWidth="1"/>
    <col min="7685" max="7685" width="9.42578125" style="516" customWidth="1"/>
    <col min="7686" max="7686" width="7.42578125" style="516" customWidth="1"/>
    <col min="7687" max="7687" width="14" style="516" customWidth="1"/>
    <col min="7688" max="7688" width="7.85546875" style="516" bestFit="1" customWidth="1"/>
    <col min="7689" max="7689" width="15.28515625" style="516" customWidth="1"/>
    <col min="7690" max="7690" width="19.42578125" style="516" customWidth="1"/>
    <col min="7691" max="7691" width="8.85546875" style="516"/>
    <col min="7692" max="7692" width="10.42578125" style="516" bestFit="1" customWidth="1"/>
    <col min="7693" max="7936" width="8.85546875" style="516"/>
    <col min="7937" max="7937" width="43.140625" style="516" customWidth="1"/>
    <col min="7938" max="7938" width="12.42578125" style="516" customWidth="1"/>
    <col min="7939" max="7940" width="10.42578125" style="516" customWidth="1"/>
    <col min="7941" max="7941" width="9.42578125" style="516" customWidth="1"/>
    <col min="7942" max="7942" width="7.42578125" style="516" customWidth="1"/>
    <col min="7943" max="7943" width="14" style="516" customWidth="1"/>
    <col min="7944" max="7944" width="7.85546875" style="516" bestFit="1" customWidth="1"/>
    <col min="7945" max="7945" width="15.28515625" style="516" customWidth="1"/>
    <col min="7946" max="7946" width="19.42578125" style="516" customWidth="1"/>
    <col min="7947" max="7947" width="8.85546875" style="516"/>
    <col min="7948" max="7948" width="10.42578125" style="516" bestFit="1" customWidth="1"/>
    <col min="7949" max="8192" width="8.85546875" style="516"/>
    <col min="8193" max="8193" width="43.140625" style="516" customWidth="1"/>
    <col min="8194" max="8194" width="12.42578125" style="516" customWidth="1"/>
    <col min="8195" max="8196" width="10.42578125" style="516" customWidth="1"/>
    <col min="8197" max="8197" width="9.42578125" style="516" customWidth="1"/>
    <col min="8198" max="8198" width="7.42578125" style="516" customWidth="1"/>
    <col min="8199" max="8199" width="14" style="516" customWidth="1"/>
    <col min="8200" max="8200" width="7.85546875" style="516" bestFit="1" customWidth="1"/>
    <col min="8201" max="8201" width="15.28515625" style="516" customWidth="1"/>
    <col min="8202" max="8202" width="19.42578125" style="516" customWidth="1"/>
    <col min="8203" max="8203" width="8.85546875" style="516"/>
    <col min="8204" max="8204" width="10.42578125" style="516" bestFit="1" customWidth="1"/>
    <col min="8205" max="8448" width="8.85546875" style="516"/>
    <col min="8449" max="8449" width="43.140625" style="516" customWidth="1"/>
    <col min="8450" max="8450" width="12.42578125" style="516" customWidth="1"/>
    <col min="8451" max="8452" width="10.42578125" style="516" customWidth="1"/>
    <col min="8453" max="8453" width="9.42578125" style="516" customWidth="1"/>
    <col min="8454" max="8454" width="7.42578125" style="516" customWidth="1"/>
    <col min="8455" max="8455" width="14" style="516" customWidth="1"/>
    <col min="8456" max="8456" width="7.85546875" style="516" bestFit="1" customWidth="1"/>
    <col min="8457" max="8457" width="15.28515625" style="516" customWidth="1"/>
    <col min="8458" max="8458" width="19.42578125" style="516" customWidth="1"/>
    <col min="8459" max="8459" width="8.85546875" style="516"/>
    <col min="8460" max="8460" width="10.42578125" style="516" bestFit="1" customWidth="1"/>
    <col min="8461" max="8704" width="8.85546875" style="516"/>
    <col min="8705" max="8705" width="43.140625" style="516" customWidth="1"/>
    <col min="8706" max="8706" width="12.42578125" style="516" customWidth="1"/>
    <col min="8707" max="8708" width="10.42578125" style="516" customWidth="1"/>
    <col min="8709" max="8709" width="9.42578125" style="516" customWidth="1"/>
    <col min="8710" max="8710" width="7.42578125" style="516" customWidth="1"/>
    <col min="8711" max="8711" width="14" style="516" customWidth="1"/>
    <col min="8712" max="8712" width="7.85546875" style="516" bestFit="1" customWidth="1"/>
    <col min="8713" max="8713" width="15.28515625" style="516" customWidth="1"/>
    <col min="8714" max="8714" width="19.42578125" style="516" customWidth="1"/>
    <col min="8715" max="8715" width="8.85546875" style="516"/>
    <col min="8716" max="8716" width="10.42578125" style="516" bestFit="1" customWidth="1"/>
    <col min="8717" max="8960" width="8.85546875" style="516"/>
    <col min="8961" max="8961" width="43.140625" style="516" customWidth="1"/>
    <col min="8962" max="8962" width="12.42578125" style="516" customWidth="1"/>
    <col min="8963" max="8964" width="10.42578125" style="516" customWidth="1"/>
    <col min="8965" max="8965" width="9.42578125" style="516" customWidth="1"/>
    <col min="8966" max="8966" width="7.42578125" style="516" customWidth="1"/>
    <col min="8967" max="8967" width="14" style="516" customWidth="1"/>
    <col min="8968" max="8968" width="7.85546875" style="516" bestFit="1" customWidth="1"/>
    <col min="8969" max="8969" width="15.28515625" style="516" customWidth="1"/>
    <col min="8970" max="8970" width="19.42578125" style="516" customWidth="1"/>
    <col min="8971" max="8971" width="8.85546875" style="516"/>
    <col min="8972" max="8972" width="10.42578125" style="516" bestFit="1" customWidth="1"/>
    <col min="8973" max="9216" width="8.85546875" style="516"/>
    <col min="9217" max="9217" width="43.140625" style="516" customWidth="1"/>
    <col min="9218" max="9218" width="12.42578125" style="516" customWidth="1"/>
    <col min="9219" max="9220" width="10.42578125" style="516" customWidth="1"/>
    <col min="9221" max="9221" width="9.42578125" style="516" customWidth="1"/>
    <col min="9222" max="9222" width="7.42578125" style="516" customWidth="1"/>
    <col min="9223" max="9223" width="14" style="516" customWidth="1"/>
    <col min="9224" max="9224" width="7.85546875" style="516" bestFit="1" customWidth="1"/>
    <col min="9225" max="9225" width="15.28515625" style="516" customWidth="1"/>
    <col min="9226" max="9226" width="19.42578125" style="516" customWidth="1"/>
    <col min="9227" max="9227" width="8.85546875" style="516"/>
    <col min="9228" max="9228" width="10.42578125" style="516" bestFit="1" customWidth="1"/>
    <col min="9229" max="9472" width="8.85546875" style="516"/>
    <col min="9473" max="9473" width="43.140625" style="516" customWidth="1"/>
    <col min="9474" max="9474" width="12.42578125" style="516" customWidth="1"/>
    <col min="9475" max="9476" width="10.42578125" style="516" customWidth="1"/>
    <col min="9477" max="9477" width="9.42578125" style="516" customWidth="1"/>
    <col min="9478" max="9478" width="7.42578125" style="516" customWidth="1"/>
    <col min="9479" max="9479" width="14" style="516" customWidth="1"/>
    <col min="9480" max="9480" width="7.85546875" style="516" bestFit="1" customWidth="1"/>
    <col min="9481" max="9481" width="15.28515625" style="516" customWidth="1"/>
    <col min="9482" max="9482" width="19.42578125" style="516" customWidth="1"/>
    <col min="9483" max="9483" width="8.85546875" style="516"/>
    <col min="9484" max="9484" width="10.42578125" style="516" bestFit="1" customWidth="1"/>
    <col min="9485" max="9728" width="8.85546875" style="516"/>
    <col min="9729" max="9729" width="43.140625" style="516" customWidth="1"/>
    <col min="9730" max="9730" width="12.42578125" style="516" customWidth="1"/>
    <col min="9731" max="9732" width="10.42578125" style="516" customWidth="1"/>
    <col min="9733" max="9733" width="9.42578125" style="516" customWidth="1"/>
    <col min="9734" max="9734" width="7.42578125" style="516" customWidth="1"/>
    <col min="9735" max="9735" width="14" style="516" customWidth="1"/>
    <col min="9736" max="9736" width="7.85546875" style="516" bestFit="1" customWidth="1"/>
    <col min="9737" max="9737" width="15.28515625" style="516" customWidth="1"/>
    <col min="9738" max="9738" width="19.42578125" style="516" customWidth="1"/>
    <col min="9739" max="9739" width="8.85546875" style="516"/>
    <col min="9740" max="9740" width="10.42578125" style="516" bestFit="1" customWidth="1"/>
    <col min="9741" max="9984" width="8.85546875" style="516"/>
    <col min="9985" max="9985" width="43.140625" style="516" customWidth="1"/>
    <col min="9986" max="9986" width="12.42578125" style="516" customWidth="1"/>
    <col min="9987" max="9988" width="10.42578125" style="516" customWidth="1"/>
    <col min="9989" max="9989" width="9.42578125" style="516" customWidth="1"/>
    <col min="9990" max="9990" width="7.42578125" style="516" customWidth="1"/>
    <col min="9991" max="9991" width="14" style="516" customWidth="1"/>
    <col min="9992" max="9992" width="7.85546875" style="516" bestFit="1" customWidth="1"/>
    <col min="9993" max="9993" width="15.28515625" style="516" customWidth="1"/>
    <col min="9994" max="9994" width="19.42578125" style="516" customWidth="1"/>
    <col min="9995" max="9995" width="8.85546875" style="516"/>
    <col min="9996" max="9996" width="10.42578125" style="516" bestFit="1" customWidth="1"/>
    <col min="9997" max="10240" width="8.85546875" style="516"/>
    <col min="10241" max="10241" width="43.140625" style="516" customWidth="1"/>
    <col min="10242" max="10242" width="12.42578125" style="516" customWidth="1"/>
    <col min="10243" max="10244" width="10.42578125" style="516" customWidth="1"/>
    <col min="10245" max="10245" width="9.42578125" style="516" customWidth="1"/>
    <col min="10246" max="10246" width="7.42578125" style="516" customWidth="1"/>
    <col min="10247" max="10247" width="14" style="516" customWidth="1"/>
    <col min="10248" max="10248" width="7.85546875" style="516" bestFit="1" customWidth="1"/>
    <col min="10249" max="10249" width="15.28515625" style="516" customWidth="1"/>
    <col min="10250" max="10250" width="19.42578125" style="516" customWidth="1"/>
    <col min="10251" max="10251" width="8.85546875" style="516"/>
    <col min="10252" max="10252" width="10.42578125" style="516" bestFit="1" customWidth="1"/>
    <col min="10253" max="10496" width="8.85546875" style="516"/>
    <col min="10497" max="10497" width="43.140625" style="516" customWidth="1"/>
    <col min="10498" max="10498" width="12.42578125" style="516" customWidth="1"/>
    <col min="10499" max="10500" width="10.42578125" style="516" customWidth="1"/>
    <col min="10501" max="10501" width="9.42578125" style="516" customWidth="1"/>
    <col min="10502" max="10502" width="7.42578125" style="516" customWidth="1"/>
    <col min="10503" max="10503" width="14" style="516" customWidth="1"/>
    <col min="10504" max="10504" width="7.85546875" style="516" bestFit="1" customWidth="1"/>
    <col min="10505" max="10505" width="15.28515625" style="516" customWidth="1"/>
    <col min="10506" max="10506" width="19.42578125" style="516" customWidth="1"/>
    <col min="10507" max="10507" width="8.85546875" style="516"/>
    <col min="10508" max="10508" width="10.42578125" style="516" bestFit="1" customWidth="1"/>
    <col min="10509" max="10752" width="8.85546875" style="516"/>
    <col min="10753" max="10753" width="43.140625" style="516" customWidth="1"/>
    <col min="10754" max="10754" width="12.42578125" style="516" customWidth="1"/>
    <col min="10755" max="10756" width="10.42578125" style="516" customWidth="1"/>
    <col min="10757" max="10757" width="9.42578125" style="516" customWidth="1"/>
    <col min="10758" max="10758" width="7.42578125" style="516" customWidth="1"/>
    <col min="10759" max="10759" width="14" style="516" customWidth="1"/>
    <col min="10760" max="10760" width="7.85546875" style="516" bestFit="1" customWidth="1"/>
    <col min="10761" max="10761" width="15.28515625" style="516" customWidth="1"/>
    <col min="10762" max="10762" width="19.42578125" style="516" customWidth="1"/>
    <col min="10763" max="10763" width="8.85546875" style="516"/>
    <col min="10764" max="10764" width="10.42578125" style="516" bestFit="1" customWidth="1"/>
    <col min="10765" max="11008" width="8.85546875" style="516"/>
    <col min="11009" max="11009" width="43.140625" style="516" customWidth="1"/>
    <col min="11010" max="11010" width="12.42578125" style="516" customWidth="1"/>
    <col min="11011" max="11012" width="10.42578125" style="516" customWidth="1"/>
    <col min="11013" max="11013" width="9.42578125" style="516" customWidth="1"/>
    <col min="11014" max="11014" width="7.42578125" style="516" customWidth="1"/>
    <col min="11015" max="11015" width="14" style="516" customWidth="1"/>
    <col min="11016" max="11016" width="7.85546875" style="516" bestFit="1" customWidth="1"/>
    <col min="11017" max="11017" width="15.28515625" style="516" customWidth="1"/>
    <col min="11018" max="11018" width="19.42578125" style="516" customWidth="1"/>
    <col min="11019" max="11019" width="8.85546875" style="516"/>
    <col min="11020" max="11020" width="10.42578125" style="516" bestFit="1" customWidth="1"/>
    <col min="11021" max="11264" width="8.85546875" style="516"/>
    <col min="11265" max="11265" width="43.140625" style="516" customWidth="1"/>
    <col min="11266" max="11266" width="12.42578125" style="516" customWidth="1"/>
    <col min="11267" max="11268" width="10.42578125" style="516" customWidth="1"/>
    <col min="11269" max="11269" width="9.42578125" style="516" customWidth="1"/>
    <col min="11270" max="11270" width="7.42578125" style="516" customWidth="1"/>
    <col min="11271" max="11271" width="14" style="516" customWidth="1"/>
    <col min="11272" max="11272" width="7.85546875" style="516" bestFit="1" customWidth="1"/>
    <col min="11273" max="11273" width="15.28515625" style="516" customWidth="1"/>
    <col min="11274" max="11274" width="19.42578125" style="516" customWidth="1"/>
    <col min="11275" max="11275" width="8.85546875" style="516"/>
    <col min="11276" max="11276" width="10.42578125" style="516" bestFit="1" customWidth="1"/>
    <col min="11277" max="11520" width="8.85546875" style="516"/>
    <col min="11521" max="11521" width="43.140625" style="516" customWidth="1"/>
    <col min="11522" max="11522" width="12.42578125" style="516" customWidth="1"/>
    <col min="11523" max="11524" width="10.42578125" style="516" customWidth="1"/>
    <col min="11525" max="11525" width="9.42578125" style="516" customWidth="1"/>
    <col min="11526" max="11526" width="7.42578125" style="516" customWidth="1"/>
    <col min="11527" max="11527" width="14" style="516" customWidth="1"/>
    <col min="11528" max="11528" width="7.85546875" style="516" bestFit="1" customWidth="1"/>
    <col min="11529" max="11529" width="15.28515625" style="516" customWidth="1"/>
    <col min="11530" max="11530" width="19.42578125" style="516" customWidth="1"/>
    <col min="11531" max="11531" width="8.85546875" style="516"/>
    <col min="11532" max="11532" width="10.42578125" style="516" bestFit="1" customWidth="1"/>
    <col min="11533" max="11776" width="8.85546875" style="516"/>
    <col min="11777" max="11777" width="43.140625" style="516" customWidth="1"/>
    <col min="11778" max="11778" width="12.42578125" style="516" customWidth="1"/>
    <col min="11779" max="11780" width="10.42578125" style="516" customWidth="1"/>
    <col min="11781" max="11781" width="9.42578125" style="516" customWidth="1"/>
    <col min="11782" max="11782" width="7.42578125" style="516" customWidth="1"/>
    <col min="11783" max="11783" width="14" style="516" customWidth="1"/>
    <col min="11784" max="11784" width="7.85546875" style="516" bestFit="1" customWidth="1"/>
    <col min="11785" max="11785" width="15.28515625" style="516" customWidth="1"/>
    <col min="11786" max="11786" width="19.42578125" style="516" customWidth="1"/>
    <col min="11787" max="11787" width="8.85546875" style="516"/>
    <col min="11788" max="11788" width="10.42578125" style="516" bestFit="1" customWidth="1"/>
    <col min="11789" max="12032" width="8.85546875" style="516"/>
    <col min="12033" max="12033" width="43.140625" style="516" customWidth="1"/>
    <col min="12034" max="12034" width="12.42578125" style="516" customWidth="1"/>
    <col min="12035" max="12036" width="10.42578125" style="516" customWidth="1"/>
    <col min="12037" max="12037" width="9.42578125" style="516" customWidth="1"/>
    <col min="12038" max="12038" width="7.42578125" style="516" customWidth="1"/>
    <col min="12039" max="12039" width="14" style="516" customWidth="1"/>
    <col min="12040" max="12040" width="7.85546875" style="516" bestFit="1" customWidth="1"/>
    <col min="12041" max="12041" width="15.28515625" style="516" customWidth="1"/>
    <col min="12042" max="12042" width="19.42578125" style="516" customWidth="1"/>
    <col min="12043" max="12043" width="8.85546875" style="516"/>
    <col min="12044" max="12044" width="10.42578125" style="516" bestFit="1" customWidth="1"/>
    <col min="12045" max="12288" width="8.85546875" style="516"/>
    <col min="12289" max="12289" width="43.140625" style="516" customWidth="1"/>
    <col min="12290" max="12290" width="12.42578125" style="516" customWidth="1"/>
    <col min="12291" max="12292" width="10.42578125" style="516" customWidth="1"/>
    <col min="12293" max="12293" width="9.42578125" style="516" customWidth="1"/>
    <col min="12294" max="12294" width="7.42578125" style="516" customWidth="1"/>
    <col min="12295" max="12295" width="14" style="516" customWidth="1"/>
    <col min="12296" max="12296" width="7.85546875" style="516" bestFit="1" customWidth="1"/>
    <col min="12297" max="12297" width="15.28515625" style="516" customWidth="1"/>
    <col min="12298" max="12298" width="19.42578125" style="516" customWidth="1"/>
    <col min="12299" max="12299" width="8.85546875" style="516"/>
    <col min="12300" max="12300" width="10.42578125" style="516" bestFit="1" customWidth="1"/>
    <col min="12301" max="12544" width="8.85546875" style="516"/>
    <col min="12545" max="12545" width="43.140625" style="516" customWidth="1"/>
    <col min="12546" max="12546" width="12.42578125" style="516" customWidth="1"/>
    <col min="12547" max="12548" width="10.42578125" style="516" customWidth="1"/>
    <col min="12549" max="12549" width="9.42578125" style="516" customWidth="1"/>
    <col min="12550" max="12550" width="7.42578125" style="516" customWidth="1"/>
    <col min="12551" max="12551" width="14" style="516" customWidth="1"/>
    <col min="12552" max="12552" width="7.85546875" style="516" bestFit="1" customWidth="1"/>
    <col min="12553" max="12553" width="15.28515625" style="516" customWidth="1"/>
    <col min="12554" max="12554" width="19.42578125" style="516" customWidth="1"/>
    <col min="12555" max="12555" width="8.85546875" style="516"/>
    <col min="12556" max="12556" width="10.42578125" style="516" bestFit="1" customWidth="1"/>
    <col min="12557" max="12800" width="8.85546875" style="516"/>
    <col min="12801" max="12801" width="43.140625" style="516" customWidth="1"/>
    <col min="12802" max="12802" width="12.42578125" style="516" customWidth="1"/>
    <col min="12803" max="12804" width="10.42578125" style="516" customWidth="1"/>
    <col min="12805" max="12805" width="9.42578125" style="516" customWidth="1"/>
    <col min="12806" max="12806" width="7.42578125" style="516" customWidth="1"/>
    <col min="12807" max="12807" width="14" style="516" customWidth="1"/>
    <col min="12808" max="12808" width="7.85546875" style="516" bestFit="1" customWidth="1"/>
    <col min="12809" max="12809" width="15.28515625" style="516" customWidth="1"/>
    <col min="12810" max="12810" width="19.42578125" style="516" customWidth="1"/>
    <col min="12811" max="12811" width="8.85546875" style="516"/>
    <col min="12812" max="12812" width="10.42578125" style="516" bestFit="1" customWidth="1"/>
    <col min="12813" max="13056" width="8.85546875" style="516"/>
    <col min="13057" max="13057" width="43.140625" style="516" customWidth="1"/>
    <col min="13058" max="13058" width="12.42578125" style="516" customWidth="1"/>
    <col min="13059" max="13060" width="10.42578125" style="516" customWidth="1"/>
    <col min="13061" max="13061" width="9.42578125" style="516" customWidth="1"/>
    <col min="13062" max="13062" width="7.42578125" style="516" customWidth="1"/>
    <col min="13063" max="13063" width="14" style="516" customWidth="1"/>
    <col min="13064" max="13064" width="7.85546875" style="516" bestFit="1" customWidth="1"/>
    <col min="13065" max="13065" width="15.28515625" style="516" customWidth="1"/>
    <col min="13066" max="13066" width="19.42578125" style="516" customWidth="1"/>
    <col min="13067" max="13067" width="8.85546875" style="516"/>
    <col min="13068" max="13068" width="10.42578125" style="516" bestFit="1" customWidth="1"/>
    <col min="13069" max="13312" width="8.85546875" style="516"/>
    <col min="13313" max="13313" width="43.140625" style="516" customWidth="1"/>
    <col min="13314" max="13314" width="12.42578125" style="516" customWidth="1"/>
    <col min="13315" max="13316" width="10.42578125" style="516" customWidth="1"/>
    <col min="13317" max="13317" width="9.42578125" style="516" customWidth="1"/>
    <col min="13318" max="13318" width="7.42578125" style="516" customWidth="1"/>
    <col min="13319" max="13319" width="14" style="516" customWidth="1"/>
    <col min="13320" max="13320" width="7.85546875" style="516" bestFit="1" customWidth="1"/>
    <col min="13321" max="13321" width="15.28515625" style="516" customWidth="1"/>
    <col min="13322" max="13322" width="19.42578125" style="516" customWidth="1"/>
    <col min="13323" max="13323" width="8.85546875" style="516"/>
    <col min="13324" max="13324" width="10.42578125" style="516" bestFit="1" customWidth="1"/>
    <col min="13325" max="13568" width="8.85546875" style="516"/>
    <col min="13569" max="13569" width="43.140625" style="516" customWidth="1"/>
    <col min="13570" max="13570" width="12.42578125" style="516" customWidth="1"/>
    <col min="13571" max="13572" width="10.42578125" style="516" customWidth="1"/>
    <col min="13573" max="13573" width="9.42578125" style="516" customWidth="1"/>
    <col min="13574" max="13574" width="7.42578125" style="516" customWidth="1"/>
    <col min="13575" max="13575" width="14" style="516" customWidth="1"/>
    <col min="13576" max="13576" width="7.85546875" style="516" bestFit="1" customWidth="1"/>
    <col min="13577" max="13577" width="15.28515625" style="516" customWidth="1"/>
    <col min="13578" max="13578" width="19.42578125" style="516" customWidth="1"/>
    <col min="13579" max="13579" width="8.85546875" style="516"/>
    <col min="13580" max="13580" width="10.42578125" style="516" bestFit="1" customWidth="1"/>
    <col min="13581" max="13824" width="8.85546875" style="516"/>
    <col min="13825" max="13825" width="43.140625" style="516" customWidth="1"/>
    <col min="13826" max="13826" width="12.42578125" style="516" customWidth="1"/>
    <col min="13827" max="13828" width="10.42578125" style="516" customWidth="1"/>
    <col min="13829" max="13829" width="9.42578125" style="516" customWidth="1"/>
    <col min="13830" max="13830" width="7.42578125" style="516" customWidth="1"/>
    <col min="13831" max="13831" width="14" style="516" customWidth="1"/>
    <col min="13832" max="13832" width="7.85546875" style="516" bestFit="1" customWidth="1"/>
    <col min="13833" max="13833" width="15.28515625" style="516" customWidth="1"/>
    <col min="13834" max="13834" width="19.42578125" style="516" customWidth="1"/>
    <col min="13835" max="13835" width="8.85546875" style="516"/>
    <col min="13836" max="13836" width="10.42578125" style="516" bestFit="1" customWidth="1"/>
    <col min="13837" max="14080" width="8.85546875" style="516"/>
    <col min="14081" max="14081" width="43.140625" style="516" customWidth="1"/>
    <col min="14082" max="14082" width="12.42578125" style="516" customWidth="1"/>
    <col min="14083" max="14084" width="10.42578125" style="516" customWidth="1"/>
    <col min="14085" max="14085" width="9.42578125" style="516" customWidth="1"/>
    <col min="14086" max="14086" width="7.42578125" style="516" customWidth="1"/>
    <col min="14087" max="14087" width="14" style="516" customWidth="1"/>
    <col min="14088" max="14088" width="7.85546875" style="516" bestFit="1" customWidth="1"/>
    <col min="14089" max="14089" width="15.28515625" style="516" customWidth="1"/>
    <col min="14090" max="14090" width="19.42578125" style="516" customWidth="1"/>
    <col min="14091" max="14091" width="8.85546875" style="516"/>
    <col min="14092" max="14092" width="10.42578125" style="516" bestFit="1" customWidth="1"/>
    <col min="14093" max="14336" width="8.85546875" style="516"/>
    <col min="14337" max="14337" width="43.140625" style="516" customWidth="1"/>
    <col min="14338" max="14338" width="12.42578125" style="516" customWidth="1"/>
    <col min="14339" max="14340" width="10.42578125" style="516" customWidth="1"/>
    <col min="14341" max="14341" width="9.42578125" style="516" customWidth="1"/>
    <col min="14342" max="14342" width="7.42578125" style="516" customWidth="1"/>
    <col min="14343" max="14343" width="14" style="516" customWidth="1"/>
    <col min="14344" max="14344" width="7.85546875" style="516" bestFit="1" customWidth="1"/>
    <col min="14345" max="14345" width="15.28515625" style="516" customWidth="1"/>
    <col min="14346" max="14346" width="19.42578125" style="516" customWidth="1"/>
    <col min="14347" max="14347" width="8.85546875" style="516"/>
    <col min="14348" max="14348" width="10.42578125" style="516" bestFit="1" customWidth="1"/>
    <col min="14349" max="14592" width="8.85546875" style="516"/>
    <col min="14593" max="14593" width="43.140625" style="516" customWidth="1"/>
    <col min="14594" max="14594" width="12.42578125" style="516" customWidth="1"/>
    <col min="14595" max="14596" width="10.42578125" style="516" customWidth="1"/>
    <col min="14597" max="14597" width="9.42578125" style="516" customWidth="1"/>
    <col min="14598" max="14598" width="7.42578125" style="516" customWidth="1"/>
    <col min="14599" max="14599" width="14" style="516" customWidth="1"/>
    <col min="14600" max="14600" width="7.85546875" style="516" bestFit="1" customWidth="1"/>
    <col min="14601" max="14601" width="15.28515625" style="516" customWidth="1"/>
    <col min="14602" max="14602" width="19.42578125" style="516" customWidth="1"/>
    <col min="14603" max="14603" width="8.85546875" style="516"/>
    <col min="14604" max="14604" width="10.42578125" style="516" bestFit="1" customWidth="1"/>
    <col min="14605" max="14848" width="8.85546875" style="516"/>
    <col min="14849" max="14849" width="43.140625" style="516" customWidth="1"/>
    <col min="14850" max="14850" width="12.42578125" style="516" customWidth="1"/>
    <col min="14851" max="14852" width="10.42578125" style="516" customWidth="1"/>
    <col min="14853" max="14853" width="9.42578125" style="516" customWidth="1"/>
    <col min="14854" max="14854" width="7.42578125" style="516" customWidth="1"/>
    <col min="14855" max="14855" width="14" style="516" customWidth="1"/>
    <col min="14856" max="14856" width="7.85546875" style="516" bestFit="1" customWidth="1"/>
    <col min="14857" max="14857" width="15.28515625" style="516" customWidth="1"/>
    <col min="14858" max="14858" width="19.42578125" style="516" customWidth="1"/>
    <col min="14859" max="14859" width="8.85546875" style="516"/>
    <col min="14860" max="14860" width="10.42578125" style="516" bestFit="1" customWidth="1"/>
    <col min="14861" max="15104" width="8.85546875" style="516"/>
    <col min="15105" max="15105" width="43.140625" style="516" customWidth="1"/>
    <col min="15106" max="15106" width="12.42578125" style="516" customWidth="1"/>
    <col min="15107" max="15108" width="10.42578125" style="516" customWidth="1"/>
    <col min="15109" max="15109" width="9.42578125" style="516" customWidth="1"/>
    <col min="15110" max="15110" width="7.42578125" style="516" customWidth="1"/>
    <col min="15111" max="15111" width="14" style="516" customWidth="1"/>
    <col min="15112" max="15112" width="7.85546875" style="516" bestFit="1" customWidth="1"/>
    <col min="15113" max="15113" width="15.28515625" style="516" customWidth="1"/>
    <col min="15114" max="15114" width="19.42578125" style="516" customWidth="1"/>
    <col min="15115" max="15115" width="8.85546875" style="516"/>
    <col min="15116" max="15116" width="10.42578125" style="516" bestFit="1" customWidth="1"/>
    <col min="15117" max="15360" width="8.85546875" style="516"/>
    <col min="15361" max="15361" width="43.140625" style="516" customWidth="1"/>
    <col min="15362" max="15362" width="12.42578125" style="516" customWidth="1"/>
    <col min="15363" max="15364" width="10.42578125" style="516" customWidth="1"/>
    <col min="15365" max="15365" width="9.42578125" style="516" customWidth="1"/>
    <col min="15366" max="15366" width="7.42578125" style="516" customWidth="1"/>
    <col min="15367" max="15367" width="14" style="516" customWidth="1"/>
    <col min="15368" max="15368" width="7.85546875" style="516" bestFit="1" customWidth="1"/>
    <col min="15369" max="15369" width="15.28515625" style="516" customWidth="1"/>
    <col min="15370" max="15370" width="19.42578125" style="516" customWidth="1"/>
    <col min="15371" max="15371" width="8.85546875" style="516"/>
    <col min="15372" max="15372" width="10.42578125" style="516" bestFit="1" customWidth="1"/>
    <col min="15373" max="15616" width="8.85546875" style="516"/>
    <col min="15617" max="15617" width="43.140625" style="516" customWidth="1"/>
    <col min="15618" max="15618" width="12.42578125" style="516" customWidth="1"/>
    <col min="15619" max="15620" width="10.42578125" style="516" customWidth="1"/>
    <col min="15621" max="15621" width="9.42578125" style="516" customWidth="1"/>
    <col min="15622" max="15622" width="7.42578125" style="516" customWidth="1"/>
    <col min="15623" max="15623" width="14" style="516" customWidth="1"/>
    <col min="15624" max="15624" width="7.85546875" style="516" bestFit="1" customWidth="1"/>
    <col min="15625" max="15625" width="15.28515625" style="516" customWidth="1"/>
    <col min="15626" max="15626" width="19.42578125" style="516" customWidth="1"/>
    <col min="15627" max="15627" width="8.85546875" style="516"/>
    <col min="15628" max="15628" width="10.42578125" style="516" bestFit="1" customWidth="1"/>
    <col min="15629" max="15872" width="8.85546875" style="516"/>
    <col min="15873" max="15873" width="43.140625" style="516" customWidth="1"/>
    <col min="15874" max="15874" width="12.42578125" style="516" customWidth="1"/>
    <col min="15875" max="15876" width="10.42578125" style="516" customWidth="1"/>
    <col min="15877" max="15877" width="9.42578125" style="516" customWidth="1"/>
    <col min="15878" max="15878" width="7.42578125" style="516" customWidth="1"/>
    <col min="15879" max="15879" width="14" style="516" customWidth="1"/>
    <col min="15880" max="15880" width="7.85546875" style="516" bestFit="1" customWidth="1"/>
    <col min="15881" max="15881" width="15.28515625" style="516" customWidth="1"/>
    <col min="15882" max="15882" width="19.42578125" style="516" customWidth="1"/>
    <col min="15883" max="15883" width="8.85546875" style="516"/>
    <col min="15884" max="15884" width="10.42578125" style="516" bestFit="1" customWidth="1"/>
    <col min="15885" max="16128" width="8.85546875" style="516"/>
    <col min="16129" max="16129" width="43.140625" style="516" customWidth="1"/>
    <col min="16130" max="16130" width="12.42578125" style="516" customWidth="1"/>
    <col min="16131" max="16132" width="10.42578125" style="516" customWidth="1"/>
    <col min="16133" max="16133" width="9.42578125" style="516" customWidth="1"/>
    <col min="16134" max="16134" width="7.42578125" style="516" customWidth="1"/>
    <col min="16135" max="16135" width="14" style="516" customWidth="1"/>
    <col min="16136" max="16136" width="7.85546875" style="516" bestFit="1" customWidth="1"/>
    <col min="16137" max="16137" width="15.28515625" style="516" customWidth="1"/>
    <col min="16138" max="16138" width="19.42578125" style="516" customWidth="1"/>
    <col min="16139" max="16139" width="8.85546875" style="516"/>
    <col min="16140" max="16140" width="10.42578125" style="516" bestFit="1" customWidth="1"/>
    <col min="16141" max="16384" width="8.85546875" style="516"/>
  </cols>
  <sheetData>
    <row r="1" spans="1:10" s="1079" customFormat="1" ht="26.1" customHeight="1">
      <c r="A1" s="1794" t="str">
        <f>HYPERLINK("[.\]Menu!A1", "To Menu")</f>
        <v>To Menu</v>
      </c>
    </row>
    <row r="2" spans="1:10" s="1079" customFormat="1" ht="15" customHeight="1">
      <c r="A2" s="1794"/>
    </row>
    <row r="3" spans="1:10" s="1079" customFormat="1" ht="26.1" customHeight="1">
      <c r="A3" s="2069" t="str">
        <f>HYPERLINK("[.\]D2A!B2", "Back to discharge to assess")</f>
        <v>Back to discharge to assess</v>
      </c>
    </row>
    <row r="4" spans="1:10" ht="21">
      <c r="A4" s="1646" t="s">
        <v>1150</v>
      </c>
    </row>
    <row r="6" spans="1:10">
      <c r="A6" s="1649" t="s">
        <v>1174</v>
      </c>
      <c r="B6" s="1678">
        <f>D2A!D29</f>
        <v>28</v>
      </c>
    </row>
    <row r="7" spans="1:10">
      <c r="A7" s="1649" t="s">
        <v>1175</v>
      </c>
      <c r="B7" s="1674">
        <v>11</v>
      </c>
    </row>
    <row r="8" spans="1:10">
      <c r="A8" s="1649" t="s">
        <v>1176</v>
      </c>
      <c r="B8" s="1675">
        <v>4.4000000000000004</v>
      </c>
    </row>
    <row r="10" spans="1:10" ht="43.5" customHeight="1"/>
    <row r="11" spans="1:10">
      <c r="B11" s="1651"/>
      <c r="C11" s="1651"/>
      <c r="D11" s="1651"/>
      <c r="E11" s="1651"/>
      <c r="F11" s="1652"/>
      <c r="G11" s="1652"/>
      <c r="H11" s="1653"/>
      <c r="I11" s="1654"/>
      <c r="J11" s="1651"/>
    </row>
    <row r="12" spans="1:10" ht="60">
      <c r="A12" s="1655" t="s">
        <v>1177</v>
      </c>
      <c r="B12" s="1656" t="s">
        <v>1178</v>
      </c>
      <c r="C12" s="1656" t="s">
        <v>1179</v>
      </c>
      <c r="D12" s="1656" t="s">
        <v>1180</v>
      </c>
      <c r="E12" s="1656" t="s">
        <v>1181</v>
      </c>
      <c r="F12" s="1656" t="s">
        <v>1182</v>
      </c>
      <c r="G12" s="1656" t="s">
        <v>1183</v>
      </c>
      <c r="H12" s="1657" t="s">
        <v>115</v>
      </c>
      <c r="I12" s="1656" t="s">
        <v>1184</v>
      </c>
      <c r="J12" s="1656" t="s">
        <v>25</v>
      </c>
    </row>
    <row r="13" spans="1:10">
      <c r="A13" s="1658" t="s">
        <v>1185</v>
      </c>
      <c r="B13" s="1675">
        <v>12.5</v>
      </c>
      <c r="C13" s="1674">
        <v>5</v>
      </c>
      <c r="D13" s="1650">
        <f t="shared" ref="D13:D18" si="0">$B$6/$B$7</f>
        <v>2.5454545454545454</v>
      </c>
      <c r="E13" s="1658">
        <f t="shared" ref="E13:E18" si="1">B13*C13*D13</f>
        <v>159.09090909090909</v>
      </c>
      <c r="F13" s="1658">
        <f>E13*0.21</f>
        <v>33.409090909090907</v>
      </c>
      <c r="G13" s="1658">
        <f t="shared" ref="G13:G18" si="2">E13+F13</f>
        <v>192.5</v>
      </c>
      <c r="H13" s="1659">
        <f t="shared" ref="H13:H18" si="3">G13/37.5</f>
        <v>5.1333333333333337</v>
      </c>
      <c r="I13" s="1660">
        <f>B29</f>
        <v>28736.48316</v>
      </c>
      <c r="J13" s="1661">
        <f t="shared" ref="J13:J18" si="4">H13*I13</f>
        <v>147513.94688800001</v>
      </c>
    </row>
    <row r="14" spans="1:10">
      <c r="A14" s="1658" t="s">
        <v>1186</v>
      </c>
      <c r="B14" s="1675">
        <v>12.5</v>
      </c>
      <c r="C14" s="1674">
        <v>5</v>
      </c>
      <c r="D14" s="1650">
        <f t="shared" si="0"/>
        <v>2.5454545454545454</v>
      </c>
      <c r="E14" s="1658">
        <f t="shared" si="1"/>
        <v>159.09090909090909</v>
      </c>
      <c r="F14" s="1658">
        <f t="shared" ref="F14:F18" si="5">E14*0.21</f>
        <v>33.409090909090907</v>
      </c>
      <c r="G14" s="1658">
        <f t="shared" si="2"/>
        <v>192.5</v>
      </c>
      <c r="H14" s="1659">
        <f t="shared" si="3"/>
        <v>5.1333333333333337</v>
      </c>
      <c r="I14" s="1662">
        <f>B29*1.3</f>
        <v>37357.428108</v>
      </c>
      <c r="J14" s="1661">
        <f>H14*I14</f>
        <v>191768.13095440003</v>
      </c>
    </row>
    <row r="15" spans="1:10">
      <c r="A15" s="1658" t="s">
        <v>1187</v>
      </c>
      <c r="B15" s="1675">
        <v>12.5</v>
      </c>
      <c r="C15" s="1674">
        <v>1</v>
      </c>
      <c r="D15" s="1650">
        <f t="shared" si="0"/>
        <v>2.5454545454545454</v>
      </c>
      <c r="E15" s="1658">
        <f t="shared" si="1"/>
        <v>31.818181818181817</v>
      </c>
      <c r="F15" s="1658">
        <f t="shared" si="5"/>
        <v>6.6818181818181817</v>
      </c>
      <c r="G15" s="1658">
        <f t="shared" si="2"/>
        <v>38.5</v>
      </c>
      <c r="H15" s="1659">
        <f t="shared" si="3"/>
        <v>1.0266666666666666</v>
      </c>
      <c r="I15" s="1662">
        <f>$B$29*1.3</f>
        <v>37357.428108</v>
      </c>
      <c r="J15" s="1661">
        <f t="shared" si="4"/>
        <v>38353.626190880001</v>
      </c>
    </row>
    <row r="16" spans="1:10">
      <c r="A16" s="1658" t="s">
        <v>1188</v>
      </c>
      <c r="B16" s="1675">
        <v>12.5</v>
      </c>
      <c r="C16" s="1674">
        <v>1</v>
      </c>
      <c r="D16" s="1650">
        <f t="shared" si="0"/>
        <v>2.5454545454545454</v>
      </c>
      <c r="E16" s="1658">
        <f t="shared" si="1"/>
        <v>31.818181818181817</v>
      </c>
      <c r="F16" s="1658">
        <f t="shared" si="5"/>
        <v>6.6818181818181817</v>
      </c>
      <c r="G16" s="1658">
        <f t="shared" si="2"/>
        <v>38.5</v>
      </c>
      <c r="H16" s="1659">
        <f t="shared" si="3"/>
        <v>1.0266666666666666</v>
      </c>
      <c r="I16" s="1662">
        <f>$B$29*1.3</f>
        <v>37357.428108</v>
      </c>
      <c r="J16" s="1661">
        <f t="shared" si="4"/>
        <v>38353.626190880001</v>
      </c>
    </row>
    <row r="17" spans="1:12">
      <c r="A17" s="1658" t="s">
        <v>1189</v>
      </c>
      <c r="B17" s="1675">
        <v>12.5</v>
      </c>
      <c r="C17" s="1674">
        <v>1</v>
      </c>
      <c r="D17" s="1650">
        <f t="shared" si="0"/>
        <v>2.5454545454545454</v>
      </c>
      <c r="E17" s="1658">
        <f t="shared" si="1"/>
        <v>31.818181818181817</v>
      </c>
      <c r="F17" s="1658">
        <f t="shared" si="5"/>
        <v>6.6818181818181817</v>
      </c>
      <c r="G17" s="1658">
        <f t="shared" si="2"/>
        <v>38.5</v>
      </c>
      <c r="H17" s="1659">
        <f t="shared" si="3"/>
        <v>1.0266666666666666</v>
      </c>
      <c r="I17" s="1662">
        <f>$B$29*1.6</f>
        <v>45978.373056000004</v>
      </c>
      <c r="J17" s="1661">
        <f t="shared" si="4"/>
        <v>47204.463004160003</v>
      </c>
    </row>
    <row r="18" spans="1:12">
      <c r="A18" s="1658" t="s">
        <v>1190</v>
      </c>
      <c r="B18" s="1675">
        <v>12.5</v>
      </c>
      <c r="C18" s="1674">
        <v>1</v>
      </c>
      <c r="D18" s="1650">
        <f t="shared" si="0"/>
        <v>2.5454545454545454</v>
      </c>
      <c r="E18" s="1658">
        <f t="shared" si="1"/>
        <v>31.818181818181817</v>
      </c>
      <c r="F18" s="1658">
        <f t="shared" si="5"/>
        <v>6.6818181818181817</v>
      </c>
      <c r="G18" s="1658">
        <f t="shared" si="2"/>
        <v>38.5</v>
      </c>
      <c r="H18" s="1659">
        <f t="shared" si="3"/>
        <v>1.0266666666666666</v>
      </c>
      <c r="I18" s="1662">
        <f>$B$29*1.6</f>
        <v>45978.373056000004</v>
      </c>
      <c r="J18" s="1661">
        <f t="shared" si="4"/>
        <v>47204.463004160003</v>
      </c>
    </row>
    <row r="19" spans="1:12">
      <c r="A19" s="1658" t="s">
        <v>1191</v>
      </c>
      <c r="B19" s="1663"/>
      <c r="C19" s="1663"/>
      <c r="D19" s="1663"/>
      <c r="E19" s="1658"/>
      <c r="F19" s="1658"/>
      <c r="G19" s="1658"/>
      <c r="H19" s="1659">
        <v>0</v>
      </c>
      <c r="I19" s="1662">
        <f>B29*1.26</f>
        <v>36207.968781600001</v>
      </c>
      <c r="J19" s="1661">
        <f>I19*H19</f>
        <v>0</v>
      </c>
    </row>
    <row r="20" spans="1:12">
      <c r="G20" s="1664">
        <f>SUM(G13:G18)</f>
        <v>539</v>
      </c>
      <c r="H20" s="1664">
        <f>SUM(H13:H19)</f>
        <v>14.373333333333337</v>
      </c>
      <c r="J20" s="1665">
        <f>SUM(J13:J19)</f>
        <v>510398.25623248005</v>
      </c>
      <c r="K20" s="1666"/>
    </row>
    <row r="21" spans="1:12">
      <c r="A21" s="1667" t="s">
        <v>1192</v>
      </c>
    </row>
    <row r="22" spans="1:12">
      <c r="A22" s="1658" t="s">
        <v>1193</v>
      </c>
      <c r="B22" s="1675">
        <v>12.5</v>
      </c>
      <c r="C22" s="1674">
        <v>8</v>
      </c>
      <c r="D22" s="1650">
        <f>$B$6/$B$7</f>
        <v>2.5454545454545454</v>
      </c>
      <c r="E22" s="1658">
        <f>B22*C22*D22</f>
        <v>254.54545454545453</v>
      </c>
      <c r="F22" s="1658"/>
      <c r="G22" s="1658">
        <f>E22</f>
        <v>254.54545454545453</v>
      </c>
      <c r="H22" s="1659"/>
      <c r="I22" s="1662">
        <f>B30*1.6</f>
        <v>23.515342312236289</v>
      </c>
      <c r="J22" s="1661">
        <f>G22*I22</f>
        <v>5985.7234976601458</v>
      </c>
    </row>
    <row r="23" spans="1:12">
      <c r="A23" s="1658" t="s">
        <v>1194</v>
      </c>
      <c r="B23" s="1675">
        <v>12.5</v>
      </c>
      <c r="C23" s="1674">
        <v>8</v>
      </c>
      <c r="D23" s="1650">
        <f>$B$6/$B$7</f>
        <v>2.5454545454545454</v>
      </c>
      <c r="E23" s="1658">
        <f>B23*C23*D23</f>
        <v>254.54545454545453</v>
      </c>
      <c r="F23" s="1658"/>
      <c r="G23" s="1658">
        <f>E23</f>
        <v>254.54545454545453</v>
      </c>
      <c r="H23" s="1659"/>
      <c r="I23" s="1662">
        <f>B30*1.6</f>
        <v>23.515342312236289</v>
      </c>
      <c r="J23" s="1661">
        <f>G23*I23</f>
        <v>5985.7234976601458</v>
      </c>
    </row>
    <row r="24" spans="1:12">
      <c r="A24" s="1658" t="s">
        <v>1195</v>
      </c>
      <c r="B24" s="1675">
        <v>12.5</v>
      </c>
      <c r="C24" s="1674">
        <v>8</v>
      </c>
      <c r="D24" s="1650">
        <f>$B$6/$B$7</f>
        <v>2.5454545454545454</v>
      </c>
      <c r="E24" s="1658">
        <f>B24*C24*D24</f>
        <v>254.54545454545453</v>
      </c>
      <c r="F24" s="1658"/>
      <c r="G24" s="1658">
        <f>E24*-1</f>
        <v>-254.54545454545453</v>
      </c>
      <c r="H24" s="1659"/>
      <c r="I24" s="1662">
        <f>B30</f>
        <v>14.69708894514768</v>
      </c>
      <c r="J24" s="1661">
        <f>G24*I24</f>
        <v>-3741.0771860375912</v>
      </c>
    </row>
    <row r="25" spans="1:12">
      <c r="A25" s="1658" t="s">
        <v>1196</v>
      </c>
      <c r="B25" s="1675">
        <v>12.5</v>
      </c>
      <c r="C25" s="1674">
        <v>8</v>
      </c>
      <c r="D25" s="1650">
        <f>$B$6/$B$7</f>
        <v>2.5454545454545454</v>
      </c>
      <c r="E25" s="1658">
        <f>B25*C25*D25</f>
        <v>254.54545454545453</v>
      </c>
      <c r="F25" s="1658"/>
      <c r="G25" s="1658">
        <f>E25*-1</f>
        <v>-254.54545454545453</v>
      </c>
      <c r="H25" s="1659"/>
      <c r="I25" s="1668">
        <f>B30</f>
        <v>14.69708894514768</v>
      </c>
      <c r="J25" s="1661">
        <f>G25*I25</f>
        <v>-3741.0771860375912</v>
      </c>
    </row>
    <row r="26" spans="1:12">
      <c r="A26" s="1658" t="s">
        <v>1197</v>
      </c>
      <c r="B26" s="1658"/>
      <c r="C26" s="1658"/>
      <c r="D26" s="1658"/>
      <c r="E26" s="1658"/>
      <c r="F26" s="1658"/>
      <c r="G26" s="1659">
        <f>SUM(G22:G25)</f>
        <v>0</v>
      </c>
      <c r="H26" s="1659"/>
      <c r="I26" s="1662"/>
      <c r="J26" s="1661">
        <f>SUM(J22:J25)</f>
        <v>4489.2926232451082</v>
      </c>
    </row>
    <row r="27" spans="1:12" s="1651" customFormat="1">
      <c r="A27" s="1669" t="s">
        <v>1198</v>
      </c>
      <c r="H27" s="1670">
        <f>H20</f>
        <v>14.373333333333337</v>
      </c>
      <c r="I27" s="1654"/>
      <c r="J27" s="1671">
        <f>J20+J26</f>
        <v>514887.54885572515</v>
      </c>
      <c r="L27" s="1672"/>
    </row>
    <row r="29" spans="1:12">
      <c r="A29" s="1649" t="s">
        <v>1199</v>
      </c>
      <c r="B29" s="1676">
        <v>28736.48316</v>
      </c>
    </row>
    <row r="30" spans="1:12">
      <c r="A30" s="1649" t="s">
        <v>1200</v>
      </c>
      <c r="B30" s="1676">
        <v>14.69708894514768</v>
      </c>
      <c r="C30" s="1648"/>
    </row>
    <row r="34" spans="1:12" ht="60">
      <c r="A34" s="1655" t="s">
        <v>1201</v>
      </c>
      <c r="B34" s="1656" t="s">
        <v>1178</v>
      </c>
      <c r="C34" s="1656" t="s">
        <v>1179</v>
      </c>
      <c r="D34" s="1656" t="s">
        <v>1180</v>
      </c>
      <c r="E34" s="1656" t="s">
        <v>1181</v>
      </c>
      <c r="F34" s="1656" t="s">
        <v>1182</v>
      </c>
      <c r="G34" s="1656" t="s">
        <v>1183</v>
      </c>
      <c r="H34" s="1657" t="s">
        <v>115</v>
      </c>
      <c r="I34" s="1656" t="s">
        <v>1184</v>
      </c>
      <c r="J34" s="1656" t="s">
        <v>25</v>
      </c>
    </row>
    <row r="35" spans="1:12">
      <c r="A35" s="1658" t="s">
        <v>1202</v>
      </c>
      <c r="B35" s="1675">
        <v>8</v>
      </c>
      <c r="C35" s="1674">
        <v>5</v>
      </c>
      <c r="D35" s="1650">
        <f t="shared" ref="D35:D40" si="6">$B$6/$B$8</f>
        <v>6.3636363636363633</v>
      </c>
      <c r="E35" s="1658">
        <f t="shared" ref="E35:E40" si="7">B35*C35*D35</f>
        <v>254.54545454545453</v>
      </c>
      <c r="F35" s="1658">
        <f t="shared" ref="F35:F40" si="8">E35*0.21</f>
        <v>53.454545454545453</v>
      </c>
      <c r="G35" s="1658">
        <f t="shared" ref="G35:G40" si="9">E35+F35</f>
        <v>308</v>
      </c>
      <c r="H35" s="1659">
        <f t="shared" ref="H35:H40" si="10">G35/37.5</f>
        <v>8.2133333333333329</v>
      </c>
      <c r="I35" s="1660">
        <f>$B$51</f>
        <v>18816.889360000001</v>
      </c>
      <c r="J35" s="1661">
        <f t="shared" ref="J35:J40" si="11">H35*I35</f>
        <v>154549.38461013333</v>
      </c>
    </row>
    <row r="36" spans="1:12">
      <c r="A36" s="1658" t="s">
        <v>1203</v>
      </c>
      <c r="B36" s="1675">
        <v>8</v>
      </c>
      <c r="C36" s="1674">
        <v>5</v>
      </c>
      <c r="D36" s="1650">
        <f t="shared" si="6"/>
        <v>6.3636363636363633</v>
      </c>
      <c r="E36" s="1658">
        <f t="shared" si="7"/>
        <v>254.54545454545453</v>
      </c>
      <c r="F36" s="1658">
        <f t="shared" si="8"/>
        <v>53.454545454545453</v>
      </c>
      <c r="G36" s="1658">
        <f t="shared" si="9"/>
        <v>308</v>
      </c>
      <c r="H36" s="1659">
        <f t="shared" si="10"/>
        <v>8.2133333333333329</v>
      </c>
      <c r="I36" s="1660">
        <f>$B$51*1.44</f>
        <v>27096.320678399999</v>
      </c>
      <c r="J36" s="1661">
        <f t="shared" si="11"/>
        <v>222551.11383859199</v>
      </c>
    </row>
    <row r="37" spans="1:12">
      <c r="A37" s="1658" t="s">
        <v>1204</v>
      </c>
      <c r="B37" s="1675">
        <v>8</v>
      </c>
      <c r="C37" s="1674">
        <v>1</v>
      </c>
      <c r="D37" s="1650">
        <f t="shared" si="6"/>
        <v>6.3636363636363633</v>
      </c>
      <c r="E37" s="1658">
        <f t="shared" si="7"/>
        <v>50.909090909090907</v>
      </c>
      <c r="F37" s="1658">
        <f t="shared" si="8"/>
        <v>10.69090909090909</v>
      </c>
      <c r="G37" s="1658">
        <f t="shared" si="9"/>
        <v>61.599999999999994</v>
      </c>
      <c r="H37" s="1659">
        <f t="shared" si="10"/>
        <v>1.6426666666666665</v>
      </c>
      <c r="I37" s="1660">
        <f>$B$51*1.44</f>
        <v>27096.320678399999</v>
      </c>
      <c r="J37" s="1661">
        <f t="shared" si="11"/>
        <v>44510.222767718391</v>
      </c>
    </row>
    <row r="38" spans="1:12">
      <c r="A38" s="1658" t="s">
        <v>1205</v>
      </c>
      <c r="B38" s="1675">
        <v>8</v>
      </c>
      <c r="C38" s="1674">
        <v>1</v>
      </c>
      <c r="D38" s="1650">
        <f t="shared" si="6"/>
        <v>6.3636363636363633</v>
      </c>
      <c r="E38" s="1658">
        <f t="shared" si="7"/>
        <v>50.909090909090907</v>
      </c>
      <c r="F38" s="1658">
        <f t="shared" si="8"/>
        <v>10.69090909090909</v>
      </c>
      <c r="G38" s="1658">
        <f t="shared" si="9"/>
        <v>61.599999999999994</v>
      </c>
      <c r="H38" s="1659">
        <f t="shared" si="10"/>
        <v>1.6426666666666665</v>
      </c>
      <c r="I38" s="1660">
        <f>$B$51*1.44</f>
        <v>27096.320678399999</v>
      </c>
      <c r="J38" s="1661">
        <f t="shared" si="11"/>
        <v>44510.222767718391</v>
      </c>
    </row>
    <row r="39" spans="1:12">
      <c r="A39" s="1658" t="s">
        <v>1206</v>
      </c>
      <c r="B39" s="1675">
        <v>8</v>
      </c>
      <c r="C39" s="1674">
        <v>1</v>
      </c>
      <c r="D39" s="1650">
        <f t="shared" si="6"/>
        <v>6.3636363636363633</v>
      </c>
      <c r="E39" s="1658">
        <f t="shared" si="7"/>
        <v>50.909090909090907</v>
      </c>
      <c r="F39" s="1658">
        <f t="shared" si="8"/>
        <v>10.69090909090909</v>
      </c>
      <c r="G39" s="1658">
        <f t="shared" si="9"/>
        <v>61.599999999999994</v>
      </c>
      <c r="H39" s="1659">
        <f t="shared" si="10"/>
        <v>1.6426666666666665</v>
      </c>
      <c r="I39" s="1660">
        <f>$B$51*1.88</f>
        <v>35375.751996799998</v>
      </c>
      <c r="J39" s="1661">
        <f t="shared" si="11"/>
        <v>58110.568613410127</v>
      </c>
    </row>
    <row r="40" spans="1:12">
      <c r="A40" s="1658" t="s">
        <v>1207</v>
      </c>
      <c r="B40" s="1675">
        <v>8</v>
      </c>
      <c r="C40" s="1674">
        <v>1</v>
      </c>
      <c r="D40" s="1650">
        <f t="shared" si="6"/>
        <v>6.3636363636363633</v>
      </c>
      <c r="E40" s="1658">
        <f t="shared" si="7"/>
        <v>50.909090909090907</v>
      </c>
      <c r="F40" s="1658">
        <f t="shared" si="8"/>
        <v>10.69090909090909</v>
      </c>
      <c r="G40" s="1658">
        <f t="shared" si="9"/>
        <v>61.599999999999994</v>
      </c>
      <c r="H40" s="1659">
        <f t="shared" si="10"/>
        <v>1.6426666666666665</v>
      </c>
      <c r="I40" s="1660">
        <f>$B$51*1.88</f>
        <v>35375.751996799998</v>
      </c>
      <c r="J40" s="1661">
        <f t="shared" si="11"/>
        <v>58110.568613410127</v>
      </c>
    </row>
    <row r="41" spans="1:12">
      <c r="G41" s="1664">
        <f>SUM(G35:G40)</f>
        <v>862.40000000000009</v>
      </c>
      <c r="H41" s="1664">
        <f>SUM(H35:H40)</f>
        <v>22.997333333333334</v>
      </c>
      <c r="J41" s="1665">
        <f>SUM(J35:J40)</f>
        <v>582342.08121098229</v>
      </c>
      <c r="K41" s="1666"/>
    </row>
    <row r="42" spans="1:12">
      <c r="A42" s="1667" t="s">
        <v>1192</v>
      </c>
    </row>
    <row r="43" spans="1:12">
      <c r="A43" s="1658" t="s">
        <v>1208</v>
      </c>
      <c r="B43" s="1675">
        <v>16</v>
      </c>
      <c r="C43" s="1674">
        <v>8</v>
      </c>
      <c r="D43" s="1650">
        <f>$B$6/$B$8</f>
        <v>6.3636363636363633</v>
      </c>
      <c r="E43" s="1658">
        <f>B43*C43*D43</f>
        <v>814.5454545454545</v>
      </c>
      <c r="F43" s="1658"/>
      <c r="G43" s="1658">
        <f>E43</f>
        <v>814.5454545454545</v>
      </c>
      <c r="H43" s="1659"/>
      <c r="I43" s="1662">
        <f>$B$52*1.88</f>
        <v>18.092700164582535</v>
      </c>
      <c r="J43" s="1661">
        <f>G43*I43</f>
        <v>14737.326679514501</v>
      </c>
    </row>
    <row r="44" spans="1:12">
      <c r="A44" s="1658" t="s">
        <v>1195</v>
      </c>
      <c r="B44" s="1675">
        <v>8</v>
      </c>
      <c r="C44" s="1674">
        <v>8</v>
      </c>
      <c r="D44" s="1650">
        <f>$B$6/$B$8</f>
        <v>6.3636363636363633</v>
      </c>
      <c r="E44" s="1658">
        <f>B44*C44*D44</f>
        <v>407.27272727272725</v>
      </c>
      <c r="F44" s="1658"/>
      <c r="G44" s="1658">
        <f>E44*-1</f>
        <v>-407.27272727272725</v>
      </c>
      <c r="H44" s="1659"/>
      <c r="I44" s="1662">
        <f>$B$52</f>
        <v>9.6237766832885825</v>
      </c>
      <c r="J44" s="1661">
        <f>G44*I44</f>
        <v>-3919.5017764666227</v>
      </c>
    </row>
    <row r="45" spans="1:12">
      <c r="A45" s="1658" t="s">
        <v>1196</v>
      </c>
      <c r="B45" s="1675">
        <v>8</v>
      </c>
      <c r="C45" s="1674">
        <v>8</v>
      </c>
      <c r="D45" s="1650">
        <f>$B$6/$B$8</f>
        <v>6.3636363636363633</v>
      </c>
      <c r="E45" s="1658">
        <f>B45*C45*D45</f>
        <v>407.27272727272725</v>
      </c>
      <c r="F45" s="1658"/>
      <c r="G45" s="1658">
        <f>E45*-1</f>
        <v>-407.27272727272725</v>
      </c>
      <c r="H45" s="1659"/>
      <c r="I45" s="1662">
        <f>$B$52</f>
        <v>9.6237766832885825</v>
      </c>
      <c r="J45" s="1661">
        <f>G45*I45</f>
        <v>-3919.5017764666227</v>
      </c>
    </row>
    <row r="46" spans="1:12">
      <c r="G46" s="1664">
        <f>SUM(G43:G45)</f>
        <v>0</v>
      </c>
      <c r="J46" s="1665">
        <f>SUM(J43:J45)</f>
        <v>6898.3231265812556</v>
      </c>
    </row>
    <row r="48" spans="1:12" s="1651" customFormat="1">
      <c r="A48" s="1669" t="s">
        <v>1209</v>
      </c>
      <c r="H48" s="1670">
        <f>H41</f>
        <v>22.997333333333334</v>
      </c>
      <c r="I48" s="1654"/>
      <c r="J48" s="1671">
        <f>J41+J46</f>
        <v>589240.40433756355</v>
      </c>
      <c r="L48" s="1672"/>
    </row>
    <row r="51" spans="1:2">
      <c r="A51" s="1649" t="s">
        <v>1199</v>
      </c>
      <c r="B51" s="1676">
        <v>18816.889360000001</v>
      </c>
    </row>
    <row r="52" spans="1:2">
      <c r="A52" s="1649" t="s">
        <v>1200</v>
      </c>
      <c r="B52" s="1676">
        <v>9.6237766832885825</v>
      </c>
    </row>
  </sheetData>
  <pageMargins left="0.7" right="0.7" top="0.75" bottom="0.75" header="0.3" footer="0.3"/>
  <pageSetup paperSize="9" scale="49"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59"/>
  <sheetViews>
    <sheetView showGridLines="0" zoomScale="75" zoomScaleNormal="75" zoomScalePageLayoutView="75" workbookViewId="0">
      <selection activeCell="A3" sqref="A3"/>
    </sheetView>
  </sheetViews>
  <sheetFormatPr defaultColWidth="8.85546875" defaultRowHeight="14.25"/>
  <cols>
    <col min="1" max="1" width="13.140625" style="1373" customWidth="1"/>
    <col min="2" max="2" width="42.42578125" style="1373" customWidth="1"/>
    <col min="3" max="3" width="15.85546875" style="1822" bestFit="1" customWidth="1"/>
    <col min="4" max="4" width="23.140625" style="1823" customWidth="1"/>
    <col min="5" max="5" width="18" style="1823" customWidth="1"/>
    <col min="6" max="6" width="48.28515625" style="1823" bestFit="1" customWidth="1"/>
    <col min="7" max="7" width="10" style="1373" bestFit="1" customWidth="1"/>
    <col min="8" max="8" width="13.85546875" style="1373" bestFit="1" customWidth="1"/>
    <col min="9" max="256" width="8.85546875" style="1373"/>
    <col min="257" max="257" width="13.140625" style="1373" customWidth="1"/>
    <col min="258" max="258" width="39.42578125" style="1373" customWidth="1"/>
    <col min="259" max="259" width="15.85546875" style="1373" bestFit="1" customWidth="1"/>
    <col min="260" max="260" width="23.140625" style="1373" customWidth="1"/>
    <col min="261" max="261" width="18" style="1373" customWidth="1"/>
    <col min="262" max="262" width="48.28515625" style="1373" bestFit="1" customWidth="1"/>
    <col min="263" max="263" width="10" style="1373" bestFit="1" customWidth="1"/>
    <col min="264" max="264" width="13.85546875" style="1373" bestFit="1" customWidth="1"/>
    <col min="265" max="512" width="8.85546875" style="1373"/>
    <col min="513" max="513" width="13.140625" style="1373" customWidth="1"/>
    <col min="514" max="514" width="39.42578125" style="1373" customWidth="1"/>
    <col min="515" max="515" width="15.85546875" style="1373" bestFit="1" customWidth="1"/>
    <col min="516" max="516" width="23.140625" style="1373" customWidth="1"/>
    <col min="517" max="517" width="18" style="1373" customWidth="1"/>
    <col min="518" max="518" width="48.28515625" style="1373" bestFit="1" customWidth="1"/>
    <col min="519" max="519" width="10" style="1373" bestFit="1" customWidth="1"/>
    <col min="520" max="520" width="13.85546875" style="1373" bestFit="1" customWidth="1"/>
    <col min="521" max="768" width="8.85546875" style="1373"/>
    <col min="769" max="769" width="13.140625" style="1373" customWidth="1"/>
    <col min="770" max="770" width="39.42578125" style="1373" customWidth="1"/>
    <col min="771" max="771" width="15.85546875" style="1373" bestFit="1" customWidth="1"/>
    <col min="772" max="772" width="23.140625" style="1373" customWidth="1"/>
    <col min="773" max="773" width="18" style="1373" customWidth="1"/>
    <col min="774" max="774" width="48.28515625" style="1373" bestFit="1" customWidth="1"/>
    <col min="775" max="775" width="10" style="1373" bestFit="1" customWidth="1"/>
    <col min="776" max="776" width="13.85546875" style="1373" bestFit="1" customWidth="1"/>
    <col min="777" max="1024" width="8.85546875" style="1373"/>
    <col min="1025" max="1025" width="13.140625" style="1373" customWidth="1"/>
    <col min="1026" max="1026" width="39.42578125" style="1373" customWidth="1"/>
    <col min="1027" max="1027" width="15.85546875" style="1373" bestFit="1" customWidth="1"/>
    <col min="1028" max="1028" width="23.140625" style="1373" customWidth="1"/>
    <col min="1029" max="1029" width="18" style="1373" customWidth="1"/>
    <col min="1030" max="1030" width="48.28515625" style="1373" bestFit="1" customWidth="1"/>
    <col min="1031" max="1031" width="10" style="1373" bestFit="1" customWidth="1"/>
    <col min="1032" max="1032" width="13.85546875" style="1373" bestFit="1" customWidth="1"/>
    <col min="1033" max="1280" width="8.85546875" style="1373"/>
    <col min="1281" max="1281" width="13.140625" style="1373" customWidth="1"/>
    <col min="1282" max="1282" width="39.42578125" style="1373" customWidth="1"/>
    <col min="1283" max="1283" width="15.85546875" style="1373" bestFit="1" customWidth="1"/>
    <col min="1284" max="1284" width="23.140625" style="1373" customWidth="1"/>
    <col min="1285" max="1285" width="18" style="1373" customWidth="1"/>
    <col min="1286" max="1286" width="48.28515625" style="1373" bestFit="1" customWidth="1"/>
    <col min="1287" max="1287" width="10" style="1373" bestFit="1" customWidth="1"/>
    <col min="1288" max="1288" width="13.85546875" style="1373" bestFit="1" customWidth="1"/>
    <col min="1289" max="1536" width="8.85546875" style="1373"/>
    <col min="1537" max="1537" width="13.140625" style="1373" customWidth="1"/>
    <col min="1538" max="1538" width="39.42578125" style="1373" customWidth="1"/>
    <col min="1539" max="1539" width="15.85546875" style="1373" bestFit="1" customWidth="1"/>
    <col min="1540" max="1540" width="23.140625" style="1373" customWidth="1"/>
    <col min="1541" max="1541" width="18" style="1373" customWidth="1"/>
    <col min="1542" max="1542" width="48.28515625" style="1373" bestFit="1" customWidth="1"/>
    <col min="1543" max="1543" width="10" style="1373" bestFit="1" customWidth="1"/>
    <col min="1544" max="1544" width="13.85546875" style="1373" bestFit="1" customWidth="1"/>
    <col min="1545" max="1792" width="8.85546875" style="1373"/>
    <col min="1793" max="1793" width="13.140625" style="1373" customWidth="1"/>
    <col min="1794" max="1794" width="39.42578125" style="1373" customWidth="1"/>
    <col min="1795" max="1795" width="15.85546875" style="1373" bestFit="1" customWidth="1"/>
    <col min="1796" max="1796" width="23.140625" style="1373" customWidth="1"/>
    <col min="1797" max="1797" width="18" style="1373" customWidth="1"/>
    <col min="1798" max="1798" width="48.28515625" style="1373" bestFit="1" customWidth="1"/>
    <col min="1799" max="1799" width="10" style="1373" bestFit="1" customWidth="1"/>
    <col min="1800" max="1800" width="13.85546875" style="1373" bestFit="1" customWidth="1"/>
    <col min="1801" max="2048" width="8.85546875" style="1373"/>
    <col min="2049" max="2049" width="13.140625" style="1373" customWidth="1"/>
    <col min="2050" max="2050" width="39.42578125" style="1373" customWidth="1"/>
    <col min="2051" max="2051" width="15.85546875" style="1373" bestFit="1" customWidth="1"/>
    <col min="2052" max="2052" width="23.140625" style="1373" customWidth="1"/>
    <col min="2053" max="2053" width="18" style="1373" customWidth="1"/>
    <col min="2054" max="2054" width="48.28515625" style="1373" bestFit="1" customWidth="1"/>
    <col min="2055" max="2055" width="10" style="1373" bestFit="1" customWidth="1"/>
    <col min="2056" max="2056" width="13.85546875" style="1373" bestFit="1" customWidth="1"/>
    <col min="2057" max="2304" width="8.85546875" style="1373"/>
    <col min="2305" max="2305" width="13.140625" style="1373" customWidth="1"/>
    <col min="2306" max="2306" width="39.42578125" style="1373" customWidth="1"/>
    <col min="2307" max="2307" width="15.85546875" style="1373" bestFit="1" customWidth="1"/>
    <col min="2308" max="2308" width="23.140625" style="1373" customWidth="1"/>
    <col min="2309" max="2309" width="18" style="1373" customWidth="1"/>
    <col min="2310" max="2310" width="48.28515625" style="1373" bestFit="1" customWidth="1"/>
    <col min="2311" max="2311" width="10" style="1373" bestFit="1" customWidth="1"/>
    <col min="2312" max="2312" width="13.85546875" style="1373" bestFit="1" customWidth="1"/>
    <col min="2313" max="2560" width="8.85546875" style="1373"/>
    <col min="2561" max="2561" width="13.140625" style="1373" customWidth="1"/>
    <col min="2562" max="2562" width="39.42578125" style="1373" customWidth="1"/>
    <col min="2563" max="2563" width="15.85546875" style="1373" bestFit="1" customWidth="1"/>
    <col min="2564" max="2564" width="23.140625" style="1373" customWidth="1"/>
    <col min="2565" max="2565" width="18" style="1373" customWidth="1"/>
    <col min="2566" max="2566" width="48.28515625" style="1373" bestFit="1" customWidth="1"/>
    <col min="2567" max="2567" width="10" style="1373" bestFit="1" customWidth="1"/>
    <col min="2568" max="2568" width="13.85546875" style="1373" bestFit="1" customWidth="1"/>
    <col min="2569" max="2816" width="8.85546875" style="1373"/>
    <col min="2817" max="2817" width="13.140625" style="1373" customWidth="1"/>
    <col min="2818" max="2818" width="39.42578125" style="1373" customWidth="1"/>
    <col min="2819" max="2819" width="15.85546875" style="1373" bestFit="1" customWidth="1"/>
    <col min="2820" max="2820" width="23.140625" style="1373" customWidth="1"/>
    <col min="2821" max="2821" width="18" style="1373" customWidth="1"/>
    <col min="2822" max="2822" width="48.28515625" style="1373" bestFit="1" customWidth="1"/>
    <col min="2823" max="2823" width="10" style="1373" bestFit="1" customWidth="1"/>
    <col min="2824" max="2824" width="13.85546875" style="1373" bestFit="1" customWidth="1"/>
    <col min="2825" max="3072" width="8.85546875" style="1373"/>
    <col min="3073" max="3073" width="13.140625" style="1373" customWidth="1"/>
    <col min="3074" max="3074" width="39.42578125" style="1373" customWidth="1"/>
    <col min="3075" max="3075" width="15.85546875" style="1373" bestFit="1" customWidth="1"/>
    <col min="3076" max="3076" width="23.140625" style="1373" customWidth="1"/>
    <col min="3077" max="3077" width="18" style="1373" customWidth="1"/>
    <col min="3078" max="3078" width="48.28515625" style="1373" bestFit="1" customWidth="1"/>
    <col min="3079" max="3079" width="10" style="1373" bestFit="1" customWidth="1"/>
    <col min="3080" max="3080" width="13.85546875" style="1373" bestFit="1" customWidth="1"/>
    <col min="3081" max="3328" width="8.85546875" style="1373"/>
    <col min="3329" max="3329" width="13.140625" style="1373" customWidth="1"/>
    <col min="3330" max="3330" width="39.42578125" style="1373" customWidth="1"/>
    <col min="3331" max="3331" width="15.85546875" style="1373" bestFit="1" customWidth="1"/>
    <col min="3332" max="3332" width="23.140625" style="1373" customWidth="1"/>
    <col min="3333" max="3333" width="18" style="1373" customWidth="1"/>
    <col min="3334" max="3334" width="48.28515625" style="1373" bestFit="1" customWidth="1"/>
    <col min="3335" max="3335" width="10" style="1373" bestFit="1" customWidth="1"/>
    <col min="3336" max="3336" width="13.85546875" style="1373" bestFit="1" customWidth="1"/>
    <col min="3337" max="3584" width="8.85546875" style="1373"/>
    <col min="3585" max="3585" width="13.140625" style="1373" customWidth="1"/>
    <col min="3586" max="3586" width="39.42578125" style="1373" customWidth="1"/>
    <col min="3587" max="3587" width="15.85546875" style="1373" bestFit="1" customWidth="1"/>
    <col min="3588" max="3588" width="23.140625" style="1373" customWidth="1"/>
    <col min="3589" max="3589" width="18" style="1373" customWidth="1"/>
    <col min="3590" max="3590" width="48.28515625" style="1373" bestFit="1" customWidth="1"/>
    <col min="3591" max="3591" width="10" style="1373" bestFit="1" customWidth="1"/>
    <col min="3592" max="3592" width="13.85546875" style="1373" bestFit="1" customWidth="1"/>
    <col min="3593" max="3840" width="8.85546875" style="1373"/>
    <col min="3841" max="3841" width="13.140625" style="1373" customWidth="1"/>
    <col min="3842" max="3842" width="39.42578125" style="1373" customWidth="1"/>
    <col min="3843" max="3843" width="15.85546875" style="1373" bestFit="1" customWidth="1"/>
    <col min="3844" max="3844" width="23.140625" style="1373" customWidth="1"/>
    <col min="3845" max="3845" width="18" style="1373" customWidth="1"/>
    <col min="3846" max="3846" width="48.28515625" style="1373" bestFit="1" customWidth="1"/>
    <col min="3847" max="3847" width="10" style="1373" bestFit="1" customWidth="1"/>
    <col min="3848" max="3848" width="13.85546875" style="1373" bestFit="1" customWidth="1"/>
    <col min="3849" max="4096" width="8.85546875" style="1373"/>
    <col min="4097" max="4097" width="13.140625" style="1373" customWidth="1"/>
    <col min="4098" max="4098" width="39.42578125" style="1373" customWidth="1"/>
    <col min="4099" max="4099" width="15.85546875" style="1373" bestFit="1" customWidth="1"/>
    <col min="4100" max="4100" width="23.140625" style="1373" customWidth="1"/>
    <col min="4101" max="4101" width="18" style="1373" customWidth="1"/>
    <col min="4102" max="4102" width="48.28515625" style="1373" bestFit="1" customWidth="1"/>
    <col min="4103" max="4103" width="10" style="1373" bestFit="1" customWidth="1"/>
    <col min="4104" max="4104" width="13.85546875" style="1373" bestFit="1" customWidth="1"/>
    <col min="4105" max="4352" width="8.85546875" style="1373"/>
    <col min="4353" max="4353" width="13.140625" style="1373" customWidth="1"/>
    <col min="4354" max="4354" width="39.42578125" style="1373" customWidth="1"/>
    <col min="4355" max="4355" width="15.85546875" style="1373" bestFit="1" customWidth="1"/>
    <col min="4356" max="4356" width="23.140625" style="1373" customWidth="1"/>
    <col min="4357" max="4357" width="18" style="1373" customWidth="1"/>
    <col min="4358" max="4358" width="48.28515625" style="1373" bestFit="1" customWidth="1"/>
    <col min="4359" max="4359" width="10" style="1373" bestFit="1" customWidth="1"/>
    <col min="4360" max="4360" width="13.85546875" style="1373" bestFit="1" customWidth="1"/>
    <col min="4361" max="4608" width="8.85546875" style="1373"/>
    <col min="4609" max="4609" width="13.140625" style="1373" customWidth="1"/>
    <col min="4610" max="4610" width="39.42578125" style="1373" customWidth="1"/>
    <col min="4611" max="4611" width="15.85546875" style="1373" bestFit="1" customWidth="1"/>
    <col min="4612" max="4612" width="23.140625" style="1373" customWidth="1"/>
    <col min="4613" max="4613" width="18" style="1373" customWidth="1"/>
    <col min="4614" max="4614" width="48.28515625" style="1373" bestFit="1" customWidth="1"/>
    <col min="4615" max="4615" width="10" style="1373" bestFit="1" customWidth="1"/>
    <col min="4616" max="4616" width="13.85546875" style="1373" bestFit="1" customWidth="1"/>
    <col min="4617" max="4864" width="8.85546875" style="1373"/>
    <col min="4865" max="4865" width="13.140625" style="1373" customWidth="1"/>
    <col min="4866" max="4866" width="39.42578125" style="1373" customWidth="1"/>
    <col min="4867" max="4867" width="15.85546875" style="1373" bestFit="1" customWidth="1"/>
    <col min="4868" max="4868" width="23.140625" style="1373" customWidth="1"/>
    <col min="4869" max="4869" width="18" style="1373" customWidth="1"/>
    <col min="4870" max="4870" width="48.28515625" style="1373" bestFit="1" customWidth="1"/>
    <col min="4871" max="4871" width="10" style="1373" bestFit="1" customWidth="1"/>
    <col min="4872" max="4872" width="13.85546875" style="1373" bestFit="1" customWidth="1"/>
    <col min="4873" max="5120" width="8.85546875" style="1373"/>
    <col min="5121" max="5121" width="13.140625" style="1373" customWidth="1"/>
    <col min="5122" max="5122" width="39.42578125" style="1373" customWidth="1"/>
    <col min="5123" max="5123" width="15.85546875" style="1373" bestFit="1" customWidth="1"/>
    <col min="5124" max="5124" width="23.140625" style="1373" customWidth="1"/>
    <col min="5125" max="5125" width="18" style="1373" customWidth="1"/>
    <col min="5126" max="5126" width="48.28515625" style="1373" bestFit="1" customWidth="1"/>
    <col min="5127" max="5127" width="10" style="1373" bestFit="1" customWidth="1"/>
    <col min="5128" max="5128" width="13.85546875" style="1373" bestFit="1" customWidth="1"/>
    <col min="5129" max="5376" width="8.85546875" style="1373"/>
    <col min="5377" max="5377" width="13.140625" style="1373" customWidth="1"/>
    <col min="5378" max="5378" width="39.42578125" style="1373" customWidth="1"/>
    <col min="5379" max="5379" width="15.85546875" style="1373" bestFit="1" customWidth="1"/>
    <col min="5380" max="5380" width="23.140625" style="1373" customWidth="1"/>
    <col min="5381" max="5381" width="18" style="1373" customWidth="1"/>
    <col min="5382" max="5382" width="48.28515625" style="1373" bestFit="1" customWidth="1"/>
    <col min="5383" max="5383" width="10" style="1373" bestFit="1" customWidth="1"/>
    <col min="5384" max="5384" width="13.85546875" style="1373" bestFit="1" customWidth="1"/>
    <col min="5385" max="5632" width="8.85546875" style="1373"/>
    <col min="5633" max="5633" width="13.140625" style="1373" customWidth="1"/>
    <col min="5634" max="5634" width="39.42578125" style="1373" customWidth="1"/>
    <col min="5635" max="5635" width="15.85546875" style="1373" bestFit="1" customWidth="1"/>
    <col min="5636" max="5636" width="23.140625" style="1373" customWidth="1"/>
    <col min="5637" max="5637" width="18" style="1373" customWidth="1"/>
    <col min="5638" max="5638" width="48.28515625" style="1373" bestFit="1" customWidth="1"/>
    <col min="5639" max="5639" width="10" style="1373" bestFit="1" customWidth="1"/>
    <col min="5640" max="5640" width="13.85546875" style="1373" bestFit="1" customWidth="1"/>
    <col min="5641" max="5888" width="8.85546875" style="1373"/>
    <col min="5889" max="5889" width="13.140625" style="1373" customWidth="1"/>
    <col min="5890" max="5890" width="39.42578125" style="1373" customWidth="1"/>
    <col min="5891" max="5891" width="15.85546875" style="1373" bestFit="1" customWidth="1"/>
    <col min="5892" max="5892" width="23.140625" style="1373" customWidth="1"/>
    <col min="5893" max="5893" width="18" style="1373" customWidth="1"/>
    <col min="5894" max="5894" width="48.28515625" style="1373" bestFit="1" customWidth="1"/>
    <col min="5895" max="5895" width="10" style="1373" bestFit="1" customWidth="1"/>
    <col min="5896" max="5896" width="13.85546875" style="1373" bestFit="1" customWidth="1"/>
    <col min="5897" max="6144" width="8.85546875" style="1373"/>
    <col min="6145" max="6145" width="13.140625" style="1373" customWidth="1"/>
    <col min="6146" max="6146" width="39.42578125" style="1373" customWidth="1"/>
    <col min="6147" max="6147" width="15.85546875" style="1373" bestFit="1" customWidth="1"/>
    <col min="6148" max="6148" width="23.140625" style="1373" customWidth="1"/>
    <col min="6149" max="6149" width="18" style="1373" customWidth="1"/>
    <col min="6150" max="6150" width="48.28515625" style="1373" bestFit="1" customWidth="1"/>
    <col min="6151" max="6151" width="10" style="1373" bestFit="1" customWidth="1"/>
    <col min="6152" max="6152" width="13.85546875" style="1373" bestFit="1" customWidth="1"/>
    <col min="6153" max="6400" width="8.85546875" style="1373"/>
    <col min="6401" max="6401" width="13.140625" style="1373" customWidth="1"/>
    <col min="6402" max="6402" width="39.42578125" style="1373" customWidth="1"/>
    <col min="6403" max="6403" width="15.85546875" style="1373" bestFit="1" customWidth="1"/>
    <col min="6404" max="6404" width="23.140625" style="1373" customWidth="1"/>
    <col min="6405" max="6405" width="18" style="1373" customWidth="1"/>
    <col min="6406" max="6406" width="48.28515625" style="1373" bestFit="1" customWidth="1"/>
    <col min="6407" max="6407" width="10" style="1373" bestFit="1" customWidth="1"/>
    <col min="6408" max="6408" width="13.85546875" style="1373" bestFit="1" customWidth="1"/>
    <col min="6409" max="6656" width="8.85546875" style="1373"/>
    <col min="6657" max="6657" width="13.140625" style="1373" customWidth="1"/>
    <col min="6658" max="6658" width="39.42578125" style="1373" customWidth="1"/>
    <col min="6659" max="6659" width="15.85546875" style="1373" bestFit="1" customWidth="1"/>
    <col min="6660" max="6660" width="23.140625" style="1373" customWidth="1"/>
    <col min="6661" max="6661" width="18" style="1373" customWidth="1"/>
    <col min="6662" max="6662" width="48.28515625" style="1373" bestFit="1" customWidth="1"/>
    <col min="6663" max="6663" width="10" style="1373" bestFit="1" customWidth="1"/>
    <col min="6664" max="6664" width="13.85546875" style="1373" bestFit="1" customWidth="1"/>
    <col min="6665" max="6912" width="8.85546875" style="1373"/>
    <col min="6913" max="6913" width="13.140625" style="1373" customWidth="1"/>
    <col min="6914" max="6914" width="39.42578125" style="1373" customWidth="1"/>
    <col min="6915" max="6915" width="15.85546875" style="1373" bestFit="1" customWidth="1"/>
    <col min="6916" max="6916" width="23.140625" style="1373" customWidth="1"/>
    <col min="6917" max="6917" width="18" style="1373" customWidth="1"/>
    <col min="6918" max="6918" width="48.28515625" style="1373" bestFit="1" customWidth="1"/>
    <col min="6919" max="6919" width="10" style="1373" bestFit="1" customWidth="1"/>
    <col min="6920" max="6920" width="13.85546875" style="1373" bestFit="1" customWidth="1"/>
    <col min="6921" max="7168" width="8.85546875" style="1373"/>
    <col min="7169" max="7169" width="13.140625" style="1373" customWidth="1"/>
    <col min="7170" max="7170" width="39.42578125" style="1373" customWidth="1"/>
    <col min="7171" max="7171" width="15.85546875" style="1373" bestFit="1" customWidth="1"/>
    <col min="7172" max="7172" width="23.140625" style="1373" customWidth="1"/>
    <col min="7173" max="7173" width="18" style="1373" customWidth="1"/>
    <col min="7174" max="7174" width="48.28515625" style="1373" bestFit="1" customWidth="1"/>
    <col min="7175" max="7175" width="10" style="1373" bestFit="1" customWidth="1"/>
    <col min="7176" max="7176" width="13.85546875" style="1373" bestFit="1" customWidth="1"/>
    <col min="7177" max="7424" width="8.85546875" style="1373"/>
    <col min="7425" max="7425" width="13.140625" style="1373" customWidth="1"/>
    <col min="7426" max="7426" width="39.42578125" style="1373" customWidth="1"/>
    <col min="7427" max="7427" width="15.85546875" style="1373" bestFit="1" customWidth="1"/>
    <col min="7428" max="7428" width="23.140625" style="1373" customWidth="1"/>
    <col min="7429" max="7429" width="18" style="1373" customWidth="1"/>
    <col min="7430" max="7430" width="48.28515625" style="1373" bestFit="1" customWidth="1"/>
    <col min="7431" max="7431" width="10" style="1373" bestFit="1" customWidth="1"/>
    <col min="7432" max="7432" width="13.85546875" style="1373" bestFit="1" customWidth="1"/>
    <col min="7433" max="7680" width="8.85546875" style="1373"/>
    <col min="7681" max="7681" width="13.140625" style="1373" customWidth="1"/>
    <col min="7682" max="7682" width="39.42578125" style="1373" customWidth="1"/>
    <col min="7683" max="7683" width="15.85546875" style="1373" bestFit="1" customWidth="1"/>
    <col min="7684" max="7684" width="23.140625" style="1373" customWidth="1"/>
    <col min="7685" max="7685" width="18" style="1373" customWidth="1"/>
    <col min="7686" max="7686" width="48.28515625" style="1373" bestFit="1" customWidth="1"/>
    <col min="7687" max="7687" width="10" style="1373" bestFit="1" customWidth="1"/>
    <col min="7688" max="7688" width="13.85546875" style="1373" bestFit="1" customWidth="1"/>
    <col min="7689" max="7936" width="8.85546875" style="1373"/>
    <col min="7937" max="7937" width="13.140625" style="1373" customWidth="1"/>
    <col min="7938" max="7938" width="39.42578125" style="1373" customWidth="1"/>
    <col min="7939" max="7939" width="15.85546875" style="1373" bestFit="1" customWidth="1"/>
    <col min="7940" max="7940" width="23.140625" style="1373" customWidth="1"/>
    <col min="7941" max="7941" width="18" style="1373" customWidth="1"/>
    <col min="7942" max="7942" width="48.28515625" style="1373" bestFit="1" customWidth="1"/>
    <col min="7943" max="7943" width="10" style="1373" bestFit="1" customWidth="1"/>
    <col min="7944" max="7944" width="13.85546875" style="1373" bestFit="1" customWidth="1"/>
    <col min="7945" max="8192" width="8.85546875" style="1373"/>
    <col min="8193" max="8193" width="13.140625" style="1373" customWidth="1"/>
    <col min="8194" max="8194" width="39.42578125" style="1373" customWidth="1"/>
    <col min="8195" max="8195" width="15.85546875" style="1373" bestFit="1" customWidth="1"/>
    <col min="8196" max="8196" width="23.140625" style="1373" customWidth="1"/>
    <col min="8197" max="8197" width="18" style="1373" customWidth="1"/>
    <col min="8198" max="8198" width="48.28515625" style="1373" bestFit="1" customWidth="1"/>
    <col min="8199" max="8199" width="10" style="1373" bestFit="1" customWidth="1"/>
    <col min="8200" max="8200" width="13.85546875" style="1373" bestFit="1" customWidth="1"/>
    <col min="8201" max="8448" width="8.85546875" style="1373"/>
    <col min="8449" max="8449" width="13.140625" style="1373" customWidth="1"/>
    <col min="8450" max="8450" width="39.42578125" style="1373" customWidth="1"/>
    <col min="8451" max="8451" width="15.85546875" style="1373" bestFit="1" customWidth="1"/>
    <col min="8452" max="8452" width="23.140625" style="1373" customWidth="1"/>
    <col min="8453" max="8453" width="18" style="1373" customWidth="1"/>
    <col min="8454" max="8454" width="48.28515625" style="1373" bestFit="1" customWidth="1"/>
    <col min="8455" max="8455" width="10" style="1373" bestFit="1" customWidth="1"/>
    <col min="8456" max="8456" width="13.85546875" style="1373" bestFit="1" customWidth="1"/>
    <col min="8457" max="8704" width="8.85546875" style="1373"/>
    <col min="8705" max="8705" width="13.140625" style="1373" customWidth="1"/>
    <col min="8706" max="8706" width="39.42578125" style="1373" customWidth="1"/>
    <col min="8707" max="8707" width="15.85546875" style="1373" bestFit="1" customWidth="1"/>
    <col min="8708" max="8708" width="23.140625" style="1373" customWidth="1"/>
    <col min="8709" max="8709" width="18" style="1373" customWidth="1"/>
    <col min="8710" max="8710" width="48.28515625" style="1373" bestFit="1" customWidth="1"/>
    <col min="8711" max="8711" width="10" style="1373" bestFit="1" customWidth="1"/>
    <col min="8712" max="8712" width="13.85546875" style="1373" bestFit="1" customWidth="1"/>
    <col min="8713" max="8960" width="8.85546875" style="1373"/>
    <col min="8961" max="8961" width="13.140625" style="1373" customWidth="1"/>
    <col min="8962" max="8962" width="39.42578125" style="1373" customWidth="1"/>
    <col min="8963" max="8963" width="15.85546875" style="1373" bestFit="1" customWidth="1"/>
    <col min="8964" max="8964" width="23.140625" style="1373" customWidth="1"/>
    <col min="8965" max="8965" width="18" style="1373" customWidth="1"/>
    <col min="8966" max="8966" width="48.28515625" style="1373" bestFit="1" customWidth="1"/>
    <col min="8967" max="8967" width="10" style="1373" bestFit="1" customWidth="1"/>
    <col min="8968" max="8968" width="13.85546875" style="1373" bestFit="1" customWidth="1"/>
    <col min="8969" max="9216" width="8.85546875" style="1373"/>
    <col min="9217" max="9217" width="13.140625" style="1373" customWidth="1"/>
    <col min="9218" max="9218" width="39.42578125" style="1373" customWidth="1"/>
    <col min="9219" max="9219" width="15.85546875" style="1373" bestFit="1" customWidth="1"/>
    <col min="9220" max="9220" width="23.140625" style="1373" customWidth="1"/>
    <col min="9221" max="9221" width="18" style="1373" customWidth="1"/>
    <col min="9222" max="9222" width="48.28515625" style="1373" bestFit="1" customWidth="1"/>
    <col min="9223" max="9223" width="10" style="1373" bestFit="1" customWidth="1"/>
    <col min="9224" max="9224" width="13.85546875" style="1373" bestFit="1" customWidth="1"/>
    <col min="9225" max="9472" width="8.85546875" style="1373"/>
    <col min="9473" max="9473" width="13.140625" style="1373" customWidth="1"/>
    <col min="9474" max="9474" width="39.42578125" style="1373" customWidth="1"/>
    <col min="9475" max="9475" width="15.85546875" style="1373" bestFit="1" customWidth="1"/>
    <col min="9476" max="9476" width="23.140625" style="1373" customWidth="1"/>
    <col min="9477" max="9477" width="18" style="1373" customWidth="1"/>
    <col min="9478" max="9478" width="48.28515625" style="1373" bestFit="1" customWidth="1"/>
    <col min="9479" max="9479" width="10" style="1373" bestFit="1" customWidth="1"/>
    <col min="9480" max="9480" width="13.85546875" style="1373" bestFit="1" customWidth="1"/>
    <col min="9481" max="9728" width="8.85546875" style="1373"/>
    <col min="9729" max="9729" width="13.140625" style="1373" customWidth="1"/>
    <col min="9730" max="9730" width="39.42578125" style="1373" customWidth="1"/>
    <col min="9731" max="9731" width="15.85546875" style="1373" bestFit="1" customWidth="1"/>
    <col min="9732" max="9732" width="23.140625" style="1373" customWidth="1"/>
    <col min="9733" max="9733" width="18" style="1373" customWidth="1"/>
    <col min="9734" max="9734" width="48.28515625" style="1373" bestFit="1" customWidth="1"/>
    <col min="9735" max="9735" width="10" style="1373" bestFit="1" customWidth="1"/>
    <col min="9736" max="9736" width="13.85546875" style="1373" bestFit="1" customWidth="1"/>
    <col min="9737" max="9984" width="8.85546875" style="1373"/>
    <col min="9985" max="9985" width="13.140625" style="1373" customWidth="1"/>
    <col min="9986" max="9986" width="39.42578125" style="1373" customWidth="1"/>
    <col min="9987" max="9987" width="15.85546875" style="1373" bestFit="1" customWidth="1"/>
    <col min="9988" max="9988" width="23.140625" style="1373" customWidth="1"/>
    <col min="9989" max="9989" width="18" style="1373" customWidth="1"/>
    <col min="9990" max="9990" width="48.28515625" style="1373" bestFit="1" customWidth="1"/>
    <col min="9991" max="9991" width="10" style="1373" bestFit="1" customWidth="1"/>
    <col min="9992" max="9992" width="13.85546875" style="1373" bestFit="1" customWidth="1"/>
    <col min="9993" max="10240" width="8.85546875" style="1373"/>
    <col min="10241" max="10241" width="13.140625" style="1373" customWidth="1"/>
    <col min="10242" max="10242" width="39.42578125" style="1373" customWidth="1"/>
    <col min="10243" max="10243" width="15.85546875" style="1373" bestFit="1" customWidth="1"/>
    <col min="10244" max="10244" width="23.140625" style="1373" customWidth="1"/>
    <col min="10245" max="10245" width="18" style="1373" customWidth="1"/>
    <col min="10246" max="10246" width="48.28515625" style="1373" bestFit="1" customWidth="1"/>
    <col min="10247" max="10247" width="10" style="1373" bestFit="1" customWidth="1"/>
    <col min="10248" max="10248" width="13.85546875" style="1373" bestFit="1" customWidth="1"/>
    <col min="10249" max="10496" width="8.85546875" style="1373"/>
    <col min="10497" max="10497" width="13.140625" style="1373" customWidth="1"/>
    <col min="10498" max="10498" width="39.42578125" style="1373" customWidth="1"/>
    <col min="10499" max="10499" width="15.85546875" style="1373" bestFit="1" customWidth="1"/>
    <col min="10500" max="10500" width="23.140625" style="1373" customWidth="1"/>
    <col min="10501" max="10501" width="18" style="1373" customWidth="1"/>
    <col min="10502" max="10502" width="48.28515625" style="1373" bestFit="1" customWidth="1"/>
    <col min="10503" max="10503" width="10" style="1373" bestFit="1" customWidth="1"/>
    <col min="10504" max="10504" width="13.85546875" style="1373" bestFit="1" customWidth="1"/>
    <col min="10505" max="10752" width="8.85546875" style="1373"/>
    <col min="10753" max="10753" width="13.140625" style="1373" customWidth="1"/>
    <col min="10754" max="10754" width="39.42578125" style="1373" customWidth="1"/>
    <col min="10755" max="10755" width="15.85546875" style="1373" bestFit="1" customWidth="1"/>
    <col min="10756" max="10756" width="23.140625" style="1373" customWidth="1"/>
    <col min="10757" max="10757" width="18" style="1373" customWidth="1"/>
    <col min="10758" max="10758" width="48.28515625" style="1373" bestFit="1" customWidth="1"/>
    <col min="10759" max="10759" width="10" style="1373" bestFit="1" customWidth="1"/>
    <col min="10760" max="10760" width="13.85546875" style="1373" bestFit="1" customWidth="1"/>
    <col min="10761" max="11008" width="8.85546875" style="1373"/>
    <col min="11009" max="11009" width="13.140625" style="1373" customWidth="1"/>
    <col min="11010" max="11010" width="39.42578125" style="1373" customWidth="1"/>
    <col min="11011" max="11011" width="15.85546875" style="1373" bestFit="1" customWidth="1"/>
    <col min="11012" max="11012" width="23.140625" style="1373" customWidth="1"/>
    <col min="11013" max="11013" width="18" style="1373" customWidth="1"/>
    <col min="11014" max="11014" width="48.28515625" style="1373" bestFit="1" customWidth="1"/>
    <col min="11015" max="11015" width="10" style="1373" bestFit="1" customWidth="1"/>
    <col min="11016" max="11016" width="13.85546875" style="1373" bestFit="1" customWidth="1"/>
    <col min="11017" max="11264" width="8.85546875" style="1373"/>
    <col min="11265" max="11265" width="13.140625" style="1373" customWidth="1"/>
    <col min="11266" max="11266" width="39.42578125" style="1373" customWidth="1"/>
    <col min="11267" max="11267" width="15.85546875" style="1373" bestFit="1" customWidth="1"/>
    <col min="11268" max="11268" width="23.140625" style="1373" customWidth="1"/>
    <col min="11269" max="11269" width="18" style="1373" customWidth="1"/>
    <col min="11270" max="11270" width="48.28515625" style="1373" bestFit="1" customWidth="1"/>
    <col min="11271" max="11271" width="10" style="1373" bestFit="1" customWidth="1"/>
    <col min="11272" max="11272" width="13.85546875" style="1373" bestFit="1" customWidth="1"/>
    <col min="11273" max="11520" width="8.85546875" style="1373"/>
    <col min="11521" max="11521" width="13.140625" style="1373" customWidth="1"/>
    <col min="11522" max="11522" width="39.42578125" style="1373" customWidth="1"/>
    <col min="11523" max="11523" width="15.85546875" style="1373" bestFit="1" customWidth="1"/>
    <col min="11524" max="11524" width="23.140625" style="1373" customWidth="1"/>
    <col min="11525" max="11525" width="18" style="1373" customWidth="1"/>
    <col min="11526" max="11526" width="48.28515625" style="1373" bestFit="1" customWidth="1"/>
    <col min="11527" max="11527" width="10" style="1373" bestFit="1" customWidth="1"/>
    <col min="11528" max="11528" width="13.85546875" style="1373" bestFit="1" customWidth="1"/>
    <col min="11529" max="11776" width="8.85546875" style="1373"/>
    <col min="11777" max="11777" width="13.140625" style="1373" customWidth="1"/>
    <col min="11778" max="11778" width="39.42578125" style="1373" customWidth="1"/>
    <col min="11779" max="11779" width="15.85546875" style="1373" bestFit="1" customWidth="1"/>
    <col min="11780" max="11780" width="23.140625" style="1373" customWidth="1"/>
    <col min="11781" max="11781" width="18" style="1373" customWidth="1"/>
    <col min="11782" max="11782" width="48.28515625" style="1373" bestFit="1" customWidth="1"/>
    <col min="11783" max="11783" width="10" style="1373" bestFit="1" customWidth="1"/>
    <col min="11784" max="11784" width="13.85546875" style="1373" bestFit="1" customWidth="1"/>
    <col min="11785" max="12032" width="8.85546875" style="1373"/>
    <col min="12033" max="12033" width="13.140625" style="1373" customWidth="1"/>
    <col min="12034" max="12034" width="39.42578125" style="1373" customWidth="1"/>
    <col min="12035" max="12035" width="15.85546875" style="1373" bestFit="1" customWidth="1"/>
    <col min="12036" max="12036" width="23.140625" style="1373" customWidth="1"/>
    <col min="12037" max="12037" width="18" style="1373" customWidth="1"/>
    <col min="12038" max="12038" width="48.28515625" style="1373" bestFit="1" customWidth="1"/>
    <col min="12039" max="12039" width="10" style="1373" bestFit="1" customWidth="1"/>
    <col min="12040" max="12040" width="13.85546875" style="1373" bestFit="1" customWidth="1"/>
    <col min="12041" max="12288" width="8.85546875" style="1373"/>
    <col min="12289" max="12289" width="13.140625" style="1373" customWidth="1"/>
    <col min="12290" max="12290" width="39.42578125" style="1373" customWidth="1"/>
    <col min="12291" max="12291" width="15.85546875" style="1373" bestFit="1" customWidth="1"/>
    <col min="12292" max="12292" width="23.140625" style="1373" customWidth="1"/>
    <col min="12293" max="12293" width="18" style="1373" customWidth="1"/>
    <col min="12294" max="12294" width="48.28515625" style="1373" bestFit="1" customWidth="1"/>
    <col min="12295" max="12295" width="10" style="1373" bestFit="1" customWidth="1"/>
    <col min="12296" max="12296" width="13.85546875" style="1373" bestFit="1" customWidth="1"/>
    <col min="12297" max="12544" width="8.85546875" style="1373"/>
    <col min="12545" max="12545" width="13.140625" style="1373" customWidth="1"/>
    <col min="12546" max="12546" width="39.42578125" style="1373" customWidth="1"/>
    <col min="12547" max="12547" width="15.85546875" style="1373" bestFit="1" customWidth="1"/>
    <col min="12548" max="12548" width="23.140625" style="1373" customWidth="1"/>
    <col min="12549" max="12549" width="18" style="1373" customWidth="1"/>
    <col min="12550" max="12550" width="48.28515625" style="1373" bestFit="1" customWidth="1"/>
    <col min="12551" max="12551" width="10" style="1373" bestFit="1" customWidth="1"/>
    <col min="12552" max="12552" width="13.85546875" style="1373" bestFit="1" customWidth="1"/>
    <col min="12553" max="12800" width="8.85546875" style="1373"/>
    <col min="12801" max="12801" width="13.140625" style="1373" customWidth="1"/>
    <col min="12802" max="12802" width="39.42578125" style="1373" customWidth="1"/>
    <col min="12803" max="12803" width="15.85546875" style="1373" bestFit="1" customWidth="1"/>
    <col min="12804" max="12804" width="23.140625" style="1373" customWidth="1"/>
    <col min="12805" max="12805" width="18" style="1373" customWidth="1"/>
    <col min="12806" max="12806" width="48.28515625" style="1373" bestFit="1" customWidth="1"/>
    <col min="12807" max="12807" width="10" style="1373" bestFit="1" customWidth="1"/>
    <col min="12808" max="12808" width="13.85546875" style="1373" bestFit="1" customWidth="1"/>
    <col min="12809" max="13056" width="8.85546875" style="1373"/>
    <col min="13057" max="13057" width="13.140625" style="1373" customWidth="1"/>
    <col min="13058" max="13058" width="39.42578125" style="1373" customWidth="1"/>
    <col min="13059" max="13059" width="15.85546875" style="1373" bestFit="1" customWidth="1"/>
    <col min="13060" max="13060" width="23.140625" style="1373" customWidth="1"/>
    <col min="13061" max="13061" width="18" style="1373" customWidth="1"/>
    <col min="13062" max="13062" width="48.28515625" style="1373" bestFit="1" customWidth="1"/>
    <col min="13063" max="13063" width="10" style="1373" bestFit="1" customWidth="1"/>
    <col min="13064" max="13064" width="13.85546875" style="1373" bestFit="1" customWidth="1"/>
    <col min="13065" max="13312" width="8.85546875" style="1373"/>
    <col min="13313" max="13313" width="13.140625" style="1373" customWidth="1"/>
    <col min="13314" max="13314" width="39.42578125" style="1373" customWidth="1"/>
    <col min="13315" max="13315" width="15.85546875" style="1373" bestFit="1" customWidth="1"/>
    <col min="13316" max="13316" width="23.140625" style="1373" customWidth="1"/>
    <col min="13317" max="13317" width="18" style="1373" customWidth="1"/>
    <col min="13318" max="13318" width="48.28515625" style="1373" bestFit="1" customWidth="1"/>
    <col min="13319" max="13319" width="10" style="1373" bestFit="1" customWidth="1"/>
    <col min="13320" max="13320" width="13.85546875" style="1373" bestFit="1" customWidth="1"/>
    <col min="13321" max="13568" width="8.85546875" style="1373"/>
    <col min="13569" max="13569" width="13.140625" style="1373" customWidth="1"/>
    <col min="13570" max="13570" width="39.42578125" style="1373" customWidth="1"/>
    <col min="13571" max="13571" width="15.85546875" style="1373" bestFit="1" customWidth="1"/>
    <col min="13572" max="13572" width="23.140625" style="1373" customWidth="1"/>
    <col min="13573" max="13573" width="18" style="1373" customWidth="1"/>
    <col min="13574" max="13574" width="48.28515625" style="1373" bestFit="1" customWidth="1"/>
    <col min="13575" max="13575" width="10" style="1373" bestFit="1" customWidth="1"/>
    <col min="13576" max="13576" width="13.85546875" style="1373" bestFit="1" customWidth="1"/>
    <col min="13577" max="13824" width="8.85546875" style="1373"/>
    <col min="13825" max="13825" width="13.140625" style="1373" customWidth="1"/>
    <col min="13826" max="13826" width="39.42578125" style="1373" customWidth="1"/>
    <col min="13827" max="13827" width="15.85546875" style="1373" bestFit="1" customWidth="1"/>
    <col min="13828" max="13828" width="23.140625" style="1373" customWidth="1"/>
    <col min="13829" max="13829" width="18" style="1373" customWidth="1"/>
    <col min="13830" max="13830" width="48.28515625" style="1373" bestFit="1" customWidth="1"/>
    <col min="13831" max="13831" width="10" style="1373" bestFit="1" customWidth="1"/>
    <col min="13832" max="13832" width="13.85546875" style="1373" bestFit="1" customWidth="1"/>
    <col min="13833" max="14080" width="8.85546875" style="1373"/>
    <col min="14081" max="14081" width="13.140625" style="1373" customWidth="1"/>
    <col min="14082" max="14082" width="39.42578125" style="1373" customWidth="1"/>
    <col min="14083" max="14083" width="15.85546875" style="1373" bestFit="1" customWidth="1"/>
    <col min="14084" max="14084" width="23.140625" style="1373" customWidth="1"/>
    <col min="14085" max="14085" width="18" style="1373" customWidth="1"/>
    <col min="14086" max="14086" width="48.28515625" style="1373" bestFit="1" customWidth="1"/>
    <col min="14087" max="14087" width="10" style="1373" bestFit="1" customWidth="1"/>
    <col min="14088" max="14088" width="13.85546875" style="1373" bestFit="1" customWidth="1"/>
    <col min="14089" max="14336" width="8.85546875" style="1373"/>
    <col min="14337" max="14337" width="13.140625" style="1373" customWidth="1"/>
    <col min="14338" max="14338" width="39.42578125" style="1373" customWidth="1"/>
    <col min="14339" max="14339" width="15.85546875" style="1373" bestFit="1" customWidth="1"/>
    <col min="14340" max="14340" width="23.140625" style="1373" customWidth="1"/>
    <col min="14341" max="14341" width="18" style="1373" customWidth="1"/>
    <col min="14342" max="14342" width="48.28515625" style="1373" bestFit="1" customWidth="1"/>
    <col min="14343" max="14343" width="10" style="1373" bestFit="1" customWidth="1"/>
    <col min="14344" max="14344" width="13.85546875" style="1373" bestFit="1" customWidth="1"/>
    <col min="14345" max="14592" width="8.85546875" style="1373"/>
    <col min="14593" max="14593" width="13.140625" style="1373" customWidth="1"/>
    <col min="14594" max="14594" width="39.42578125" style="1373" customWidth="1"/>
    <col min="14595" max="14595" width="15.85546875" style="1373" bestFit="1" customWidth="1"/>
    <col min="14596" max="14596" width="23.140625" style="1373" customWidth="1"/>
    <col min="14597" max="14597" width="18" style="1373" customWidth="1"/>
    <col min="14598" max="14598" width="48.28515625" style="1373" bestFit="1" customWidth="1"/>
    <col min="14599" max="14599" width="10" style="1373" bestFit="1" customWidth="1"/>
    <col min="14600" max="14600" width="13.85546875" style="1373" bestFit="1" customWidth="1"/>
    <col min="14601" max="14848" width="8.85546875" style="1373"/>
    <col min="14849" max="14849" width="13.140625" style="1373" customWidth="1"/>
    <col min="14850" max="14850" width="39.42578125" style="1373" customWidth="1"/>
    <col min="14851" max="14851" width="15.85546875" style="1373" bestFit="1" customWidth="1"/>
    <col min="14852" max="14852" width="23.140625" style="1373" customWidth="1"/>
    <col min="14853" max="14853" width="18" style="1373" customWidth="1"/>
    <col min="14854" max="14854" width="48.28515625" style="1373" bestFit="1" customWidth="1"/>
    <col min="14855" max="14855" width="10" style="1373" bestFit="1" customWidth="1"/>
    <col min="14856" max="14856" width="13.85546875" style="1373" bestFit="1" customWidth="1"/>
    <col min="14857" max="15104" width="8.85546875" style="1373"/>
    <col min="15105" max="15105" width="13.140625" style="1373" customWidth="1"/>
    <col min="15106" max="15106" width="39.42578125" style="1373" customWidth="1"/>
    <col min="15107" max="15107" width="15.85546875" style="1373" bestFit="1" customWidth="1"/>
    <col min="15108" max="15108" width="23.140625" style="1373" customWidth="1"/>
    <col min="15109" max="15109" width="18" style="1373" customWidth="1"/>
    <col min="15110" max="15110" width="48.28515625" style="1373" bestFit="1" customWidth="1"/>
    <col min="15111" max="15111" width="10" style="1373" bestFit="1" customWidth="1"/>
    <col min="15112" max="15112" width="13.85546875" style="1373" bestFit="1" customWidth="1"/>
    <col min="15113" max="15360" width="8.85546875" style="1373"/>
    <col min="15361" max="15361" width="13.140625" style="1373" customWidth="1"/>
    <col min="15362" max="15362" width="39.42578125" style="1373" customWidth="1"/>
    <col min="15363" max="15363" width="15.85546875" style="1373" bestFit="1" customWidth="1"/>
    <col min="15364" max="15364" width="23.140625" style="1373" customWidth="1"/>
    <col min="15365" max="15365" width="18" style="1373" customWidth="1"/>
    <col min="15366" max="15366" width="48.28515625" style="1373" bestFit="1" customWidth="1"/>
    <col min="15367" max="15367" width="10" style="1373" bestFit="1" customWidth="1"/>
    <col min="15368" max="15368" width="13.85546875" style="1373" bestFit="1" customWidth="1"/>
    <col min="15369" max="15616" width="8.85546875" style="1373"/>
    <col min="15617" max="15617" width="13.140625" style="1373" customWidth="1"/>
    <col min="15618" max="15618" width="39.42578125" style="1373" customWidth="1"/>
    <col min="15619" max="15619" width="15.85546875" style="1373" bestFit="1" customWidth="1"/>
    <col min="15620" max="15620" width="23.140625" style="1373" customWidth="1"/>
    <col min="15621" max="15621" width="18" style="1373" customWidth="1"/>
    <col min="15622" max="15622" width="48.28515625" style="1373" bestFit="1" customWidth="1"/>
    <col min="15623" max="15623" width="10" style="1373" bestFit="1" customWidth="1"/>
    <col min="15624" max="15624" width="13.85546875" style="1373" bestFit="1" customWidth="1"/>
    <col min="15625" max="15872" width="8.85546875" style="1373"/>
    <col min="15873" max="15873" width="13.140625" style="1373" customWidth="1"/>
    <col min="15874" max="15874" width="39.42578125" style="1373" customWidth="1"/>
    <col min="15875" max="15875" width="15.85546875" style="1373" bestFit="1" customWidth="1"/>
    <col min="15876" max="15876" width="23.140625" style="1373" customWidth="1"/>
    <col min="15877" max="15877" width="18" style="1373" customWidth="1"/>
    <col min="15878" max="15878" width="48.28515625" style="1373" bestFit="1" customWidth="1"/>
    <col min="15879" max="15879" width="10" style="1373" bestFit="1" customWidth="1"/>
    <col min="15880" max="15880" width="13.85546875" style="1373" bestFit="1" customWidth="1"/>
    <col min="15881" max="16128" width="8.85546875" style="1373"/>
    <col min="16129" max="16129" width="13.140625" style="1373" customWidth="1"/>
    <col min="16130" max="16130" width="39.42578125" style="1373" customWidth="1"/>
    <col min="16131" max="16131" width="15.85546875" style="1373" bestFit="1" customWidth="1"/>
    <col min="16132" max="16132" width="23.140625" style="1373" customWidth="1"/>
    <col min="16133" max="16133" width="18" style="1373" customWidth="1"/>
    <col min="16134" max="16134" width="48.28515625" style="1373" bestFit="1" customWidth="1"/>
    <col min="16135" max="16135" width="10" style="1373" bestFit="1" customWidth="1"/>
    <col min="16136" max="16136" width="13.85546875" style="1373" bestFit="1" customWidth="1"/>
    <col min="16137" max="16384" width="8.85546875" style="1373"/>
  </cols>
  <sheetData>
    <row r="1" spans="1:7" s="1079" customFormat="1" ht="26.1" customHeight="1">
      <c r="A1" s="1794" t="str">
        <f>HYPERLINK("[.\]Menu!A1", "To Menu")</f>
        <v>To Menu</v>
      </c>
    </row>
    <row r="2" spans="1:7" s="1079" customFormat="1" ht="15" customHeight="1">
      <c r="A2" s="1794"/>
    </row>
    <row r="3" spans="1:7" s="1079" customFormat="1" ht="26.1" customHeight="1">
      <c r="A3" s="2069" t="str">
        <f>HYPERLINK("[.\]D2A!B2", "Back to discharge to assess")</f>
        <v>Back to discharge to assess</v>
      </c>
    </row>
    <row r="4" spans="1:7" ht="15">
      <c r="B4" s="1842" t="s">
        <v>1270</v>
      </c>
    </row>
    <row r="6" spans="1:7">
      <c r="B6" s="412" t="s">
        <v>1152</v>
      </c>
      <c r="C6" s="1824">
        <f>D2A!D29</f>
        <v>28</v>
      </c>
    </row>
    <row r="7" spans="1:7">
      <c r="B7" s="412" t="s">
        <v>1153</v>
      </c>
      <c r="C7" s="1824">
        <f>C6*365</f>
        <v>10220</v>
      </c>
    </row>
    <row r="8" spans="1:7">
      <c r="B8" s="412" t="s">
        <v>1154</v>
      </c>
      <c r="C8" s="1825">
        <f>D2A!E29</f>
        <v>0.6428571428571429</v>
      </c>
    </row>
    <row r="9" spans="1:7">
      <c r="B9" s="412" t="s">
        <v>1155</v>
      </c>
      <c r="C9" s="1824">
        <f>D2A!H29</f>
        <v>6570.0000000000009</v>
      </c>
    </row>
    <row r="11" spans="1:7" ht="28.5">
      <c r="B11" s="2576" t="s">
        <v>1145</v>
      </c>
      <c r="C11" s="2577"/>
      <c r="D11" s="1826" t="s">
        <v>1156</v>
      </c>
      <c r="E11" s="412" t="s">
        <v>1157</v>
      </c>
      <c r="G11" s="1823"/>
    </row>
    <row r="12" spans="1:7">
      <c r="A12" s="2578" t="s">
        <v>1158</v>
      </c>
      <c r="B12" s="2581" t="s">
        <v>1150</v>
      </c>
      <c r="C12" s="2582"/>
      <c r="D12" s="1827"/>
      <c r="E12" s="1828"/>
      <c r="G12" s="1823"/>
    </row>
    <row r="13" spans="1:7">
      <c r="A13" s="2579"/>
      <c r="B13" s="2583" t="s">
        <v>1159</v>
      </c>
      <c r="C13" s="2584"/>
      <c r="D13" s="1829">
        <v>1</v>
      </c>
      <c r="E13" s="1830">
        <v>50032</v>
      </c>
      <c r="G13" s="1823"/>
    </row>
    <row r="14" spans="1:7">
      <c r="A14" s="2579"/>
      <c r="B14" s="2583" t="s">
        <v>1160</v>
      </c>
      <c r="C14" s="2584"/>
      <c r="D14" s="1829">
        <v>1</v>
      </c>
      <c r="E14" s="1830">
        <f>36118*D14</f>
        <v>36118</v>
      </c>
      <c r="G14" s="1823"/>
    </row>
    <row r="15" spans="1:7">
      <c r="A15" s="2579"/>
      <c r="B15" s="2583" t="s">
        <v>1161</v>
      </c>
      <c r="C15" s="2584"/>
      <c r="D15" s="1829">
        <v>0.5</v>
      </c>
      <c r="E15" s="1830">
        <f>37369*D15</f>
        <v>18684.5</v>
      </c>
      <c r="G15" s="1823"/>
    </row>
    <row r="16" spans="1:7">
      <c r="A16" s="2579"/>
      <c r="B16" s="2583" t="s">
        <v>1162</v>
      </c>
      <c r="C16" s="2584"/>
      <c r="D16" s="1831">
        <f>'D2A Comm_Ward'!H27</f>
        <v>14.373333333333337</v>
      </c>
      <c r="E16" s="1832">
        <f>'D2A Comm_Ward'!J27</f>
        <v>514887.54885572515</v>
      </c>
      <c r="G16" s="1823"/>
    </row>
    <row r="17" spans="1:8">
      <c r="A17" s="2579"/>
      <c r="B17" s="2583" t="s">
        <v>1163</v>
      </c>
      <c r="C17" s="2584"/>
      <c r="D17" s="1831">
        <f>'D2A Comm_Ward'!H48</f>
        <v>22.997333333333334</v>
      </c>
      <c r="E17" s="1832">
        <f>'D2A Comm_Ward'!J48</f>
        <v>589240.40433756355</v>
      </c>
      <c r="G17" s="1823"/>
    </row>
    <row r="18" spans="1:8">
      <c r="A18" s="2579"/>
      <c r="B18" s="2585" t="s">
        <v>1164</v>
      </c>
      <c r="C18" s="2585"/>
      <c r="D18" s="1829">
        <v>4</v>
      </c>
      <c r="E18" s="1830">
        <f>2823*52</f>
        <v>146796</v>
      </c>
      <c r="G18" s="1823"/>
    </row>
    <row r="19" spans="1:8">
      <c r="A19" s="2579"/>
      <c r="B19" s="2585" t="s">
        <v>1165</v>
      </c>
      <c r="C19" s="2585"/>
      <c r="D19" s="1833"/>
      <c r="E19" s="1830">
        <f>2670*52</f>
        <v>138840</v>
      </c>
      <c r="G19" s="1823"/>
    </row>
    <row r="20" spans="1:8">
      <c r="A20" s="2580"/>
      <c r="B20" s="2581" t="s">
        <v>1166</v>
      </c>
      <c r="C20" s="2582"/>
      <c r="D20" s="1827"/>
      <c r="E20" s="1830">
        <v>3477</v>
      </c>
      <c r="G20" s="1823"/>
    </row>
    <row r="21" spans="1:8">
      <c r="B21" s="2572" t="s">
        <v>1167</v>
      </c>
      <c r="C21" s="2572"/>
      <c r="D21" s="1834"/>
      <c r="E21" s="1835">
        <f>SUM(E12:E20)</f>
        <v>1498075.4531932888</v>
      </c>
      <c r="G21" s="1823"/>
    </row>
    <row r="22" spans="1:8">
      <c r="D22" s="1822"/>
      <c r="G22" s="1823"/>
    </row>
    <row r="23" spans="1:8" ht="29.25" customHeight="1">
      <c r="A23" s="1061" t="s">
        <v>1168</v>
      </c>
      <c r="B23" s="2573" t="s">
        <v>1169</v>
      </c>
      <c r="C23" s="2574"/>
      <c r="D23" s="1833"/>
      <c r="E23" s="1832">
        <f>4.49*C9</f>
        <v>29499.300000000007</v>
      </c>
      <c r="G23" s="1823"/>
    </row>
    <row r="24" spans="1:8">
      <c r="D24" s="1822"/>
      <c r="G24" s="1823"/>
    </row>
    <row r="25" spans="1:8" ht="15">
      <c r="B25" s="2575" t="s">
        <v>1170</v>
      </c>
      <c r="C25" s="2575"/>
      <c r="D25" s="1836"/>
      <c r="E25" s="1837">
        <f>E21+E23</f>
        <v>1527574.7531932888</v>
      </c>
      <c r="G25" s="1823"/>
    </row>
    <row r="26" spans="1:8">
      <c r="D26" s="1822"/>
      <c r="G26" s="1823"/>
    </row>
    <row r="27" spans="1:8">
      <c r="D27" s="1822"/>
      <c r="G27" s="1823"/>
    </row>
    <row r="28" spans="1:8">
      <c r="B28" s="412" t="s">
        <v>1213</v>
      </c>
    </row>
    <row r="29" spans="1:8">
      <c r="B29" s="412" t="s">
        <v>1171</v>
      </c>
      <c r="C29" s="412" t="s">
        <v>1172</v>
      </c>
      <c r="D29" s="412" t="s">
        <v>1154</v>
      </c>
      <c r="E29" s="412" t="s">
        <v>1173</v>
      </c>
    </row>
    <row r="30" spans="1:8">
      <c r="B30" s="1061">
        <v>11</v>
      </c>
      <c r="C30" s="1838">
        <f t="shared" ref="C30:C41" si="0">IF((B30*365)&gt;$C$7,#N/A,(B30*365))</f>
        <v>4015</v>
      </c>
      <c r="D30" s="1839">
        <f t="shared" ref="D30:D41" si="1">IF(((C30/$C$7)&lt;1.0001),(C30/$C$7),#N/A)</f>
        <v>0.39285714285714285</v>
      </c>
      <c r="E30" s="1840">
        <f t="shared" ref="E30:E40" si="2">(($E$21)/C30)+(4.49)</f>
        <v>377.60966455623634</v>
      </c>
      <c r="G30" s="1841"/>
      <c r="H30" s="1841"/>
    </row>
    <row r="31" spans="1:8">
      <c r="B31" s="1061">
        <v>12</v>
      </c>
      <c r="C31" s="1838">
        <f t="shared" si="0"/>
        <v>4380</v>
      </c>
      <c r="D31" s="1839">
        <f t="shared" si="1"/>
        <v>0.42857142857142855</v>
      </c>
      <c r="E31" s="1840">
        <f t="shared" si="2"/>
        <v>346.51635917654994</v>
      </c>
      <c r="G31" s="1841"/>
      <c r="H31" s="1841"/>
    </row>
    <row r="32" spans="1:8">
      <c r="B32" s="1061">
        <v>13</v>
      </c>
      <c r="C32" s="1838">
        <f t="shared" si="0"/>
        <v>4745</v>
      </c>
      <c r="D32" s="1839">
        <f t="shared" si="1"/>
        <v>0.4642857142857143</v>
      </c>
      <c r="E32" s="1840">
        <f t="shared" si="2"/>
        <v>320.20663923989224</v>
      </c>
      <c r="G32" s="1841"/>
      <c r="H32" s="1841"/>
    </row>
    <row r="33" spans="2:8">
      <c r="B33" s="1061">
        <v>14</v>
      </c>
      <c r="C33" s="1838">
        <f t="shared" si="0"/>
        <v>5110</v>
      </c>
      <c r="D33" s="1839">
        <f t="shared" si="1"/>
        <v>0.5</v>
      </c>
      <c r="E33" s="1840">
        <f t="shared" si="2"/>
        <v>297.65545072275711</v>
      </c>
      <c r="G33" s="1841"/>
      <c r="H33" s="1841"/>
    </row>
    <row r="34" spans="2:8">
      <c r="B34" s="1061">
        <v>15</v>
      </c>
      <c r="C34" s="1838">
        <f t="shared" si="0"/>
        <v>5475</v>
      </c>
      <c r="D34" s="1839">
        <f t="shared" si="1"/>
        <v>0.5357142857142857</v>
      </c>
      <c r="E34" s="1840">
        <f t="shared" si="2"/>
        <v>278.11108734123997</v>
      </c>
      <c r="G34" s="1841"/>
      <c r="H34" s="1841"/>
    </row>
    <row r="35" spans="2:8">
      <c r="B35" s="1061">
        <v>16</v>
      </c>
      <c r="C35" s="1838">
        <f t="shared" si="0"/>
        <v>5840</v>
      </c>
      <c r="D35" s="1839">
        <f t="shared" si="1"/>
        <v>0.5714285714285714</v>
      </c>
      <c r="E35" s="1840">
        <f t="shared" si="2"/>
        <v>261.00976938241246</v>
      </c>
      <c r="G35" s="1841"/>
      <c r="H35" s="1841"/>
    </row>
    <row r="36" spans="2:8">
      <c r="B36" s="1061">
        <v>17</v>
      </c>
      <c r="C36" s="1838">
        <f t="shared" si="0"/>
        <v>6205</v>
      </c>
      <c r="D36" s="1839">
        <f t="shared" si="1"/>
        <v>0.6071428571428571</v>
      </c>
      <c r="E36" s="1840">
        <f t="shared" si="2"/>
        <v>245.92037118344703</v>
      </c>
      <c r="G36" s="1841"/>
      <c r="H36" s="1841"/>
    </row>
    <row r="37" spans="2:8">
      <c r="B37" s="1061">
        <v>18</v>
      </c>
      <c r="C37" s="1838">
        <f t="shared" si="0"/>
        <v>6570</v>
      </c>
      <c r="D37" s="1839">
        <f t="shared" si="1"/>
        <v>0.6428571428571429</v>
      </c>
      <c r="E37" s="1840">
        <f t="shared" si="2"/>
        <v>232.50757278436663</v>
      </c>
      <c r="G37" s="1841"/>
      <c r="H37" s="1841"/>
    </row>
    <row r="38" spans="2:8">
      <c r="B38" s="1061">
        <v>19</v>
      </c>
      <c r="C38" s="1838">
        <f t="shared" si="0"/>
        <v>6935</v>
      </c>
      <c r="D38" s="1839">
        <f t="shared" si="1"/>
        <v>0.6785714285714286</v>
      </c>
      <c r="E38" s="1840">
        <f t="shared" si="2"/>
        <v>220.50664790097892</v>
      </c>
      <c r="G38" s="1841"/>
      <c r="H38" s="1841"/>
    </row>
    <row r="39" spans="2:8">
      <c r="B39" s="1061">
        <v>20</v>
      </c>
      <c r="C39" s="1838">
        <f t="shared" si="0"/>
        <v>7300</v>
      </c>
      <c r="D39" s="1839">
        <f t="shared" si="1"/>
        <v>0.7142857142857143</v>
      </c>
      <c r="E39" s="1840">
        <f t="shared" si="2"/>
        <v>209.70581550592999</v>
      </c>
      <c r="G39" s="1841"/>
      <c r="H39" s="1841"/>
    </row>
    <row r="40" spans="2:8">
      <c r="B40" s="1061">
        <v>21</v>
      </c>
      <c r="C40" s="1838">
        <f t="shared" si="0"/>
        <v>7665</v>
      </c>
      <c r="D40" s="1839">
        <f t="shared" si="1"/>
        <v>0.75</v>
      </c>
      <c r="E40" s="1840">
        <f t="shared" si="2"/>
        <v>199.93363381517142</v>
      </c>
      <c r="G40" s="1841"/>
      <c r="H40" s="1841"/>
    </row>
    <row r="41" spans="2:8">
      <c r="B41" s="1061">
        <v>22</v>
      </c>
      <c r="C41" s="1838">
        <f t="shared" si="0"/>
        <v>8030</v>
      </c>
      <c r="D41" s="1839">
        <f t="shared" si="1"/>
        <v>0.7857142857142857</v>
      </c>
      <c r="E41" s="1840">
        <f>(($E$21)/C41)+(4.49)</f>
        <v>191.04983227811817</v>
      </c>
      <c r="G41" s="1841"/>
      <c r="H41" s="1841"/>
    </row>
    <row r="42" spans="2:8">
      <c r="B42" s="1061">
        <v>23</v>
      </c>
      <c r="C42" s="1838">
        <f>IF((B42*365)&gt;$C$7,#N/A,(B42*365))</f>
        <v>8395</v>
      </c>
      <c r="D42" s="1839">
        <f>IF(((C42/$C$7)&lt;1.0001),(C42/$C$7),#N/A)</f>
        <v>0.8214285714285714</v>
      </c>
      <c r="E42" s="1840">
        <f t="shared" ref="E42:E59" si="3">(($E$13+$E$14+$E$15+$E$16+$E$17+$E$18+$E$19+$E$20)/C42)+(4.49)</f>
        <v>182.93853522254781</v>
      </c>
    </row>
    <row r="43" spans="2:8">
      <c r="B43" s="1061">
        <v>24</v>
      </c>
      <c r="C43" s="1838">
        <f t="shared" ref="C43:C59" si="4">IF((B43*365)&gt;$C$7,#N/A,(B43*365))</f>
        <v>8760</v>
      </c>
      <c r="D43" s="1839">
        <f t="shared" ref="D43:D59" si="5">IF(((C43/$C$7)&lt;1.0001),(C43/$C$7),#N/A)</f>
        <v>0.8571428571428571</v>
      </c>
      <c r="E43" s="1840">
        <f t="shared" si="3"/>
        <v>175.50317958827497</v>
      </c>
    </row>
    <row r="44" spans="2:8">
      <c r="B44" s="1061">
        <v>25</v>
      </c>
      <c r="C44" s="1838">
        <f t="shared" si="4"/>
        <v>9125</v>
      </c>
      <c r="D44" s="1839">
        <f t="shared" si="5"/>
        <v>0.8928571428571429</v>
      </c>
      <c r="E44" s="1840">
        <f t="shared" si="3"/>
        <v>168.66265240474399</v>
      </c>
    </row>
    <row r="45" spans="2:8">
      <c r="B45" s="1061">
        <v>26</v>
      </c>
      <c r="C45" s="1838">
        <f t="shared" si="4"/>
        <v>9490</v>
      </c>
      <c r="D45" s="1839">
        <f t="shared" si="5"/>
        <v>0.9285714285714286</v>
      </c>
      <c r="E45" s="1840">
        <f t="shared" si="3"/>
        <v>162.34831961994612</v>
      </c>
    </row>
    <row r="46" spans="2:8">
      <c r="B46" s="1061">
        <v>27</v>
      </c>
      <c r="C46" s="1838">
        <f t="shared" si="4"/>
        <v>9855</v>
      </c>
      <c r="D46" s="1839">
        <f t="shared" si="5"/>
        <v>0.9642857142857143</v>
      </c>
      <c r="E46" s="1840">
        <f t="shared" si="3"/>
        <v>156.50171518957777</v>
      </c>
    </row>
    <row r="47" spans="2:8">
      <c r="B47" s="1061">
        <v>28</v>
      </c>
      <c r="C47" s="1838">
        <f t="shared" si="4"/>
        <v>10220</v>
      </c>
      <c r="D47" s="1839">
        <f t="shared" si="5"/>
        <v>1</v>
      </c>
      <c r="E47" s="1840">
        <f t="shared" si="3"/>
        <v>151.07272536137856</v>
      </c>
    </row>
    <row r="48" spans="2:8">
      <c r="B48" s="1061">
        <v>29</v>
      </c>
      <c r="C48" s="1838" t="e">
        <f t="shared" si="4"/>
        <v>#N/A</v>
      </c>
      <c r="D48" s="1839" t="e">
        <f t="shared" si="5"/>
        <v>#N/A</v>
      </c>
      <c r="E48" s="1840" t="e">
        <f t="shared" si="3"/>
        <v>#N/A</v>
      </c>
    </row>
    <row r="49" spans="2:5">
      <c r="B49" s="1061">
        <v>30</v>
      </c>
      <c r="C49" s="1838" t="e">
        <f t="shared" si="4"/>
        <v>#N/A</v>
      </c>
      <c r="D49" s="1839" t="e">
        <f t="shared" si="5"/>
        <v>#N/A</v>
      </c>
      <c r="E49" s="1840" t="e">
        <f t="shared" si="3"/>
        <v>#N/A</v>
      </c>
    </row>
    <row r="50" spans="2:5">
      <c r="B50" s="1061">
        <v>31</v>
      </c>
      <c r="C50" s="1838" t="e">
        <f t="shared" si="4"/>
        <v>#N/A</v>
      </c>
      <c r="D50" s="1839" t="e">
        <f t="shared" si="5"/>
        <v>#N/A</v>
      </c>
      <c r="E50" s="1840" t="e">
        <f t="shared" si="3"/>
        <v>#N/A</v>
      </c>
    </row>
    <row r="51" spans="2:5">
      <c r="B51" s="1061">
        <v>32</v>
      </c>
      <c r="C51" s="1838" t="e">
        <f t="shared" si="4"/>
        <v>#N/A</v>
      </c>
      <c r="D51" s="1839" t="e">
        <f t="shared" si="5"/>
        <v>#N/A</v>
      </c>
      <c r="E51" s="1840" t="e">
        <f t="shared" si="3"/>
        <v>#N/A</v>
      </c>
    </row>
    <row r="52" spans="2:5">
      <c r="B52" s="1061">
        <v>33</v>
      </c>
      <c r="C52" s="1838" t="e">
        <f t="shared" si="4"/>
        <v>#N/A</v>
      </c>
      <c r="D52" s="1839" t="e">
        <f t="shared" si="5"/>
        <v>#N/A</v>
      </c>
      <c r="E52" s="1840" t="e">
        <f t="shared" si="3"/>
        <v>#N/A</v>
      </c>
    </row>
    <row r="53" spans="2:5">
      <c r="B53" s="1061">
        <v>34</v>
      </c>
      <c r="C53" s="1838" t="e">
        <f t="shared" si="4"/>
        <v>#N/A</v>
      </c>
      <c r="D53" s="1839" t="e">
        <f t="shared" si="5"/>
        <v>#N/A</v>
      </c>
      <c r="E53" s="1840" t="e">
        <f t="shared" si="3"/>
        <v>#N/A</v>
      </c>
    </row>
    <row r="54" spans="2:5">
      <c r="B54" s="1061">
        <v>35</v>
      </c>
      <c r="C54" s="1838" t="e">
        <f t="shared" si="4"/>
        <v>#N/A</v>
      </c>
      <c r="D54" s="1839" t="e">
        <f t="shared" si="5"/>
        <v>#N/A</v>
      </c>
      <c r="E54" s="1840" t="e">
        <f t="shared" si="3"/>
        <v>#N/A</v>
      </c>
    </row>
    <row r="55" spans="2:5">
      <c r="B55" s="1061">
        <v>36</v>
      </c>
      <c r="C55" s="1838" t="e">
        <f t="shared" si="4"/>
        <v>#N/A</v>
      </c>
      <c r="D55" s="1839" t="e">
        <f t="shared" si="5"/>
        <v>#N/A</v>
      </c>
      <c r="E55" s="1840" t="e">
        <f t="shared" si="3"/>
        <v>#N/A</v>
      </c>
    </row>
    <row r="56" spans="2:5">
      <c r="B56" s="1061">
        <v>37</v>
      </c>
      <c r="C56" s="1838" t="e">
        <f t="shared" si="4"/>
        <v>#N/A</v>
      </c>
      <c r="D56" s="1839" t="e">
        <f t="shared" si="5"/>
        <v>#N/A</v>
      </c>
      <c r="E56" s="1840" t="e">
        <f t="shared" si="3"/>
        <v>#N/A</v>
      </c>
    </row>
    <row r="57" spans="2:5">
      <c r="B57" s="1061">
        <v>38</v>
      </c>
      <c r="C57" s="1838" t="e">
        <f t="shared" si="4"/>
        <v>#N/A</v>
      </c>
      <c r="D57" s="1839" t="e">
        <f t="shared" si="5"/>
        <v>#N/A</v>
      </c>
      <c r="E57" s="1840" t="e">
        <f t="shared" si="3"/>
        <v>#N/A</v>
      </c>
    </row>
    <row r="58" spans="2:5">
      <c r="B58" s="1061">
        <v>39</v>
      </c>
      <c r="C58" s="1838" t="e">
        <f t="shared" si="4"/>
        <v>#N/A</v>
      </c>
      <c r="D58" s="1839" t="e">
        <f t="shared" si="5"/>
        <v>#N/A</v>
      </c>
      <c r="E58" s="1840" t="e">
        <f t="shared" si="3"/>
        <v>#N/A</v>
      </c>
    </row>
    <row r="59" spans="2:5">
      <c r="B59" s="1061">
        <v>40</v>
      </c>
      <c r="C59" s="1838" t="e">
        <f t="shared" si="4"/>
        <v>#N/A</v>
      </c>
      <c r="D59" s="1839" t="e">
        <f t="shared" si="5"/>
        <v>#N/A</v>
      </c>
      <c r="E59" s="1840" t="e">
        <f t="shared" si="3"/>
        <v>#N/A</v>
      </c>
    </row>
  </sheetData>
  <mergeCells count="14">
    <mergeCell ref="B21:C21"/>
    <mergeCell ref="B23:C23"/>
    <mergeCell ref="B25:C25"/>
    <mergeCell ref="B11:C11"/>
    <mergeCell ref="A12:A20"/>
    <mergeCell ref="B12:C12"/>
    <mergeCell ref="B13:C13"/>
    <mergeCell ref="B14:C14"/>
    <mergeCell ref="B15:C15"/>
    <mergeCell ref="B16:C16"/>
    <mergeCell ref="B17:C17"/>
    <mergeCell ref="B18:C18"/>
    <mergeCell ref="B19:C19"/>
    <mergeCell ref="B20:C20"/>
  </mergeCells>
  <pageMargins left="0.7" right="0.7" top="0.75" bottom="0.75" header="0.3" footer="0.3"/>
  <pageSetup paperSize="8" orientation="landscape"/>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H17"/>
  <sheetViews>
    <sheetView showGridLines="0" zoomScale="75" zoomScaleNormal="75" zoomScaleSheetLayoutView="100" zoomScalePageLayoutView="75" workbookViewId="0"/>
  </sheetViews>
  <sheetFormatPr defaultColWidth="8.7109375" defaultRowHeight="14.25"/>
  <cols>
    <col min="1" max="1" width="23.7109375" style="38" customWidth="1"/>
    <col min="2" max="2" width="15.42578125" style="38" bestFit="1" customWidth="1"/>
    <col min="3" max="3" width="8.7109375" style="38"/>
    <col min="4" max="4" width="8.85546875" style="38" bestFit="1" customWidth="1"/>
    <col min="5" max="5" width="24.140625" style="38" customWidth="1"/>
    <col min="6" max="6" width="17.28515625" style="38" bestFit="1" customWidth="1"/>
    <col min="7" max="16384" width="8.7109375" style="38"/>
  </cols>
  <sheetData>
    <row r="1" spans="1:8" s="1079" customFormat="1" ht="26.1" customHeight="1">
      <c r="A1" s="1794" t="str">
        <f>HYPERLINK("[.\]Menu!A1", "To Menu")</f>
        <v>To Menu</v>
      </c>
    </row>
    <row r="2" spans="1:8" s="1079" customFormat="1" ht="15" customHeight="1">
      <c r="A2" s="1719"/>
    </row>
    <row r="3" spans="1:8" ht="26.1" customHeight="1">
      <c r="A3" s="1794" t="str">
        <f>HYPERLINK("[.\]Dis_Pl!B2", "Back to discharge planning")</f>
        <v>Back to discharge planning</v>
      </c>
    </row>
    <row r="4" spans="1:8" ht="18" customHeight="1">
      <c r="A4" s="1490" t="s">
        <v>341</v>
      </c>
      <c r="B4" s="1491">
        <v>10000</v>
      </c>
    </row>
    <row r="6" spans="1:8">
      <c r="A6" s="2586" t="s">
        <v>968</v>
      </c>
      <c r="B6" s="2587"/>
    </row>
    <row r="7" spans="1:8">
      <c r="A7" s="2588"/>
      <c r="B7" s="2589"/>
    </row>
    <row r="8" spans="1:8">
      <c r="A8" s="2588"/>
      <c r="B8" s="2589"/>
    </row>
    <row r="9" spans="1:8">
      <c r="A9" s="2588"/>
      <c r="B9" s="2589"/>
    </row>
    <row r="10" spans="1:8">
      <c r="A10" s="2588"/>
      <c r="B10" s="2589"/>
    </row>
    <row r="11" spans="1:8">
      <c r="A11" s="2590"/>
      <c r="B11" s="2591"/>
    </row>
    <row r="12" spans="1:8" s="70" customFormat="1" ht="67.5" customHeight="1">
      <c r="A12" s="38"/>
      <c r="B12" s="38"/>
      <c r="C12" s="38"/>
      <c r="D12" s="38"/>
      <c r="E12" s="38"/>
      <c r="F12" s="38"/>
      <c r="G12" s="38"/>
      <c r="H12" s="38"/>
    </row>
    <row r="17" ht="32.1" customHeight="1"/>
  </sheetData>
  <mergeCells count="1">
    <mergeCell ref="A6:B1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A1:C30"/>
  <sheetViews>
    <sheetView showGridLines="0" zoomScale="75" zoomScaleNormal="75" zoomScalePageLayoutView="75" workbookViewId="0">
      <selection activeCell="B3" sqref="B3"/>
    </sheetView>
  </sheetViews>
  <sheetFormatPr defaultColWidth="8.85546875" defaultRowHeight="14.25"/>
  <cols>
    <col min="1" max="1" width="3.42578125" style="285" customWidth="1"/>
    <col min="2" max="2" width="60.42578125" style="285" bestFit="1" customWidth="1"/>
    <col min="3" max="3" width="9.42578125" style="413" customWidth="1"/>
    <col min="4" max="4" width="8.140625" style="285" customWidth="1"/>
    <col min="5" max="5" width="12" style="285" customWidth="1"/>
    <col min="6" max="6" width="13.7109375" style="285" customWidth="1"/>
    <col min="7" max="7" width="12.42578125" style="285" customWidth="1"/>
    <col min="8" max="16384" width="8.85546875" style="285"/>
  </cols>
  <sheetData>
    <row r="1" spans="1:3" s="1079" customFormat="1" ht="26.1" customHeight="1">
      <c r="A1" s="1794" t="str">
        <f>HYPERLINK("[.\]Menu!A1", "To Menu")</f>
        <v>To Menu</v>
      </c>
    </row>
    <row r="2" spans="1:3" s="1079" customFormat="1" ht="15" customHeight="1">
      <c r="A2" s="1719"/>
    </row>
    <row r="3" spans="1:3" ht="26.1" customHeight="1">
      <c r="A3" s="1794" t="str">
        <f>HYPERLINK("[.\]Falls!B2", "Back to falls response training")</f>
        <v>Back to falls response training</v>
      </c>
    </row>
    <row r="4" spans="1:3">
      <c r="B4" s="412" t="s">
        <v>276</v>
      </c>
      <c r="C4" s="905"/>
    </row>
    <row r="5" spans="1:3" ht="15">
      <c r="B5" s="414" t="s">
        <v>907</v>
      </c>
      <c r="C5" s="906">
        <f>Falls!D15</f>
        <v>713</v>
      </c>
    </row>
    <row r="6" spans="1:3" ht="15">
      <c r="B6" s="414" t="s">
        <v>908</v>
      </c>
      <c r="C6" s="906">
        <v>6000</v>
      </c>
    </row>
    <row r="7" spans="1:3" ht="15">
      <c r="B7" s="414" t="s">
        <v>909</v>
      </c>
      <c r="C7" s="906">
        <v>10.810810810810811</v>
      </c>
    </row>
    <row r="8" spans="1:3" ht="15">
      <c r="B8" s="414" t="s">
        <v>910</v>
      </c>
      <c r="C8" s="906">
        <v>2</v>
      </c>
    </row>
    <row r="9" spans="1:3" ht="15">
      <c r="B9" s="414" t="s">
        <v>911</v>
      </c>
      <c r="C9" s="906">
        <v>3</v>
      </c>
    </row>
    <row r="10" spans="1:3" ht="15">
      <c r="B10" s="414" t="s">
        <v>912</v>
      </c>
      <c r="C10" s="907">
        <v>0.1</v>
      </c>
    </row>
    <row r="11" spans="1:3">
      <c r="C11" s="905"/>
    </row>
    <row r="12" spans="1:3">
      <c r="B12" s="412" t="s">
        <v>913</v>
      </c>
      <c r="C12" s="905"/>
    </row>
    <row r="13" spans="1:3" ht="15">
      <c r="B13" s="414" t="s">
        <v>907</v>
      </c>
      <c r="C13" s="906">
        <f>C6</f>
        <v>6000</v>
      </c>
    </row>
    <row r="14" spans="1:3" ht="15">
      <c r="B14" s="414" t="s">
        <v>914</v>
      </c>
      <c r="C14" s="908">
        <f>C13/C7</f>
        <v>555</v>
      </c>
    </row>
    <row r="15" spans="1:3" ht="15">
      <c r="B15" s="414" t="s">
        <v>915</v>
      </c>
      <c r="C15" s="908">
        <f>C14*C8</f>
        <v>1110</v>
      </c>
    </row>
    <row r="16" spans="1:3" ht="15">
      <c r="B16" s="414" t="s">
        <v>916</v>
      </c>
      <c r="C16" s="908">
        <v>254</v>
      </c>
    </row>
    <row r="17" spans="2:3" ht="15">
      <c r="B17" s="414" t="s">
        <v>917</v>
      </c>
      <c r="C17" s="909">
        <f>C15/C16</f>
        <v>4.3700787401574805</v>
      </c>
    </row>
    <row r="18" spans="2:3" ht="15">
      <c r="B18" s="1061" t="s">
        <v>991</v>
      </c>
      <c r="C18" s="907">
        <v>0.21</v>
      </c>
    </row>
    <row r="19" spans="2:3" ht="15">
      <c r="B19" s="414" t="s">
        <v>918</v>
      </c>
      <c r="C19" s="909">
        <f>C17*(1+C18)</f>
        <v>5.2877952755905513</v>
      </c>
    </row>
    <row r="20" spans="2:3">
      <c r="C20" s="905"/>
    </row>
    <row r="21" spans="2:3">
      <c r="B21" s="412" t="s">
        <v>919</v>
      </c>
      <c r="C21" s="905"/>
    </row>
    <row r="22" spans="2:3" ht="15">
      <c r="B22" s="414" t="s">
        <v>920</v>
      </c>
      <c r="C22" s="906">
        <f>C6/C9</f>
        <v>2000</v>
      </c>
    </row>
    <row r="23" spans="2:3" ht="15">
      <c r="B23" s="414" t="s">
        <v>921</v>
      </c>
      <c r="C23" s="906">
        <f>C6*C10</f>
        <v>600</v>
      </c>
    </row>
    <row r="24" spans="2:3" ht="15">
      <c r="B24" s="414" t="s">
        <v>922</v>
      </c>
      <c r="C24" s="908">
        <f>C22+C23</f>
        <v>2600</v>
      </c>
    </row>
    <row r="25" spans="2:3" ht="15">
      <c r="B25" s="414" t="s">
        <v>923</v>
      </c>
      <c r="C25" s="908">
        <f>C24/C7</f>
        <v>240.5</v>
      </c>
    </row>
    <row r="26" spans="2:3" ht="15">
      <c r="B26" s="414" t="s">
        <v>915</v>
      </c>
      <c r="C26" s="908">
        <f>C25*C8</f>
        <v>481</v>
      </c>
    </row>
    <row r="27" spans="2:3" ht="15">
      <c r="B27" s="414" t="s">
        <v>916</v>
      </c>
      <c r="C27" s="908">
        <v>254</v>
      </c>
    </row>
    <row r="28" spans="2:3" ht="15">
      <c r="B28" s="414" t="s">
        <v>917</v>
      </c>
      <c r="C28" s="909">
        <f>C26/C27</f>
        <v>1.8937007874015748</v>
      </c>
    </row>
    <row r="29" spans="2:3" ht="15">
      <c r="B29" s="1061" t="s">
        <v>991</v>
      </c>
      <c r="C29" s="907">
        <v>0.21</v>
      </c>
    </row>
    <row r="30" spans="2:3" ht="15">
      <c r="B30" s="414" t="s">
        <v>918</v>
      </c>
      <c r="C30" s="909">
        <f>C28*(1+C29)</f>
        <v>2.2913779527559055</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1:G18"/>
  <sheetViews>
    <sheetView showGridLines="0" zoomScale="75" zoomScaleNormal="75" zoomScalePageLayoutView="75" workbookViewId="0">
      <selection activeCell="A3" sqref="A3"/>
    </sheetView>
  </sheetViews>
  <sheetFormatPr defaultColWidth="8.85546875" defaultRowHeight="14.25"/>
  <cols>
    <col min="1" max="1" width="3.42578125" style="42" customWidth="1"/>
    <col min="2" max="2" width="45" style="42" bestFit="1" customWidth="1"/>
    <col min="3" max="3" width="15.7109375" style="248" customWidth="1"/>
    <col min="4" max="6" width="15.7109375" style="42" customWidth="1"/>
    <col min="7" max="7" width="15.140625" style="42" bestFit="1" customWidth="1"/>
    <col min="8" max="16384" width="8.85546875" style="42"/>
  </cols>
  <sheetData>
    <row r="1" spans="1:7" s="1079" customFormat="1" ht="26.1" customHeight="1">
      <c r="A1" s="1794" t="str">
        <f>HYPERLINK("[.\]Menu!A1", "To Menu")</f>
        <v>To Menu</v>
      </c>
    </row>
    <row r="2" spans="1:7" ht="15" customHeight="1">
      <c r="A2" s="903"/>
      <c r="B2" s="903"/>
      <c r="C2" s="39"/>
      <c r="D2" s="39"/>
      <c r="E2" s="39"/>
      <c r="F2" s="39"/>
      <c r="G2" s="39"/>
    </row>
    <row r="3" spans="1:7" ht="26.1" customHeight="1">
      <c r="A3" s="1794" t="str">
        <f>HYPERLINK("[.\]CHE!B2", "Back to care home educators")</f>
        <v>Back to care home educators</v>
      </c>
      <c r="B3" s="1723"/>
      <c r="C3" s="39"/>
      <c r="D3" s="39"/>
      <c r="E3" s="39"/>
      <c r="F3" s="39"/>
      <c r="G3" s="39"/>
    </row>
    <row r="4" spans="1:7" ht="15">
      <c r="A4" s="39"/>
      <c r="B4" s="212" t="s">
        <v>219</v>
      </c>
      <c r="C4" s="251"/>
      <c r="D4" s="39"/>
      <c r="E4" s="39"/>
      <c r="F4" s="39"/>
      <c r="G4" s="39"/>
    </row>
    <row r="5" spans="1:7">
      <c r="A5" s="39"/>
      <c r="B5" s="39" t="s">
        <v>736</v>
      </c>
      <c r="C5" s="251"/>
      <c r="D5" s="39"/>
      <c r="E5" s="39"/>
      <c r="F5" s="39"/>
      <c r="G5" s="39"/>
    </row>
    <row r="6" spans="1:7">
      <c r="A6" s="39"/>
      <c r="B6" s="39" t="s">
        <v>735</v>
      </c>
      <c r="C6" s="251"/>
      <c r="D6" s="39"/>
      <c r="E6" s="39"/>
      <c r="F6" s="39"/>
      <c r="G6" s="39"/>
    </row>
    <row r="7" spans="1:7">
      <c r="A7" s="39"/>
      <c r="B7" s="39"/>
      <c r="C7" s="251"/>
      <c r="D7" s="39"/>
      <c r="E7" s="39"/>
      <c r="F7" s="39"/>
      <c r="G7" s="39"/>
    </row>
    <row r="8" spans="1:7">
      <c r="A8" s="39"/>
      <c r="B8" s="39" t="s">
        <v>734</v>
      </c>
      <c r="C8" s="251"/>
      <c r="D8" s="39"/>
      <c r="E8" s="39"/>
      <c r="F8" s="39"/>
      <c r="G8" s="39"/>
    </row>
    <row r="9" spans="1:7" ht="46.5">
      <c r="A9" s="39"/>
      <c r="B9" s="522" t="s">
        <v>733</v>
      </c>
      <c r="C9" s="522" t="s">
        <v>732</v>
      </c>
      <c r="D9" s="521" t="s">
        <v>115</v>
      </c>
      <c r="E9" s="521" t="s">
        <v>731</v>
      </c>
      <c r="F9" s="893" t="s">
        <v>730</v>
      </c>
      <c r="G9" s="39" t="s">
        <v>729</v>
      </c>
    </row>
    <row r="10" spans="1:7" ht="15.75">
      <c r="A10" s="39"/>
      <c r="B10" s="902" t="s">
        <v>728</v>
      </c>
      <c r="C10" s="896"/>
      <c r="D10" s="897"/>
      <c r="E10" s="898"/>
      <c r="F10" s="437"/>
      <c r="G10" s="39"/>
    </row>
    <row r="11" spans="1:7" ht="15">
      <c r="A11" s="39"/>
      <c r="B11" s="899" t="s">
        <v>727</v>
      </c>
      <c r="C11" s="901" t="s">
        <v>1</v>
      </c>
      <c r="D11" s="900">
        <v>1</v>
      </c>
      <c r="E11" s="898" t="s">
        <v>708</v>
      </c>
      <c r="F11" s="1002">
        <v>65.393000000000001</v>
      </c>
      <c r="G11" s="904"/>
    </row>
    <row r="12" spans="1:7" ht="15">
      <c r="A12" s="39"/>
      <c r="B12" s="899" t="s">
        <v>726</v>
      </c>
      <c r="C12" s="901">
        <v>7</v>
      </c>
      <c r="D12" s="900">
        <v>1</v>
      </c>
      <c r="E12" s="898" t="s">
        <v>708</v>
      </c>
      <c r="F12" s="1002">
        <v>43.929000000000002</v>
      </c>
      <c r="G12" s="39"/>
    </row>
    <row r="13" spans="1:7" ht="15">
      <c r="A13" s="39"/>
      <c r="B13" s="899" t="s">
        <v>725</v>
      </c>
      <c r="C13" s="901">
        <v>6</v>
      </c>
      <c r="D13" s="900">
        <v>3</v>
      </c>
      <c r="E13" s="898" t="s">
        <v>708</v>
      </c>
      <c r="F13" s="1062">
        <f>36.654*D13</f>
        <v>109.96200000000002</v>
      </c>
      <c r="G13" s="39"/>
    </row>
    <row r="14" spans="1:7" ht="15">
      <c r="A14" s="39"/>
      <c r="B14" s="899" t="s">
        <v>724</v>
      </c>
      <c r="C14" s="901">
        <v>4</v>
      </c>
      <c r="D14" s="900">
        <v>0.4</v>
      </c>
      <c r="E14" s="898" t="s">
        <v>708</v>
      </c>
      <c r="F14" s="1062">
        <f>25.165*D14</f>
        <v>10.066000000000001</v>
      </c>
      <c r="G14" s="39"/>
    </row>
    <row r="15" spans="1:7" ht="15">
      <c r="A15" s="39"/>
      <c r="B15" s="899" t="s">
        <v>723</v>
      </c>
      <c r="C15" s="901"/>
      <c r="D15" s="900"/>
      <c r="E15" s="898" t="s">
        <v>708</v>
      </c>
      <c r="F15" s="1062">
        <v>42</v>
      </c>
      <c r="G15" s="39"/>
    </row>
    <row r="16" spans="1:7" ht="15">
      <c r="A16" s="39"/>
      <c r="B16" s="899" t="s">
        <v>722</v>
      </c>
      <c r="C16" s="896"/>
      <c r="D16" s="900"/>
      <c r="E16" s="898" t="s">
        <v>708</v>
      </c>
      <c r="F16" s="1062">
        <v>8</v>
      </c>
      <c r="G16" s="39"/>
    </row>
    <row r="17" spans="1:7" ht="15.75">
      <c r="A17" s="39"/>
      <c r="B17" s="522" t="s">
        <v>721</v>
      </c>
      <c r="C17" s="522"/>
      <c r="D17" s="894">
        <f>SUM(D10:D16)</f>
        <v>5.4</v>
      </c>
      <c r="E17" s="895"/>
      <c r="F17" s="1063">
        <f>SUM(F10:F16)</f>
        <v>279.35000000000002</v>
      </c>
      <c r="G17" s="39"/>
    </row>
    <row r="18" spans="1:7">
      <c r="A18" s="39"/>
      <c r="G18" s="39"/>
    </row>
  </sheetData>
  <pageMargins left="0.7" right="0.7" top="0.75" bottom="0.75" header="0.3" footer="0.3"/>
  <pageSetup paperSize="9" scale="6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F15"/>
  <sheetViews>
    <sheetView showGridLines="0" zoomScale="75" zoomScaleNormal="75" zoomScaleSheetLayoutView="130" zoomScalePageLayoutView="75" workbookViewId="0">
      <selection activeCell="A2" sqref="A2"/>
    </sheetView>
  </sheetViews>
  <sheetFormatPr defaultColWidth="8.85546875" defaultRowHeight="14.25"/>
  <cols>
    <col min="1" max="1" width="3.42578125" style="285" customWidth="1"/>
    <col min="2" max="2" width="45" style="285" bestFit="1" customWidth="1"/>
    <col min="3" max="3" width="41.140625" style="415" customWidth="1"/>
    <col min="4" max="4" width="8.140625" style="285" customWidth="1"/>
    <col min="5" max="5" width="12.85546875" style="285" bestFit="1" customWidth="1"/>
    <col min="6" max="6" width="13.7109375" style="285" customWidth="1"/>
    <col min="7" max="16384" width="8.85546875" style="285"/>
  </cols>
  <sheetData>
    <row r="1" spans="1:6" s="1079" customFormat="1" ht="26.1" customHeight="1">
      <c r="A1" s="1794" t="str">
        <f>HYPERLINK("[.\]Menu!A1", "To Menu")</f>
        <v>To Menu</v>
      </c>
    </row>
    <row r="2" spans="1:6" s="1079" customFormat="1" ht="15" customHeight="1">
      <c r="A2" s="1719"/>
    </row>
    <row r="3" spans="1:6" ht="26.1" customHeight="1">
      <c r="A3" s="1794" t="str">
        <f>HYPERLINK("[.\]EWS_in_CH!B2", "Back to early warning score in care homes")</f>
        <v>Back to early warning score in care homes</v>
      </c>
    </row>
    <row r="4" spans="1:6" ht="18">
      <c r="B4" s="2596" t="s">
        <v>749</v>
      </c>
      <c r="C4" s="2596"/>
      <c r="D4" s="2596"/>
      <c r="E4" s="2596"/>
      <c r="F4" s="2596"/>
    </row>
    <row r="5" spans="1:6" ht="15.75">
      <c r="B5" s="2595" t="s">
        <v>748</v>
      </c>
      <c r="C5" s="2595"/>
      <c r="D5" s="2595"/>
      <c r="E5" s="2595"/>
      <c r="F5" s="2595"/>
    </row>
    <row r="6" spans="1:6">
      <c r="B6" s="2594" t="s">
        <v>747</v>
      </c>
      <c r="C6" s="2594"/>
      <c r="D6" s="2594"/>
      <c r="E6" s="2594"/>
      <c r="F6" s="2594"/>
    </row>
    <row r="7" spans="1:6" ht="30">
      <c r="B7" s="759" t="s">
        <v>746</v>
      </c>
      <c r="C7" s="760" t="s">
        <v>745</v>
      </c>
      <c r="D7" s="761" t="s">
        <v>744</v>
      </c>
      <c r="E7" s="761" t="s">
        <v>743</v>
      </c>
      <c r="F7" s="761" t="s">
        <v>742</v>
      </c>
    </row>
    <row r="8" spans="1:6">
      <c r="B8" s="889" t="s">
        <v>741</v>
      </c>
      <c r="C8" s="890"/>
      <c r="D8" s="891"/>
      <c r="E8" s="891"/>
      <c r="F8" s="892"/>
    </row>
    <row r="9" spans="1:6" ht="28.5">
      <c r="B9" s="418" t="s">
        <v>740</v>
      </c>
      <c r="C9" s="416" t="s">
        <v>739</v>
      </c>
      <c r="D9" s="887">
        <v>40</v>
      </c>
      <c r="E9" s="1064">
        <v>576</v>
      </c>
      <c r="F9" s="1064">
        <f>E9*D9</f>
        <v>23040</v>
      </c>
    </row>
    <row r="10" spans="1:6" ht="28.5">
      <c r="B10" s="418" t="s">
        <v>738</v>
      </c>
      <c r="C10" s="416" t="s">
        <v>737</v>
      </c>
      <c r="D10" s="888">
        <v>1</v>
      </c>
      <c r="E10" s="1065">
        <v>55431.72</v>
      </c>
      <c r="F10" s="1064">
        <f>E10*D10</f>
        <v>55431.72</v>
      </c>
    </row>
    <row r="11" spans="1:6">
      <c r="B11" s="418"/>
      <c r="C11" s="416"/>
      <c r="D11" s="888"/>
      <c r="E11" s="1065"/>
      <c r="F11" s="1064">
        <f>E11*D11</f>
        <v>0</v>
      </c>
    </row>
    <row r="12" spans="1:6">
      <c r="B12" s="418"/>
      <c r="C12" s="416"/>
      <c r="D12" s="888"/>
      <c r="E12" s="1065"/>
      <c r="F12" s="1064">
        <f>E12*D12</f>
        <v>0</v>
      </c>
    </row>
    <row r="13" spans="1:6">
      <c r="B13" s="418"/>
      <c r="C13" s="416"/>
      <c r="D13" s="888"/>
      <c r="E13" s="1065"/>
      <c r="F13" s="1064">
        <f>E13*D13</f>
        <v>0</v>
      </c>
    </row>
    <row r="14" spans="1:6" ht="15.75" thickBot="1">
      <c r="B14" s="2592" t="s">
        <v>967</v>
      </c>
      <c r="C14" s="2592"/>
      <c r="D14" s="2592"/>
      <c r="E14" s="2593"/>
      <c r="F14" s="1066">
        <f>SUM(F9:F13)</f>
        <v>78471.72</v>
      </c>
    </row>
    <row r="15" spans="1:6" ht="15" thickTop="1">
      <c r="B15" s="203"/>
      <c r="C15" s="868"/>
      <c r="D15" s="203"/>
      <c r="E15" s="203"/>
      <c r="F15" s="203"/>
    </row>
  </sheetData>
  <mergeCells count="4">
    <mergeCell ref="B14:E14"/>
    <mergeCell ref="B6:F6"/>
    <mergeCell ref="B5:F5"/>
    <mergeCell ref="B4:F4"/>
  </mergeCells>
  <pageMargins left="0.7" right="0.7" top="0.75" bottom="0.75" header="0.3" footer="0.3"/>
  <pageSetup paperSize="9" scale="70"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BW112"/>
  <sheetViews>
    <sheetView showGridLines="0" zoomScale="70" zoomScaleNormal="70" zoomScaleSheetLayoutView="130" zoomScalePageLayoutView="75" workbookViewId="0">
      <pane ySplit="1" topLeftCell="A2" activePane="bottomLeft" state="frozen"/>
      <selection sqref="A1:XFD1"/>
      <selection pane="bottomLeft" activeCell="I10" sqref="I10"/>
    </sheetView>
  </sheetViews>
  <sheetFormatPr defaultColWidth="8.85546875" defaultRowHeight="14.25"/>
  <cols>
    <col min="1" max="2" width="20.7109375" style="38" customWidth="1"/>
    <col min="3" max="3" width="51.28515625" style="38" customWidth="1"/>
    <col min="4" max="4" width="20.7109375" style="38" customWidth="1"/>
    <col min="5" max="5" width="45.7109375" style="38" customWidth="1"/>
    <col min="6" max="6" width="20.7109375" style="38" customWidth="1"/>
    <col min="7" max="7" width="45.7109375" style="38" customWidth="1"/>
    <col min="8" max="10" width="20.7109375" style="38" customWidth="1"/>
    <col min="11" max="13" width="8.7109375" style="38" hidden="1" customWidth="1"/>
    <col min="14" max="16384" width="8.85546875" style="38"/>
  </cols>
  <sheetData>
    <row r="1" spans="1:75" s="1078" customFormat="1" ht="15">
      <c r="A1" s="2012" t="str">
        <f>HYPERLINK("[.\]Menu!A1", "To Menu")</f>
        <v>To Menu</v>
      </c>
      <c r="B1" s="2013"/>
      <c r="C1" s="2013" t="str">
        <f>HYPERLINK("[.\]control_sheet_and_graphs!A1", "To Control sheet and graphical results")</f>
        <v>To Control sheet and graphical results</v>
      </c>
      <c r="D1" s="2014"/>
      <c r="E1" s="2013" t="str">
        <f>HYPERLINK("[.\]projections!A1", "To Results projected over 5 years")</f>
        <v>To Results projected over 5 years</v>
      </c>
      <c r="F1" s="1551"/>
      <c r="I1" s="532"/>
      <c r="O1" s="532"/>
      <c r="Q1" s="532"/>
      <c r="R1" s="532"/>
      <c r="S1" s="532"/>
      <c r="T1" s="532"/>
      <c r="V1" s="532"/>
      <c r="W1" s="532"/>
      <c r="X1" s="532"/>
      <c r="Y1" s="532"/>
      <c r="AA1" s="532"/>
      <c r="AB1" s="532"/>
      <c r="AC1" s="532"/>
      <c r="AD1" s="532"/>
      <c r="AF1" s="532"/>
      <c r="AG1" s="532"/>
      <c r="AH1" s="532"/>
      <c r="AI1" s="532"/>
      <c r="AK1" s="532"/>
      <c r="AL1" s="532"/>
      <c r="AM1" s="532"/>
      <c r="AN1" s="532"/>
      <c r="AP1" s="532"/>
      <c r="AQ1" s="532"/>
      <c r="AR1" s="532"/>
      <c r="AS1" s="532"/>
      <c r="AU1" s="532"/>
      <c r="AV1" s="532"/>
      <c r="AW1" s="532"/>
      <c r="AX1" s="532"/>
      <c r="AZ1" s="532"/>
      <c r="BA1" s="532"/>
      <c r="BB1" s="532"/>
      <c r="BC1" s="532"/>
      <c r="BE1" s="532"/>
      <c r="BF1" s="532"/>
      <c r="BG1" s="532"/>
      <c r="BH1" s="532"/>
      <c r="BJ1" s="532"/>
      <c r="BK1" s="532"/>
      <c r="BL1" s="532"/>
      <c r="BM1" s="532"/>
      <c r="BO1" s="532"/>
      <c r="BP1" s="532"/>
      <c r="BQ1" s="532"/>
      <c r="BR1" s="532"/>
      <c r="BT1" s="532"/>
      <c r="BU1" s="532"/>
      <c r="BV1" s="532"/>
      <c r="BW1" s="532"/>
    </row>
    <row r="2" spans="1:75">
      <c r="B2" s="35"/>
      <c r="C2" s="35"/>
      <c r="D2" s="35"/>
      <c r="E2" s="35"/>
      <c r="F2" s="35"/>
      <c r="G2" s="35"/>
      <c r="H2" s="35"/>
    </row>
    <row r="3" spans="1:75" ht="45" customHeight="1">
      <c r="C3" s="433" t="s">
        <v>62</v>
      </c>
      <c r="D3" s="433" t="s">
        <v>959</v>
      </c>
      <c r="E3" s="433" t="s">
        <v>62</v>
      </c>
      <c r="F3" s="433" t="s">
        <v>959</v>
      </c>
      <c r="G3" s="433" t="s">
        <v>62</v>
      </c>
      <c r="H3" s="433" t="s">
        <v>959</v>
      </c>
    </row>
    <row r="4" spans="1:75" ht="30" customHeight="1">
      <c r="B4" s="429"/>
      <c r="C4" s="1918" t="str">
        <f>Menu!B17</f>
        <v>Decreasing Ambulance conveyances: Hear and Treat</v>
      </c>
      <c r="D4" s="1920">
        <v>1</v>
      </c>
      <c r="E4" s="1919" t="str">
        <f>Menu!B25</f>
        <v>GP extended hours</v>
      </c>
      <c r="F4" s="1920">
        <v>1</v>
      </c>
      <c r="G4" s="2194" t="str">
        <f>Menu!B33</f>
        <v>Discharge to Assess</v>
      </c>
      <c r="H4" s="1920">
        <v>1</v>
      </c>
    </row>
    <row r="5" spans="1:75" ht="30" customHeight="1">
      <c r="B5" s="429"/>
      <c r="C5" s="1918" t="str">
        <f>Menu!B18</f>
        <v>Decreasing Ambulance conveyances: See and Treat</v>
      </c>
      <c r="D5" s="1920">
        <v>1</v>
      </c>
      <c r="E5" s="1919" t="str">
        <f>Menu!B26</f>
        <v>Community pharmacy: PGD minor ailments service</v>
      </c>
      <c r="F5" s="1920">
        <v>1</v>
      </c>
      <c r="G5" s="2021" t="str">
        <f>Menu!B34</f>
        <v>Discharge Planning</v>
      </c>
      <c r="H5" s="1920">
        <v>1</v>
      </c>
    </row>
    <row r="6" spans="1:75" ht="30" customHeight="1">
      <c r="B6" s="429"/>
      <c r="C6" s="1918" t="str">
        <f>Menu!B19</f>
        <v>Integrated clinical hubs - Increasing Clinical advisor consultations</v>
      </c>
      <c r="D6" s="1920">
        <v>1</v>
      </c>
      <c r="E6" s="1919" t="str">
        <f>Menu!B27</f>
        <v>Community pharmacy: Emergency medication supply</v>
      </c>
      <c r="F6" s="1920">
        <v>1</v>
      </c>
      <c r="G6" s="2021" t="str">
        <f>Menu!B35</f>
        <v>Rapid Response Services</v>
      </c>
      <c r="H6" s="1920">
        <v>1</v>
      </c>
    </row>
    <row r="7" spans="1:75" ht="30" customHeight="1">
      <c r="B7" s="429"/>
      <c r="C7" s="1918" t="str">
        <f>Menu!B20</f>
        <v>Integrated clinical hubs - Integration of 111 and OOH hubs</v>
      </c>
      <c r="D7" s="1920">
        <v>1</v>
      </c>
      <c r="E7" s="1919" t="str">
        <f>Menu!B28</f>
        <v xml:space="preserve">Summary care record: Use for IP drug reconciliation </v>
      </c>
      <c r="F7" s="1920">
        <v>1</v>
      </c>
      <c r="G7" s="2021" t="str">
        <f>Menu!B36</f>
        <v>Care homes: Falls response training</v>
      </c>
      <c r="H7" s="1920">
        <v>1</v>
      </c>
    </row>
    <row r="8" spans="1:75" ht="30" customHeight="1">
      <c r="B8" s="429"/>
      <c r="C8" s="1918" t="str">
        <f>Menu!B21</f>
        <v>Ambulatory Emergency Care</v>
      </c>
      <c r="D8" s="1920">
        <v>1</v>
      </c>
      <c r="E8" s="1919" t="str">
        <f>Menu!B29</f>
        <v>Summary care record: Use in  ED</v>
      </c>
      <c r="F8" s="1920">
        <v>1</v>
      </c>
      <c r="G8" s="2021" t="str">
        <f>Menu!B37</f>
        <v>Care Home educators</v>
      </c>
      <c r="H8" s="1920">
        <v>1</v>
      </c>
    </row>
    <row r="9" spans="1:75" ht="30" customHeight="1">
      <c r="B9" s="429"/>
      <c r="C9" s="1918" t="str">
        <f>Menu!B22</f>
        <v>Personalised care planning</v>
      </c>
      <c r="D9" s="1920">
        <v>1</v>
      </c>
      <c r="E9" s="1919" t="str">
        <f>Menu!B30</f>
        <v>Improved Referral processes - In Ambulance Service</v>
      </c>
      <c r="F9" s="1920">
        <v>1</v>
      </c>
      <c r="G9" s="1919" t="str">
        <f>Menu!B38</f>
        <v>Early Warning Score in Care homes</v>
      </c>
      <c r="H9" s="1920">
        <v>1</v>
      </c>
    </row>
    <row r="10" spans="1:75" ht="30" customHeight="1">
      <c r="B10" s="429"/>
      <c r="C10" s="1918" t="str">
        <f>Menu!B23</f>
        <v>Co-location of UCC</v>
      </c>
      <c r="D10" s="1920">
        <v>1</v>
      </c>
      <c r="E10" s="1919" t="str">
        <f>Menu!B31</f>
        <v>Improved Referral processes - In ED</v>
      </c>
      <c r="F10" s="1920">
        <v>1</v>
      </c>
      <c r="G10" s="1917"/>
      <c r="H10" s="1921"/>
    </row>
    <row r="11" spans="1:75" ht="30" customHeight="1">
      <c r="B11" s="429"/>
      <c r="C11" s="2246" t="str">
        <f>Menu!B24</f>
        <v>Enhanced urgent care standards</v>
      </c>
      <c r="D11" s="2247">
        <v>0</v>
      </c>
      <c r="E11" s="1919" t="str">
        <f>Menu!B32</f>
        <v>Improved Referral processes - In Care Homes</v>
      </c>
      <c r="F11" s="1920">
        <v>1</v>
      </c>
      <c r="G11" s="1546"/>
      <c r="H11" s="1921"/>
    </row>
    <row r="12" spans="1:75">
      <c r="B12" s="429"/>
      <c r="C12" s="1013"/>
      <c r="D12" s="429"/>
      <c r="E12" s="1014"/>
      <c r="F12" s="429"/>
      <c r="G12" s="1014"/>
      <c r="H12" s="429"/>
    </row>
    <row r="33" spans="7:16" ht="303" customHeight="1"/>
    <row r="38" spans="7:16" ht="15" thickBot="1">
      <c r="P38" s="57" t="str">
        <f>CONCATENATE("Counterfactual Activity Growth above Baseline with Net Impact of Interventions. Channel:",G40)</f>
        <v>Counterfactual Activity Growth above Baseline with Net Impact of Interventions. Channel:OOH home visits</v>
      </c>
    </row>
    <row r="39" spans="7:16" ht="30" customHeight="1">
      <c r="G39" s="2266" t="s">
        <v>627</v>
      </c>
      <c r="H39" s="2267"/>
    </row>
    <row r="40" spans="7:16" ht="30" customHeight="1" thickBot="1">
      <c r="G40" s="2268" t="s">
        <v>45</v>
      </c>
      <c r="H40" s="2269"/>
    </row>
    <row r="103" spans="2:2" ht="302.45" customHeight="1"/>
    <row r="112" spans="2:2">
      <c r="B112" s="38" t="s">
        <v>622</v>
      </c>
    </row>
  </sheetData>
  <mergeCells count="2">
    <mergeCell ref="G39:H39"/>
    <mergeCell ref="G40:H40"/>
  </mergeCells>
  <dataValidations count="1">
    <dataValidation type="list" showInputMessage="1" showErrorMessage="1" sqref="G40">
      <formula1>channels</formula1>
    </dataValidation>
  </dataValidations>
  <hyperlinks>
    <hyperlink ref="C4" location="hear_and_treat!B1" display="hear_and_treat!B1"/>
    <hyperlink ref="E4" location="GP_Hours!B1" display="GP_Hours!B1"/>
    <hyperlink ref="G4" location="D2A!B1" display="D2A!B1"/>
    <hyperlink ref="C5" location="see_and_treat!B1" display="see_and_treat!B1"/>
    <hyperlink ref="C6" location="Clinical_advisor_consultations!B1" display="Clinical_advisor_consultations!B1"/>
    <hyperlink ref="C7" location="Integration_of_hubs!B1" display="Integration_of_hubs!B1"/>
    <hyperlink ref="C8" location="AEC!B1" display="AEC!B1"/>
    <hyperlink ref="C9" location="Care_planning!B1" display="Care_planning!B1"/>
    <hyperlink ref="C10" location="Colocate_UCC!B1" display="Colocate_UCC!B1"/>
    <hyperlink ref="C11" location="Enhanced_UCS!B1" display="Enhanced_UCS!B1"/>
    <hyperlink ref="E5" location="PGD_Minor_ailments!B1" display="PGD_Minor_ailments!B1"/>
    <hyperlink ref="E6" location="Emergency_medication_supply!B1" display="Emergency_medication_supply!B1"/>
    <hyperlink ref="E7" location="IP_drug_reconciliation!B1" display="IP_drug_reconciliation!B1"/>
    <hyperlink ref="E8" location="SCR_in_ED!B1" display="SCR_in_ED!B1"/>
    <hyperlink ref="E9" location="IR_in_AS!B1" display="IR_in_AS!B1"/>
    <hyperlink ref="E10" location="IR_in_ED!B1" display="IR_in_ED!B1"/>
    <hyperlink ref="E11" location="IR_in_CH!B1" display="IR_in_CH!B1"/>
    <hyperlink ref="G5" location="Dis_Pl!B1" display="Dis_Pl!B1"/>
    <hyperlink ref="G6" location="Rapid_Response!B1" display="Rapid_Response!B1"/>
    <hyperlink ref="G7" location="Falls!B1" display="Falls!B1"/>
    <hyperlink ref="G8" location="CHE!B1" display="CHE!B1"/>
    <hyperlink ref="G9" location="EWS_in_CH!B1" display="EWS_in_CH!B1"/>
  </hyperlinks>
  <pageMargins left="0.7" right="0.7" top="0.75" bottom="0.75" header="0.3" footer="0.3"/>
  <pageSetup paperSize="9" scale="20" orientation="portrait"/>
  <rowBreaks count="2" manualBreakCount="2">
    <brk id="66" max="9" man="1"/>
    <brk id="119" max="9" man="1"/>
  </rowBreaks>
  <drawing r:id="rId1"/>
  <legacyDrawing r:id="rId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sheetPr>
  <dimension ref="A1:D8"/>
  <sheetViews>
    <sheetView showGridLines="0" workbookViewId="0">
      <selection activeCell="A2" sqref="A2:D3"/>
    </sheetView>
  </sheetViews>
  <sheetFormatPr defaultColWidth="8.85546875" defaultRowHeight="14.25"/>
  <cols>
    <col min="1" max="1" width="21.140625" style="38" customWidth="1"/>
    <col min="2" max="2" width="70.7109375" style="38" customWidth="1"/>
    <col min="3" max="3" width="41.42578125" style="38" customWidth="1"/>
    <col min="4" max="4" width="32.42578125" style="38" customWidth="1"/>
    <col min="5" max="16384" width="8.85546875" style="38"/>
  </cols>
  <sheetData>
    <row r="1" spans="1:4" ht="26.1" customHeight="1">
      <c r="A1" s="1843" t="str">
        <f>HYPERLINK("[.\]Menu!A1", "Back to Menu")</f>
        <v>Back to Menu</v>
      </c>
      <c r="B1" s="1843" t="str">
        <f>HYPERLINK("[.\]hear_and_treat!B2", "Back to hear and treat")</f>
        <v>Back to hear and treat</v>
      </c>
      <c r="C1" s="1843" t="str">
        <f>HYPERLINK("[.\]see_and_treat!B2", "Back to see and treat")</f>
        <v>Back to see and treat</v>
      </c>
    </row>
    <row r="2" spans="1:4" ht="183" customHeight="1">
      <c r="A2" s="2598" t="s">
        <v>672</v>
      </c>
      <c r="B2" s="2599"/>
      <c r="C2" s="2599"/>
      <c r="D2" s="2600"/>
    </row>
    <row r="3" spans="1:4" ht="33.75" customHeight="1">
      <c r="A3" s="2601"/>
      <c r="B3" s="2602"/>
      <c r="C3" s="2602"/>
      <c r="D3" s="2603"/>
    </row>
    <row r="4" spans="1:4">
      <c r="A4" s="35"/>
      <c r="B4" s="35"/>
      <c r="C4" s="35"/>
      <c r="D4" s="35"/>
    </row>
    <row r="5" spans="1:4" ht="15">
      <c r="A5" s="1239" t="s">
        <v>62</v>
      </c>
      <c r="B5" s="1239" t="s">
        <v>369</v>
      </c>
      <c r="C5" s="1239" t="s">
        <v>370</v>
      </c>
      <c r="D5" s="1239" t="s">
        <v>986</v>
      </c>
    </row>
    <row r="6" spans="1:4" ht="85.5">
      <c r="A6" s="1059" t="s">
        <v>1036</v>
      </c>
      <c r="B6" s="850" t="s">
        <v>371</v>
      </c>
      <c r="C6" s="850" t="s">
        <v>372</v>
      </c>
      <c r="D6" s="850" t="s">
        <v>373</v>
      </c>
    </row>
    <row r="7" spans="1:4" ht="285">
      <c r="A7" s="1059" t="s">
        <v>764</v>
      </c>
      <c r="B7" s="851" t="s">
        <v>374</v>
      </c>
      <c r="C7" s="850" t="s">
        <v>375</v>
      </c>
      <c r="D7" s="825" t="s">
        <v>376</v>
      </c>
    </row>
    <row r="8" spans="1:4" ht="258.95" customHeight="1">
      <c r="A8" s="1059" t="s">
        <v>1037</v>
      </c>
      <c r="B8" s="851" t="s">
        <v>671</v>
      </c>
      <c r="C8" s="2597" t="s">
        <v>377</v>
      </c>
      <c r="D8" s="2597"/>
    </row>
  </sheetData>
  <mergeCells count="2">
    <mergeCell ref="C8:D8"/>
    <mergeCell ref="A2:D3"/>
  </mergeCells>
  <hyperlinks>
    <hyperlink ref="D7" r:id="rId1"/>
  </hyperlinks>
  <pageMargins left="0.7" right="0.7" top="0.75" bottom="0.75" header="0.3" footer="0.3"/>
  <pageSetup paperSize="9" scale="48" orientation="portrait"/>
  <drawing r:id="rId2"/>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C000"/>
  </sheetPr>
  <dimension ref="A1:D7"/>
  <sheetViews>
    <sheetView showGridLines="0" topLeftCell="A7" workbookViewId="0"/>
  </sheetViews>
  <sheetFormatPr defaultColWidth="8.85546875" defaultRowHeight="14.25"/>
  <cols>
    <col min="1" max="1" width="70.7109375" style="38" customWidth="1"/>
    <col min="2" max="2" width="56.85546875" style="38" customWidth="1"/>
    <col min="3" max="3" width="55.28515625" style="38" customWidth="1"/>
    <col min="4" max="4" width="70.7109375" style="38" customWidth="1"/>
    <col min="5" max="16384" width="8.85546875" style="38"/>
  </cols>
  <sheetData>
    <row r="1" spans="1:4" ht="26.1" customHeight="1">
      <c r="A1" s="1843" t="str">
        <f>HYPERLINK("[.\]Menu!A1", "Back to Menu")</f>
        <v>Back to Menu</v>
      </c>
      <c r="B1" s="1843" t="str">
        <f>HYPERLINK("[.\]clinical_advisor_consultations!B2", "Back to clinical advisor consultations")</f>
        <v>Back to clinical advisor consultations</v>
      </c>
      <c r="C1" s="1843" t="str">
        <f>HYPERLINK("[.\]integration_of_hubs!B2", "Back to integration of hubs")</f>
        <v>Back to integration of hubs</v>
      </c>
    </row>
    <row r="2" spans="1:4" ht="264" customHeight="1">
      <c r="A2" s="2604" t="s">
        <v>667</v>
      </c>
      <c r="B2" s="2605"/>
      <c r="C2" s="2606"/>
      <c r="D2" s="248"/>
    </row>
    <row r="4" spans="1:4" ht="15">
      <c r="A4" s="1239" t="s">
        <v>369</v>
      </c>
      <c r="B4" s="869" t="s">
        <v>370</v>
      </c>
      <c r="C4" s="869" t="s">
        <v>378</v>
      </c>
    </row>
    <row r="5" spans="1:4" ht="185.25" customHeight="1">
      <c r="A5" s="520" t="s">
        <v>535</v>
      </c>
      <c r="B5" s="520" t="s">
        <v>379</v>
      </c>
      <c r="C5" s="1240" t="s">
        <v>380</v>
      </c>
    </row>
    <row r="6" spans="1:4" ht="88.5" customHeight="1">
      <c r="A6" s="520" t="s">
        <v>665</v>
      </c>
      <c r="B6" s="520" t="s">
        <v>381</v>
      </c>
      <c r="C6" s="520" t="s">
        <v>382</v>
      </c>
    </row>
    <row r="7" spans="1:4" ht="142.5" customHeight="1">
      <c r="A7" s="520" t="s">
        <v>676</v>
      </c>
      <c r="B7" s="520" t="s">
        <v>677</v>
      </c>
      <c r="C7" s="520" t="s">
        <v>383</v>
      </c>
    </row>
  </sheetData>
  <mergeCells count="1">
    <mergeCell ref="A2:C2"/>
  </mergeCells>
  <hyperlinks>
    <hyperlink ref="C5" r:id="rId1"/>
  </hyperlinks>
  <pageMargins left="0.7" right="0.7" top="0.75" bottom="0.75" header="0.3" footer="0.3"/>
  <pageSetup paperSize="9" scale="44" orientation="portrait"/>
  <drawing r:id="rId2"/>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C000"/>
  </sheetPr>
  <dimension ref="A1:D36"/>
  <sheetViews>
    <sheetView showGridLines="0" topLeftCell="A7" workbookViewId="0"/>
  </sheetViews>
  <sheetFormatPr defaultColWidth="8.85546875" defaultRowHeight="14.25"/>
  <cols>
    <col min="1" max="1" width="35.28515625" style="42" customWidth="1"/>
    <col min="2" max="2" width="77.42578125" style="42" customWidth="1"/>
    <col min="3" max="3" width="55.42578125" style="42" customWidth="1"/>
    <col min="4" max="4" width="70.7109375" style="42" customWidth="1"/>
    <col min="5" max="16384" width="8.85546875" style="42"/>
  </cols>
  <sheetData>
    <row r="1" spans="1:4" s="38" customFormat="1" ht="26.1" customHeight="1">
      <c r="A1" s="1843" t="str">
        <f>HYPERLINK("[.\]Menu!A1", "Back to Menu")</f>
        <v>Back to Menu</v>
      </c>
      <c r="B1" s="1843" t="str">
        <f>HYPERLINK("[.\]AEC!B2", "Back to ambulatory emergency care")</f>
        <v>Back to ambulatory emergency care</v>
      </c>
      <c r="C1" s="1843"/>
    </row>
    <row r="2" spans="1:4" ht="240.75" customHeight="1">
      <c r="A2" s="2604" t="s">
        <v>384</v>
      </c>
      <c r="B2" s="2605"/>
      <c r="C2" s="2606"/>
      <c r="D2" s="248"/>
    </row>
    <row r="4" spans="1:4" ht="15">
      <c r="A4" s="1239" t="s">
        <v>385</v>
      </c>
      <c r="B4" s="1239" t="s">
        <v>369</v>
      </c>
      <c r="C4" s="1239" t="s">
        <v>370</v>
      </c>
    </row>
    <row r="5" spans="1:4" ht="57">
      <c r="A5" s="416">
        <v>1</v>
      </c>
      <c r="B5" s="519" t="s">
        <v>386</v>
      </c>
      <c r="C5" s="519" t="s">
        <v>387</v>
      </c>
    </row>
    <row r="6" spans="1:4" ht="71.25">
      <c r="A6" s="416">
        <v>2</v>
      </c>
      <c r="B6" s="519" t="s">
        <v>388</v>
      </c>
      <c r="C6" s="519" t="s">
        <v>389</v>
      </c>
    </row>
    <row r="7" spans="1:4" ht="57">
      <c r="A7" s="417">
        <v>3</v>
      </c>
      <c r="B7" s="519" t="s">
        <v>390</v>
      </c>
      <c r="C7" s="519" t="s">
        <v>391</v>
      </c>
    </row>
    <row r="8" spans="1:4" ht="28.5">
      <c r="A8" s="417">
        <v>4</v>
      </c>
      <c r="B8" s="519" t="s">
        <v>392</v>
      </c>
      <c r="C8" s="519"/>
    </row>
    <row r="9" spans="1:4" ht="42.75">
      <c r="A9" s="417">
        <v>5</v>
      </c>
      <c r="B9" s="519" t="s">
        <v>393</v>
      </c>
      <c r="C9" s="519" t="s">
        <v>394</v>
      </c>
    </row>
    <row r="10" spans="1:4" ht="85.5">
      <c r="A10" s="417">
        <v>6</v>
      </c>
      <c r="B10" s="519" t="s">
        <v>395</v>
      </c>
      <c r="C10" s="519"/>
    </row>
    <row r="11" spans="1:4">
      <c r="A11" s="277"/>
    </row>
    <row r="12" spans="1:4">
      <c r="A12" s="428"/>
    </row>
    <row r="13" spans="1:4" ht="15">
      <c r="A13" s="526" t="s">
        <v>396</v>
      </c>
    </row>
    <row r="14" spans="1:4">
      <c r="A14" s="417">
        <v>7</v>
      </c>
      <c r="B14" s="519" t="s">
        <v>1040</v>
      </c>
      <c r="C14" s="418" t="s">
        <v>397</v>
      </c>
    </row>
    <row r="15" spans="1:4" ht="28.5">
      <c r="A15" s="417">
        <v>8</v>
      </c>
      <c r="B15" s="519" t="s">
        <v>1041</v>
      </c>
      <c r="C15" s="417"/>
    </row>
    <row r="16" spans="1:4" ht="28.5">
      <c r="A16" s="417">
        <v>9</v>
      </c>
      <c r="B16" s="519" t="s">
        <v>398</v>
      </c>
      <c r="C16" s="417" t="s">
        <v>399</v>
      </c>
    </row>
    <row r="17" spans="1:3">
      <c r="A17" s="449">
        <v>10</v>
      </c>
      <c r="B17" s="884" t="s">
        <v>1042</v>
      </c>
      <c r="C17" s="449" t="s">
        <v>399</v>
      </c>
    </row>
    <row r="18" spans="1:3">
      <c r="A18" s="39"/>
      <c r="B18" s="39"/>
      <c r="C18" s="39"/>
    </row>
    <row r="19" spans="1:3" ht="15">
      <c r="A19" s="1243" t="s">
        <v>400</v>
      </c>
      <c r="B19" s="39"/>
      <c r="C19" s="39"/>
    </row>
    <row r="20" spans="1:3">
      <c r="A20" s="886" t="s">
        <v>401</v>
      </c>
      <c r="B20" s="39"/>
      <c r="C20" s="39"/>
    </row>
    <row r="21" spans="1:3" ht="15">
      <c r="A21" s="883" t="s">
        <v>416</v>
      </c>
      <c r="B21" s="883" t="s">
        <v>62</v>
      </c>
      <c r="C21" s="883" t="s">
        <v>140</v>
      </c>
    </row>
    <row r="22" spans="1:3" ht="57">
      <c r="A22" s="450" t="s">
        <v>402</v>
      </c>
      <c r="B22" s="1241" t="s">
        <v>1038</v>
      </c>
      <c r="C22" s="878" t="s">
        <v>403</v>
      </c>
    </row>
    <row r="23" spans="1:3" ht="85.5">
      <c r="A23" s="450" t="s">
        <v>404</v>
      </c>
      <c r="B23" s="878" t="s">
        <v>405</v>
      </c>
      <c r="C23" s="878" t="s">
        <v>536</v>
      </c>
    </row>
    <row r="24" spans="1:3" ht="28.5">
      <c r="A24" s="450" t="s">
        <v>406</v>
      </c>
      <c r="B24" s="878" t="s">
        <v>407</v>
      </c>
      <c r="C24" s="450"/>
    </row>
    <row r="25" spans="1:3" ht="42.75">
      <c r="A25" s="450" t="s">
        <v>408</v>
      </c>
      <c r="B25" s="450"/>
      <c r="C25" s="1242" t="s">
        <v>1039</v>
      </c>
    </row>
    <row r="26" spans="1:3" ht="99.75">
      <c r="A26" s="450" t="s">
        <v>409</v>
      </c>
      <c r="B26" s="1244" t="s">
        <v>410</v>
      </c>
      <c r="C26" s="450"/>
    </row>
    <row r="27" spans="1:3" ht="171">
      <c r="A27" s="878" t="s">
        <v>411</v>
      </c>
      <c r="B27" s="1244" t="s">
        <v>412</v>
      </c>
      <c r="C27" s="1244" t="s">
        <v>413</v>
      </c>
    </row>
    <row r="28" spans="1:3">
      <c r="A28" s="39"/>
      <c r="B28" s="39"/>
      <c r="C28" s="39"/>
    </row>
    <row r="29" spans="1:3">
      <c r="A29" s="39"/>
      <c r="B29" s="39"/>
      <c r="C29" s="39"/>
    </row>
    <row r="30" spans="1:3">
      <c r="A30" s="39"/>
      <c r="B30" s="39"/>
      <c r="C30" s="39"/>
    </row>
    <row r="31" spans="1:3">
      <c r="A31" s="39"/>
      <c r="B31" s="39"/>
      <c r="C31" s="39"/>
    </row>
    <row r="32" spans="1:3">
      <c r="A32" s="39"/>
      <c r="B32" s="39"/>
      <c r="C32" s="39"/>
    </row>
    <row r="33" spans="1:3">
      <c r="A33" s="39"/>
      <c r="B33" s="39"/>
      <c r="C33" s="39"/>
    </row>
    <row r="34" spans="1:3">
      <c r="A34" s="39"/>
      <c r="B34" s="39"/>
      <c r="C34" s="39"/>
    </row>
    <row r="35" spans="1:3">
      <c r="A35" s="39"/>
      <c r="B35" s="39"/>
      <c r="C35" s="39"/>
    </row>
    <row r="36" spans="1:3">
      <c r="A36" s="39"/>
      <c r="B36" s="39"/>
      <c r="C36" s="39"/>
    </row>
  </sheetData>
  <mergeCells count="1">
    <mergeCell ref="A2:C2"/>
  </mergeCells>
  <hyperlinks>
    <hyperlink ref="A20" r:id="rId1" display="http://www.ambulatoryemergencycare.org.uk/"/>
  </hyperlinks>
  <pageMargins left="0.7" right="0.7" top="0.75" bottom="0.75" header="0.3" footer="0.3"/>
  <pageSetup paperSize="9" scale="43" orientation="portrait"/>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C000"/>
    <pageSetUpPr fitToPage="1"/>
  </sheetPr>
  <dimension ref="A1:M45"/>
  <sheetViews>
    <sheetView showGridLines="0" zoomScaleSheetLayoutView="100" workbookViewId="0">
      <pane ySplit="1" topLeftCell="A8" activePane="bottomLeft" state="frozen"/>
      <selection pane="bottomLeft"/>
    </sheetView>
  </sheetViews>
  <sheetFormatPr defaultColWidth="8.85546875" defaultRowHeight="14.25"/>
  <cols>
    <col min="1" max="1" width="18.7109375" style="38" customWidth="1"/>
    <col min="2" max="6" width="15.7109375" style="38" customWidth="1"/>
    <col min="7" max="7" width="35.7109375" style="38" customWidth="1"/>
    <col min="8" max="12" width="15.7109375" style="38" customWidth="1"/>
    <col min="13" max="13" width="42.85546875" style="38" customWidth="1"/>
    <col min="14" max="14" width="19" style="38" customWidth="1"/>
    <col min="15" max="255" width="8.85546875" style="38"/>
    <col min="256" max="256" width="4" style="38" customWidth="1"/>
    <col min="257" max="257" width="12" style="38" customWidth="1"/>
    <col min="258" max="258" width="13.140625" style="38" customWidth="1"/>
    <col min="259" max="259" width="27.42578125" style="38" customWidth="1"/>
    <col min="260" max="260" width="13.140625" style="38" customWidth="1"/>
    <col min="261" max="261" width="11.28515625" style="38" customWidth="1"/>
    <col min="262" max="262" width="12.42578125" style="38" customWidth="1"/>
    <col min="263" max="263" width="25.7109375" style="38" customWidth="1"/>
    <col min="264" max="264" width="13.42578125" style="38" customWidth="1"/>
    <col min="265" max="265" width="12.85546875" style="38" customWidth="1"/>
    <col min="266" max="266" width="8.85546875" style="38"/>
    <col min="267" max="267" width="11.140625" style="38" customWidth="1"/>
    <col min="268" max="268" width="12.42578125" style="38" customWidth="1"/>
    <col min="269" max="269" width="32.42578125" style="38" customWidth="1"/>
    <col min="270" max="270" width="19" style="38" customWidth="1"/>
    <col min="271" max="511" width="8.85546875" style="38"/>
    <col min="512" max="512" width="4" style="38" customWidth="1"/>
    <col min="513" max="513" width="12" style="38" customWidth="1"/>
    <col min="514" max="514" width="13.140625" style="38" customWidth="1"/>
    <col min="515" max="515" width="27.42578125" style="38" customWidth="1"/>
    <col min="516" max="516" width="13.140625" style="38" customWidth="1"/>
    <col min="517" max="517" width="11.28515625" style="38" customWidth="1"/>
    <col min="518" max="518" width="12.42578125" style="38" customWidth="1"/>
    <col min="519" max="519" width="25.7109375" style="38" customWidth="1"/>
    <col min="520" max="520" width="13.42578125" style="38" customWidth="1"/>
    <col min="521" max="521" width="12.85546875" style="38" customWidth="1"/>
    <col min="522" max="522" width="8.85546875" style="38"/>
    <col min="523" max="523" width="11.140625" style="38" customWidth="1"/>
    <col min="524" max="524" width="12.42578125" style="38" customWidth="1"/>
    <col min="525" max="525" width="32.42578125" style="38" customWidth="1"/>
    <col min="526" max="526" width="19" style="38" customWidth="1"/>
    <col min="527" max="767" width="8.85546875" style="38"/>
    <col min="768" max="768" width="4" style="38" customWidth="1"/>
    <col min="769" max="769" width="12" style="38" customWidth="1"/>
    <col min="770" max="770" width="13.140625" style="38" customWidth="1"/>
    <col min="771" max="771" width="27.42578125" style="38" customWidth="1"/>
    <col min="772" max="772" width="13.140625" style="38" customWidth="1"/>
    <col min="773" max="773" width="11.28515625" style="38" customWidth="1"/>
    <col min="774" max="774" width="12.42578125" style="38" customWidth="1"/>
    <col min="775" max="775" width="25.7109375" style="38" customWidth="1"/>
    <col min="776" max="776" width="13.42578125" style="38" customWidth="1"/>
    <col min="777" max="777" width="12.85546875" style="38" customWidth="1"/>
    <col min="778" max="778" width="8.85546875" style="38"/>
    <col min="779" max="779" width="11.140625" style="38" customWidth="1"/>
    <col min="780" max="780" width="12.42578125" style="38" customWidth="1"/>
    <col min="781" max="781" width="32.42578125" style="38" customWidth="1"/>
    <col min="782" max="782" width="19" style="38" customWidth="1"/>
    <col min="783" max="1023" width="8.85546875" style="38"/>
    <col min="1024" max="1024" width="4" style="38" customWidth="1"/>
    <col min="1025" max="1025" width="12" style="38" customWidth="1"/>
    <col min="1026" max="1026" width="13.140625" style="38" customWidth="1"/>
    <col min="1027" max="1027" width="27.42578125" style="38" customWidth="1"/>
    <col min="1028" max="1028" width="13.140625" style="38" customWidth="1"/>
    <col min="1029" max="1029" width="11.28515625" style="38" customWidth="1"/>
    <col min="1030" max="1030" width="12.42578125" style="38" customWidth="1"/>
    <col min="1031" max="1031" width="25.7109375" style="38" customWidth="1"/>
    <col min="1032" max="1032" width="13.42578125" style="38" customWidth="1"/>
    <col min="1033" max="1033" width="12.85546875" style="38" customWidth="1"/>
    <col min="1034" max="1034" width="8.85546875" style="38"/>
    <col min="1035" max="1035" width="11.140625" style="38" customWidth="1"/>
    <col min="1036" max="1036" width="12.42578125" style="38" customWidth="1"/>
    <col min="1037" max="1037" width="32.42578125" style="38" customWidth="1"/>
    <col min="1038" max="1038" width="19" style="38" customWidth="1"/>
    <col min="1039" max="1279" width="8.85546875" style="38"/>
    <col min="1280" max="1280" width="4" style="38" customWidth="1"/>
    <col min="1281" max="1281" width="12" style="38" customWidth="1"/>
    <col min="1282" max="1282" width="13.140625" style="38" customWidth="1"/>
    <col min="1283" max="1283" width="27.42578125" style="38" customWidth="1"/>
    <col min="1284" max="1284" width="13.140625" style="38" customWidth="1"/>
    <col min="1285" max="1285" width="11.28515625" style="38" customWidth="1"/>
    <col min="1286" max="1286" width="12.42578125" style="38" customWidth="1"/>
    <col min="1287" max="1287" width="25.7109375" style="38" customWidth="1"/>
    <col min="1288" max="1288" width="13.42578125" style="38" customWidth="1"/>
    <col min="1289" max="1289" width="12.85546875" style="38" customWidth="1"/>
    <col min="1290" max="1290" width="8.85546875" style="38"/>
    <col min="1291" max="1291" width="11.140625" style="38" customWidth="1"/>
    <col min="1292" max="1292" width="12.42578125" style="38" customWidth="1"/>
    <col min="1293" max="1293" width="32.42578125" style="38" customWidth="1"/>
    <col min="1294" max="1294" width="19" style="38" customWidth="1"/>
    <col min="1295" max="1535" width="8.85546875" style="38"/>
    <col min="1536" max="1536" width="4" style="38" customWidth="1"/>
    <col min="1537" max="1537" width="12" style="38" customWidth="1"/>
    <col min="1538" max="1538" width="13.140625" style="38" customWidth="1"/>
    <col min="1539" max="1539" width="27.42578125" style="38" customWidth="1"/>
    <col min="1540" max="1540" width="13.140625" style="38" customWidth="1"/>
    <col min="1541" max="1541" width="11.28515625" style="38" customWidth="1"/>
    <col min="1542" max="1542" width="12.42578125" style="38" customWidth="1"/>
    <col min="1543" max="1543" width="25.7109375" style="38" customWidth="1"/>
    <col min="1544" max="1544" width="13.42578125" style="38" customWidth="1"/>
    <col min="1545" max="1545" width="12.85546875" style="38" customWidth="1"/>
    <col min="1546" max="1546" width="8.85546875" style="38"/>
    <col min="1547" max="1547" width="11.140625" style="38" customWidth="1"/>
    <col min="1548" max="1548" width="12.42578125" style="38" customWidth="1"/>
    <col min="1549" max="1549" width="32.42578125" style="38" customWidth="1"/>
    <col min="1550" max="1550" width="19" style="38" customWidth="1"/>
    <col min="1551" max="1791" width="8.85546875" style="38"/>
    <col min="1792" max="1792" width="4" style="38" customWidth="1"/>
    <col min="1793" max="1793" width="12" style="38" customWidth="1"/>
    <col min="1794" max="1794" width="13.140625" style="38" customWidth="1"/>
    <col min="1795" max="1795" width="27.42578125" style="38" customWidth="1"/>
    <col min="1796" max="1796" width="13.140625" style="38" customWidth="1"/>
    <col min="1797" max="1797" width="11.28515625" style="38" customWidth="1"/>
    <col min="1798" max="1798" width="12.42578125" style="38" customWidth="1"/>
    <col min="1799" max="1799" width="25.7109375" style="38" customWidth="1"/>
    <col min="1800" max="1800" width="13.42578125" style="38" customWidth="1"/>
    <col min="1801" max="1801" width="12.85546875" style="38" customWidth="1"/>
    <col min="1802" max="1802" width="8.85546875" style="38"/>
    <col min="1803" max="1803" width="11.140625" style="38" customWidth="1"/>
    <col min="1804" max="1804" width="12.42578125" style="38" customWidth="1"/>
    <col min="1805" max="1805" width="32.42578125" style="38" customWidth="1"/>
    <col min="1806" max="1806" width="19" style="38" customWidth="1"/>
    <col min="1807" max="2047" width="8.85546875" style="38"/>
    <col min="2048" max="2048" width="4" style="38" customWidth="1"/>
    <col min="2049" max="2049" width="12" style="38" customWidth="1"/>
    <col min="2050" max="2050" width="13.140625" style="38" customWidth="1"/>
    <col min="2051" max="2051" width="27.42578125" style="38" customWidth="1"/>
    <col min="2052" max="2052" width="13.140625" style="38" customWidth="1"/>
    <col min="2053" max="2053" width="11.28515625" style="38" customWidth="1"/>
    <col min="2054" max="2054" width="12.42578125" style="38" customWidth="1"/>
    <col min="2055" max="2055" width="25.7109375" style="38" customWidth="1"/>
    <col min="2056" max="2056" width="13.42578125" style="38" customWidth="1"/>
    <col min="2057" max="2057" width="12.85546875" style="38" customWidth="1"/>
    <col min="2058" max="2058" width="8.85546875" style="38"/>
    <col min="2059" max="2059" width="11.140625" style="38" customWidth="1"/>
    <col min="2060" max="2060" width="12.42578125" style="38" customWidth="1"/>
    <col min="2061" max="2061" width="32.42578125" style="38" customWidth="1"/>
    <col min="2062" max="2062" width="19" style="38" customWidth="1"/>
    <col min="2063" max="2303" width="8.85546875" style="38"/>
    <col min="2304" max="2304" width="4" style="38" customWidth="1"/>
    <col min="2305" max="2305" width="12" style="38" customWidth="1"/>
    <col min="2306" max="2306" width="13.140625" style="38" customWidth="1"/>
    <col min="2307" max="2307" width="27.42578125" style="38" customWidth="1"/>
    <col min="2308" max="2308" width="13.140625" style="38" customWidth="1"/>
    <col min="2309" max="2309" width="11.28515625" style="38" customWidth="1"/>
    <col min="2310" max="2310" width="12.42578125" style="38" customWidth="1"/>
    <col min="2311" max="2311" width="25.7109375" style="38" customWidth="1"/>
    <col min="2312" max="2312" width="13.42578125" style="38" customWidth="1"/>
    <col min="2313" max="2313" width="12.85546875" style="38" customWidth="1"/>
    <col min="2314" max="2314" width="8.85546875" style="38"/>
    <col min="2315" max="2315" width="11.140625" style="38" customWidth="1"/>
    <col min="2316" max="2316" width="12.42578125" style="38" customWidth="1"/>
    <col min="2317" max="2317" width="32.42578125" style="38" customWidth="1"/>
    <col min="2318" max="2318" width="19" style="38" customWidth="1"/>
    <col min="2319" max="2559" width="8.85546875" style="38"/>
    <col min="2560" max="2560" width="4" style="38" customWidth="1"/>
    <col min="2561" max="2561" width="12" style="38" customWidth="1"/>
    <col min="2562" max="2562" width="13.140625" style="38" customWidth="1"/>
    <col min="2563" max="2563" width="27.42578125" style="38" customWidth="1"/>
    <col min="2564" max="2564" width="13.140625" style="38" customWidth="1"/>
    <col min="2565" max="2565" width="11.28515625" style="38" customWidth="1"/>
    <col min="2566" max="2566" width="12.42578125" style="38" customWidth="1"/>
    <col min="2567" max="2567" width="25.7109375" style="38" customWidth="1"/>
    <col min="2568" max="2568" width="13.42578125" style="38" customWidth="1"/>
    <col min="2569" max="2569" width="12.85546875" style="38" customWidth="1"/>
    <col min="2570" max="2570" width="8.85546875" style="38"/>
    <col min="2571" max="2571" width="11.140625" style="38" customWidth="1"/>
    <col min="2572" max="2572" width="12.42578125" style="38" customWidth="1"/>
    <col min="2573" max="2573" width="32.42578125" style="38" customWidth="1"/>
    <col min="2574" max="2574" width="19" style="38" customWidth="1"/>
    <col min="2575" max="2815" width="8.85546875" style="38"/>
    <col min="2816" max="2816" width="4" style="38" customWidth="1"/>
    <col min="2817" max="2817" width="12" style="38" customWidth="1"/>
    <col min="2818" max="2818" width="13.140625" style="38" customWidth="1"/>
    <col min="2819" max="2819" width="27.42578125" style="38" customWidth="1"/>
    <col min="2820" max="2820" width="13.140625" style="38" customWidth="1"/>
    <col min="2821" max="2821" width="11.28515625" style="38" customWidth="1"/>
    <col min="2822" max="2822" width="12.42578125" style="38" customWidth="1"/>
    <col min="2823" max="2823" width="25.7109375" style="38" customWidth="1"/>
    <col min="2824" max="2824" width="13.42578125" style="38" customWidth="1"/>
    <col min="2825" max="2825" width="12.85546875" style="38" customWidth="1"/>
    <col min="2826" max="2826" width="8.85546875" style="38"/>
    <col min="2827" max="2827" width="11.140625" style="38" customWidth="1"/>
    <col min="2828" max="2828" width="12.42578125" style="38" customWidth="1"/>
    <col min="2829" max="2829" width="32.42578125" style="38" customWidth="1"/>
    <col min="2830" max="2830" width="19" style="38" customWidth="1"/>
    <col min="2831" max="3071" width="8.85546875" style="38"/>
    <col min="3072" max="3072" width="4" style="38" customWidth="1"/>
    <col min="3073" max="3073" width="12" style="38" customWidth="1"/>
    <col min="3074" max="3074" width="13.140625" style="38" customWidth="1"/>
    <col min="3075" max="3075" width="27.42578125" style="38" customWidth="1"/>
    <col min="3076" max="3076" width="13.140625" style="38" customWidth="1"/>
    <col min="3077" max="3077" width="11.28515625" style="38" customWidth="1"/>
    <col min="3078" max="3078" width="12.42578125" style="38" customWidth="1"/>
    <col min="3079" max="3079" width="25.7109375" style="38" customWidth="1"/>
    <col min="3080" max="3080" width="13.42578125" style="38" customWidth="1"/>
    <col min="3081" max="3081" width="12.85546875" style="38" customWidth="1"/>
    <col min="3082" max="3082" width="8.85546875" style="38"/>
    <col min="3083" max="3083" width="11.140625" style="38" customWidth="1"/>
    <col min="3084" max="3084" width="12.42578125" style="38" customWidth="1"/>
    <col min="3085" max="3085" width="32.42578125" style="38" customWidth="1"/>
    <col min="3086" max="3086" width="19" style="38" customWidth="1"/>
    <col min="3087" max="3327" width="8.85546875" style="38"/>
    <col min="3328" max="3328" width="4" style="38" customWidth="1"/>
    <col min="3329" max="3329" width="12" style="38" customWidth="1"/>
    <col min="3330" max="3330" width="13.140625" style="38" customWidth="1"/>
    <col min="3331" max="3331" width="27.42578125" style="38" customWidth="1"/>
    <col min="3332" max="3332" width="13.140625" style="38" customWidth="1"/>
    <col min="3333" max="3333" width="11.28515625" style="38" customWidth="1"/>
    <col min="3334" max="3334" width="12.42578125" style="38" customWidth="1"/>
    <col min="3335" max="3335" width="25.7109375" style="38" customWidth="1"/>
    <col min="3336" max="3336" width="13.42578125" style="38" customWidth="1"/>
    <col min="3337" max="3337" width="12.85546875" style="38" customWidth="1"/>
    <col min="3338" max="3338" width="8.85546875" style="38"/>
    <col min="3339" max="3339" width="11.140625" style="38" customWidth="1"/>
    <col min="3340" max="3340" width="12.42578125" style="38" customWidth="1"/>
    <col min="3341" max="3341" width="32.42578125" style="38" customWidth="1"/>
    <col min="3342" max="3342" width="19" style="38" customWidth="1"/>
    <col min="3343" max="3583" width="8.85546875" style="38"/>
    <col min="3584" max="3584" width="4" style="38" customWidth="1"/>
    <col min="3585" max="3585" width="12" style="38" customWidth="1"/>
    <col min="3586" max="3586" width="13.140625" style="38" customWidth="1"/>
    <col min="3587" max="3587" width="27.42578125" style="38" customWidth="1"/>
    <col min="3588" max="3588" width="13.140625" style="38" customWidth="1"/>
    <col min="3589" max="3589" width="11.28515625" style="38" customWidth="1"/>
    <col min="3590" max="3590" width="12.42578125" style="38" customWidth="1"/>
    <col min="3591" max="3591" width="25.7109375" style="38" customWidth="1"/>
    <col min="3592" max="3592" width="13.42578125" style="38" customWidth="1"/>
    <col min="3593" max="3593" width="12.85546875" style="38" customWidth="1"/>
    <col min="3594" max="3594" width="8.85546875" style="38"/>
    <col min="3595" max="3595" width="11.140625" style="38" customWidth="1"/>
    <col min="3596" max="3596" width="12.42578125" style="38" customWidth="1"/>
    <col min="3597" max="3597" width="32.42578125" style="38" customWidth="1"/>
    <col min="3598" max="3598" width="19" style="38" customWidth="1"/>
    <col min="3599" max="3839" width="8.85546875" style="38"/>
    <col min="3840" max="3840" width="4" style="38" customWidth="1"/>
    <col min="3841" max="3841" width="12" style="38" customWidth="1"/>
    <col min="3842" max="3842" width="13.140625" style="38" customWidth="1"/>
    <col min="3843" max="3843" width="27.42578125" style="38" customWidth="1"/>
    <col min="3844" max="3844" width="13.140625" style="38" customWidth="1"/>
    <col min="3845" max="3845" width="11.28515625" style="38" customWidth="1"/>
    <col min="3846" max="3846" width="12.42578125" style="38" customWidth="1"/>
    <col min="3847" max="3847" width="25.7109375" style="38" customWidth="1"/>
    <col min="3848" max="3848" width="13.42578125" style="38" customWidth="1"/>
    <col min="3849" max="3849" width="12.85546875" style="38" customWidth="1"/>
    <col min="3850" max="3850" width="8.85546875" style="38"/>
    <col min="3851" max="3851" width="11.140625" style="38" customWidth="1"/>
    <col min="3852" max="3852" width="12.42578125" style="38" customWidth="1"/>
    <col min="3853" max="3853" width="32.42578125" style="38" customWidth="1"/>
    <col min="3854" max="3854" width="19" style="38" customWidth="1"/>
    <col min="3855" max="4095" width="8.85546875" style="38"/>
    <col min="4096" max="4096" width="4" style="38" customWidth="1"/>
    <col min="4097" max="4097" width="12" style="38" customWidth="1"/>
    <col min="4098" max="4098" width="13.140625" style="38" customWidth="1"/>
    <col min="4099" max="4099" width="27.42578125" style="38" customWidth="1"/>
    <col min="4100" max="4100" width="13.140625" style="38" customWidth="1"/>
    <col min="4101" max="4101" width="11.28515625" style="38" customWidth="1"/>
    <col min="4102" max="4102" width="12.42578125" style="38" customWidth="1"/>
    <col min="4103" max="4103" width="25.7109375" style="38" customWidth="1"/>
    <col min="4104" max="4104" width="13.42578125" style="38" customWidth="1"/>
    <col min="4105" max="4105" width="12.85546875" style="38" customWidth="1"/>
    <col min="4106" max="4106" width="8.85546875" style="38"/>
    <col min="4107" max="4107" width="11.140625" style="38" customWidth="1"/>
    <col min="4108" max="4108" width="12.42578125" style="38" customWidth="1"/>
    <col min="4109" max="4109" width="32.42578125" style="38" customWidth="1"/>
    <col min="4110" max="4110" width="19" style="38" customWidth="1"/>
    <col min="4111" max="4351" width="8.85546875" style="38"/>
    <col min="4352" max="4352" width="4" style="38" customWidth="1"/>
    <col min="4353" max="4353" width="12" style="38" customWidth="1"/>
    <col min="4354" max="4354" width="13.140625" style="38" customWidth="1"/>
    <col min="4355" max="4355" width="27.42578125" style="38" customWidth="1"/>
    <col min="4356" max="4356" width="13.140625" style="38" customWidth="1"/>
    <col min="4357" max="4357" width="11.28515625" style="38" customWidth="1"/>
    <col min="4358" max="4358" width="12.42578125" style="38" customWidth="1"/>
    <col min="4359" max="4359" width="25.7109375" style="38" customWidth="1"/>
    <col min="4360" max="4360" width="13.42578125" style="38" customWidth="1"/>
    <col min="4361" max="4361" width="12.85546875" style="38" customWidth="1"/>
    <col min="4362" max="4362" width="8.85546875" style="38"/>
    <col min="4363" max="4363" width="11.140625" style="38" customWidth="1"/>
    <col min="4364" max="4364" width="12.42578125" style="38" customWidth="1"/>
    <col min="4365" max="4365" width="32.42578125" style="38" customWidth="1"/>
    <col min="4366" max="4366" width="19" style="38" customWidth="1"/>
    <col min="4367" max="4607" width="8.85546875" style="38"/>
    <col min="4608" max="4608" width="4" style="38" customWidth="1"/>
    <col min="4609" max="4609" width="12" style="38" customWidth="1"/>
    <col min="4610" max="4610" width="13.140625" style="38" customWidth="1"/>
    <col min="4611" max="4611" width="27.42578125" style="38" customWidth="1"/>
    <col min="4612" max="4612" width="13.140625" style="38" customWidth="1"/>
    <col min="4613" max="4613" width="11.28515625" style="38" customWidth="1"/>
    <col min="4614" max="4614" width="12.42578125" style="38" customWidth="1"/>
    <col min="4615" max="4615" width="25.7109375" style="38" customWidth="1"/>
    <col min="4616" max="4616" width="13.42578125" style="38" customWidth="1"/>
    <col min="4617" max="4617" width="12.85546875" style="38" customWidth="1"/>
    <col min="4618" max="4618" width="8.85546875" style="38"/>
    <col min="4619" max="4619" width="11.140625" style="38" customWidth="1"/>
    <col min="4620" max="4620" width="12.42578125" style="38" customWidth="1"/>
    <col min="4621" max="4621" width="32.42578125" style="38" customWidth="1"/>
    <col min="4622" max="4622" width="19" style="38" customWidth="1"/>
    <col min="4623" max="4863" width="8.85546875" style="38"/>
    <col min="4864" max="4864" width="4" style="38" customWidth="1"/>
    <col min="4865" max="4865" width="12" style="38" customWidth="1"/>
    <col min="4866" max="4866" width="13.140625" style="38" customWidth="1"/>
    <col min="4867" max="4867" width="27.42578125" style="38" customWidth="1"/>
    <col min="4868" max="4868" width="13.140625" style="38" customWidth="1"/>
    <col min="4869" max="4869" width="11.28515625" style="38" customWidth="1"/>
    <col min="4870" max="4870" width="12.42578125" style="38" customWidth="1"/>
    <col min="4871" max="4871" width="25.7109375" style="38" customWidth="1"/>
    <col min="4872" max="4872" width="13.42578125" style="38" customWidth="1"/>
    <col min="4873" max="4873" width="12.85546875" style="38" customWidth="1"/>
    <col min="4874" max="4874" width="8.85546875" style="38"/>
    <col min="4875" max="4875" width="11.140625" style="38" customWidth="1"/>
    <col min="4876" max="4876" width="12.42578125" style="38" customWidth="1"/>
    <col min="4877" max="4877" width="32.42578125" style="38" customWidth="1"/>
    <col min="4878" max="4878" width="19" style="38" customWidth="1"/>
    <col min="4879" max="5119" width="8.85546875" style="38"/>
    <col min="5120" max="5120" width="4" style="38" customWidth="1"/>
    <col min="5121" max="5121" width="12" style="38" customWidth="1"/>
    <col min="5122" max="5122" width="13.140625" style="38" customWidth="1"/>
    <col min="5123" max="5123" width="27.42578125" style="38" customWidth="1"/>
    <col min="5124" max="5124" width="13.140625" style="38" customWidth="1"/>
    <col min="5125" max="5125" width="11.28515625" style="38" customWidth="1"/>
    <col min="5126" max="5126" width="12.42578125" style="38" customWidth="1"/>
    <col min="5127" max="5127" width="25.7109375" style="38" customWidth="1"/>
    <col min="5128" max="5128" width="13.42578125" style="38" customWidth="1"/>
    <col min="5129" max="5129" width="12.85546875" style="38" customWidth="1"/>
    <col min="5130" max="5130" width="8.85546875" style="38"/>
    <col min="5131" max="5131" width="11.140625" style="38" customWidth="1"/>
    <col min="5132" max="5132" width="12.42578125" style="38" customWidth="1"/>
    <col min="5133" max="5133" width="32.42578125" style="38" customWidth="1"/>
    <col min="5134" max="5134" width="19" style="38" customWidth="1"/>
    <col min="5135" max="5375" width="8.85546875" style="38"/>
    <col min="5376" max="5376" width="4" style="38" customWidth="1"/>
    <col min="5377" max="5377" width="12" style="38" customWidth="1"/>
    <col min="5378" max="5378" width="13.140625" style="38" customWidth="1"/>
    <col min="5379" max="5379" width="27.42578125" style="38" customWidth="1"/>
    <col min="5380" max="5380" width="13.140625" style="38" customWidth="1"/>
    <col min="5381" max="5381" width="11.28515625" style="38" customWidth="1"/>
    <col min="5382" max="5382" width="12.42578125" style="38" customWidth="1"/>
    <col min="5383" max="5383" width="25.7109375" style="38" customWidth="1"/>
    <col min="5384" max="5384" width="13.42578125" style="38" customWidth="1"/>
    <col min="5385" max="5385" width="12.85546875" style="38" customWidth="1"/>
    <col min="5386" max="5386" width="8.85546875" style="38"/>
    <col min="5387" max="5387" width="11.140625" style="38" customWidth="1"/>
    <col min="5388" max="5388" width="12.42578125" style="38" customWidth="1"/>
    <col min="5389" max="5389" width="32.42578125" style="38" customWidth="1"/>
    <col min="5390" max="5390" width="19" style="38" customWidth="1"/>
    <col min="5391" max="5631" width="8.85546875" style="38"/>
    <col min="5632" max="5632" width="4" style="38" customWidth="1"/>
    <col min="5633" max="5633" width="12" style="38" customWidth="1"/>
    <col min="5634" max="5634" width="13.140625" style="38" customWidth="1"/>
    <col min="5635" max="5635" width="27.42578125" style="38" customWidth="1"/>
    <col min="5636" max="5636" width="13.140625" style="38" customWidth="1"/>
    <col min="5637" max="5637" width="11.28515625" style="38" customWidth="1"/>
    <col min="5638" max="5638" width="12.42578125" style="38" customWidth="1"/>
    <col min="5639" max="5639" width="25.7109375" style="38" customWidth="1"/>
    <col min="5640" max="5640" width="13.42578125" style="38" customWidth="1"/>
    <col min="5641" max="5641" width="12.85546875" style="38" customWidth="1"/>
    <col min="5642" max="5642" width="8.85546875" style="38"/>
    <col min="5643" max="5643" width="11.140625" style="38" customWidth="1"/>
    <col min="5644" max="5644" width="12.42578125" style="38" customWidth="1"/>
    <col min="5645" max="5645" width="32.42578125" style="38" customWidth="1"/>
    <col min="5646" max="5646" width="19" style="38" customWidth="1"/>
    <col min="5647" max="5887" width="8.85546875" style="38"/>
    <col min="5888" max="5888" width="4" style="38" customWidth="1"/>
    <col min="5889" max="5889" width="12" style="38" customWidth="1"/>
    <col min="5890" max="5890" width="13.140625" style="38" customWidth="1"/>
    <col min="5891" max="5891" width="27.42578125" style="38" customWidth="1"/>
    <col min="5892" max="5892" width="13.140625" style="38" customWidth="1"/>
    <col min="5893" max="5893" width="11.28515625" style="38" customWidth="1"/>
    <col min="5894" max="5894" width="12.42578125" style="38" customWidth="1"/>
    <col min="5895" max="5895" width="25.7109375" style="38" customWidth="1"/>
    <col min="5896" max="5896" width="13.42578125" style="38" customWidth="1"/>
    <col min="5897" max="5897" width="12.85546875" style="38" customWidth="1"/>
    <col min="5898" max="5898" width="8.85546875" style="38"/>
    <col min="5899" max="5899" width="11.140625" style="38" customWidth="1"/>
    <col min="5900" max="5900" width="12.42578125" style="38" customWidth="1"/>
    <col min="5901" max="5901" width="32.42578125" style="38" customWidth="1"/>
    <col min="5902" max="5902" width="19" style="38" customWidth="1"/>
    <col min="5903" max="6143" width="8.85546875" style="38"/>
    <col min="6144" max="6144" width="4" style="38" customWidth="1"/>
    <col min="6145" max="6145" width="12" style="38" customWidth="1"/>
    <col min="6146" max="6146" width="13.140625" style="38" customWidth="1"/>
    <col min="6147" max="6147" width="27.42578125" style="38" customWidth="1"/>
    <col min="6148" max="6148" width="13.140625" style="38" customWidth="1"/>
    <col min="6149" max="6149" width="11.28515625" style="38" customWidth="1"/>
    <col min="6150" max="6150" width="12.42578125" style="38" customWidth="1"/>
    <col min="6151" max="6151" width="25.7109375" style="38" customWidth="1"/>
    <col min="6152" max="6152" width="13.42578125" style="38" customWidth="1"/>
    <col min="6153" max="6153" width="12.85546875" style="38" customWidth="1"/>
    <col min="6154" max="6154" width="8.85546875" style="38"/>
    <col min="6155" max="6155" width="11.140625" style="38" customWidth="1"/>
    <col min="6156" max="6156" width="12.42578125" style="38" customWidth="1"/>
    <col min="6157" max="6157" width="32.42578125" style="38" customWidth="1"/>
    <col min="6158" max="6158" width="19" style="38" customWidth="1"/>
    <col min="6159" max="6399" width="8.85546875" style="38"/>
    <col min="6400" max="6400" width="4" style="38" customWidth="1"/>
    <col min="6401" max="6401" width="12" style="38" customWidth="1"/>
    <col min="6402" max="6402" width="13.140625" style="38" customWidth="1"/>
    <col min="6403" max="6403" width="27.42578125" style="38" customWidth="1"/>
    <col min="6404" max="6404" width="13.140625" style="38" customWidth="1"/>
    <col min="6405" max="6405" width="11.28515625" style="38" customWidth="1"/>
    <col min="6406" max="6406" width="12.42578125" style="38" customWidth="1"/>
    <col min="6407" max="6407" width="25.7109375" style="38" customWidth="1"/>
    <col min="6408" max="6408" width="13.42578125" style="38" customWidth="1"/>
    <col min="6409" max="6409" width="12.85546875" style="38" customWidth="1"/>
    <col min="6410" max="6410" width="8.85546875" style="38"/>
    <col min="6411" max="6411" width="11.140625" style="38" customWidth="1"/>
    <col min="6412" max="6412" width="12.42578125" style="38" customWidth="1"/>
    <col min="6413" max="6413" width="32.42578125" style="38" customWidth="1"/>
    <col min="6414" max="6414" width="19" style="38" customWidth="1"/>
    <col min="6415" max="6655" width="8.85546875" style="38"/>
    <col min="6656" max="6656" width="4" style="38" customWidth="1"/>
    <col min="6657" max="6657" width="12" style="38" customWidth="1"/>
    <col min="6658" max="6658" width="13.140625" style="38" customWidth="1"/>
    <col min="6659" max="6659" width="27.42578125" style="38" customWidth="1"/>
    <col min="6660" max="6660" width="13.140625" style="38" customWidth="1"/>
    <col min="6661" max="6661" width="11.28515625" style="38" customWidth="1"/>
    <col min="6662" max="6662" width="12.42578125" style="38" customWidth="1"/>
    <col min="6663" max="6663" width="25.7109375" style="38" customWidth="1"/>
    <col min="6664" max="6664" width="13.42578125" style="38" customWidth="1"/>
    <col min="6665" max="6665" width="12.85546875" style="38" customWidth="1"/>
    <col min="6666" max="6666" width="8.85546875" style="38"/>
    <col min="6667" max="6667" width="11.140625" style="38" customWidth="1"/>
    <col min="6668" max="6668" width="12.42578125" style="38" customWidth="1"/>
    <col min="6669" max="6669" width="32.42578125" style="38" customWidth="1"/>
    <col min="6670" max="6670" width="19" style="38" customWidth="1"/>
    <col min="6671" max="6911" width="8.85546875" style="38"/>
    <col min="6912" max="6912" width="4" style="38" customWidth="1"/>
    <col min="6913" max="6913" width="12" style="38" customWidth="1"/>
    <col min="6914" max="6914" width="13.140625" style="38" customWidth="1"/>
    <col min="6915" max="6915" width="27.42578125" style="38" customWidth="1"/>
    <col min="6916" max="6916" width="13.140625" style="38" customWidth="1"/>
    <col min="6917" max="6917" width="11.28515625" style="38" customWidth="1"/>
    <col min="6918" max="6918" width="12.42578125" style="38" customWidth="1"/>
    <col min="6919" max="6919" width="25.7109375" style="38" customWidth="1"/>
    <col min="6920" max="6920" width="13.42578125" style="38" customWidth="1"/>
    <col min="6921" max="6921" width="12.85546875" style="38" customWidth="1"/>
    <col min="6922" max="6922" width="8.85546875" style="38"/>
    <col min="6923" max="6923" width="11.140625" style="38" customWidth="1"/>
    <col min="6924" max="6924" width="12.42578125" style="38" customWidth="1"/>
    <col min="6925" max="6925" width="32.42578125" style="38" customWidth="1"/>
    <col min="6926" max="6926" width="19" style="38" customWidth="1"/>
    <col min="6927" max="7167" width="8.85546875" style="38"/>
    <col min="7168" max="7168" width="4" style="38" customWidth="1"/>
    <col min="7169" max="7169" width="12" style="38" customWidth="1"/>
    <col min="7170" max="7170" width="13.140625" style="38" customWidth="1"/>
    <col min="7171" max="7171" width="27.42578125" style="38" customWidth="1"/>
    <col min="7172" max="7172" width="13.140625" style="38" customWidth="1"/>
    <col min="7173" max="7173" width="11.28515625" style="38" customWidth="1"/>
    <col min="7174" max="7174" width="12.42578125" style="38" customWidth="1"/>
    <col min="7175" max="7175" width="25.7109375" style="38" customWidth="1"/>
    <col min="7176" max="7176" width="13.42578125" style="38" customWidth="1"/>
    <col min="7177" max="7177" width="12.85546875" style="38" customWidth="1"/>
    <col min="7178" max="7178" width="8.85546875" style="38"/>
    <col min="7179" max="7179" width="11.140625" style="38" customWidth="1"/>
    <col min="7180" max="7180" width="12.42578125" style="38" customWidth="1"/>
    <col min="7181" max="7181" width="32.42578125" style="38" customWidth="1"/>
    <col min="7182" max="7182" width="19" style="38" customWidth="1"/>
    <col min="7183" max="7423" width="8.85546875" style="38"/>
    <col min="7424" max="7424" width="4" style="38" customWidth="1"/>
    <col min="7425" max="7425" width="12" style="38" customWidth="1"/>
    <col min="7426" max="7426" width="13.140625" style="38" customWidth="1"/>
    <col min="7427" max="7427" width="27.42578125" style="38" customWidth="1"/>
    <col min="7428" max="7428" width="13.140625" style="38" customWidth="1"/>
    <col min="7429" max="7429" width="11.28515625" style="38" customWidth="1"/>
    <col min="7430" max="7430" width="12.42578125" style="38" customWidth="1"/>
    <col min="7431" max="7431" width="25.7109375" style="38" customWidth="1"/>
    <col min="7432" max="7432" width="13.42578125" style="38" customWidth="1"/>
    <col min="7433" max="7433" width="12.85546875" style="38" customWidth="1"/>
    <col min="7434" max="7434" width="8.85546875" style="38"/>
    <col min="7435" max="7435" width="11.140625" style="38" customWidth="1"/>
    <col min="7436" max="7436" width="12.42578125" style="38" customWidth="1"/>
    <col min="7437" max="7437" width="32.42578125" style="38" customWidth="1"/>
    <col min="7438" max="7438" width="19" style="38" customWidth="1"/>
    <col min="7439" max="7679" width="8.85546875" style="38"/>
    <col min="7680" max="7680" width="4" style="38" customWidth="1"/>
    <col min="7681" max="7681" width="12" style="38" customWidth="1"/>
    <col min="7682" max="7682" width="13.140625" style="38" customWidth="1"/>
    <col min="7683" max="7683" width="27.42578125" style="38" customWidth="1"/>
    <col min="7684" max="7684" width="13.140625" style="38" customWidth="1"/>
    <col min="7685" max="7685" width="11.28515625" style="38" customWidth="1"/>
    <col min="7686" max="7686" width="12.42578125" style="38" customWidth="1"/>
    <col min="7687" max="7687" width="25.7109375" style="38" customWidth="1"/>
    <col min="7688" max="7688" width="13.42578125" style="38" customWidth="1"/>
    <col min="7689" max="7689" width="12.85546875" style="38" customWidth="1"/>
    <col min="7690" max="7690" width="8.85546875" style="38"/>
    <col min="7691" max="7691" width="11.140625" style="38" customWidth="1"/>
    <col min="7692" max="7692" width="12.42578125" style="38" customWidth="1"/>
    <col min="7693" max="7693" width="32.42578125" style="38" customWidth="1"/>
    <col min="7694" max="7694" width="19" style="38" customWidth="1"/>
    <col min="7695" max="7935" width="8.85546875" style="38"/>
    <col min="7936" max="7936" width="4" style="38" customWidth="1"/>
    <col min="7937" max="7937" width="12" style="38" customWidth="1"/>
    <col min="7938" max="7938" width="13.140625" style="38" customWidth="1"/>
    <col min="7939" max="7939" width="27.42578125" style="38" customWidth="1"/>
    <col min="7940" max="7940" width="13.140625" style="38" customWidth="1"/>
    <col min="7941" max="7941" width="11.28515625" style="38" customWidth="1"/>
    <col min="7942" max="7942" width="12.42578125" style="38" customWidth="1"/>
    <col min="7943" max="7943" width="25.7109375" style="38" customWidth="1"/>
    <col min="7944" max="7944" width="13.42578125" style="38" customWidth="1"/>
    <col min="7945" max="7945" width="12.85546875" style="38" customWidth="1"/>
    <col min="7946" max="7946" width="8.85546875" style="38"/>
    <col min="7947" max="7947" width="11.140625" style="38" customWidth="1"/>
    <col min="7948" max="7948" width="12.42578125" style="38" customWidth="1"/>
    <col min="7949" max="7949" width="32.42578125" style="38" customWidth="1"/>
    <col min="7950" max="7950" width="19" style="38" customWidth="1"/>
    <col min="7951" max="8191" width="8.85546875" style="38"/>
    <col min="8192" max="8192" width="4" style="38" customWidth="1"/>
    <col min="8193" max="8193" width="12" style="38" customWidth="1"/>
    <col min="8194" max="8194" width="13.140625" style="38" customWidth="1"/>
    <col min="8195" max="8195" width="27.42578125" style="38" customWidth="1"/>
    <col min="8196" max="8196" width="13.140625" style="38" customWidth="1"/>
    <col min="8197" max="8197" width="11.28515625" style="38" customWidth="1"/>
    <col min="8198" max="8198" width="12.42578125" style="38" customWidth="1"/>
    <col min="8199" max="8199" width="25.7109375" style="38" customWidth="1"/>
    <col min="8200" max="8200" width="13.42578125" style="38" customWidth="1"/>
    <col min="8201" max="8201" width="12.85546875" style="38" customWidth="1"/>
    <col min="8202" max="8202" width="8.85546875" style="38"/>
    <col min="8203" max="8203" width="11.140625" style="38" customWidth="1"/>
    <col min="8204" max="8204" width="12.42578125" style="38" customWidth="1"/>
    <col min="8205" max="8205" width="32.42578125" style="38" customWidth="1"/>
    <col min="8206" max="8206" width="19" style="38" customWidth="1"/>
    <col min="8207" max="8447" width="8.85546875" style="38"/>
    <col min="8448" max="8448" width="4" style="38" customWidth="1"/>
    <col min="8449" max="8449" width="12" style="38" customWidth="1"/>
    <col min="8450" max="8450" width="13.140625" style="38" customWidth="1"/>
    <col min="8451" max="8451" width="27.42578125" style="38" customWidth="1"/>
    <col min="8452" max="8452" width="13.140625" style="38" customWidth="1"/>
    <col min="8453" max="8453" width="11.28515625" style="38" customWidth="1"/>
    <col min="8454" max="8454" width="12.42578125" style="38" customWidth="1"/>
    <col min="8455" max="8455" width="25.7109375" style="38" customWidth="1"/>
    <col min="8456" max="8456" width="13.42578125" style="38" customWidth="1"/>
    <col min="8457" max="8457" width="12.85546875" style="38" customWidth="1"/>
    <col min="8458" max="8458" width="8.85546875" style="38"/>
    <col min="8459" max="8459" width="11.140625" style="38" customWidth="1"/>
    <col min="8460" max="8460" width="12.42578125" style="38" customWidth="1"/>
    <col min="8461" max="8461" width="32.42578125" style="38" customWidth="1"/>
    <col min="8462" max="8462" width="19" style="38" customWidth="1"/>
    <col min="8463" max="8703" width="8.85546875" style="38"/>
    <col min="8704" max="8704" width="4" style="38" customWidth="1"/>
    <col min="8705" max="8705" width="12" style="38" customWidth="1"/>
    <col min="8706" max="8706" width="13.140625" style="38" customWidth="1"/>
    <col min="8707" max="8707" width="27.42578125" style="38" customWidth="1"/>
    <col min="8708" max="8708" width="13.140625" style="38" customWidth="1"/>
    <col min="8709" max="8709" width="11.28515625" style="38" customWidth="1"/>
    <col min="8710" max="8710" width="12.42578125" style="38" customWidth="1"/>
    <col min="8711" max="8711" width="25.7109375" style="38" customWidth="1"/>
    <col min="8712" max="8712" width="13.42578125" style="38" customWidth="1"/>
    <col min="8713" max="8713" width="12.85546875" style="38" customWidth="1"/>
    <col min="8714" max="8714" width="8.85546875" style="38"/>
    <col min="8715" max="8715" width="11.140625" style="38" customWidth="1"/>
    <col min="8716" max="8716" width="12.42578125" style="38" customWidth="1"/>
    <col min="8717" max="8717" width="32.42578125" style="38" customWidth="1"/>
    <col min="8718" max="8718" width="19" style="38" customWidth="1"/>
    <col min="8719" max="8959" width="8.85546875" style="38"/>
    <col min="8960" max="8960" width="4" style="38" customWidth="1"/>
    <col min="8961" max="8961" width="12" style="38" customWidth="1"/>
    <col min="8962" max="8962" width="13.140625" style="38" customWidth="1"/>
    <col min="8963" max="8963" width="27.42578125" style="38" customWidth="1"/>
    <col min="8964" max="8964" width="13.140625" style="38" customWidth="1"/>
    <col min="8965" max="8965" width="11.28515625" style="38" customWidth="1"/>
    <col min="8966" max="8966" width="12.42578125" style="38" customWidth="1"/>
    <col min="8967" max="8967" width="25.7109375" style="38" customWidth="1"/>
    <col min="8968" max="8968" width="13.42578125" style="38" customWidth="1"/>
    <col min="8969" max="8969" width="12.85546875" style="38" customWidth="1"/>
    <col min="8970" max="8970" width="8.85546875" style="38"/>
    <col min="8971" max="8971" width="11.140625" style="38" customWidth="1"/>
    <col min="8972" max="8972" width="12.42578125" style="38" customWidth="1"/>
    <col min="8973" max="8973" width="32.42578125" style="38" customWidth="1"/>
    <col min="8974" max="8974" width="19" style="38" customWidth="1"/>
    <col min="8975" max="9215" width="8.85546875" style="38"/>
    <col min="9216" max="9216" width="4" style="38" customWidth="1"/>
    <col min="9217" max="9217" width="12" style="38" customWidth="1"/>
    <col min="9218" max="9218" width="13.140625" style="38" customWidth="1"/>
    <col min="9219" max="9219" width="27.42578125" style="38" customWidth="1"/>
    <col min="9220" max="9220" width="13.140625" style="38" customWidth="1"/>
    <col min="9221" max="9221" width="11.28515625" style="38" customWidth="1"/>
    <col min="9222" max="9222" width="12.42578125" style="38" customWidth="1"/>
    <col min="9223" max="9223" width="25.7109375" style="38" customWidth="1"/>
    <col min="9224" max="9224" width="13.42578125" style="38" customWidth="1"/>
    <col min="9225" max="9225" width="12.85546875" style="38" customWidth="1"/>
    <col min="9226" max="9226" width="8.85546875" style="38"/>
    <col min="9227" max="9227" width="11.140625" style="38" customWidth="1"/>
    <col min="9228" max="9228" width="12.42578125" style="38" customWidth="1"/>
    <col min="9229" max="9229" width="32.42578125" style="38" customWidth="1"/>
    <col min="9230" max="9230" width="19" style="38" customWidth="1"/>
    <col min="9231" max="9471" width="8.85546875" style="38"/>
    <col min="9472" max="9472" width="4" style="38" customWidth="1"/>
    <col min="9473" max="9473" width="12" style="38" customWidth="1"/>
    <col min="9474" max="9474" width="13.140625" style="38" customWidth="1"/>
    <col min="9475" max="9475" width="27.42578125" style="38" customWidth="1"/>
    <col min="9476" max="9476" width="13.140625" style="38" customWidth="1"/>
    <col min="9477" max="9477" width="11.28515625" style="38" customWidth="1"/>
    <col min="9478" max="9478" width="12.42578125" style="38" customWidth="1"/>
    <col min="9479" max="9479" width="25.7109375" style="38" customWidth="1"/>
    <col min="9480" max="9480" width="13.42578125" style="38" customWidth="1"/>
    <col min="9481" max="9481" width="12.85546875" style="38" customWidth="1"/>
    <col min="9482" max="9482" width="8.85546875" style="38"/>
    <col min="9483" max="9483" width="11.140625" style="38" customWidth="1"/>
    <col min="9484" max="9484" width="12.42578125" style="38" customWidth="1"/>
    <col min="9485" max="9485" width="32.42578125" style="38" customWidth="1"/>
    <col min="9486" max="9486" width="19" style="38" customWidth="1"/>
    <col min="9487" max="9727" width="8.85546875" style="38"/>
    <col min="9728" max="9728" width="4" style="38" customWidth="1"/>
    <col min="9729" max="9729" width="12" style="38" customWidth="1"/>
    <col min="9730" max="9730" width="13.140625" style="38" customWidth="1"/>
    <col min="9731" max="9731" width="27.42578125" style="38" customWidth="1"/>
    <col min="9732" max="9732" width="13.140625" style="38" customWidth="1"/>
    <col min="9733" max="9733" width="11.28515625" style="38" customWidth="1"/>
    <col min="9734" max="9734" width="12.42578125" style="38" customWidth="1"/>
    <col min="9735" max="9735" width="25.7109375" style="38" customWidth="1"/>
    <col min="9736" max="9736" width="13.42578125" style="38" customWidth="1"/>
    <col min="9737" max="9737" width="12.85546875" style="38" customWidth="1"/>
    <col min="9738" max="9738" width="8.85546875" style="38"/>
    <col min="9739" max="9739" width="11.140625" style="38" customWidth="1"/>
    <col min="9740" max="9740" width="12.42578125" style="38" customWidth="1"/>
    <col min="9741" max="9741" width="32.42578125" style="38" customWidth="1"/>
    <col min="9742" max="9742" width="19" style="38" customWidth="1"/>
    <col min="9743" max="9983" width="8.85546875" style="38"/>
    <col min="9984" max="9984" width="4" style="38" customWidth="1"/>
    <col min="9985" max="9985" width="12" style="38" customWidth="1"/>
    <col min="9986" max="9986" width="13.140625" style="38" customWidth="1"/>
    <col min="9987" max="9987" width="27.42578125" style="38" customWidth="1"/>
    <col min="9988" max="9988" width="13.140625" style="38" customWidth="1"/>
    <col min="9989" max="9989" width="11.28515625" style="38" customWidth="1"/>
    <col min="9990" max="9990" width="12.42578125" style="38" customWidth="1"/>
    <col min="9991" max="9991" width="25.7109375" style="38" customWidth="1"/>
    <col min="9992" max="9992" width="13.42578125" style="38" customWidth="1"/>
    <col min="9993" max="9993" width="12.85546875" style="38" customWidth="1"/>
    <col min="9994" max="9994" width="8.85546875" style="38"/>
    <col min="9995" max="9995" width="11.140625" style="38" customWidth="1"/>
    <col min="9996" max="9996" width="12.42578125" style="38" customWidth="1"/>
    <col min="9997" max="9997" width="32.42578125" style="38" customWidth="1"/>
    <col min="9998" max="9998" width="19" style="38" customWidth="1"/>
    <col min="9999" max="10239" width="8.85546875" style="38"/>
    <col min="10240" max="10240" width="4" style="38" customWidth="1"/>
    <col min="10241" max="10241" width="12" style="38" customWidth="1"/>
    <col min="10242" max="10242" width="13.140625" style="38" customWidth="1"/>
    <col min="10243" max="10243" width="27.42578125" style="38" customWidth="1"/>
    <col min="10244" max="10244" width="13.140625" style="38" customWidth="1"/>
    <col min="10245" max="10245" width="11.28515625" style="38" customWidth="1"/>
    <col min="10246" max="10246" width="12.42578125" style="38" customWidth="1"/>
    <col min="10247" max="10247" width="25.7109375" style="38" customWidth="1"/>
    <col min="10248" max="10248" width="13.42578125" style="38" customWidth="1"/>
    <col min="10249" max="10249" width="12.85546875" style="38" customWidth="1"/>
    <col min="10250" max="10250" width="8.85546875" style="38"/>
    <col min="10251" max="10251" width="11.140625" style="38" customWidth="1"/>
    <col min="10252" max="10252" width="12.42578125" style="38" customWidth="1"/>
    <col min="10253" max="10253" width="32.42578125" style="38" customWidth="1"/>
    <col min="10254" max="10254" width="19" style="38" customWidth="1"/>
    <col min="10255" max="10495" width="8.85546875" style="38"/>
    <col min="10496" max="10496" width="4" style="38" customWidth="1"/>
    <col min="10497" max="10497" width="12" style="38" customWidth="1"/>
    <col min="10498" max="10498" width="13.140625" style="38" customWidth="1"/>
    <col min="10499" max="10499" width="27.42578125" style="38" customWidth="1"/>
    <col min="10500" max="10500" width="13.140625" style="38" customWidth="1"/>
    <col min="10501" max="10501" width="11.28515625" style="38" customWidth="1"/>
    <col min="10502" max="10502" width="12.42578125" style="38" customWidth="1"/>
    <col min="10503" max="10503" width="25.7109375" style="38" customWidth="1"/>
    <col min="10504" max="10504" width="13.42578125" style="38" customWidth="1"/>
    <col min="10505" max="10505" width="12.85546875" style="38" customWidth="1"/>
    <col min="10506" max="10506" width="8.85546875" style="38"/>
    <col min="10507" max="10507" width="11.140625" style="38" customWidth="1"/>
    <col min="10508" max="10508" width="12.42578125" style="38" customWidth="1"/>
    <col min="10509" max="10509" width="32.42578125" style="38" customWidth="1"/>
    <col min="10510" max="10510" width="19" style="38" customWidth="1"/>
    <col min="10511" max="10751" width="8.85546875" style="38"/>
    <col min="10752" max="10752" width="4" style="38" customWidth="1"/>
    <col min="10753" max="10753" width="12" style="38" customWidth="1"/>
    <col min="10754" max="10754" width="13.140625" style="38" customWidth="1"/>
    <col min="10755" max="10755" width="27.42578125" style="38" customWidth="1"/>
    <col min="10756" max="10756" width="13.140625" style="38" customWidth="1"/>
    <col min="10757" max="10757" width="11.28515625" style="38" customWidth="1"/>
    <col min="10758" max="10758" width="12.42578125" style="38" customWidth="1"/>
    <col min="10759" max="10759" width="25.7109375" style="38" customWidth="1"/>
    <col min="10760" max="10760" width="13.42578125" style="38" customWidth="1"/>
    <col min="10761" max="10761" width="12.85546875" style="38" customWidth="1"/>
    <col min="10762" max="10762" width="8.85546875" style="38"/>
    <col min="10763" max="10763" width="11.140625" style="38" customWidth="1"/>
    <col min="10764" max="10764" width="12.42578125" style="38" customWidth="1"/>
    <col min="10765" max="10765" width="32.42578125" style="38" customWidth="1"/>
    <col min="10766" max="10766" width="19" style="38" customWidth="1"/>
    <col min="10767" max="11007" width="8.85546875" style="38"/>
    <col min="11008" max="11008" width="4" style="38" customWidth="1"/>
    <col min="11009" max="11009" width="12" style="38" customWidth="1"/>
    <col min="11010" max="11010" width="13.140625" style="38" customWidth="1"/>
    <col min="11011" max="11011" width="27.42578125" style="38" customWidth="1"/>
    <col min="11012" max="11012" width="13.140625" style="38" customWidth="1"/>
    <col min="11013" max="11013" width="11.28515625" style="38" customWidth="1"/>
    <col min="11014" max="11014" width="12.42578125" style="38" customWidth="1"/>
    <col min="11015" max="11015" width="25.7109375" style="38" customWidth="1"/>
    <col min="11016" max="11016" width="13.42578125" style="38" customWidth="1"/>
    <col min="11017" max="11017" width="12.85546875" style="38" customWidth="1"/>
    <col min="11018" max="11018" width="8.85546875" style="38"/>
    <col min="11019" max="11019" width="11.140625" style="38" customWidth="1"/>
    <col min="11020" max="11020" width="12.42578125" style="38" customWidth="1"/>
    <col min="11021" max="11021" width="32.42578125" style="38" customWidth="1"/>
    <col min="11022" max="11022" width="19" style="38" customWidth="1"/>
    <col min="11023" max="11263" width="8.85546875" style="38"/>
    <col min="11264" max="11264" width="4" style="38" customWidth="1"/>
    <col min="11265" max="11265" width="12" style="38" customWidth="1"/>
    <col min="11266" max="11266" width="13.140625" style="38" customWidth="1"/>
    <col min="11267" max="11267" width="27.42578125" style="38" customWidth="1"/>
    <col min="11268" max="11268" width="13.140625" style="38" customWidth="1"/>
    <col min="11269" max="11269" width="11.28515625" style="38" customWidth="1"/>
    <col min="11270" max="11270" width="12.42578125" style="38" customWidth="1"/>
    <col min="11271" max="11271" width="25.7109375" style="38" customWidth="1"/>
    <col min="11272" max="11272" width="13.42578125" style="38" customWidth="1"/>
    <col min="11273" max="11273" width="12.85546875" style="38" customWidth="1"/>
    <col min="11274" max="11274" width="8.85546875" style="38"/>
    <col min="11275" max="11275" width="11.140625" style="38" customWidth="1"/>
    <col min="11276" max="11276" width="12.42578125" style="38" customWidth="1"/>
    <col min="11277" max="11277" width="32.42578125" style="38" customWidth="1"/>
    <col min="11278" max="11278" width="19" style="38" customWidth="1"/>
    <col min="11279" max="11519" width="8.85546875" style="38"/>
    <col min="11520" max="11520" width="4" style="38" customWidth="1"/>
    <col min="11521" max="11521" width="12" style="38" customWidth="1"/>
    <col min="11522" max="11522" width="13.140625" style="38" customWidth="1"/>
    <col min="11523" max="11523" width="27.42578125" style="38" customWidth="1"/>
    <col min="11524" max="11524" width="13.140625" style="38" customWidth="1"/>
    <col min="11525" max="11525" width="11.28515625" style="38" customWidth="1"/>
    <col min="11526" max="11526" width="12.42578125" style="38" customWidth="1"/>
    <col min="11527" max="11527" width="25.7109375" style="38" customWidth="1"/>
    <col min="11528" max="11528" width="13.42578125" style="38" customWidth="1"/>
    <col min="11529" max="11529" width="12.85546875" style="38" customWidth="1"/>
    <col min="11530" max="11530" width="8.85546875" style="38"/>
    <col min="11531" max="11531" width="11.140625" style="38" customWidth="1"/>
    <col min="11532" max="11532" width="12.42578125" style="38" customWidth="1"/>
    <col min="11533" max="11533" width="32.42578125" style="38" customWidth="1"/>
    <col min="11534" max="11534" width="19" style="38" customWidth="1"/>
    <col min="11535" max="11775" width="8.85546875" style="38"/>
    <col min="11776" max="11776" width="4" style="38" customWidth="1"/>
    <col min="11777" max="11777" width="12" style="38" customWidth="1"/>
    <col min="11778" max="11778" width="13.140625" style="38" customWidth="1"/>
    <col min="11779" max="11779" width="27.42578125" style="38" customWidth="1"/>
    <col min="11780" max="11780" width="13.140625" style="38" customWidth="1"/>
    <col min="11781" max="11781" width="11.28515625" style="38" customWidth="1"/>
    <col min="11782" max="11782" width="12.42578125" style="38" customWidth="1"/>
    <col min="11783" max="11783" width="25.7109375" style="38" customWidth="1"/>
    <col min="11784" max="11784" width="13.42578125" style="38" customWidth="1"/>
    <col min="11785" max="11785" width="12.85546875" style="38" customWidth="1"/>
    <col min="11786" max="11786" width="8.85546875" style="38"/>
    <col min="11787" max="11787" width="11.140625" style="38" customWidth="1"/>
    <col min="11788" max="11788" width="12.42578125" style="38" customWidth="1"/>
    <col min="11789" max="11789" width="32.42578125" style="38" customWidth="1"/>
    <col min="11790" max="11790" width="19" style="38" customWidth="1"/>
    <col min="11791" max="12031" width="8.85546875" style="38"/>
    <col min="12032" max="12032" width="4" style="38" customWidth="1"/>
    <col min="12033" max="12033" width="12" style="38" customWidth="1"/>
    <col min="12034" max="12034" width="13.140625" style="38" customWidth="1"/>
    <col min="12035" max="12035" width="27.42578125" style="38" customWidth="1"/>
    <col min="12036" max="12036" width="13.140625" style="38" customWidth="1"/>
    <col min="12037" max="12037" width="11.28515625" style="38" customWidth="1"/>
    <col min="12038" max="12038" width="12.42578125" style="38" customWidth="1"/>
    <col min="12039" max="12039" width="25.7109375" style="38" customWidth="1"/>
    <col min="12040" max="12040" width="13.42578125" style="38" customWidth="1"/>
    <col min="12041" max="12041" width="12.85546875" style="38" customWidth="1"/>
    <col min="12042" max="12042" width="8.85546875" style="38"/>
    <col min="12043" max="12043" width="11.140625" style="38" customWidth="1"/>
    <col min="12044" max="12044" width="12.42578125" style="38" customWidth="1"/>
    <col min="12045" max="12045" width="32.42578125" style="38" customWidth="1"/>
    <col min="12046" max="12046" width="19" style="38" customWidth="1"/>
    <col min="12047" max="12287" width="8.85546875" style="38"/>
    <col min="12288" max="12288" width="4" style="38" customWidth="1"/>
    <col min="12289" max="12289" width="12" style="38" customWidth="1"/>
    <col min="12290" max="12290" width="13.140625" style="38" customWidth="1"/>
    <col min="12291" max="12291" width="27.42578125" style="38" customWidth="1"/>
    <col min="12292" max="12292" width="13.140625" style="38" customWidth="1"/>
    <col min="12293" max="12293" width="11.28515625" style="38" customWidth="1"/>
    <col min="12294" max="12294" width="12.42578125" style="38" customWidth="1"/>
    <col min="12295" max="12295" width="25.7109375" style="38" customWidth="1"/>
    <col min="12296" max="12296" width="13.42578125" style="38" customWidth="1"/>
    <col min="12297" max="12297" width="12.85546875" style="38" customWidth="1"/>
    <col min="12298" max="12298" width="8.85546875" style="38"/>
    <col min="12299" max="12299" width="11.140625" style="38" customWidth="1"/>
    <col min="12300" max="12300" width="12.42578125" style="38" customWidth="1"/>
    <col min="12301" max="12301" width="32.42578125" style="38" customWidth="1"/>
    <col min="12302" max="12302" width="19" style="38" customWidth="1"/>
    <col min="12303" max="12543" width="8.85546875" style="38"/>
    <col min="12544" max="12544" width="4" style="38" customWidth="1"/>
    <col min="12545" max="12545" width="12" style="38" customWidth="1"/>
    <col min="12546" max="12546" width="13.140625" style="38" customWidth="1"/>
    <col min="12547" max="12547" width="27.42578125" style="38" customWidth="1"/>
    <col min="12548" max="12548" width="13.140625" style="38" customWidth="1"/>
    <col min="12549" max="12549" width="11.28515625" style="38" customWidth="1"/>
    <col min="12550" max="12550" width="12.42578125" style="38" customWidth="1"/>
    <col min="12551" max="12551" width="25.7109375" style="38" customWidth="1"/>
    <col min="12552" max="12552" width="13.42578125" style="38" customWidth="1"/>
    <col min="12553" max="12553" width="12.85546875" style="38" customWidth="1"/>
    <col min="12554" max="12554" width="8.85546875" style="38"/>
    <col min="12555" max="12555" width="11.140625" style="38" customWidth="1"/>
    <col min="12556" max="12556" width="12.42578125" style="38" customWidth="1"/>
    <col min="12557" max="12557" width="32.42578125" style="38" customWidth="1"/>
    <col min="12558" max="12558" width="19" style="38" customWidth="1"/>
    <col min="12559" max="12799" width="8.85546875" style="38"/>
    <col min="12800" max="12800" width="4" style="38" customWidth="1"/>
    <col min="12801" max="12801" width="12" style="38" customWidth="1"/>
    <col min="12802" max="12802" width="13.140625" style="38" customWidth="1"/>
    <col min="12803" max="12803" width="27.42578125" style="38" customWidth="1"/>
    <col min="12804" max="12804" width="13.140625" style="38" customWidth="1"/>
    <col min="12805" max="12805" width="11.28515625" style="38" customWidth="1"/>
    <col min="12806" max="12806" width="12.42578125" style="38" customWidth="1"/>
    <col min="12807" max="12807" width="25.7109375" style="38" customWidth="1"/>
    <col min="12808" max="12808" width="13.42578125" style="38" customWidth="1"/>
    <col min="12809" max="12809" width="12.85546875" style="38" customWidth="1"/>
    <col min="12810" max="12810" width="8.85546875" style="38"/>
    <col min="12811" max="12811" width="11.140625" style="38" customWidth="1"/>
    <col min="12812" max="12812" width="12.42578125" style="38" customWidth="1"/>
    <col min="12813" max="12813" width="32.42578125" style="38" customWidth="1"/>
    <col min="12814" max="12814" width="19" style="38" customWidth="1"/>
    <col min="12815" max="13055" width="8.85546875" style="38"/>
    <col min="13056" max="13056" width="4" style="38" customWidth="1"/>
    <col min="13057" max="13057" width="12" style="38" customWidth="1"/>
    <col min="13058" max="13058" width="13.140625" style="38" customWidth="1"/>
    <col min="13059" max="13059" width="27.42578125" style="38" customWidth="1"/>
    <col min="13060" max="13060" width="13.140625" style="38" customWidth="1"/>
    <col min="13061" max="13061" width="11.28515625" style="38" customWidth="1"/>
    <col min="13062" max="13062" width="12.42578125" style="38" customWidth="1"/>
    <col min="13063" max="13063" width="25.7109375" style="38" customWidth="1"/>
    <col min="13064" max="13064" width="13.42578125" style="38" customWidth="1"/>
    <col min="13065" max="13065" width="12.85546875" style="38" customWidth="1"/>
    <col min="13066" max="13066" width="8.85546875" style="38"/>
    <col min="13067" max="13067" width="11.140625" style="38" customWidth="1"/>
    <col min="13068" max="13068" width="12.42578125" style="38" customWidth="1"/>
    <col min="13069" max="13069" width="32.42578125" style="38" customWidth="1"/>
    <col min="13070" max="13070" width="19" style="38" customWidth="1"/>
    <col min="13071" max="13311" width="8.85546875" style="38"/>
    <col min="13312" max="13312" width="4" style="38" customWidth="1"/>
    <col min="13313" max="13313" width="12" style="38" customWidth="1"/>
    <col min="13314" max="13314" width="13.140625" style="38" customWidth="1"/>
    <col min="13315" max="13315" width="27.42578125" style="38" customWidth="1"/>
    <col min="13316" max="13316" width="13.140625" style="38" customWidth="1"/>
    <col min="13317" max="13317" width="11.28515625" style="38" customWidth="1"/>
    <col min="13318" max="13318" width="12.42578125" style="38" customWidth="1"/>
    <col min="13319" max="13319" width="25.7109375" style="38" customWidth="1"/>
    <col min="13320" max="13320" width="13.42578125" style="38" customWidth="1"/>
    <col min="13321" max="13321" width="12.85546875" style="38" customWidth="1"/>
    <col min="13322" max="13322" width="8.85546875" style="38"/>
    <col min="13323" max="13323" width="11.140625" style="38" customWidth="1"/>
    <col min="13324" max="13324" width="12.42578125" style="38" customWidth="1"/>
    <col min="13325" max="13325" width="32.42578125" style="38" customWidth="1"/>
    <col min="13326" max="13326" width="19" style="38" customWidth="1"/>
    <col min="13327" max="13567" width="8.85546875" style="38"/>
    <col min="13568" max="13568" width="4" style="38" customWidth="1"/>
    <col min="13569" max="13569" width="12" style="38" customWidth="1"/>
    <col min="13570" max="13570" width="13.140625" style="38" customWidth="1"/>
    <col min="13571" max="13571" width="27.42578125" style="38" customWidth="1"/>
    <col min="13572" max="13572" width="13.140625" style="38" customWidth="1"/>
    <col min="13573" max="13573" width="11.28515625" style="38" customWidth="1"/>
    <col min="13574" max="13574" width="12.42578125" style="38" customWidth="1"/>
    <col min="13575" max="13575" width="25.7109375" style="38" customWidth="1"/>
    <col min="13576" max="13576" width="13.42578125" style="38" customWidth="1"/>
    <col min="13577" max="13577" width="12.85546875" style="38" customWidth="1"/>
    <col min="13578" max="13578" width="8.85546875" style="38"/>
    <col min="13579" max="13579" width="11.140625" style="38" customWidth="1"/>
    <col min="13580" max="13580" width="12.42578125" style="38" customWidth="1"/>
    <col min="13581" max="13581" width="32.42578125" style="38" customWidth="1"/>
    <col min="13582" max="13582" width="19" style="38" customWidth="1"/>
    <col min="13583" max="13823" width="8.85546875" style="38"/>
    <col min="13824" max="13824" width="4" style="38" customWidth="1"/>
    <col min="13825" max="13825" width="12" style="38" customWidth="1"/>
    <col min="13826" max="13826" width="13.140625" style="38" customWidth="1"/>
    <col min="13827" max="13827" width="27.42578125" style="38" customWidth="1"/>
    <col min="13828" max="13828" width="13.140625" style="38" customWidth="1"/>
    <col min="13829" max="13829" width="11.28515625" style="38" customWidth="1"/>
    <col min="13830" max="13830" width="12.42578125" style="38" customWidth="1"/>
    <col min="13831" max="13831" width="25.7109375" style="38" customWidth="1"/>
    <col min="13832" max="13832" width="13.42578125" style="38" customWidth="1"/>
    <col min="13833" max="13833" width="12.85546875" style="38" customWidth="1"/>
    <col min="13834" max="13834" width="8.85546875" style="38"/>
    <col min="13835" max="13835" width="11.140625" style="38" customWidth="1"/>
    <col min="13836" max="13836" width="12.42578125" style="38" customWidth="1"/>
    <col min="13837" max="13837" width="32.42578125" style="38" customWidth="1"/>
    <col min="13838" max="13838" width="19" style="38" customWidth="1"/>
    <col min="13839" max="14079" width="8.85546875" style="38"/>
    <col min="14080" max="14080" width="4" style="38" customWidth="1"/>
    <col min="14081" max="14081" width="12" style="38" customWidth="1"/>
    <col min="14082" max="14082" width="13.140625" style="38" customWidth="1"/>
    <col min="14083" max="14083" width="27.42578125" style="38" customWidth="1"/>
    <col min="14084" max="14084" width="13.140625" style="38" customWidth="1"/>
    <col min="14085" max="14085" width="11.28515625" style="38" customWidth="1"/>
    <col min="14086" max="14086" width="12.42578125" style="38" customWidth="1"/>
    <col min="14087" max="14087" width="25.7109375" style="38" customWidth="1"/>
    <col min="14088" max="14088" width="13.42578125" style="38" customWidth="1"/>
    <col min="14089" max="14089" width="12.85546875" style="38" customWidth="1"/>
    <col min="14090" max="14090" width="8.85546875" style="38"/>
    <col min="14091" max="14091" width="11.140625" style="38" customWidth="1"/>
    <col min="14092" max="14092" width="12.42578125" style="38" customWidth="1"/>
    <col min="14093" max="14093" width="32.42578125" style="38" customWidth="1"/>
    <col min="14094" max="14094" width="19" style="38" customWidth="1"/>
    <col min="14095" max="14335" width="8.85546875" style="38"/>
    <col min="14336" max="14336" width="4" style="38" customWidth="1"/>
    <col min="14337" max="14337" width="12" style="38" customWidth="1"/>
    <col min="14338" max="14338" width="13.140625" style="38" customWidth="1"/>
    <col min="14339" max="14339" width="27.42578125" style="38" customWidth="1"/>
    <col min="14340" max="14340" width="13.140625" style="38" customWidth="1"/>
    <col min="14341" max="14341" width="11.28515625" style="38" customWidth="1"/>
    <col min="14342" max="14342" width="12.42578125" style="38" customWidth="1"/>
    <col min="14343" max="14343" width="25.7109375" style="38" customWidth="1"/>
    <col min="14344" max="14344" width="13.42578125" style="38" customWidth="1"/>
    <col min="14345" max="14345" width="12.85546875" style="38" customWidth="1"/>
    <col min="14346" max="14346" width="8.85546875" style="38"/>
    <col min="14347" max="14347" width="11.140625" style="38" customWidth="1"/>
    <col min="14348" max="14348" width="12.42578125" style="38" customWidth="1"/>
    <col min="14349" max="14349" width="32.42578125" style="38" customWidth="1"/>
    <col min="14350" max="14350" width="19" style="38" customWidth="1"/>
    <col min="14351" max="14591" width="8.85546875" style="38"/>
    <col min="14592" max="14592" width="4" style="38" customWidth="1"/>
    <col min="14593" max="14593" width="12" style="38" customWidth="1"/>
    <col min="14594" max="14594" width="13.140625" style="38" customWidth="1"/>
    <col min="14595" max="14595" width="27.42578125" style="38" customWidth="1"/>
    <col min="14596" max="14596" width="13.140625" style="38" customWidth="1"/>
    <col min="14597" max="14597" width="11.28515625" style="38" customWidth="1"/>
    <col min="14598" max="14598" width="12.42578125" style="38" customWidth="1"/>
    <col min="14599" max="14599" width="25.7109375" style="38" customWidth="1"/>
    <col min="14600" max="14600" width="13.42578125" style="38" customWidth="1"/>
    <col min="14601" max="14601" width="12.85546875" style="38" customWidth="1"/>
    <col min="14602" max="14602" width="8.85546875" style="38"/>
    <col min="14603" max="14603" width="11.140625" style="38" customWidth="1"/>
    <col min="14604" max="14604" width="12.42578125" style="38" customWidth="1"/>
    <col min="14605" max="14605" width="32.42578125" style="38" customWidth="1"/>
    <col min="14606" max="14606" width="19" style="38" customWidth="1"/>
    <col min="14607" max="14847" width="8.85546875" style="38"/>
    <col min="14848" max="14848" width="4" style="38" customWidth="1"/>
    <col min="14849" max="14849" width="12" style="38" customWidth="1"/>
    <col min="14850" max="14850" width="13.140625" style="38" customWidth="1"/>
    <col min="14851" max="14851" width="27.42578125" style="38" customWidth="1"/>
    <col min="14852" max="14852" width="13.140625" style="38" customWidth="1"/>
    <col min="14853" max="14853" width="11.28515625" style="38" customWidth="1"/>
    <col min="14854" max="14854" width="12.42578125" style="38" customWidth="1"/>
    <col min="14855" max="14855" width="25.7109375" style="38" customWidth="1"/>
    <col min="14856" max="14856" width="13.42578125" style="38" customWidth="1"/>
    <col min="14857" max="14857" width="12.85546875" style="38" customWidth="1"/>
    <col min="14858" max="14858" width="8.85546875" style="38"/>
    <col min="14859" max="14859" width="11.140625" style="38" customWidth="1"/>
    <col min="14860" max="14860" width="12.42578125" style="38" customWidth="1"/>
    <col min="14861" max="14861" width="32.42578125" style="38" customWidth="1"/>
    <col min="14862" max="14862" width="19" style="38" customWidth="1"/>
    <col min="14863" max="15103" width="8.85546875" style="38"/>
    <col min="15104" max="15104" width="4" style="38" customWidth="1"/>
    <col min="15105" max="15105" width="12" style="38" customWidth="1"/>
    <col min="15106" max="15106" width="13.140625" style="38" customWidth="1"/>
    <col min="15107" max="15107" width="27.42578125" style="38" customWidth="1"/>
    <col min="15108" max="15108" width="13.140625" style="38" customWidth="1"/>
    <col min="15109" max="15109" width="11.28515625" style="38" customWidth="1"/>
    <col min="15110" max="15110" width="12.42578125" style="38" customWidth="1"/>
    <col min="15111" max="15111" width="25.7109375" style="38" customWidth="1"/>
    <col min="15112" max="15112" width="13.42578125" style="38" customWidth="1"/>
    <col min="15113" max="15113" width="12.85546875" style="38" customWidth="1"/>
    <col min="15114" max="15114" width="8.85546875" style="38"/>
    <col min="15115" max="15115" width="11.140625" style="38" customWidth="1"/>
    <col min="15116" max="15116" width="12.42578125" style="38" customWidth="1"/>
    <col min="15117" max="15117" width="32.42578125" style="38" customWidth="1"/>
    <col min="15118" max="15118" width="19" style="38" customWidth="1"/>
    <col min="15119" max="15359" width="8.85546875" style="38"/>
    <col min="15360" max="15360" width="4" style="38" customWidth="1"/>
    <col min="15361" max="15361" width="12" style="38" customWidth="1"/>
    <col min="15362" max="15362" width="13.140625" style="38" customWidth="1"/>
    <col min="15363" max="15363" width="27.42578125" style="38" customWidth="1"/>
    <col min="15364" max="15364" width="13.140625" style="38" customWidth="1"/>
    <col min="15365" max="15365" width="11.28515625" style="38" customWidth="1"/>
    <col min="15366" max="15366" width="12.42578125" style="38" customWidth="1"/>
    <col min="15367" max="15367" width="25.7109375" style="38" customWidth="1"/>
    <col min="15368" max="15368" width="13.42578125" style="38" customWidth="1"/>
    <col min="15369" max="15369" width="12.85546875" style="38" customWidth="1"/>
    <col min="15370" max="15370" width="8.85546875" style="38"/>
    <col min="15371" max="15371" width="11.140625" style="38" customWidth="1"/>
    <col min="15372" max="15372" width="12.42578125" style="38" customWidth="1"/>
    <col min="15373" max="15373" width="32.42578125" style="38" customWidth="1"/>
    <col min="15374" max="15374" width="19" style="38" customWidth="1"/>
    <col min="15375" max="15615" width="8.85546875" style="38"/>
    <col min="15616" max="15616" width="4" style="38" customWidth="1"/>
    <col min="15617" max="15617" width="12" style="38" customWidth="1"/>
    <col min="15618" max="15618" width="13.140625" style="38" customWidth="1"/>
    <col min="15619" max="15619" width="27.42578125" style="38" customWidth="1"/>
    <col min="15620" max="15620" width="13.140625" style="38" customWidth="1"/>
    <col min="15621" max="15621" width="11.28515625" style="38" customWidth="1"/>
    <col min="15622" max="15622" width="12.42578125" style="38" customWidth="1"/>
    <col min="15623" max="15623" width="25.7109375" style="38" customWidth="1"/>
    <col min="15624" max="15624" width="13.42578125" style="38" customWidth="1"/>
    <col min="15625" max="15625" width="12.85546875" style="38" customWidth="1"/>
    <col min="15626" max="15626" width="8.85546875" style="38"/>
    <col min="15627" max="15627" width="11.140625" style="38" customWidth="1"/>
    <col min="15628" max="15628" width="12.42578125" style="38" customWidth="1"/>
    <col min="15629" max="15629" width="32.42578125" style="38" customWidth="1"/>
    <col min="15630" max="15630" width="19" style="38" customWidth="1"/>
    <col min="15631" max="15871" width="8.85546875" style="38"/>
    <col min="15872" max="15872" width="4" style="38" customWidth="1"/>
    <col min="15873" max="15873" width="12" style="38" customWidth="1"/>
    <col min="15874" max="15874" width="13.140625" style="38" customWidth="1"/>
    <col min="15875" max="15875" width="27.42578125" style="38" customWidth="1"/>
    <col min="15876" max="15876" width="13.140625" style="38" customWidth="1"/>
    <col min="15877" max="15877" width="11.28515625" style="38" customWidth="1"/>
    <col min="15878" max="15878" width="12.42578125" style="38" customWidth="1"/>
    <col min="15879" max="15879" width="25.7109375" style="38" customWidth="1"/>
    <col min="15880" max="15880" width="13.42578125" style="38" customWidth="1"/>
    <col min="15881" max="15881" width="12.85546875" style="38" customWidth="1"/>
    <col min="15882" max="15882" width="8.85546875" style="38"/>
    <col min="15883" max="15883" width="11.140625" style="38" customWidth="1"/>
    <col min="15884" max="15884" width="12.42578125" style="38" customWidth="1"/>
    <col min="15885" max="15885" width="32.42578125" style="38" customWidth="1"/>
    <col min="15886" max="15886" width="19" style="38" customWidth="1"/>
    <col min="15887" max="16127" width="8.85546875" style="38"/>
    <col min="16128" max="16128" width="4" style="38" customWidth="1"/>
    <col min="16129" max="16129" width="12" style="38" customWidth="1"/>
    <col min="16130" max="16130" width="13.140625" style="38" customWidth="1"/>
    <col min="16131" max="16131" width="27.42578125" style="38" customWidth="1"/>
    <col min="16132" max="16132" width="13.140625" style="38" customWidth="1"/>
    <col min="16133" max="16133" width="11.28515625" style="38" customWidth="1"/>
    <col min="16134" max="16134" width="12.42578125" style="38" customWidth="1"/>
    <col min="16135" max="16135" width="25.7109375" style="38" customWidth="1"/>
    <col min="16136" max="16136" width="13.42578125" style="38" customWidth="1"/>
    <col min="16137" max="16137" width="12.85546875" style="38" customWidth="1"/>
    <col min="16138" max="16138" width="8.85546875" style="38"/>
    <col min="16139" max="16139" width="11.140625" style="38" customWidth="1"/>
    <col min="16140" max="16140" width="12.42578125" style="38" customWidth="1"/>
    <col min="16141" max="16141" width="32.42578125" style="38" customWidth="1"/>
    <col min="16142" max="16142" width="19" style="38" customWidth="1"/>
    <col min="16143" max="16384" width="8.85546875" style="38"/>
  </cols>
  <sheetData>
    <row r="1" spans="1:13" ht="26.1" customHeight="1">
      <c r="A1" s="1843" t="str">
        <f>HYPERLINK("[.\]Menu!A1", "Back to Menu")</f>
        <v>Back to Menu</v>
      </c>
      <c r="B1" s="1843"/>
      <c r="C1" s="1794" t="str">
        <f>HYPERLINK("[.\]Care_planning!B2", "Back to care planning")</f>
        <v>Back to care planning</v>
      </c>
    </row>
    <row r="2" spans="1:13" ht="37.5" customHeight="1">
      <c r="A2" s="2657" t="s">
        <v>664</v>
      </c>
      <c r="B2" s="2658"/>
      <c r="C2" s="2658"/>
      <c r="D2" s="2658"/>
      <c r="E2" s="2658"/>
      <c r="F2" s="2658"/>
      <c r="G2" s="2659"/>
      <c r="H2" s="1487"/>
      <c r="I2" s="1488"/>
      <c r="J2" s="1488"/>
      <c r="K2" s="1488"/>
      <c r="L2" s="1488"/>
      <c r="M2" s="1488"/>
    </row>
    <row r="3" spans="1:13" ht="23.25">
      <c r="A3" s="35"/>
      <c r="B3" s="870"/>
      <c r="C3" s="35"/>
      <c r="D3" s="35"/>
      <c r="E3" s="35"/>
      <c r="F3" s="35"/>
      <c r="G3" s="35"/>
      <c r="H3" s="35"/>
      <c r="I3" s="35"/>
      <c r="J3" s="35"/>
      <c r="K3" s="35"/>
      <c r="L3" s="35"/>
      <c r="M3" s="35"/>
    </row>
    <row r="4" spans="1:13" ht="18">
      <c r="A4" s="420" t="s">
        <v>663</v>
      </c>
      <c r="B4" s="421"/>
      <c r="C4" s="421"/>
      <c r="D4" s="421"/>
      <c r="E4" s="421"/>
      <c r="F4" s="421"/>
      <c r="G4" s="422"/>
      <c r="H4" s="421"/>
      <c r="I4" s="421"/>
      <c r="J4" s="421"/>
      <c r="K4" s="421"/>
      <c r="L4" s="421"/>
      <c r="M4" s="421"/>
    </row>
    <row r="5" spans="1:13" s="35" customFormat="1" ht="18">
      <c r="B5" s="764"/>
      <c r="C5" s="538"/>
      <c r="D5" s="538"/>
      <c r="E5" s="538"/>
      <c r="F5" s="538"/>
      <c r="G5" s="538"/>
      <c r="H5" s="538"/>
      <c r="I5" s="538"/>
      <c r="J5" s="538"/>
      <c r="K5" s="538"/>
      <c r="L5" s="538"/>
      <c r="M5" s="538"/>
    </row>
    <row r="6" spans="1:13" ht="47.25">
      <c r="A6" s="1246" t="s">
        <v>415</v>
      </c>
      <c r="B6" s="871" t="s">
        <v>416</v>
      </c>
      <c r="C6" s="871" t="s">
        <v>417</v>
      </c>
      <c r="D6" s="2671" t="s">
        <v>418</v>
      </c>
      <c r="E6" s="2672"/>
      <c r="F6" s="2672"/>
      <c r="G6" s="872" t="s">
        <v>675</v>
      </c>
      <c r="H6" s="2627" t="s">
        <v>400</v>
      </c>
      <c r="I6" s="2628"/>
      <c r="J6" s="2617" t="s">
        <v>419</v>
      </c>
      <c r="K6" s="2617" t="s">
        <v>420</v>
      </c>
      <c r="L6" s="872" t="s">
        <v>421</v>
      </c>
      <c r="M6" s="872" t="s">
        <v>422</v>
      </c>
    </row>
    <row r="7" spans="1:13" ht="15.75">
      <c r="A7" s="1247"/>
      <c r="B7" s="873"/>
      <c r="C7" s="873"/>
      <c r="D7" s="874" t="s">
        <v>423</v>
      </c>
      <c r="E7" s="874" t="s">
        <v>936</v>
      </c>
      <c r="F7" s="874" t="s">
        <v>240</v>
      </c>
      <c r="G7" s="875"/>
      <c r="H7" s="874" t="s">
        <v>62</v>
      </c>
      <c r="I7" s="874" t="s">
        <v>424</v>
      </c>
      <c r="J7" s="2618"/>
      <c r="K7" s="2618"/>
      <c r="L7" s="876"/>
      <c r="M7" s="877"/>
    </row>
    <row r="8" spans="1:13" ht="30" customHeight="1">
      <c r="A8" s="2610">
        <v>79</v>
      </c>
      <c r="B8" s="2669" t="s">
        <v>425</v>
      </c>
      <c r="C8" s="2609" t="s">
        <v>426</v>
      </c>
      <c r="D8" s="2610">
        <v>82</v>
      </c>
      <c r="E8" s="2610" t="s">
        <v>427</v>
      </c>
      <c r="F8" s="2609" t="s">
        <v>428</v>
      </c>
      <c r="G8" s="2673" t="s">
        <v>429</v>
      </c>
      <c r="H8" s="2623" t="s">
        <v>430</v>
      </c>
      <c r="I8" s="2624"/>
      <c r="J8" s="2637">
        <v>2.0000000000000001E-4</v>
      </c>
      <c r="K8" s="2635">
        <f>I9-H9</f>
        <v>6.0516155252997361E-2</v>
      </c>
      <c r="L8" s="2621">
        <f>1/K8</f>
        <v>16.524513096037609</v>
      </c>
      <c r="M8" s="2614" t="s">
        <v>966</v>
      </c>
    </row>
    <row r="9" spans="1:13" ht="30" customHeight="1">
      <c r="A9" s="2641"/>
      <c r="B9" s="2670"/>
      <c r="C9" s="2608"/>
      <c r="D9" s="2611"/>
      <c r="E9" s="2611"/>
      <c r="F9" s="2608"/>
      <c r="G9" s="2613"/>
      <c r="H9" s="879">
        <f>164/370</f>
        <v>0.44324324324324327</v>
      </c>
      <c r="I9" s="879">
        <f>201/399</f>
        <v>0.50375939849624063</v>
      </c>
      <c r="J9" s="2638"/>
      <c r="K9" s="2636"/>
      <c r="L9" s="2622"/>
      <c r="M9" s="2615"/>
    </row>
    <row r="10" spans="1:13" ht="30" customHeight="1">
      <c r="A10" s="2610">
        <v>88</v>
      </c>
      <c r="B10" s="2609" t="s">
        <v>431</v>
      </c>
      <c r="C10" s="2609" t="s">
        <v>432</v>
      </c>
      <c r="D10" s="2610">
        <v>75</v>
      </c>
      <c r="E10" s="2610" t="s">
        <v>433</v>
      </c>
      <c r="F10" s="2612"/>
      <c r="G10" s="2609" t="s">
        <v>434</v>
      </c>
      <c r="H10" s="2623" t="s">
        <v>435</v>
      </c>
      <c r="I10" s="2624"/>
      <c r="J10" s="2637">
        <v>3.6999999999999998E-2</v>
      </c>
      <c r="K10" s="2633">
        <f>I11-H11</f>
        <v>0.121</v>
      </c>
      <c r="L10" s="2621">
        <f>1/K10</f>
        <v>8.2644628099173563</v>
      </c>
      <c r="M10" s="2615"/>
    </row>
    <row r="11" spans="1:13" ht="30" customHeight="1">
      <c r="A11" s="2611"/>
      <c r="B11" s="2608"/>
      <c r="C11" s="2608"/>
      <c r="D11" s="2611"/>
      <c r="E11" s="2611"/>
      <c r="F11" s="2613"/>
      <c r="G11" s="2608"/>
      <c r="H11" s="880">
        <v>0.186</v>
      </c>
      <c r="I11" s="880">
        <v>0.307</v>
      </c>
      <c r="J11" s="2638"/>
      <c r="K11" s="2634"/>
      <c r="L11" s="2622"/>
      <c r="M11" s="2616"/>
    </row>
    <row r="12" spans="1:13" ht="30" customHeight="1">
      <c r="A12" s="2640">
        <v>110</v>
      </c>
      <c r="B12" s="2619" t="s">
        <v>436</v>
      </c>
      <c r="C12" s="2619" t="s">
        <v>437</v>
      </c>
      <c r="D12" s="2640">
        <v>68.5</v>
      </c>
      <c r="E12" s="2640" t="s">
        <v>438</v>
      </c>
      <c r="F12" s="2660"/>
      <c r="G12" s="2607" t="s">
        <v>439</v>
      </c>
      <c r="H12" s="2623" t="s">
        <v>440</v>
      </c>
      <c r="I12" s="2624"/>
      <c r="J12" s="2609" t="s">
        <v>441</v>
      </c>
      <c r="K12" s="2633">
        <f>I13-H13</f>
        <v>7.3000000000000009E-2</v>
      </c>
      <c r="L12" s="2621">
        <f>1/K12</f>
        <v>13.698630136986299</v>
      </c>
      <c r="M12" s="2629" t="s">
        <v>442</v>
      </c>
    </row>
    <row r="13" spans="1:13" ht="30" customHeight="1">
      <c r="A13" s="2641"/>
      <c r="B13" s="2620"/>
      <c r="C13" s="2620"/>
      <c r="D13" s="2641"/>
      <c r="E13" s="2641"/>
      <c r="F13" s="2661"/>
      <c r="G13" s="2608"/>
      <c r="H13" s="880">
        <v>0.245</v>
      </c>
      <c r="I13" s="880">
        <v>0.318</v>
      </c>
      <c r="J13" s="2608"/>
      <c r="K13" s="2634"/>
      <c r="L13" s="2622"/>
      <c r="M13" s="2630"/>
    </row>
    <row r="14" spans="1:13" ht="30" customHeight="1">
      <c r="A14" s="2641"/>
      <c r="B14" s="2620"/>
      <c r="C14" s="2620"/>
      <c r="D14" s="2641"/>
      <c r="E14" s="2641"/>
      <c r="F14" s="2661"/>
      <c r="G14" s="445" t="s">
        <v>443</v>
      </c>
      <c r="H14" s="2623" t="s">
        <v>444</v>
      </c>
      <c r="I14" s="2624"/>
      <c r="J14" s="2609" t="s">
        <v>441</v>
      </c>
      <c r="K14" s="2633">
        <f>I15-H15</f>
        <v>8.2000000000000017E-2</v>
      </c>
      <c r="L14" s="2621">
        <f>1/K14</f>
        <v>12.195121951219509</v>
      </c>
      <c r="M14" s="2631"/>
    </row>
    <row r="15" spans="1:13" ht="30" customHeight="1">
      <c r="A15" s="2611"/>
      <c r="B15" s="2608"/>
      <c r="C15" s="2608"/>
      <c r="D15" s="2611"/>
      <c r="E15" s="2611"/>
      <c r="F15" s="2662"/>
      <c r="G15" s="445" t="s">
        <v>445</v>
      </c>
      <c r="H15" s="880">
        <v>0.25800000000000001</v>
      </c>
      <c r="I15" s="880">
        <v>0.34</v>
      </c>
      <c r="J15" s="2608"/>
      <c r="K15" s="2634"/>
      <c r="L15" s="2622"/>
      <c r="M15" s="2632"/>
    </row>
    <row r="16" spans="1:13" ht="27" customHeight="1">
      <c r="A16" s="36"/>
      <c r="B16" s="36"/>
      <c r="C16" s="36"/>
      <c r="D16" s="36"/>
      <c r="E16" s="36"/>
      <c r="F16" s="36"/>
      <c r="G16" s="389"/>
      <c r="H16" s="424"/>
      <c r="I16" s="424"/>
      <c r="J16" s="425"/>
      <c r="K16" s="425"/>
      <c r="L16" s="425"/>
      <c r="M16" s="389"/>
    </row>
    <row r="17" spans="1:13" s="42" customFormat="1" ht="21.75" customHeight="1">
      <c r="A17" s="824"/>
      <c r="B17" s="823" t="s">
        <v>446</v>
      </c>
      <c r="C17" s="824"/>
      <c r="D17" s="824"/>
      <c r="E17" s="824"/>
      <c r="F17" s="824"/>
      <c r="G17" s="824"/>
      <c r="H17" s="824"/>
      <c r="I17" s="824"/>
      <c r="J17" s="824"/>
      <c r="K17" s="824"/>
      <c r="L17" s="824"/>
      <c r="M17" s="824"/>
    </row>
    <row r="18" spans="1:13" s="42" customFormat="1" ht="24.95" customHeight="1">
      <c r="A18" s="2666"/>
      <c r="B18" s="2651" t="s">
        <v>447</v>
      </c>
      <c r="C18" s="2646" t="s">
        <v>448</v>
      </c>
      <c r="D18" s="2654"/>
      <c r="E18" s="2654"/>
      <c r="F18" s="2654"/>
      <c r="G18" s="2619" t="s">
        <v>449</v>
      </c>
      <c r="H18" s="2625" t="s">
        <v>450</v>
      </c>
      <c r="I18" s="2626"/>
      <c r="J18" s="2619"/>
      <c r="K18" s="2619"/>
      <c r="L18" s="2619"/>
      <c r="M18" s="2619"/>
    </row>
    <row r="19" spans="1:13" s="42" customFormat="1" ht="24.95" customHeight="1">
      <c r="A19" s="2667"/>
      <c r="B19" s="2652"/>
      <c r="C19" s="2647"/>
      <c r="D19" s="2655"/>
      <c r="E19" s="2655"/>
      <c r="F19" s="2655"/>
      <c r="G19" s="2620"/>
      <c r="H19" s="881">
        <v>0.24</v>
      </c>
      <c r="I19" s="881">
        <v>0.43</v>
      </c>
      <c r="J19" s="2620"/>
      <c r="K19" s="2620"/>
      <c r="L19" s="2620"/>
      <c r="M19" s="2620"/>
    </row>
    <row r="20" spans="1:13" s="42" customFormat="1" ht="24.95" customHeight="1">
      <c r="A20" s="2667"/>
      <c r="B20" s="2652"/>
      <c r="C20" s="2647"/>
      <c r="D20" s="2655"/>
      <c r="E20" s="2655"/>
      <c r="F20" s="2655"/>
      <c r="G20" s="2620"/>
      <c r="H20" s="2625" t="s">
        <v>451</v>
      </c>
      <c r="I20" s="2626"/>
      <c r="J20" s="2620"/>
      <c r="K20" s="2620"/>
      <c r="L20" s="2620"/>
      <c r="M20" s="2620"/>
    </row>
    <row r="21" spans="1:13" s="42" customFormat="1" ht="24.95" customHeight="1">
      <c r="A21" s="2667"/>
      <c r="B21" s="2652"/>
      <c r="C21" s="2647"/>
      <c r="D21" s="2655"/>
      <c r="E21" s="2655"/>
      <c r="F21" s="2655"/>
      <c r="G21" s="2620"/>
      <c r="H21" s="881">
        <v>0.82</v>
      </c>
      <c r="I21" s="881">
        <v>2.4500000000000002</v>
      </c>
      <c r="J21" s="2620"/>
      <c r="K21" s="2620"/>
      <c r="L21" s="2620"/>
      <c r="M21" s="2620"/>
    </row>
    <row r="22" spans="1:13" s="42" customFormat="1" ht="24.95" customHeight="1">
      <c r="A22" s="2667"/>
      <c r="B22" s="2652"/>
      <c r="C22" s="2647"/>
      <c r="D22" s="2655"/>
      <c r="E22" s="2655"/>
      <c r="F22" s="2655"/>
      <c r="G22" s="2620"/>
      <c r="H22" s="2625" t="s">
        <v>368</v>
      </c>
      <c r="I22" s="2626"/>
      <c r="J22" s="2620"/>
      <c r="K22" s="2620"/>
      <c r="L22" s="2620"/>
      <c r="M22" s="2620"/>
    </row>
    <row r="23" spans="1:13" s="42" customFormat="1" ht="24.95" customHeight="1">
      <c r="A23" s="2667"/>
      <c r="B23" s="2652"/>
      <c r="C23" s="2647"/>
      <c r="D23" s="2655"/>
      <c r="E23" s="2655"/>
      <c r="F23" s="2655"/>
      <c r="G23" s="2620"/>
      <c r="H23" s="881">
        <v>0.15</v>
      </c>
      <c r="I23" s="881">
        <v>0.31</v>
      </c>
      <c r="J23" s="2620"/>
      <c r="K23" s="2620"/>
      <c r="L23" s="2620"/>
      <c r="M23" s="2620"/>
    </row>
    <row r="24" spans="1:13" s="42" customFormat="1" ht="24.95" customHeight="1">
      <c r="A24" s="2667"/>
      <c r="B24" s="2652"/>
      <c r="C24" s="2647"/>
      <c r="D24" s="2655"/>
      <c r="E24" s="2655"/>
      <c r="F24" s="2655"/>
      <c r="G24" s="2620"/>
      <c r="H24" s="2623" t="s">
        <v>452</v>
      </c>
      <c r="I24" s="2624"/>
      <c r="J24" s="2620"/>
      <c r="K24" s="2620"/>
      <c r="L24" s="2620"/>
      <c r="M24" s="2620"/>
    </row>
    <row r="25" spans="1:13" s="42" customFormat="1" ht="24.95" customHeight="1">
      <c r="A25" s="2668"/>
      <c r="B25" s="2653"/>
      <c r="C25" s="2648"/>
      <c r="D25" s="2656"/>
      <c r="E25" s="2656"/>
      <c r="F25" s="2656"/>
      <c r="G25" s="2608"/>
      <c r="H25" s="450">
        <v>5.2</v>
      </c>
      <c r="I25" s="450">
        <v>4.9000000000000004</v>
      </c>
      <c r="J25" s="2608"/>
      <c r="K25" s="2608"/>
      <c r="L25" s="2608"/>
      <c r="M25" s="2608"/>
    </row>
    <row r="26" spans="1:13">
      <c r="A26" s="35"/>
      <c r="B26" s="35"/>
      <c r="C26" s="35"/>
      <c r="D26" s="35"/>
      <c r="E26" s="35"/>
      <c r="F26" s="35"/>
      <c r="G26" s="35"/>
      <c r="H26" s="35"/>
      <c r="I26" s="35"/>
      <c r="J26" s="35"/>
      <c r="K26" s="35"/>
      <c r="L26" s="35"/>
      <c r="M26" s="35"/>
    </row>
    <row r="27" spans="1:13">
      <c r="A27" s="35"/>
      <c r="B27" s="35"/>
      <c r="C27" s="35"/>
      <c r="D27" s="35"/>
      <c r="E27" s="35"/>
      <c r="F27" s="35"/>
      <c r="G27" s="35"/>
      <c r="H27" s="35"/>
      <c r="I27" s="35"/>
      <c r="J27" s="35"/>
      <c r="K27" s="35"/>
      <c r="L27" s="35"/>
      <c r="M27" s="35"/>
    </row>
    <row r="28" spans="1:13">
      <c r="A28" s="35"/>
      <c r="B28" s="35"/>
      <c r="C28" s="35"/>
      <c r="D28" s="35"/>
      <c r="E28" s="35"/>
      <c r="F28" s="35"/>
      <c r="G28" s="35"/>
      <c r="H28" s="35"/>
      <c r="I28" s="35"/>
      <c r="J28" s="35"/>
      <c r="K28" s="35"/>
      <c r="L28" s="35"/>
      <c r="M28" s="35"/>
    </row>
    <row r="29" spans="1:13" ht="88.5" customHeight="1">
      <c r="A29" s="2649" t="s">
        <v>414</v>
      </c>
      <c r="B29" s="2650"/>
      <c r="C29" s="2650"/>
      <c r="D29" s="2650"/>
      <c r="E29" s="2650"/>
      <c r="F29" s="2650"/>
      <c r="G29" s="2650"/>
      <c r="H29" s="2650"/>
      <c r="I29" s="2650"/>
      <c r="J29" s="2650"/>
      <c r="K29" s="2650"/>
      <c r="L29" s="2650"/>
      <c r="M29" s="2650"/>
    </row>
    <row r="30" spans="1:13">
      <c r="A30" s="35"/>
      <c r="B30" s="35"/>
      <c r="C30" s="35"/>
      <c r="D30" s="35"/>
      <c r="E30" s="35"/>
      <c r="F30" s="35"/>
      <c r="G30" s="35"/>
      <c r="H30" s="35"/>
      <c r="I30" s="35"/>
      <c r="J30" s="35"/>
      <c r="K30" s="35"/>
      <c r="L30" s="35"/>
      <c r="M30" s="35"/>
    </row>
    <row r="31" spans="1:13">
      <c r="A31" s="35"/>
      <c r="B31" s="35"/>
      <c r="C31" s="35"/>
      <c r="D31" s="35"/>
      <c r="E31" s="35"/>
      <c r="F31" s="35"/>
      <c r="G31" s="35"/>
      <c r="H31" s="35"/>
      <c r="I31" s="35"/>
      <c r="J31" s="35"/>
      <c r="K31" s="35"/>
      <c r="L31" s="35"/>
      <c r="M31" s="35"/>
    </row>
    <row r="32" spans="1:13" ht="15">
      <c r="A32" s="2663" t="s">
        <v>453</v>
      </c>
      <c r="B32" s="2664"/>
      <c r="C32" s="2665"/>
      <c r="D32" s="35"/>
      <c r="E32" s="35"/>
      <c r="F32" s="35"/>
      <c r="G32" s="865" t="s">
        <v>456</v>
      </c>
      <c r="H32" s="35"/>
      <c r="I32" s="35"/>
      <c r="J32" s="35"/>
      <c r="K32" s="35"/>
      <c r="L32" s="35"/>
      <c r="M32" s="35"/>
    </row>
    <row r="33" spans="1:13" ht="31.5">
      <c r="A33" s="1245" t="s">
        <v>415</v>
      </c>
      <c r="B33" s="2639" t="s">
        <v>416</v>
      </c>
      <c r="C33" s="2639"/>
      <c r="D33" s="35"/>
      <c r="E33" s="35"/>
      <c r="F33" s="35"/>
      <c r="G33" s="35"/>
      <c r="H33" s="35"/>
      <c r="I33" s="35"/>
      <c r="J33" s="35"/>
      <c r="K33" s="35"/>
      <c r="L33" s="35"/>
      <c r="M33" s="35"/>
    </row>
    <row r="34" spans="1:13">
      <c r="A34" s="54">
        <v>79</v>
      </c>
      <c r="B34" s="2644" t="s">
        <v>454</v>
      </c>
      <c r="C34" s="2645"/>
      <c r="D34" s="35"/>
      <c r="E34" s="35"/>
      <c r="F34" s="35"/>
      <c r="G34" s="35"/>
      <c r="H34" s="35"/>
      <c r="I34" s="35"/>
      <c r="J34" s="35"/>
      <c r="K34" s="35"/>
      <c r="L34" s="35"/>
      <c r="M34" s="35"/>
    </row>
    <row r="35" spans="1:13">
      <c r="A35" s="423">
        <v>99</v>
      </c>
      <c r="B35" s="2642" t="s">
        <v>455</v>
      </c>
      <c r="C35" s="2643"/>
      <c r="D35" s="35"/>
      <c r="E35" s="35"/>
      <c r="F35" s="35"/>
      <c r="G35" s="35"/>
      <c r="H35" s="35"/>
      <c r="I35" s="35"/>
      <c r="J35" s="35"/>
      <c r="K35" s="35"/>
      <c r="L35" s="35"/>
      <c r="M35" s="35"/>
    </row>
    <row r="36" spans="1:13">
      <c r="A36" s="35"/>
      <c r="B36" s="35"/>
      <c r="C36" s="35"/>
      <c r="D36" s="35"/>
      <c r="E36" s="35"/>
      <c r="F36" s="35"/>
      <c r="G36" s="35"/>
      <c r="H36" s="35"/>
      <c r="I36" s="35"/>
      <c r="J36" s="35"/>
      <c r="K36" s="35"/>
      <c r="L36" s="35"/>
      <c r="M36" s="35"/>
    </row>
    <row r="37" spans="1:13">
      <c r="A37" s="35"/>
      <c r="B37" s="35"/>
      <c r="C37" s="35"/>
      <c r="D37" s="35"/>
      <c r="E37" s="35"/>
      <c r="F37" s="35"/>
      <c r="G37" s="35"/>
      <c r="H37" s="35"/>
      <c r="I37" s="35"/>
      <c r="J37" s="35"/>
      <c r="K37" s="35"/>
      <c r="L37" s="35"/>
      <c r="M37" s="35"/>
    </row>
    <row r="38" spans="1:13">
      <c r="A38" s="35"/>
      <c r="B38" s="35"/>
      <c r="C38" s="35"/>
      <c r="D38" s="35"/>
      <c r="E38" s="35"/>
      <c r="F38" s="35"/>
      <c r="G38" s="35"/>
      <c r="H38" s="35"/>
      <c r="I38" s="35"/>
      <c r="J38" s="35"/>
      <c r="K38" s="35"/>
      <c r="L38" s="35"/>
      <c r="M38" s="35"/>
    </row>
    <row r="39" spans="1:13">
      <c r="A39" s="35"/>
      <c r="B39" s="35"/>
      <c r="C39" s="35"/>
      <c r="D39" s="35"/>
      <c r="E39" s="35"/>
      <c r="F39" s="35"/>
      <c r="G39" s="35"/>
      <c r="H39" s="35"/>
      <c r="I39" s="35"/>
      <c r="J39" s="35"/>
      <c r="K39" s="35"/>
      <c r="L39" s="35"/>
      <c r="M39" s="35"/>
    </row>
    <row r="40" spans="1:13">
      <c r="A40" s="35"/>
      <c r="B40" s="35"/>
      <c r="C40" s="35"/>
      <c r="D40" s="35"/>
      <c r="E40" s="35"/>
      <c r="F40" s="35"/>
      <c r="G40" s="35"/>
      <c r="H40" s="35"/>
      <c r="I40" s="35"/>
      <c r="J40" s="35"/>
      <c r="K40" s="35"/>
      <c r="L40" s="35"/>
      <c r="M40" s="35"/>
    </row>
    <row r="41" spans="1:13">
      <c r="A41" s="35"/>
      <c r="B41" s="35"/>
      <c r="C41" s="35"/>
      <c r="D41" s="35"/>
      <c r="E41" s="35"/>
      <c r="F41" s="35"/>
      <c r="G41" s="35"/>
      <c r="H41" s="35"/>
      <c r="I41" s="35"/>
      <c r="J41" s="35"/>
      <c r="K41" s="35"/>
      <c r="L41" s="35"/>
      <c r="M41" s="35"/>
    </row>
    <row r="42" spans="1:13">
      <c r="A42" s="35"/>
      <c r="B42" s="35"/>
      <c r="C42" s="35"/>
      <c r="D42" s="35"/>
      <c r="E42" s="35"/>
      <c r="F42" s="35"/>
      <c r="G42" s="35"/>
      <c r="H42" s="35"/>
      <c r="I42" s="35"/>
      <c r="J42" s="35"/>
      <c r="K42" s="35"/>
      <c r="L42" s="35"/>
      <c r="M42" s="35"/>
    </row>
    <row r="43" spans="1:13">
      <c r="A43" s="35"/>
      <c r="B43" s="35"/>
      <c r="C43" s="35"/>
      <c r="D43" s="35"/>
      <c r="E43" s="35"/>
      <c r="F43" s="35"/>
      <c r="G43" s="35"/>
      <c r="H43" s="35"/>
      <c r="I43" s="35"/>
      <c r="J43" s="35"/>
      <c r="K43" s="35"/>
      <c r="L43" s="35"/>
      <c r="M43" s="35"/>
    </row>
    <row r="44" spans="1:13">
      <c r="A44" s="35"/>
      <c r="B44" s="35"/>
      <c r="C44" s="35"/>
      <c r="D44" s="35"/>
      <c r="E44" s="35"/>
      <c r="F44" s="35"/>
      <c r="G44" s="35"/>
      <c r="H44" s="35"/>
      <c r="I44" s="35"/>
      <c r="J44" s="35"/>
      <c r="K44" s="35"/>
      <c r="L44" s="35"/>
      <c r="M44" s="35"/>
    </row>
    <row r="45" spans="1:13">
      <c r="A45" s="35"/>
      <c r="B45" s="35"/>
      <c r="C45" s="35"/>
      <c r="D45" s="35"/>
      <c r="E45" s="35"/>
      <c r="F45" s="35"/>
      <c r="G45" s="35"/>
      <c r="H45" s="35"/>
      <c r="I45" s="35"/>
      <c r="J45" s="35"/>
      <c r="K45" s="35"/>
      <c r="L45" s="35"/>
      <c r="M45" s="35"/>
    </row>
  </sheetData>
  <mergeCells count="64">
    <mergeCell ref="A2:G2"/>
    <mergeCell ref="A12:A15"/>
    <mergeCell ref="F12:F15"/>
    <mergeCell ref="E12:E15"/>
    <mergeCell ref="A32:C32"/>
    <mergeCell ref="A18:A25"/>
    <mergeCell ref="A8:A9"/>
    <mergeCell ref="B8:B9"/>
    <mergeCell ref="C8:C9"/>
    <mergeCell ref="A10:A11"/>
    <mergeCell ref="B10:B11"/>
    <mergeCell ref="D6:F6"/>
    <mergeCell ref="D8:D9"/>
    <mergeCell ref="E8:E9"/>
    <mergeCell ref="F8:F9"/>
    <mergeCell ref="G8:G9"/>
    <mergeCell ref="B33:C33"/>
    <mergeCell ref="D12:D15"/>
    <mergeCell ref="C12:C15"/>
    <mergeCell ref="B12:B15"/>
    <mergeCell ref="B35:C35"/>
    <mergeCell ref="B34:C34"/>
    <mergeCell ref="C18:C25"/>
    <mergeCell ref="A29:M29"/>
    <mergeCell ref="B18:B25"/>
    <mergeCell ref="D18:D25"/>
    <mergeCell ref="E18:E25"/>
    <mergeCell ref="G18:G25"/>
    <mergeCell ref="F18:F25"/>
    <mergeCell ref="J18:J25"/>
    <mergeCell ref="M18:M25"/>
    <mergeCell ref="H20:I20"/>
    <mergeCell ref="H8:I8"/>
    <mergeCell ref="L8:L9"/>
    <mergeCell ref="L10:L11"/>
    <mergeCell ref="J8:J9"/>
    <mergeCell ref="H22:I22"/>
    <mergeCell ref="H24:I24"/>
    <mergeCell ref="H18:I18"/>
    <mergeCell ref="H6:I6"/>
    <mergeCell ref="J6:J7"/>
    <mergeCell ref="M12:M15"/>
    <mergeCell ref="H14:I14"/>
    <mergeCell ref="J14:J15"/>
    <mergeCell ref="L14:L15"/>
    <mergeCell ref="H10:I10"/>
    <mergeCell ref="K14:K15"/>
    <mergeCell ref="K12:K13"/>
    <mergeCell ref="H12:I12"/>
    <mergeCell ref="J12:J13"/>
    <mergeCell ref="K8:K9"/>
    <mergeCell ref="K10:K11"/>
    <mergeCell ref="J10:J11"/>
    <mergeCell ref="M8:M11"/>
    <mergeCell ref="K6:K7"/>
    <mergeCell ref="L18:L25"/>
    <mergeCell ref="K18:K25"/>
    <mergeCell ref="L12:L13"/>
    <mergeCell ref="G12:G13"/>
    <mergeCell ref="C10:C11"/>
    <mergeCell ref="D10:D11"/>
    <mergeCell ref="E10:E11"/>
    <mergeCell ref="F10:F11"/>
    <mergeCell ref="G10:G11"/>
  </mergeCells>
  <pageMargins left="0.70866141732283472" right="0.70866141732283472" top="0.74803149606299213" bottom="0.74803149606299213" header="0.31496062992125984" footer="0.31496062992125984"/>
  <pageSetup paperSize="9" scale="47" orientation="landscape"/>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C000"/>
  </sheetPr>
  <dimension ref="A1:D7"/>
  <sheetViews>
    <sheetView showGridLines="0" zoomScale="75" zoomScaleNormal="75" zoomScalePageLayoutView="75" workbookViewId="0">
      <selection activeCell="A7" sqref="A7"/>
    </sheetView>
  </sheetViews>
  <sheetFormatPr defaultColWidth="8.85546875" defaultRowHeight="14.25"/>
  <cols>
    <col min="1" max="1" width="89.42578125" style="38" bestFit="1" customWidth="1"/>
    <col min="2" max="2" width="81" style="38" bestFit="1" customWidth="1"/>
    <col min="3" max="3" width="44" style="38" customWidth="1"/>
    <col min="4" max="4" width="25.42578125" style="38" customWidth="1"/>
    <col min="5" max="16384" width="8.85546875" style="38"/>
  </cols>
  <sheetData>
    <row r="1" spans="1:4" ht="26.1" customHeight="1">
      <c r="A1" s="1843" t="str">
        <f>HYPERLINK("[.\]Menu!A1", "Back to Menu")</f>
        <v>Back to Menu</v>
      </c>
      <c r="B1" s="1843" t="str">
        <f>HYPERLINK("[.\]Colocate_UTC!B2", "Back to co-location of UTC")</f>
        <v>Back to co-location of UTC</v>
      </c>
      <c r="C1" s="1794"/>
    </row>
    <row r="2" spans="1:4" ht="229.5" customHeight="1">
      <c r="A2" s="2674" t="s">
        <v>1328</v>
      </c>
      <c r="B2" s="2606"/>
      <c r="C2" s="42"/>
      <c r="D2" s="42"/>
    </row>
    <row r="4" spans="1:4" ht="15">
      <c r="A4" s="1239" t="s">
        <v>369</v>
      </c>
      <c r="B4" s="1239" t="s">
        <v>370</v>
      </c>
    </row>
    <row r="5" spans="1:4" ht="278.45" customHeight="1">
      <c r="A5" s="850" t="s">
        <v>952</v>
      </c>
      <c r="B5" s="850" t="s">
        <v>457</v>
      </c>
    </row>
    <row r="6" spans="1:4" ht="156.75">
      <c r="A6" s="416" t="s">
        <v>953</v>
      </c>
      <c r="B6" s="416" t="s">
        <v>458</v>
      </c>
    </row>
    <row r="7" spans="1:4" ht="71.25">
      <c r="A7" s="416" t="s">
        <v>954</v>
      </c>
      <c r="B7" s="416" t="s">
        <v>955</v>
      </c>
    </row>
  </sheetData>
  <mergeCells count="1">
    <mergeCell ref="A2:B2"/>
  </mergeCells>
  <pageMargins left="0.7" right="0.7" top="0.75" bottom="0.75" header="0.3" footer="0.3"/>
  <pageSetup paperSize="9" scale="51"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C000"/>
    <pageSetUpPr fitToPage="1"/>
  </sheetPr>
  <dimension ref="A1:I56"/>
  <sheetViews>
    <sheetView showGridLines="0" zoomScale="75" zoomScaleNormal="75" zoomScalePageLayoutView="75" workbookViewId="0">
      <pane ySplit="2" topLeftCell="A3" activePane="bottomLeft" state="frozen"/>
      <selection pane="bottomLeft"/>
    </sheetView>
  </sheetViews>
  <sheetFormatPr defaultColWidth="8.85546875" defaultRowHeight="14.25"/>
  <cols>
    <col min="1" max="2" width="70.7109375" style="38" customWidth="1"/>
    <col min="3" max="3" width="82.85546875" style="38" bestFit="1" customWidth="1"/>
    <col min="4" max="4" width="70.7109375" style="38" customWidth="1"/>
    <col min="5" max="16384" width="8.85546875" style="38"/>
  </cols>
  <sheetData>
    <row r="1" spans="1:9" ht="26.1" customHeight="1">
      <c r="A1" s="1843" t="str">
        <f>HYPERLINK("[.\]Menu!A1", "Back to Menu")</f>
        <v>Back to Menu</v>
      </c>
      <c r="B1" s="1843" t="str">
        <f>HYPERLINK("[.\]Enhanced_UCS!B2", "Back to enhanced urgent care standards")</f>
        <v>Back to enhanced urgent care standards</v>
      </c>
      <c r="C1" s="1794"/>
    </row>
    <row r="2" spans="1:9" ht="243" customHeight="1">
      <c r="A2" s="2623" t="s">
        <v>674</v>
      </c>
      <c r="B2" s="2675"/>
      <c r="C2" s="2675"/>
      <c r="D2" s="2675"/>
      <c r="E2" s="2676"/>
      <c r="F2" s="35"/>
      <c r="G2" s="35"/>
      <c r="H2" s="35"/>
      <c r="I2" s="35"/>
    </row>
    <row r="3" spans="1:9">
      <c r="A3" s="35"/>
      <c r="B3" s="35"/>
      <c r="C3" s="35"/>
      <c r="D3" s="35"/>
      <c r="E3" s="35"/>
      <c r="F3" s="35"/>
      <c r="G3" s="35"/>
      <c r="H3" s="35"/>
      <c r="I3" s="35"/>
    </row>
    <row r="4" spans="1:9">
      <c r="A4" s="35"/>
      <c r="B4" s="35"/>
      <c r="C4" s="35"/>
      <c r="D4" s="35"/>
      <c r="E4" s="35"/>
      <c r="F4" s="35"/>
      <c r="G4" s="35"/>
      <c r="H4" s="35"/>
      <c r="I4" s="35"/>
    </row>
    <row r="5" spans="1:9">
      <c r="A5" s="35"/>
      <c r="B5" s="35"/>
      <c r="C5" s="35"/>
      <c r="D5" s="35"/>
      <c r="E5" s="35"/>
      <c r="F5" s="35"/>
      <c r="G5" s="35"/>
      <c r="H5" s="35"/>
      <c r="I5" s="35"/>
    </row>
    <row r="6" spans="1:9" ht="15">
      <c r="A6" s="35"/>
      <c r="B6" s="2678" t="s">
        <v>459</v>
      </c>
      <c r="C6" s="2677"/>
      <c r="D6" s="2677"/>
      <c r="E6" s="35"/>
      <c r="F6" s="35"/>
      <c r="G6" s="35"/>
      <c r="H6" s="35"/>
      <c r="I6" s="35"/>
    </row>
    <row r="7" spans="1:9">
      <c r="A7" s="35"/>
      <c r="B7" s="859" t="s">
        <v>460</v>
      </c>
      <c r="C7" s="35"/>
      <c r="D7" s="35"/>
      <c r="E7" s="35"/>
      <c r="F7" s="35"/>
      <c r="G7" s="35"/>
      <c r="H7" s="35"/>
      <c r="I7" s="35"/>
    </row>
    <row r="8" spans="1:9">
      <c r="A8" s="35"/>
      <c r="B8" s="35"/>
      <c r="C8" s="35" t="s">
        <v>229</v>
      </c>
      <c r="D8" s="860">
        <v>10000</v>
      </c>
      <c r="E8" s="203"/>
      <c r="F8" s="35"/>
      <c r="G8" s="35"/>
      <c r="H8" s="35"/>
      <c r="I8" s="35"/>
    </row>
    <row r="9" spans="1:9">
      <c r="A9" s="35"/>
      <c r="B9" s="35"/>
      <c r="C9" s="35" t="s">
        <v>461</v>
      </c>
      <c r="D9" s="203">
        <f>(20+40)/2</f>
        <v>30</v>
      </c>
      <c r="E9" s="203"/>
      <c r="F9" s="35"/>
      <c r="G9" s="35"/>
      <c r="H9" s="35"/>
      <c r="I9" s="35"/>
    </row>
    <row r="10" spans="1:9">
      <c r="A10" s="35"/>
      <c r="B10" s="35"/>
      <c r="C10" s="35" t="s">
        <v>462</v>
      </c>
      <c r="D10" s="203">
        <f>D9/D22</f>
        <v>2</v>
      </c>
      <c r="E10" s="203"/>
      <c r="F10" s="35"/>
      <c r="G10" s="35"/>
      <c r="H10" s="35"/>
      <c r="I10" s="35"/>
    </row>
    <row r="11" spans="1:9">
      <c r="A11" s="35"/>
      <c r="B11" s="35" t="s">
        <v>463</v>
      </c>
      <c r="C11" s="35"/>
      <c r="D11" s="2679" t="s">
        <v>464</v>
      </c>
      <c r="E11" s="2679"/>
      <c r="F11" s="35"/>
      <c r="G11" s="35"/>
      <c r="H11" s="35"/>
      <c r="I11" s="35"/>
    </row>
    <row r="12" spans="1:9">
      <c r="A12" s="35"/>
      <c r="B12" s="35"/>
      <c r="C12" s="35"/>
      <c r="D12" s="203" t="s">
        <v>465</v>
      </c>
      <c r="E12" s="203"/>
      <c r="F12" s="35"/>
      <c r="G12" s="35"/>
      <c r="H12" s="35"/>
      <c r="I12" s="35"/>
    </row>
    <row r="13" spans="1:9">
      <c r="A13" s="35"/>
      <c r="B13" s="859" t="s">
        <v>466</v>
      </c>
      <c r="C13" s="35"/>
      <c r="D13" s="203"/>
      <c r="E13" s="203"/>
      <c r="F13" s="35"/>
      <c r="G13" s="35"/>
      <c r="H13" s="35"/>
      <c r="I13" s="35"/>
    </row>
    <row r="14" spans="1:9">
      <c r="A14" s="35"/>
      <c r="B14" s="2679" t="s">
        <v>467</v>
      </c>
      <c r="C14" s="2679"/>
      <c r="D14" s="861">
        <v>0.1</v>
      </c>
      <c r="E14" s="203"/>
      <c r="F14" s="35"/>
      <c r="G14" s="35"/>
      <c r="H14" s="35"/>
      <c r="I14" s="35"/>
    </row>
    <row r="15" spans="1:9">
      <c r="A15" s="35"/>
      <c r="B15" s="35"/>
      <c r="C15" s="35"/>
      <c r="D15" s="203"/>
      <c r="E15" s="203"/>
      <c r="F15" s="35"/>
      <c r="G15" s="35"/>
      <c r="H15" s="35"/>
      <c r="I15" s="35"/>
    </row>
    <row r="16" spans="1:9">
      <c r="A16" s="35"/>
      <c r="B16" s="859" t="s">
        <v>468</v>
      </c>
      <c r="C16" s="35" t="s">
        <v>684</v>
      </c>
      <c r="D16" s="203"/>
      <c r="E16" s="203"/>
      <c r="F16" s="35"/>
      <c r="G16" s="35"/>
      <c r="H16" s="35"/>
      <c r="I16" s="35"/>
    </row>
    <row r="17" spans="1:9">
      <c r="A17" s="35"/>
      <c r="B17" s="35" t="s">
        <v>469</v>
      </c>
      <c r="C17" s="35"/>
      <c r="D17" s="862">
        <f>(65%+80%)/2</f>
        <v>0.72500000000000009</v>
      </c>
      <c r="E17" s="203"/>
      <c r="F17" s="35"/>
      <c r="G17" s="35"/>
      <c r="H17" s="35"/>
      <c r="I17" s="35"/>
    </row>
    <row r="18" spans="1:9">
      <c r="A18" s="35"/>
      <c r="B18" s="35" t="s">
        <v>470</v>
      </c>
      <c r="C18" s="35"/>
      <c r="D18" s="861">
        <v>0.27</v>
      </c>
      <c r="E18" s="203"/>
      <c r="F18" s="35"/>
      <c r="G18" s="35"/>
      <c r="H18" s="35"/>
      <c r="I18" s="35"/>
    </row>
    <row r="19" spans="1:9">
      <c r="A19" s="35"/>
      <c r="B19" s="35"/>
      <c r="C19" s="35"/>
      <c r="D19" s="861"/>
      <c r="E19" s="203"/>
      <c r="F19" s="35"/>
      <c r="G19" s="35"/>
      <c r="H19" s="35"/>
      <c r="I19" s="35"/>
    </row>
    <row r="20" spans="1:9">
      <c r="A20" s="35"/>
      <c r="B20" s="859" t="s">
        <v>471</v>
      </c>
      <c r="C20" s="35"/>
      <c r="D20" s="861"/>
      <c r="E20" s="203"/>
      <c r="F20" s="35"/>
      <c r="G20" s="35"/>
      <c r="H20" s="35"/>
      <c r="I20" s="35"/>
    </row>
    <row r="21" spans="1:9">
      <c r="A21" s="35"/>
      <c r="B21" s="2679" t="s">
        <v>472</v>
      </c>
      <c r="C21" s="2679"/>
      <c r="D21" s="863" t="s">
        <v>473</v>
      </c>
      <c r="E21" s="203"/>
      <c r="F21" s="35"/>
      <c r="G21" s="35"/>
      <c r="H21" s="35"/>
      <c r="I21" s="35"/>
    </row>
    <row r="22" spans="1:9">
      <c r="A22" s="35"/>
      <c r="B22" s="2679" t="s">
        <v>474</v>
      </c>
      <c r="C22" s="2679"/>
      <c r="D22" s="863">
        <v>15</v>
      </c>
      <c r="E22" s="203"/>
      <c r="F22" s="35"/>
      <c r="G22" s="35"/>
      <c r="H22" s="35"/>
      <c r="I22" s="35"/>
    </row>
    <row r="23" spans="1:9">
      <c r="A23" s="35"/>
      <c r="B23" s="35" t="s">
        <v>475</v>
      </c>
      <c r="C23" s="35"/>
      <c r="D23" s="35"/>
      <c r="E23" s="35"/>
      <c r="F23" s="35"/>
      <c r="G23" s="35"/>
      <c r="H23" s="35"/>
      <c r="I23" s="35"/>
    </row>
    <row r="24" spans="1:9">
      <c r="A24" s="35"/>
      <c r="B24" s="35"/>
      <c r="C24" s="35" t="s">
        <v>461</v>
      </c>
      <c r="D24" s="35">
        <v>2</v>
      </c>
      <c r="E24" s="35"/>
      <c r="F24" s="35"/>
      <c r="G24" s="35"/>
      <c r="H24" s="35"/>
      <c r="I24" s="35"/>
    </row>
    <row r="25" spans="1:9">
      <c r="A25" s="35"/>
      <c r="B25" s="35"/>
      <c r="C25" s="35" t="s">
        <v>476</v>
      </c>
      <c r="D25" s="35">
        <f>D24*7</f>
        <v>14</v>
      </c>
      <c r="E25" s="35"/>
      <c r="F25" s="35"/>
      <c r="G25" s="35"/>
      <c r="H25" s="35"/>
      <c r="I25" s="35"/>
    </row>
    <row r="26" spans="1:9">
      <c r="A26" s="35"/>
      <c r="B26" s="35"/>
      <c r="C26" s="35" t="s">
        <v>477</v>
      </c>
      <c r="D26" s="864">
        <f>D27/12</f>
        <v>60.833333333333336</v>
      </c>
      <c r="E26" s="35"/>
      <c r="F26" s="35"/>
      <c r="G26" s="35"/>
      <c r="H26" s="35"/>
      <c r="I26" s="35"/>
    </row>
    <row r="27" spans="1:9">
      <c r="A27" s="35"/>
      <c r="B27" s="35"/>
      <c r="C27" s="35" t="s">
        <v>229</v>
      </c>
      <c r="D27" s="35">
        <f>D24*365</f>
        <v>730</v>
      </c>
      <c r="E27" s="35"/>
      <c r="F27" s="35"/>
      <c r="G27" s="35"/>
      <c r="H27" s="35"/>
      <c r="I27" s="35"/>
    </row>
    <row r="28" spans="1:9">
      <c r="A28" s="35"/>
      <c r="B28" s="35"/>
      <c r="C28" s="35"/>
      <c r="D28" s="35"/>
      <c r="E28" s="35"/>
      <c r="F28" s="35"/>
      <c r="G28" s="35"/>
      <c r="H28" s="35"/>
      <c r="I28" s="35"/>
    </row>
    <row r="29" spans="1:9">
      <c r="A29" s="35"/>
      <c r="B29" s="859" t="s">
        <v>478</v>
      </c>
      <c r="C29" s="35"/>
      <c r="D29" s="35"/>
      <c r="E29" s="35"/>
      <c r="F29" s="35"/>
      <c r="G29" s="35"/>
      <c r="H29" s="35"/>
      <c r="I29" s="35"/>
    </row>
    <row r="30" spans="1:9">
      <c r="A30" s="35"/>
      <c r="B30" s="2677" t="s">
        <v>479</v>
      </c>
      <c r="C30" s="2677"/>
      <c r="D30" s="2677"/>
      <c r="E30" s="2677"/>
      <c r="F30" s="2677"/>
      <c r="G30" s="2677"/>
      <c r="H30" s="2677"/>
      <c r="I30" s="2677"/>
    </row>
    <row r="31" spans="1:9">
      <c r="A31" s="35"/>
      <c r="B31" s="35"/>
      <c r="C31" s="35"/>
      <c r="D31" s="35"/>
      <c r="E31" s="35"/>
      <c r="F31" s="35"/>
      <c r="G31" s="35"/>
      <c r="H31" s="35"/>
      <c r="I31" s="35"/>
    </row>
    <row r="32" spans="1:9" ht="15">
      <c r="A32" s="35"/>
      <c r="B32" s="865" t="s">
        <v>273</v>
      </c>
      <c r="C32" s="35"/>
      <c r="D32" s="35"/>
      <c r="E32" s="35"/>
      <c r="F32" s="35"/>
      <c r="G32" s="35"/>
      <c r="H32" s="35"/>
      <c r="I32" s="35"/>
    </row>
    <row r="33" spans="1:9">
      <c r="A33" s="35"/>
      <c r="B33" s="2677" t="s">
        <v>480</v>
      </c>
      <c r="C33" s="2677"/>
      <c r="D33" s="2677"/>
      <c r="E33" s="2677"/>
      <c r="F33" s="2677"/>
      <c r="G33" s="2677"/>
      <c r="H33" s="2677"/>
      <c r="I33" s="2677"/>
    </row>
    <row r="34" spans="1:9">
      <c r="A34" s="35"/>
      <c r="B34" s="2677" t="s">
        <v>481</v>
      </c>
      <c r="C34" s="2677"/>
      <c r="D34" s="2677"/>
      <c r="E34" s="2677"/>
      <c r="F34" s="2677"/>
      <c r="G34" s="2677"/>
      <c r="H34" s="2677"/>
      <c r="I34" s="2677"/>
    </row>
    <row r="35" spans="1:9">
      <c r="A35" s="35"/>
      <c r="B35" s="2677"/>
      <c r="C35" s="2677"/>
      <c r="D35" s="2677"/>
      <c r="E35" s="2677"/>
      <c r="F35" s="2677"/>
      <c r="G35" s="2677"/>
      <c r="H35" s="2677"/>
      <c r="I35" s="2677"/>
    </row>
    <row r="36" spans="1:9">
      <c r="A36" s="35"/>
      <c r="B36" s="35"/>
      <c r="C36" s="35"/>
      <c r="D36" s="35"/>
      <c r="E36" s="35"/>
      <c r="F36" s="35"/>
      <c r="G36" s="35"/>
      <c r="H36" s="35"/>
      <c r="I36" s="35"/>
    </row>
    <row r="37" spans="1:9" ht="15">
      <c r="A37" s="865" t="s">
        <v>482</v>
      </c>
      <c r="B37" s="35"/>
      <c r="C37" s="35"/>
      <c r="D37" s="35"/>
      <c r="E37" s="35"/>
      <c r="F37" s="35"/>
      <c r="G37" s="35"/>
      <c r="H37" s="35"/>
      <c r="I37" s="35"/>
    </row>
    <row r="38" spans="1:9">
      <c r="A38" s="35"/>
      <c r="B38" s="35"/>
      <c r="C38" s="35"/>
      <c r="D38" s="35"/>
      <c r="E38" s="35"/>
      <c r="F38" s="35"/>
      <c r="G38" s="35"/>
      <c r="H38" s="35"/>
      <c r="I38" s="35"/>
    </row>
    <row r="39" spans="1:9" ht="15">
      <c r="A39" s="35"/>
      <c r="B39" s="866" t="s">
        <v>416</v>
      </c>
      <c r="C39" s="867" t="s">
        <v>483</v>
      </c>
      <c r="D39" s="866" t="s">
        <v>484</v>
      </c>
      <c r="E39" s="35"/>
      <c r="F39" s="35"/>
      <c r="G39" s="35"/>
      <c r="H39" s="35"/>
      <c r="I39" s="35"/>
    </row>
    <row r="40" spans="1:9" ht="42.75">
      <c r="A40" s="35"/>
      <c r="B40" s="868" t="s">
        <v>485</v>
      </c>
      <c r="C40" s="165" t="s">
        <v>486</v>
      </c>
      <c r="D40" s="868" t="s">
        <v>487</v>
      </c>
      <c r="E40" s="35"/>
      <c r="F40" s="35"/>
      <c r="G40" s="35"/>
      <c r="H40" s="35"/>
      <c r="I40" s="35"/>
    </row>
    <row r="41" spans="1:9">
      <c r="A41" s="35"/>
      <c r="B41" s="868" t="s">
        <v>488</v>
      </c>
      <c r="C41" s="165" t="s">
        <v>489</v>
      </c>
      <c r="D41" s="35"/>
      <c r="E41" s="35"/>
      <c r="F41" s="35"/>
      <c r="G41" s="35"/>
      <c r="H41" s="35"/>
      <c r="I41" s="35"/>
    </row>
    <row r="42" spans="1:9">
      <c r="A42" s="35"/>
      <c r="B42" s="35"/>
      <c r="C42" s="35"/>
      <c r="D42" s="35"/>
      <c r="E42" s="35"/>
      <c r="F42" s="35"/>
      <c r="G42" s="35"/>
      <c r="H42" s="35"/>
      <c r="I42" s="35"/>
    </row>
    <row r="43" spans="1:9">
      <c r="A43" s="35"/>
      <c r="B43" s="35"/>
      <c r="C43" s="35"/>
      <c r="D43" s="35"/>
      <c r="E43" s="35"/>
      <c r="F43" s="35"/>
      <c r="G43" s="35"/>
      <c r="H43" s="35"/>
      <c r="I43" s="35"/>
    </row>
    <row r="44" spans="1:9">
      <c r="A44" s="35"/>
      <c r="B44" s="35"/>
      <c r="C44" s="35"/>
      <c r="D44" s="35"/>
      <c r="E44" s="35"/>
      <c r="F44" s="35"/>
      <c r="G44" s="35"/>
      <c r="H44" s="35"/>
      <c r="I44" s="35"/>
    </row>
    <row r="45" spans="1:9">
      <c r="A45" s="35"/>
      <c r="B45" s="35"/>
      <c r="C45" s="35"/>
      <c r="D45" s="35"/>
      <c r="E45" s="35"/>
      <c r="F45" s="35"/>
      <c r="G45" s="35"/>
      <c r="H45" s="35"/>
      <c r="I45" s="35"/>
    </row>
    <row r="46" spans="1:9" ht="42.75">
      <c r="A46" s="35"/>
      <c r="B46" s="866" t="s">
        <v>490</v>
      </c>
      <c r="C46" s="165" t="s">
        <v>491</v>
      </c>
      <c r="D46" s="35"/>
      <c r="E46" s="35"/>
      <c r="F46" s="35"/>
      <c r="G46" s="35"/>
      <c r="H46" s="35"/>
      <c r="I46" s="35"/>
    </row>
    <row r="47" spans="1:9" ht="28.5">
      <c r="A47" s="35"/>
      <c r="B47" s="866"/>
      <c r="C47" s="165" t="s">
        <v>492</v>
      </c>
      <c r="D47" s="35"/>
      <c r="E47" s="35"/>
      <c r="F47" s="35"/>
      <c r="G47" s="35"/>
      <c r="H47" s="35"/>
      <c r="I47" s="35"/>
    </row>
    <row r="48" spans="1:9">
      <c r="A48" s="35"/>
      <c r="B48" s="203"/>
      <c r="C48" s="165" t="s">
        <v>493</v>
      </c>
      <c r="D48" s="35"/>
      <c r="E48" s="35"/>
      <c r="F48" s="35"/>
      <c r="G48" s="35"/>
      <c r="H48" s="35"/>
      <c r="I48" s="35"/>
    </row>
    <row r="49" spans="1:9" ht="28.5">
      <c r="A49" s="35"/>
      <c r="B49" s="203"/>
      <c r="C49" s="165" t="s">
        <v>673</v>
      </c>
      <c r="D49" s="35"/>
      <c r="E49" s="35"/>
      <c r="F49" s="35"/>
      <c r="G49" s="35"/>
      <c r="H49" s="35"/>
      <c r="I49" s="35"/>
    </row>
    <row r="50" spans="1:9" ht="15">
      <c r="A50" s="35"/>
      <c r="B50" s="866" t="s">
        <v>494</v>
      </c>
      <c r="C50" s="165"/>
      <c r="D50" s="35"/>
      <c r="E50" s="35"/>
      <c r="F50" s="35"/>
      <c r="G50" s="35"/>
      <c r="H50" s="35"/>
      <c r="I50" s="35"/>
    </row>
    <row r="51" spans="1:9" ht="28.5">
      <c r="A51" s="35"/>
      <c r="B51" s="203"/>
      <c r="C51" s="165" t="s">
        <v>495</v>
      </c>
      <c r="D51" s="35"/>
      <c r="E51" s="35"/>
      <c r="F51" s="35"/>
      <c r="G51" s="35"/>
      <c r="H51" s="35"/>
      <c r="I51" s="35"/>
    </row>
    <row r="52" spans="1:9" ht="99.75">
      <c r="A52" s="35"/>
      <c r="B52" s="35"/>
      <c r="C52" s="165" t="s">
        <v>956</v>
      </c>
      <c r="D52" s="35"/>
      <c r="E52" s="35"/>
      <c r="F52" s="35"/>
      <c r="G52" s="35"/>
      <c r="H52" s="35"/>
      <c r="I52" s="35"/>
    </row>
    <row r="53" spans="1:9">
      <c r="A53" s="35"/>
      <c r="B53" s="35"/>
      <c r="C53" s="165" t="s">
        <v>496</v>
      </c>
      <c r="D53" s="35"/>
      <c r="E53" s="35"/>
      <c r="F53" s="35"/>
      <c r="G53" s="35"/>
      <c r="H53" s="35"/>
      <c r="I53" s="35"/>
    </row>
    <row r="54" spans="1:9" ht="71.25">
      <c r="A54" s="35"/>
      <c r="B54" s="35"/>
      <c r="C54" s="165" t="s">
        <v>666</v>
      </c>
      <c r="D54" s="35"/>
      <c r="E54" s="35"/>
      <c r="F54" s="35"/>
      <c r="G54" s="35"/>
      <c r="H54" s="35"/>
      <c r="I54" s="35"/>
    </row>
    <row r="55" spans="1:9" ht="57">
      <c r="A55" s="35"/>
      <c r="B55" s="203"/>
      <c r="C55" s="165" t="s">
        <v>497</v>
      </c>
      <c r="D55" s="35"/>
      <c r="E55" s="35"/>
      <c r="F55" s="35"/>
      <c r="G55" s="35"/>
      <c r="H55" s="35"/>
      <c r="I55" s="35"/>
    </row>
    <row r="56" spans="1:9" ht="85.5">
      <c r="A56" s="35"/>
      <c r="B56" s="203"/>
      <c r="C56" s="430" t="s">
        <v>957</v>
      </c>
      <c r="D56" s="35"/>
      <c r="E56" s="35"/>
      <c r="F56" s="35"/>
      <c r="G56" s="35"/>
      <c r="H56" s="35"/>
      <c r="I56" s="35"/>
    </row>
  </sheetData>
  <mergeCells count="10">
    <mergeCell ref="A2:E2"/>
    <mergeCell ref="B30:I30"/>
    <mergeCell ref="B33:I33"/>
    <mergeCell ref="B34:I34"/>
    <mergeCell ref="B35:I35"/>
    <mergeCell ref="B6:D6"/>
    <mergeCell ref="D11:E11"/>
    <mergeCell ref="B14:C14"/>
    <mergeCell ref="B21:C21"/>
    <mergeCell ref="B22:C22"/>
  </mergeCells>
  <pageMargins left="0.70866141732283472" right="0.70866141732283472" top="0.74803149606299213" bottom="0.74803149606299213" header="0.31496062992125984" footer="0.31496062992125984"/>
  <pageSetup paperSize="9" scale="43" fitToHeight="0" orientation="landscape"/>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C000"/>
    <pageSetUpPr fitToPage="1"/>
  </sheetPr>
  <dimension ref="A1:D17"/>
  <sheetViews>
    <sheetView showGridLines="0" zoomScale="75" zoomScaleNormal="75" zoomScalePageLayoutView="75" workbookViewId="0"/>
  </sheetViews>
  <sheetFormatPr defaultColWidth="8.85546875" defaultRowHeight="14.25"/>
  <cols>
    <col min="1" max="4" width="70.7109375" style="38" customWidth="1"/>
    <col min="5" max="16384" width="8.85546875" style="38"/>
  </cols>
  <sheetData>
    <row r="1" spans="1:4" ht="26.1" customHeight="1">
      <c r="A1" s="1843" t="str">
        <f>HYPERLINK("[.\]Menu!A1", "Back to Menu")</f>
        <v>Back to Menu</v>
      </c>
      <c r="B1" s="1843" t="str">
        <f>HYPERLINK("[.\]GP_Hours!B2", "Back to GP extended hours")</f>
        <v>Back to GP extended hours</v>
      </c>
      <c r="C1" s="1794"/>
    </row>
    <row r="2" spans="1:4" ht="15">
      <c r="A2" s="2680" t="s">
        <v>965</v>
      </c>
      <c r="B2" s="2681"/>
      <c r="C2" s="2682"/>
      <c r="D2" s="42"/>
    </row>
    <row r="3" spans="1:4" ht="15">
      <c r="A3" s="2683" t="s">
        <v>963</v>
      </c>
      <c r="B3" s="2684"/>
      <c r="C3" s="2685"/>
    </row>
    <row r="4" spans="1:4" ht="15">
      <c r="A4" s="2686" t="s">
        <v>964</v>
      </c>
      <c r="B4" s="2687"/>
      <c r="C4" s="2688"/>
    </row>
    <row r="6" spans="1:4" ht="28.5">
      <c r="A6" s="852" t="s">
        <v>498</v>
      </c>
      <c r="B6" s="853" t="s">
        <v>499</v>
      </c>
      <c r="C6" s="854" t="s">
        <v>500</v>
      </c>
    </row>
    <row r="7" spans="1:4">
      <c r="A7" s="190"/>
      <c r="B7" s="36"/>
      <c r="C7" s="359"/>
    </row>
    <row r="8" spans="1:4">
      <c r="A8" s="190" t="s">
        <v>501</v>
      </c>
      <c r="B8" s="36"/>
      <c r="C8" s="359"/>
    </row>
    <row r="9" spans="1:4">
      <c r="A9" s="190" t="s">
        <v>139</v>
      </c>
      <c r="B9" s="36" t="s">
        <v>502</v>
      </c>
      <c r="C9" s="359" t="s">
        <v>503</v>
      </c>
    </row>
    <row r="10" spans="1:4">
      <c r="A10" s="190" t="s">
        <v>504</v>
      </c>
      <c r="B10" s="855">
        <v>2.6315789473684212</v>
      </c>
      <c r="C10" s="856">
        <v>142000</v>
      </c>
    </row>
    <row r="11" spans="1:4">
      <c r="A11" s="190" t="s">
        <v>505</v>
      </c>
      <c r="B11" s="855">
        <v>7.1428571428571423</v>
      </c>
      <c r="C11" s="856">
        <v>22000</v>
      </c>
    </row>
    <row r="12" spans="1:4">
      <c r="A12" s="190" t="s">
        <v>506</v>
      </c>
      <c r="B12" s="855">
        <v>25</v>
      </c>
      <c r="C12" s="856">
        <v>43000</v>
      </c>
    </row>
    <row r="13" spans="1:4">
      <c r="A13" s="308" t="s">
        <v>98</v>
      </c>
      <c r="B13" s="857"/>
      <c r="C13" s="858">
        <v>207000</v>
      </c>
    </row>
    <row r="17" spans="3:3">
      <c r="C17" s="38" t="s">
        <v>684</v>
      </c>
    </row>
  </sheetData>
  <mergeCells count="3">
    <mergeCell ref="A2:C2"/>
    <mergeCell ref="A3:C3"/>
    <mergeCell ref="A4:C4"/>
  </mergeCells>
  <pageMargins left="0.70866141732283472" right="0.70866141732283472" top="0.74803149606299213" bottom="0.74803149606299213" header="0.31496062992125984" footer="0.31496062992125984"/>
  <pageSetup paperSize="9" scale="61" orientation="landscape"/>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C000"/>
  </sheetPr>
  <dimension ref="A1:D17"/>
  <sheetViews>
    <sheetView showGridLines="0" zoomScale="75" zoomScaleNormal="75" zoomScalePageLayoutView="75" workbookViewId="0">
      <selection activeCell="B1" sqref="B1"/>
    </sheetView>
  </sheetViews>
  <sheetFormatPr defaultColWidth="8.85546875" defaultRowHeight="14.25"/>
  <cols>
    <col min="1" max="1" width="70.7109375" style="38" customWidth="1"/>
    <col min="2" max="2" width="63.7109375" style="38" customWidth="1"/>
    <col min="3" max="3" width="49.85546875" style="38" customWidth="1"/>
    <col min="4" max="4" width="70.7109375" style="38" customWidth="1"/>
    <col min="5" max="16384" width="8.85546875" style="38"/>
  </cols>
  <sheetData>
    <row r="1" spans="1:4" ht="26.1" customHeight="1">
      <c r="A1" s="1843" t="str">
        <f>HYPERLINK("[.\]Menu!A1", "Back to Menu")</f>
        <v>Back to Menu</v>
      </c>
      <c r="B1" s="1843" t="str">
        <f>HYPERLINK("[.\]PGD_Minor_ailments!B2", "Back to PGD minor ailments service")</f>
        <v>Back to PGD minor ailments service</v>
      </c>
      <c r="C1" s="1843" t="str">
        <f>HYPERLINK("[.\]Emergency_medication_supply!B2", "Back to emergency medication supply")</f>
        <v>Back to emergency medication supply</v>
      </c>
    </row>
    <row r="3" spans="1:4" ht="212.25" customHeight="1">
      <c r="A3" s="2689" t="s">
        <v>668</v>
      </c>
      <c r="B3" s="2689"/>
      <c r="C3" s="285"/>
      <c r="D3" s="285"/>
    </row>
    <row r="4" spans="1:4" ht="15">
      <c r="A4" s="883" t="s">
        <v>400</v>
      </c>
      <c r="B4" s="883" t="s">
        <v>986</v>
      </c>
    </row>
    <row r="5" spans="1:4" ht="42.75">
      <c r="A5" s="765" t="s">
        <v>507</v>
      </c>
      <c r="B5" s="765" t="s">
        <v>508</v>
      </c>
    </row>
    <row r="6" spans="1:4" ht="42.75">
      <c r="A6" s="765" t="s">
        <v>509</v>
      </c>
      <c r="B6" s="766" t="s">
        <v>510</v>
      </c>
    </row>
    <row r="7" spans="1:4" ht="57">
      <c r="A7" s="765" t="s">
        <v>511</v>
      </c>
      <c r="B7" s="765" t="s">
        <v>512</v>
      </c>
    </row>
    <row r="17" spans="3:3">
      <c r="C17" s="38" t="s">
        <v>684</v>
      </c>
    </row>
  </sheetData>
  <mergeCells count="1">
    <mergeCell ref="A3:B3"/>
  </mergeCells>
  <hyperlinks>
    <hyperlink ref="B6" r:id="rId1"/>
  </hyperlinks>
  <pageMargins left="0.7" right="0.7" top="0.75" bottom="0.75" header="0.3" footer="0.3"/>
  <pageSetup paperSize="9" scale="61" orientation="portrait"/>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C000"/>
    <pageSetUpPr fitToPage="1"/>
  </sheetPr>
  <dimension ref="A1:D17"/>
  <sheetViews>
    <sheetView showGridLines="0" zoomScale="75" zoomScaleNormal="75" zoomScalePageLayoutView="75" workbookViewId="0">
      <selection activeCell="C1" sqref="C1"/>
    </sheetView>
  </sheetViews>
  <sheetFormatPr defaultColWidth="8.85546875" defaultRowHeight="14.25"/>
  <cols>
    <col min="1" max="1" width="15" style="38" bestFit="1" customWidth="1"/>
    <col min="2" max="2" width="75.140625" style="38" customWidth="1"/>
    <col min="3" max="3" width="34.140625" style="38" customWidth="1"/>
    <col min="4" max="4" width="70.7109375" style="38" customWidth="1"/>
    <col min="5" max="16384" width="8.85546875" style="38"/>
  </cols>
  <sheetData>
    <row r="1" spans="1:4" ht="26.1" customHeight="1">
      <c r="A1" s="1843" t="str">
        <f>HYPERLINK("[.\]Menu!A1", "Back to Menu")</f>
        <v>Back to Menu</v>
      </c>
      <c r="B1" s="1843" t="str">
        <f>HYPERLINK("[.\]IP_drug_reconciliation!B2", "Back to IP drug reconciliation")</f>
        <v>Back to IP drug reconciliation</v>
      </c>
      <c r="C1" s="1843" t="str">
        <f>HYPERLINK("[.\]SCR_in_ED!B2", "Back to SCR use in ED")</f>
        <v>Back to SCR use in ED</v>
      </c>
    </row>
    <row r="3" spans="1:4" ht="378.75" customHeight="1">
      <c r="A3" s="2690" t="s">
        <v>962</v>
      </c>
      <c r="B3" s="2691"/>
      <c r="C3" s="2691"/>
      <c r="D3" s="2692"/>
    </row>
    <row r="5" spans="1:4" ht="15.75">
      <c r="A5" s="822" t="s">
        <v>385</v>
      </c>
      <c r="B5" s="822" t="s">
        <v>400</v>
      </c>
      <c r="C5" s="822" t="s">
        <v>370</v>
      </c>
      <c r="D5" s="822" t="s">
        <v>513</v>
      </c>
    </row>
    <row r="6" spans="1:4" ht="28.5">
      <c r="A6" s="762" t="s">
        <v>514</v>
      </c>
      <c r="B6" s="850" t="s">
        <v>515</v>
      </c>
      <c r="C6" s="850" t="s">
        <v>516</v>
      </c>
      <c r="D6" s="762" t="s">
        <v>517</v>
      </c>
    </row>
    <row r="7" spans="1:4" ht="57">
      <c r="A7" s="763">
        <v>2</v>
      </c>
      <c r="B7" s="850" t="s">
        <v>518</v>
      </c>
      <c r="C7" s="850" t="s">
        <v>519</v>
      </c>
      <c r="D7" s="762" t="s">
        <v>520</v>
      </c>
    </row>
    <row r="8" spans="1:4" ht="42.75">
      <c r="A8" s="763">
        <v>3</v>
      </c>
      <c r="B8" s="850" t="s">
        <v>521</v>
      </c>
      <c r="C8" s="850" t="s">
        <v>522</v>
      </c>
      <c r="D8" s="762" t="s">
        <v>523</v>
      </c>
    </row>
    <row r="9" spans="1:4" ht="128.25">
      <c r="A9" s="763">
        <v>4</v>
      </c>
      <c r="B9" s="850" t="s">
        <v>524</v>
      </c>
      <c r="C9" s="850" t="s">
        <v>525</v>
      </c>
      <c r="D9" s="825" t="s">
        <v>526</v>
      </c>
    </row>
    <row r="10" spans="1:4" ht="71.25">
      <c r="A10" s="763" t="s">
        <v>527</v>
      </c>
      <c r="B10" s="850" t="s">
        <v>528</v>
      </c>
      <c r="C10" s="850" t="s">
        <v>529</v>
      </c>
      <c r="D10" s="762" t="s">
        <v>530</v>
      </c>
    </row>
    <row r="11" spans="1:4" ht="42.75">
      <c r="A11" s="763">
        <v>7</v>
      </c>
      <c r="B11" s="850" t="s">
        <v>531</v>
      </c>
      <c r="C11" s="850" t="s">
        <v>532</v>
      </c>
      <c r="D11" s="762"/>
    </row>
    <row r="12" spans="1:4">
      <c r="A12" s="763"/>
      <c r="B12" s="851" t="s">
        <v>533</v>
      </c>
      <c r="C12" s="763"/>
      <c r="D12" s="762" t="s">
        <v>534</v>
      </c>
    </row>
    <row r="13" spans="1:4" ht="42.75">
      <c r="A13" s="763"/>
      <c r="B13" s="850" t="s">
        <v>935</v>
      </c>
      <c r="C13" s="850" t="s">
        <v>522</v>
      </c>
      <c r="D13" s="762" t="s">
        <v>523</v>
      </c>
    </row>
    <row r="14" spans="1:4">
      <c r="B14" s="534"/>
      <c r="C14" s="534"/>
      <c r="D14" s="534"/>
    </row>
    <row r="15" spans="1:4">
      <c r="B15" s="534"/>
      <c r="C15" s="534"/>
      <c r="D15" s="534"/>
    </row>
    <row r="16" spans="1:4">
      <c r="B16" s="534"/>
      <c r="C16" s="534"/>
      <c r="D16" s="534"/>
    </row>
    <row r="17" spans="2:4">
      <c r="B17" s="534"/>
      <c r="C17" s="534" t="s">
        <v>684</v>
      </c>
      <c r="D17" s="534"/>
    </row>
  </sheetData>
  <mergeCells count="1">
    <mergeCell ref="A3:D3"/>
  </mergeCells>
  <hyperlinks>
    <hyperlink ref="D9" r:id="rId1" location="medicines-reconciliation"/>
  </hyperlinks>
  <pageMargins left="0.70866141732283472" right="0.70866141732283472" top="0.74803149606299213" bottom="0.74803149606299213" header="0.31496062992125984" footer="0.31496062992125984"/>
  <pageSetup paperSize="9" scale="59" orientation="landscape"/>
  <drawing r:id="rId2"/>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C000"/>
    <pageSetUpPr fitToPage="1"/>
  </sheetPr>
  <dimension ref="A1:C21"/>
  <sheetViews>
    <sheetView showGridLines="0" zoomScale="75" zoomScaleNormal="75" zoomScalePageLayoutView="75" workbookViewId="0">
      <selection activeCell="A2" sqref="A2"/>
    </sheetView>
  </sheetViews>
  <sheetFormatPr defaultColWidth="8.7109375" defaultRowHeight="14.25"/>
  <cols>
    <col min="1" max="1" width="93.42578125" style="38" customWidth="1"/>
    <col min="2" max="2" width="69.140625" style="38" customWidth="1"/>
    <col min="3" max="16384" width="8.7109375" style="38"/>
  </cols>
  <sheetData>
    <row r="1" spans="1:3" ht="26.1" customHeight="1">
      <c r="A1" s="1843" t="str">
        <f>HYPERLINK("[.\]Menu!A1", "Back to Menu")</f>
        <v>Back to Menu</v>
      </c>
      <c r="B1" s="1843" t="str">
        <f>HYPERLINK("[.\]IR_in_AS!B2", "Back to IR in ambulance service")</f>
        <v>Back to IR in ambulance service</v>
      </c>
      <c r="C1" s="1843"/>
    </row>
    <row r="2" spans="1:3" ht="26.1" customHeight="1">
      <c r="A2" s="1843" t="str">
        <f>HYPERLINK("[.\]IR_in_ED!B2", "Back to IR in ED")</f>
        <v>Back to IR in ED</v>
      </c>
      <c r="B2" s="1843" t="str">
        <f>HYPERLINK("[.\]IR_in_CH!B2", "Back to IR in care homes")</f>
        <v>Back to IR in care homes</v>
      </c>
      <c r="C2" s="1843"/>
    </row>
    <row r="3" spans="1:3" ht="15.75">
      <c r="A3" s="829" t="s">
        <v>369</v>
      </c>
      <c r="B3" s="820" t="s">
        <v>987</v>
      </c>
    </row>
    <row r="4" spans="1:3" ht="57.6" customHeight="1">
      <c r="A4" s="850" t="s">
        <v>853</v>
      </c>
      <c r="B4" s="1053" t="s">
        <v>852</v>
      </c>
    </row>
    <row r="5" spans="1:3" ht="28.5">
      <c r="A5" s="850" t="s">
        <v>851</v>
      </c>
      <c r="B5" s="1053" t="s">
        <v>850</v>
      </c>
    </row>
    <row r="6" spans="1:3" s="431" customFormat="1" ht="213.95" customHeight="1">
      <c r="A6" s="1054" t="s">
        <v>849</v>
      </c>
      <c r="B6" s="1055" t="s">
        <v>382</v>
      </c>
    </row>
    <row r="7" spans="1:3" ht="99.75">
      <c r="A7" s="850" t="s">
        <v>848</v>
      </c>
      <c r="B7" s="827" t="s">
        <v>847</v>
      </c>
    </row>
    <row r="8" spans="1:3" ht="15">
      <c r="A8"/>
      <c r="B8"/>
    </row>
    <row r="9" spans="1:3" ht="15">
      <c r="A9"/>
      <c r="B9"/>
    </row>
    <row r="21" spans="1:2">
      <c r="A21" s="161"/>
      <c r="B21" s="161"/>
    </row>
  </sheetData>
  <hyperlinks>
    <hyperlink ref="B7" r:id="rId1"/>
  </hyperlinks>
  <pageMargins left="0.70866141732283472" right="0.70866141732283472" top="0.74803149606299213" bottom="0.74803149606299213" header="0.31496062992125984" footer="0.31496062992125984"/>
  <pageSetup paperSize="9" scale="53"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P83"/>
  <sheetViews>
    <sheetView showZeros="0" zoomScale="90" zoomScaleNormal="90" zoomScaleSheetLayoutView="10" zoomScalePageLayoutView="75" workbookViewId="0">
      <pane xSplit="4" ySplit="2" topLeftCell="E3" activePane="bottomRight" state="frozen"/>
      <selection pane="topRight" activeCell="E1" sqref="E1"/>
      <selection pane="bottomLeft" activeCell="A3" sqref="A3"/>
      <selection pane="bottomRight" activeCell="A5" sqref="A5"/>
    </sheetView>
  </sheetViews>
  <sheetFormatPr defaultColWidth="19" defaultRowHeight="15"/>
  <cols>
    <col min="1" max="1" width="3.28515625" style="1120" customWidth="1"/>
    <col min="2" max="2" width="5.42578125" style="1120" customWidth="1"/>
    <col min="3" max="3" width="58.5703125" style="1120" bestFit="1" customWidth="1"/>
    <col min="4" max="4" width="4.42578125" style="1120" customWidth="1"/>
    <col min="5" max="9" width="18.42578125" style="1601" customWidth="1"/>
    <col min="10" max="10" width="4.28515625" style="1120" customWidth="1"/>
    <col min="11" max="11" width="22.7109375" style="1601" customWidth="1"/>
    <col min="12" max="12" width="19" style="1601" customWidth="1"/>
    <col min="13" max="14" width="20.42578125" style="1601" customWidth="1"/>
    <col min="15" max="15" width="4.28515625" style="1120" customWidth="1"/>
    <col min="16" max="16" width="22.7109375" style="1601" customWidth="1"/>
    <col min="17" max="17" width="19" style="1601" customWidth="1"/>
    <col min="18" max="19" width="20.42578125" style="1601" customWidth="1"/>
    <col min="20" max="20" width="4.28515625" style="1120" customWidth="1"/>
    <col min="21" max="21" width="22.7109375" style="1601" customWidth="1"/>
    <col min="22" max="22" width="19" style="1601" customWidth="1"/>
    <col min="23" max="24" width="20.42578125" style="1601" customWidth="1"/>
    <col min="25" max="25" width="4.28515625" style="1120" customWidth="1"/>
    <col min="26" max="26" width="22.7109375" style="1601" customWidth="1"/>
    <col min="27" max="27" width="19" style="1601" customWidth="1"/>
    <col min="28" max="29" width="20.42578125" style="1601" customWidth="1"/>
    <col min="30" max="30" width="4.28515625" style="1120" customWidth="1"/>
    <col min="31" max="31" width="22.7109375" style="1601" customWidth="1"/>
    <col min="32" max="32" width="19" style="1601" customWidth="1"/>
    <col min="33" max="34" width="20.42578125" style="1601" customWidth="1"/>
    <col min="35" max="35" width="4.28515625" style="1120" customWidth="1"/>
    <col min="36" max="36" width="22.7109375" style="1601" customWidth="1"/>
    <col min="37" max="37" width="19" style="1601" customWidth="1"/>
    <col min="38" max="39" width="20.42578125" style="1601" customWidth="1"/>
    <col min="40" max="40" width="4.28515625" style="1120" customWidth="1"/>
    <col min="41" max="41" width="22.7109375" style="1601" customWidth="1"/>
    <col min="42" max="42" width="19" style="1601" customWidth="1"/>
    <col min="43" max="44" width="20.42578125" style="1601" customWidth="1"/>
    <col min="45" max="45" width="4.28515625" style="1120" customWidth="1"/>
    <col min="46" max="46" width="22.7109375" style="1601" hidden="1" customWidth="1"/>
    <col min="47" max="47" width="19" style="1601" hidden="1" customWidth="1"/>
    <col min="48" max="49" width="20.42578125" style="1601" hidden="1" customWidth="1"/>
    <col min="50" max="50" width="4.28515625" style="1120" hidden="1" customWidth="1"/>
    <col min="51" max="51" width="22.7109375" style="1601" customWidth="1"/>
    <col min="52" max="52" width="19" style="1601" customWidth="1"/>
    <col min="53" max="54" width="20.42578125" style="1601" customWidth="1"/>
    <col min="55" max="55" width="4.28515625" style="1120" customWidth="1"/>
    <col min="56" max="56" width="22.7109375" style="1601" customWidth="1"/>
    <col min="57" max="57" width="19" style="1601" customWidth="1"/>
    <col min="58" max="59" width="20.42578125" style="1601" customWidth="1"/>
    <col min="60" max="60" width="4.28515625" style="1120" customWidth="1"/>
    <col min="61" max="61" width="22.7109375" style="1601" customWidth="1"/>
    <col min="62" max="62" width="19" style="1601" customWidth="1"/>
    <col min="63" max="64" width="20.42578125" style="1601" customWidth="1"/>
    <col min="65" max="65" width="4.28515625" style="1120" customWidth="1"/>
    <col min="66" max="66" width="22.7109375" style="1601" customWidth="1"/>
    <col min="67" max="67" width="19" style="1601" customWidth="1"/>
    <col min="68" max="69" width="20.42578125" style="1601" customWidth="1"/>
    <col min="70" max="70" width="4.28515625" style="1120" customWidth="1"/>
    <col min="71" max="71" width="22.7109375" style="1601" customWidth="1"/>
    <col min="72" max="72" width="19" style="1601" customWidth="1"/>
    <col min="73" max="74" width="20.42578125" style="1601" customWidth="1"/>
    <col min="75" max="75" width="5.42578125" style="1079" customWidth="1"/>
    <col min="76" max="76" width="22.7109375" style="1601" customWidth="1"/>
    <col min="77" max="77" width="19" style="1601" customWidth="1"/>
    <col min="78" max="79" width="20.42578125" style="1601" customWidth="1"/>
    <col min="80" max="80" width="4.28515625" style="1120" customWidth="1"/>
    <col min="81" max="81" width="22.7109375" style="1601" customWidth="1"/>
    <col min="82" max="82" width="19" style="1601" customWidth="1"/>
    <col min="83" max="84" width="20.42578125" style="1601" customWidth="1"/>
    <col min="85" max="85" width="4.28515625" style="1120" customWidth="1"/>
    <col min="86" max="86" width="22.7109375" style="1601" customWidth="1"/>
    <col min="87" max="87" width="19" style="1601" customWidth="1"/>
    <col min="88" max="89" width="20.42578125" style="1601" customWidth="1"/>
    <col min="90" max="90" width="4.28515625" style="1120" customWidth="1"/>
    <col min="91" max="91" width="22.7109375" style="1601" customWidth="1"/>
    <col min="92" max="92" width="19" style="1601" customWidth="1"/>
    <col min="93" max="94" width="20.42578125" style="1601" customWidth="1"/>
    <col min="95" max="95" width="4.28515625" style="1120" customWidth="1"/>
    <col min="96" max="96" width="22.7109375" style="1601" customWidth="1"/>
    <col min="97" max="97" width="19" style="1601" customWidth="1"/>
    <col min="98" max="99" width="20.42578125" style="1601" customWidth="1"/>
    <col min="100" max="100" width="4.28515625" style="1120" customWidth="1"/>
    <col min="101" max="101" width="22.7109375" style="1601" customWidth="1"/>
    <col min="102" max="102" width="19" style="1601" customWidth="1"/>
    <col min="103" max="104" width="20.42578125" style="1601" customWidth="1"/>
    <col min="105" max="105" width="4.28515625" style="1120" customWidth="1"/>
    <col min="106" max="106" width="22.7109375" style="1601" customWidth="1"/>
    <col min="107" max="107" width="19" style="1601" customWidth="1"/>
    <col min="108" max="109" width="20.42578125" style="1601" customWidth="1"/>
    <col min="110" max="110" width="4.28515625" style="1120" customWidth="1"/>
    <col min="111" max="111" width="22.7109375" style="1601" customWidth="1"/>
    <col min="112" max="112" width="19" style="1601" customWidth="1"/>
    <col min="113" max="114" width="20.42578125" style="1601" customWidth="1"/>
    <col min="115" max="115" width="4.28515625" style="1120" customWidth="1"/>
    <col min="116" max="116" width="22.7109375" style="1601" customWidth="1"/>
    <col min="117" max="117" width="19" style="1601" customWidth="1"/>
    <col min="118" max="119" width="20.42578125" style="1601" customWidth="1"/>
    <col min="120" max="120" width="4.28515625" style="1120" customWidth="1"/>
    <col min="121" max="16384" width="19" style="1120"/>
  </cols>
  <sheetData>
    <row r="1" spans="1:120" s="441" customFormat="1" ht="42.75" customHeight="1">
      <c r="A1" s="2271" t="str">
        <f>HYPERLINK("[.\]Menu!A1", "To Menu")</f>
        <v>To Menu</v>
      </c>
      <c r="B1" s="2273"/>
      <c r="C1" s="1759" t="s">
        <v>656</v>
      </c>
      <c r="D1" s="1914"/>
      <c r="E1" s="2271" t="str">
        <f>HYPERLINK("[.\]control_sheet_and_graphs!A1", "To Control sheet and graphical results")</f>
        <v>To Control sheet and graphical results</v>
      </c>
      <c r="F1" s="2272"/>
      <c r="G1" s="1759"/>
      <c r="H1" s="478"/>
      <c r="I1" s="2271" t="str">
        <f>HYPERLINK("[.\]outputs_by_channel!A1", "To Intervention data outputs by channel")</f>
        <v>To Intervention data outputs by channel</v>
      </c>
      <c r="J1" s="2272"/>
      <c r="K1" s="1758"/>
      <c r="L1" s="1759"/>
      <c r="M1" s="1759"/>
      <c r="O1" s="440"/>
      <c r="Q1" s="440"/>
      <c r="R1" s="440"/>
      <c r="S1" s="440"/>
      <c r="T1" s="440"/>
      <c r="V1" s="440"/>
      <c r="W1" s="440"/>
      <c r="X1" s="440"/>
      <c r="Y1" s="440"/>
      <c r="AA1" s="440"/>
      <c r="AB1" s="440"/>
      <c r="AC1" s="440"/>
      <c r="AD1" s="440"/>
      <c r="AF1" s="440"/>
      <c r="AG1" s="440"/>
      <c r="AH1" s="440"/>
      <c r="AI1" s="440"/>
      <c r="AK1" s="440"/>
      <c r="AL1" s="440"/>
      <c r="AM1" s="440"/>
      <c r="AN1" s="440"/>
      <c r="AP1" s="440"/>
      <c r="AQ1" s="440"/>
      <c r="AR1" s="440"/>
      <c r="AS1" s="440"/>
      <c r="AU1" s="440"/>
      <c r="AV1" s="440"/>
      <c r="AW1" s="440"/>
      <c r="AX1" s="440"/>
      <c r="AZ1" s="440"/>
      <c r="BA1" s="440"/>
      <c r="BB1" s="440"/>
      <c r="BC1" s="440"/>
      <c r="BE1" s="440"/>
      <c r="BF1" s="440"/>
      <c r="BG1" s="440"/>
      <c r="BH1" s="440"/>
      <c r="BJ1" s="440"/>
      <c r="BK1" s="440"/>
      <c r="BL1" s="440"/>
      <c r="BM1" s="440"/>
      <c r="BO1" s="440"/>
      <c r="BP1" s="440"/>
      <c r="BQ1" s="440"/>
      <c r="BR1" s="440"/>
      <c r="BT1" s="440"/>
      <c r="BU1" s="440"/>
      <c r="BV1" s="440"/>
      <c r="BW1" s="440"/>
    </row>
    <row r="2" spans="1:120" s="1119" customFormat="1">
      <c r="A2" s="1940"/>
      <c r="B2" s="1941"/>
      <c r="C2" s="1942" t="s">
        <v>62</v>
      </c>
      <c r="D2" s="1943"/>
      <c r="E2" s="1552" t="s">
        <v>1125</v>
      </c>
      <c r="F2" s="1944"/>
      <c r="G2" s="1945"/>
      <c r="H2" s="1945"/>
      <c r="I2" s="1946"/>
      <c r="J2" s="1554"/>
      <c r="K2" s="1947" t="str">
        <f>hear_and_treat!C3</f>
        <v>Decreasing Ambulance conveyances: Hear and Treat</v>
      </c>
      <c r="L2" s="1553"/>
      <c r="M2" s="1553"/>
      <c r="N2" s="1553"/>
      <c r="O2" s="1554"/>
      <c r="P2" s="1553" t="str">
        <f>see_and_treat!C3</f>
        <v>Decreasing Ambulance conveyances: See and Treat</v>
      </c>
      <c r="Q2" s="1553"/>
      <c r="R2" s="1553"/>
      <c r="S2" s="1555"/>
      <c r="T2" s="1554"/>
      <c r="U2" s="1552" t="str">
        <f>Clinical_advisor_consultations!C4</f>
        <v>Integrated clinical hubs - Increasing Clinical advisor consultations</v>
      </c>
      <c r="V2" s="1553"/>
      <c r="W2" s="1553"/>
      <c r="X2" s="1555"/>
      <c r="Y2" s="1554"/>
      <c r="Z2" s="1552" t="str">
        <f>Integration_of_hubs!C4</f>
        <v>Integrated clinical hubs - Integration of 111 and OOH hubs</v>
      </c>
      <c r="AA2" s="1553"/>
      <c r="AB2" s="1553"/>
      <c r="AC2" s="1555"/>
      <c r="AD2" s="1554"/>
      <c r="AE2" s="1552" t="str">
        <f>AEC!C4</f>
        <v>Ambulatory Emergency Care</v>
      </c>
      <c r="AF2" s="1553"/>
      <c r="AG2" s="1553"/>
      <c r="AH2" s="1555"/>
      <c r="AI2" s="1554"/>
      <c r="AJ2" s="1552" t="str">
        <f>Care_planning!C4</f>
        <v>Personalised care planning</v>
      </c>
      <c r="AK2" s="1553"/>
      <c r="AL2" s="1553"/>
      <c r="AM2" s="1555"/>
      <c r="AN2" s="1554"/>
      <c r="AO2" s="1552" t="str">
        <f>Colocate_UTC!C4</f>
        <v>Co-location of UTC</v>
      </c>
      <c r="AP2" s="1553"/>
      <c r="AQ2" s="1553"/>
      <c r="AR2" s="1555"/>
      <c r="AS2" s="1554"/>
      <c r="AT2" s="1552" t="str">
        <f>Enhanced_UCS!C4</f>
        <v>Enhanced urgent care standards</v>
      </c>
      <c r="AU2" s="1553"/>
      <c r="AV2" s="1553"/>
      <c r="AW2" s="1555"/>
      <c r="AX2" s="1554"/>
      <c r="AY2" s="1552" t="str">
        <f>GP_Hours!C4</f>
        <v>GP extended hours</v>
      </c>
      <c r="AZ2" s="1553"/>
      <c r="BA2" s="1553"/>
      <c r="BB2" s="1555"/>
      <c r="BC2" s="1554"/>
      <c r="BD2" s="1552" t="str">
        <f>PGD_Minor_ailments!C4</f>
        <v>Community pharmacy: PGD minor ailments service</v>
      </c>
      <c r="BE2" s="1553"/>
      <c r="BF2" s="1553"/>
      <c r="BG2" s="1555"/>
      <c r="BH2" s="1554"/>
      <c r="BI2" s="1552" t="str">
        <f>Emergency_medication_supply!C4</f>
        <v>Community pharmacy: Emergency medication supply</v>
      </c>
      <c r="BJ2" s="1553"/>
      <c r="BK2" s="1553"/>
      <c r="BL2" s="1555"/>
      <c r="BM2" s="1554"/>
      <c r="BN2" s="1552" t="str">
        <f>IP_drug_reconciliation!C4</f>
        <v xml:space="preserve">Summary care record: Use for IP drug reconciliation </v>
      </c>
      <c r="BO2" s="1553"/>
      <c r="BP2" s="1553"/>
      <c r="BQ2" s="1555"/>
      <c r="BR2" s="1554"/>
      <c r="BS2" s="1552" t="str">
        <f>SCR_in_ED!C4</f>
        <v>Summary care record: Use in  ED</v>
      </c>
      <c r="BT2" s="1553"/>
      <c r="BU2" s="1553"/>
      <c r="BV2" s="1555"/>
      <c r="BW2" s="1079"/>
      <c r="BX2" s="1552" t="str">
        <f>IR_in_AS!C4</f>
        <v>Improved Referral processes - In Ambulance Service</v>
      </c>
      <c r="BY2" s="1553"/>
      <c r="BZ2" s="1553"/>
      <c r="CA2" s="1555"/>
      <c r="CB2" s="1554"/>
      <c r="CC2" s="1552" t="str">
        <f>IR_in_ED!C4</f>
        <v>Improved Referral processes - In ED</v>
      </c>
      <c r="CD2" s="1553"/>
      <c r="CE2" s="1553"/>
      <c r="CF2" s="1555"/>
      <c r="CG2" s="1554"/>
      <c r="CH2" s="1552" t="str">
        <f>IR_in_CH!C4</f>
        <v>Improved Referral processes - In Care Homes</v>
      </c>
      <c r="CI2" s="1553"/>
      <c r="CJ2" s="1553"/>
      <c r="CK2" s="1555"/>
      <c r="CL2" s="1554"/>
      <c r="CM2" s="1552" t="str">
        <f>Dis_Pl!C4</f>
        <v>Discharge Planning</v>
      </c>
      <c r="CN2" s="1553"/>
      <c r="CO2" s="1553"/>
      <c r="CP2" s="1555"/>
      <c r="CQ2" s="1554"/>
      <c r="CR2" s="1552" t="str">
        <f>D2A!C3</f>
        <v>Discharge to Assess</v>
      </c>
      <c r="CS2" s="1553"/>
      <c r="CT2" s="1553"/>
      <c r="CU2" s="1555"/>
      <c r="CV2" s="1554"/>
      <c r="CW2" s="1552" t="str">
        <f>Rapid_Response!C3</f>
        <v>Rapid Response Services</v>
      </c>
      <c r="CX2" s="1553"/>
      <c r="CY2" s="1553"/>
      <c r="CZ2" s="1555"/>
      <c r="DA2" s="1554"/>
      <c r="DB2" s="1552" t="str">
        <f>Falls!C3</f>
        <v>Care homes: Falls response training</v>
      </c>
      <c r="DC2" s="1553"/>
      <c r="DD2" s="1553"/>
      <c r="DE2" s="1555"/>
      <c r="DF2" s="1554"/>
      <c r="DG2" s="1552" t="str">
        <f>CHE!C3</f>
        <v>Care Home educators</v>
      </c>
      <c r="DH2" s="1553"/>
      <c r="DI2" s="1553"/>
      <c r="DJ2" s="1555"/>
      <c r="DK2" s="1554"/>
      <c r="DL2" s="1552" t="str">
        <f>EWS_in_CH!C3</f>
        <v>Early Warning Score in Care homes</v>
      </c>
      <c r="DM2" s="1553"/>
      <c r="DN2" s="1553"/>
      <c r="DO2" s="1555"/>
      <c r="DP2" s="1554"/>
    </row>
    <row r="3" spans="1:120" s="1556" customFormat="1">
      <c r="B3" s="1557"/>
      <c r="C3" s="533"/>
      <c r="E3" s="536"/>
      <c r="F3" s="533"/>
      <c r="G3" s="1558"/>
      <c r="H3" s="1558"/>
      <c r="I3" s="1558"/>
      <c r="J3" s="1559"/>
      <c r="K3" s="1560"/>
      <c r="L3" s="1558"/>
      <c r="M3" s="1558"/>
      <c r="N3" s="1558"/>
      <c r="O3" s="1559"/>
      <c r="P3" s="1561"/>
      <c r="Q3" s="1558"/>
      <c r="R3" s="1558"/>
      <c r="S3" s="1562"/>
      <c r="T3" s="1559"/>
      <c r="U3" s="1560"/>
      <c r="V3" s="1558"/>
      <c r="W3" s="1558"/>
      <c r="X3" s="1562"/>
      <c r="Y3" s="1559"/>
      <c r="Z3" s="1560"/>
      <c r="AA3" s="1558"/>
      <c r="AB3" s="1558"/>
      <c r="AC3" s="1562"/>
      <c r="AD3" s="1559"/>
      <c r="AE3" s="1560"/>
      <c r="AF3" s="1558"/>
      <c r="AG3" s="1558"/>
      <c r="AH3" s="1562"/>
      <c r="AI3" s="1559"/>
      <c r="AJ3" s="1560"/>
      <c r="AK3" s="1558"/>
      <c r="AL3" s="1558"/>
      <c r="AM3" s="1562"/>
      <c r="AN3" s="1559"/>
      <c r="AO3" s="1560"/>
      <c r="AP3" s="1558"/>
      <c r="AQ3" s="1558"/>
      <c r="AR3" s="1562"/>
      <c r="AS3" s="1559"/>
      <c r="AT3" s="1560"/>
      <c r="AU3" s="1558"/>
      <c r="AV3" s="1558"/>
      <c r="AW3" s="1562"/>
      <c r="AX3" s="1559"/>
      <c r="AY3" s="1560"/>
      <c r="AZ3" s="1558"/>
      <c r="BA3" s="1558"/>
      <c r="BB3" s="1562"/>
      <c r="BC3" s="1559"/>
      <c r="BD3" s="1560"/>
      <c r="BE3" s="1558"/>
      <c r="BF3" s="1558"/>
      <c r="BG3" s="1562"/>
      <c r="BH3" s="1559"/>
      <c r="BI3" s="1560"/>
      <c r="BJ3" s="1558"/>
      <c r="BK3" s="1558"/>
      <c r="BL3" s="1562"/>
      <c r="BM3" s="1559"/>
      <c r="BN3" s="1560"/>
      <c r="BO3" s="1558"/>
      <c r="BP3" s="1558"/>
      <c r="BQ3" s="1562"/>
      <c r="BR3" s="1559"/>
      <c r="BS3" s="1560"/>
      <c r="BT3" s="1558"/>
      <c r="BU3" s="1558"/>
      <c r="BV3" s="1562"/>
      <c r="BW3" s="1563"/>
      <c r="BX3" s="1560"/>
      <c r="BY3" s="1558"/>
      <c r="BZ3" s="1558"/>
      <c r="CA3" s="1562"/>
      <c r="CB3" s="1559"/>
      <c r="CC3" s="1560"/>
      <c r="CD3" s="1558"/>
      <c r="CE3" s="1558"/>
      <c r="CF3" s="1562"/>
      <c r="CG3" s="1559"/>
      <c r="CH3" s="1560"/>
      <c r="CI3" s="1558"/>
      <c r="CJ3" s="1558"/>
      <c r="CK3" s="1562"/>
      <c r="CL3" s="1559"/>
      <c r="CM3" s="1560"/>
      <c r="CN3" s="1558"/>
      <c r="CO3" s="1558"/>
      <c r="CP3" s="1562"/>
      <c r="CQ3" s="1559"/>
      <c r="CR3" s="1560"/>
      <c r="CS3" s="1558"/>
      <c r="CT3" s="1558"/>
      <c r="CU3" s="1562"/>
      <c r="CV3" s="1559"/>
      <c r="CW3" s="1560"/>
      <c r="CX3" s="1558"/>
      <c r="CY3" s="1558"/>
      <c r="CZ3" s="1562"/>
      <c r="DA3" s="1559"/>
      <c r="DB3" s="1560"/>
      <c r="DC3" s="1558"/>
      <c r="DD3" s="1558"/>
      <c r="DE3" s="1562"/>
      <c r="DF3" s="1559"/>
      <c r="DG3" s="1560"/>
      <c r="DH3" s="1558"/>
      <c r="DI3" s="1558"/>
      <c r="DJ3" s="1562"/>
      <c r="DK3" s="1559"/>
      <c r="DL3" s="1560"/>
      <c r="DM3" s="1558"/>
      <c r="DN3" s="1558"/>
      <c r="DO3" s="1562"/>
      <c r="DP3" s="1559"/>
    </row>
    <row r="4" spans="1:120" s="1564" customFormat="1" ht="14.25">
      <c r="B4" s="2270" t="s">
        <v>1126</v>
      </c>
      <c r="C4" s="1565" t="s">
        <v>63</v>
      </c>
      <c r="E4" s="1937" t="s">
        <v>68</v>
      </c>
      <c r="F4" s="55"/>
      <c r="G4" s="1566"/>
      <c r="H4" s="1566"/>
      <c r="I4" s="1566"/>
      <c r="J4" s="1567"/>
      <c r="K4" s="1630">
        <f>hear_and_treat!E24</f>
        <v>20000</v>
      </c>
      <c r="L4" s="1566"/>
      <c r="M4" s="1566"/>
      <c r="N4" s="1566"/>
      <c r="O4" s="1567"/>
      <c r="P4" s="1630">
        <f>see_and_treat!E24</f>
        <v>25000</v>
      </c>
      <c r="Q4" s="1566"/>
      <c r="R4" s="1566"/>
      <c r="S4" s="1568"/>
      <c r="T4" s="1567"/>
      <c r="U4" s="1630">
        <f>Clinical_advisor_consultations!E25</f>
        <v>20000</v>
      </c>
      <c r="V4" s="1566"/>
      <c r="W4" s="1566"/>
      <c r="X4" s="1568"/>
      <c r="Y4" s="1567"/>
      <c r="Z4" s="1630">
        <f>Integration_of_hubs!E24</f>
        <v>480000</v>
      </c>
      <c r="AA4" s="1566"/>
      <c r="AB4" s="1566"/>
      <c r="AC4" s="1568"/>
      <c r="AD4" s="1567"/>
      <c r="AE4" s="1630">
        <f>AEC!E26</f>
        <v>40000</v>
      </c>
      <c r="AF4" s="1566"/>
      <c r="AG4" s="1566"/>
      <c r="AH4" s="1568"/>
      <c r="AI4" s="1567"/>
      <c r="AJ4" s="1630">
        <f>Care_planning!E23</f>
        <v>240399.99999999997</v>
      </c>
      <c r="AK4" s="1566"/>
      <c r="AL4" s="1566"/>
      <c r="AM4" s="1568"/>
      <c r="AN4" s="1567"/>
      <c r="AO4" s="1630">
        <f>Colocate_UTC!E23</f>
        <v>525997</v>
      </c>
      <c r="AP4" s="1566"/>
      <c r="AQ4" s="1566"/>
      <c r="AR4" s="1568"/>
      <c r="AS4" s="1567"/>
      <c r="AT4" s="1630">
        <f>Enhanced_UCS!E23</f>
        <v>10000</v>
      </c>
      <c r="AU4" s="1566"/>
      <c r="AV4" s="1566"/>
      <c r="AW4" s="1568"/>
      <c r="AX4" s="1567"/>
      <c r="AY4" s="1630">
        <f>GP_Hours!E23</f>
        <v>142885</v>
      </c>
      <c r="AZ4" s="1566"/>
      <c r="BA4" s="1566"/>
      <c r="BB4" s="1568"/>
      <c r="BC4" s="1567"/>
      <c r="BD4" s="1630">
        <f>PGD_Minor_ailments!D27</f>
        <v>10000</v>
      </c>
      <c r="BE4" s="1566"/>
      <c r="BF4" s="1566"/>
      <c r="BG4" s="1568"/>
      <c r="BH4" s="1567"/>
      <c r="BI4" s="1630">
        <f>Emergency_medication_supply!D23</f>
        <v>10000</v>
      </c>
      <c r="BJ4" s="1566"/>
      <c r="BK4" s="1566"/>
      <c r="BL4" s="1568"/>
      <c r="BM4" s="1567"/>
      <c r="BN4" s="1630">
        <f>IP_drug_reconciliation!E25</f>
        <v>10700</v>
      </c>
      <c r="BO4" s="1566"/>
      <c r="BP4" s="1566"/>
      <c r="BQ4" s="1568"/>
      <c r="BR4" s="1567"/>
      <c r="BS4" s="1630">
        <f>SCR_in_ED!D22</f>
        <v>10700</v>
      </c>
      <c r="BT4" s="1566"/>
      <c r="BU4" s="1566"/>
      <c r="BV4" s="1568"/>
      <c r="BW4" s="1569"/>
      <c r="BX4" s="1630">
        <f>IR_in_AS!D26</f>
        <v>159620</v>
      </c>
      <c r="BY4" s="1566"/>
      <c r="BZ4" s="1566"/>
      <c r="CA4" s="1568"/>
      <c r="CB4" s="1567"/>
      <c r="CC4" s="1630">
        <f>IR_in_ED!D26</f>
        <v>53206.666666666672</v>
      </c>
      <c r="CD4" s="1566"/>
      <c r="CE4" s="1566"/>
      <c r="CF4" s="1568"/>
      <c r="CG4" s="1567"/>
      <c r="CH4" s="1630">
        <f>IR_in_CH!D26</f>
        <v>31924</v>
      </c>
      <c r="CI4" s="1566"/>
      <c r="CJ4" s="1566"/>
      <c r="CK4" s="1568"/>
      <c r="CL4" s="1567"/>
      <c r="CM4" s="1630">
        <f>Dis_Pl!D25</f>
        <v>10000</v>
      </c>
      <c r="CN4" s="1566"/>
      <c r="CO4" s="1566"/>
      <c r="CP4" s="1568"/>
      <c r="CQ4" s="1567"/>
      <c r="CR4" s="1998">
        <f>D2A!D25</f>
        <v>0</v>
      </c>
      <c r="CS4" s="1566"/>
      <c r="CT4" s="1566"/>
      <c r="CU4" s="1568"/>
      <c r="CV4" s="1567"/>
      <c r="CW4" s="1630">
        <f>Rapid_Response!E23</f>
        <v>20000</v>
      </c>
      <c r="CX4" s="1566"/>
      <c r="CY4" s="1566"/>
      <c r="CZ4" s="1568"/>
      <c r="DA4" s="1567"/>
      <c r="DB4" s="1630">
        <f>Falls!J48</f>
        <v>165875.59965354332</v>
      </c>
      <c r="DC4" s="1566"/>
      <c r="DD4" s="1566"/>
      <c r="DE4" s="1568"/>
      <c r="DF4" s="1567"/>
      <c r="DG4" s="1630">
        <f>CHE!E26</f>
        <v>99179.88</v>
      </c>
      <c r="DH4" s="1566"/>
      <c r="DI4" s="1566"/>
      <c r="DJ4" s="1568"/>
      <c r="DK4" s="1567"/>
      <c r="DL4" s="1630">
        <f>EWS_in_CH!E31</f>
        <v>78471.72</v>
      </c>
      <c r="DM4" s="1566"/>
      <c r="DN4" s="1566"/>
      <c r="DO4" s="1568"/>
      <c r="DP4" s="1567"/>
    </row>
    <row r="5" spans="1:120" s="1570" customFormat="1" ht="14.25">
      <c r="B5" s="2270"/>
      <c r="C5" s="1565" t="s">
        <v>64</v>
      </c>
      <c r="E5" s="1937" t="s">
        <v>68</v>
      </c>
      <c r="F5" s="55"/>
      <c r="G5" s="55"/>
      <c r="H5" s="55"/>
      <c r="I5" s="55"/>
      <c r="J5" s="1571"/>
      <c r="K5" s="1632">
        <f>hear_and_treat!L48</f>
        <v>7560</v>
      </c>
      <c r="L5" s="55"/>
      <c r="M5" s="55"/>
      <c r="N5" s="55"/>
      <c r="O5" s="1571"/>
      <c r="P5" s="1632">
        <f>see_and_treat!L46</f>
        <v>2940</v>
      </c>
      <c r="Q5" s="55"/>
      <c r="R5" s="55"/>
      <c r="S5" s="1572"/>
      <c r="T5" s="1571"/>
      <c r="U5" s="1632">
        <f>Clinical_advisor_consultations!L52</f>
        <v>23490</v>
      </c>
      <c r="V5" s="55"/>
      <c r="W5" s="55"/>
      <c r="X5" s="1572"/>
      <c r="Y5" s="1571"/>
      <c r="Z5" s="1632">
        <v>1</v>
      </c>
      <c r="AA5" s="55"/>
      <c r="AB5" s="55"/>
      <c r="AC5" s="1572"/>
      <c r="AD5" s="1571"/>
      <c r="AE5" s="1632">
        <f>AEC!L46</f>
        <v>1919.53125</v>
      </c>
      <c r="AF5" s="55"/>
      <c r="AG5" s="55"/>
      <c r="AH5" s="1572"/>
      <c r="AI5" s="1571"/>
      <c r="AJ5" s="1632">
        <f>Care_planning!L45</f>
        <v>1200</v>
      </c>
      <c r="AK5" s="55"/>
      <c r="AL5" s="55"/>
      <c r="AM5" s="1572"/>
      <c r="AN5" s="1571"/>
      <c r="AO5" s="1632">
        <f>Colocate_UTC!L47</f>
        <v>28350</v>
      </c>
      <c r="AP5" s="55"/>
      <c r="AQ5" s="55"/>
      <c r="AR5" s="1572"/>
      <c r="AS5" s="1571"/>
      <c r="AT5" s="1632">
        <f>Enhanced_UCS!L46</f>
        <v>8820</v>
      </c>
      <c r="AU5" s="55"/>
      <c r="AV5" s="55"/>
      <c r="AW5" s="1572"/>
      <c r="AX5" s="1571"/>
      <c r="AY5" s="1632">
        <f>GP_Hours!K62</f>
        <v>9005.8176000000003</v>
      </c>
      <c r="AZ5" s="55"/>
      <c r="BA5" s="55"/>
      <c r="BB5" s="1572"/>
      <c r="BC5" s="1571"/>
      <c r="BD5" s="1632">
        <f>PGD_Minor_ailments!D30</f>
        <v>3000</v>
      </c>
      <c r="BE5" s="55"/>
      <c r="BF5" s="55"/>
      <c r="BG5" s="1572"/>
      <c r="BH5" s="1571"/>
      <c r="BI5" s="1632">
        <f>Emergency_medication_supply!D26</f>
        <v>3500</v>
      </c>
      <c r="BJ5" s="55"/>
      <c r="BK5" s="55"/>
      <c r="BL5" s="1572"/>
      <c r="BM5" s="1571"/>
      <c r="BN5" s="1632">
        <f>IP_drug_reconciliation!D38</f>
        <v>62100</v>
      </c>
      <c r="BO5" s="55"/>
      <c r="BP5" s="55"/>
      <c r="BQ5" s="1572"/>
      <c r="BR5" s="1571"/>
      <c r="BS5" s="1632">
        <f>SCR_in_ED!F34</f>
        <v>10000</v>
      </c>
      <c r="BT5" s="55"/>
      <c r="BU5" s="55"/>
      <c r="BV5" s="1572"/>
      <c r="BW5" s="1573"/>
      <c r="BX5" s="1632">
        <f>IR_in_AS!D37</f>
        <v>4978.55</v>
      </c>
      <c r="BY5" s="55"/>
      <c r="BZ5" s="55"/>
      <c r="CA5" s="1572"/>
      <c r="CB5" s="1571"/>
      <c r="CC5" s="1632">
        <f>IR_in_ED!D37</f>
        <v>8107.28</v>
      </c>
      <c r="CD5" s="55"/>
      <c r="CE5" s="55"/>
      <c r="CF5" s="1572"/>
      <c r="CG5" s="1571"/>
      <c r="CH5" s="1632">
        <f>IR_in_CH!F35</f>
        <v>3000</v>
      </c>
      <c r="CI5" s="55"/>
      <c r="CJ5" s="55"/>
      <c r="CK5" s="1572"/>
      <c r="CL5" s="1571"/>
      <c r="CM5" s="1632">
        <f>Dis_Pl!J55</f>
        <v>3088</v>
      </c>
      <c r="CN5" s="55"/>
      <c r="CO5" s="55"/>
      <c r="CP5" s="1572"/>
      <c r="CQ5" s="1571"/>
      <c r="CR5" s="1999">
        <f>D2A!D34</f>
        <v>187.71428571428575</v>
      </c>
      <c r="CS5" s="55"/>
      <c r="CT5" s="55"/>
      <c r="CU5" s="1572"/>
      <c r="CV5" s="1571"/>
      <c r="CW5" s="1632">
        <f>Rapid_Response!L72</f>
        <v>1863</v>
      </c>
      <c r="CX5" s="55"/>
      <c r="CY5" s="55"/>
      <c r="CZ5" s="1572"/>
      <c r="DA5" s="1571"/>
      <c r="DB5" s="1632">
        <f>Falls!D15</f>
        <v>713</v>
      </c>
      <c r="DC5" s="55"/>
      <c r="DD5" s="55"/>
      <c r="DE5" s="1572"/>
      <c r="DF5" s="1571"/>
      <c r="DG5" s="1632">
        <f>CHE!J45</f>
        <v>3280</v>
      </c>
      <c r="DH5" s="55"/>
      <c r="DI5" s="55"/>
      <c r="DJ5" s="1572"/>
      <c r="DK5" s="1571"/>
      <c r="DL5" s="1632">
        <f>EWS_in_CH!J37</f>
        <v>480</v>
      </c>
      <c r="DM5" s="55"/>
      <c r="DN5" s="55"/>
      <c r="DO5" s="1572"/>
      <c r="DP5" s="1571"/>
    </row>
    <row r="6" spans="1:120" s="1564" customFormat="1" ht="14.25">
      <c r="B6" s="2270"/>
      <c r="C6" s="1565" t="s">
        <v>1127</v>
      </c>
      <c r="E6" s="1937" t="s">
        <v>68</v>
      </c>
      <c r="F6" s="55"/>
      <c r="G6" s="1566"/>
      <c r="H6" s="1566"/>
      <c r="I6" s="1566"/>
      <c r="J6" s="1567"/>
      <c r="K6" s="1630">
        <f>hear_and_treat!L41</f>
        <v>82555.335200000001</v>
      </c>
      <c r="L6" s="1566"/>
      <c r="M6" s="1566"/>
      <c r="N6" s="1566"/>
      <c r="O6" s="1567"/>
      <c r="P6" s="1630">
        <f>see_and_treat!L41</f>
        <v>410981.61399999994</v>
      </c>
      <c r="Q6" s="1566"/>
      <c r="R6" s="1566"/>
      <c r="S6" s="1568"/>
      <c r="T6" s="1567"/>
      <c r="U6" s="1630">
        <f>Clinical_advisor_consultations!L46</f>
        <v>242910.3628</v>
      </c>
      <c r="V6" s="1566"/>
      <c r="W6" s="1566"/>
      <c r="X6" s="1568"/>
      <c r="Y6" s="1567"/>
      <c r="Z6" s="1630">
        <f>Integration_of_hubs!E27</f>
        <v>0</v>
      </c>
      <c r="AA6" s="1566"/>
      <c r="AB6" s="1566"/>
      <c r="AC6" s="1568"/>
      <c r="AD6" s="1567"/>
      <c r="AE6" s="1630">
        <f>AEC!L58</f>
        <v>492606.32740000001</v>
      </c>
      <c r="AF6" s="1566"/>
      <c r="AG6" s="1566"/>
      <c r="AH6" s="1568"/>
      <c r="AI6" s="1567"/>
      <c r="AJ6" s="1630">
        <f>Care_planning!L42</f>
        <v>583193.96</v>
      </c>
      <c r="AK6" s="1566"/>
      <c r="AL6" s="1566"/>
      <c r="AM6" s="1568"/>
      <c r="AN6" s="1567"/>
      <c r="AO6" s="1630">
        <f>Colocate_UTC!L56</f>
        <v>1369283.8030099999</v>
      </c>
      <c r="AP6" s="1566"/>
      <c r="AQ6" s="1566"/>
      <c r="AR6" s="1568"/>
      <c r="AS6" s="1567"/>
      <c r="AT6" s="1630">
        <f>Enhanced_UCS!L55</f>
        <v>236144.64000000001</v>
      </c>
      <c r="AU6" s="1566"/>
      <c r="AV6" s="1566"/>
      <c r="AW6" s="1568"/>
      <c r="AX6" s="1567"/>
      <c r="AY6" s="1630">
        <f>GP_Hours!K46</f>
        <v>159381.96160000001</v>
      </c>
      <c r="AZ6" s="1566"/>
      <c r="BA6" s="1566"/>
      <c r="BB6" s="1568"/>
      <c r="BC6" s="1567"/>
      <c r="BD6" s="1630">
        <f>PGD_Minor_ailments!I33</f>
        <v>32460</v>
      </c>
      <c r="BE6" s="1566"/>
      <c r="BF6" s="1566"/>
      <c r="BG6" s="1568"/>
      <c r="BH6" s="1567"/>
      <c r="BI6" s="1630">
        <f>Emergency_medication_supply!J29</f>
        <v>40740</v>
      </c>
      <c r="BJ6" s="1566"/>
      <c r="BK6" s="1566"/>
      <c r="BL6" s="1568"/>
      <c r="BM6" s="1567"/>
      <c r="BN6" s="1630">
        <f>IP_drug_reconciliation!K32</f>
        <v>9800</v>
      </c>
      <c r="BO6" s="1566"/>
      <c r="BP6" s="1566"/>
      <c r="BQ6" s="1568"/>
      <c r="BR6" s="1567"/>
      <c r="BS6" s="1630">
        <f>SCR_in_ED!K27</f>
        <v>8000</v>
      </c>
      <c r="BT6" s="1566"/>
      <c r="BU6" s="1566"/>
      <c r="BV6" s="1568"/>
      <c r="BW6" s="1569"/>
      <c r="BX6" s="1630">
        <f>IR_in_AS!D28</f>
        <v>19924</v>
      </c>
      <c r="BY6" s="1566"/>
      <c r="BZ6" s="1566"/>
      <c r="CA6" s="1568"/>
      <c r="CB6" s="1567"/>
      <c r="CC6" s="1630">
        <f>IR_in_ED!D28</f>
        <v>6641.3333333333339</v>
      </c>
      <c r="CD6" s="1566"/>
      <c r="CE6" s="1566"/>
      <c r="CF6" s="1568"/>
      <c r="CG6" s="1567"/>
      <c r="CH6" s="1630">
        <f>IR_in_CH!D28</f>
        <v>3984.8</v>
      </c>
      <c r="CI6" s="1566"/>
      <c r="CJ6" s="1566"/>
      <c r="CK6" s="1568"/>
      <c r="CL6" s="1567"/>
      <c r="CM6" s="1630">
        <f>Dis_Pl!J53</f>
        <v>1726333.456</v>
      </c>
      <c r="CN6" s="1566"/>
      <c r="CO6" s="1566"/>
      <c r="CP6" s="1568"/>
      <c r="CQ6" s="1567"/>
      <c r="CR6" s="1998">
        <f>D2A!L30</f>
        <v>1527574.753193289</v>
      </c>
      <c r="CS6" s="1566"/>
      <c r="CT6" s="1566"/>
      <c r="CU6" s="1568"/>
      <c r="CV6" s="1567"/>
      <c r="CW6" s="1630">
        <f>Rapid_Response!L46</f>
        <v>874151.86479999998</v>
      </c>
      <c r="CX6" s="1566"/>
      <c r="CY6" s="1566"/>
      <c r="CZ6" s="1568"/>
      <c r="DA6" s="1567"/>
      <c r="DB6" s="1630">
        <f>Falls!J64</f>
        <v>81879.42651653543</v>
      </c>
      <c r="DC6" s="1566"/>
      <c r="DD6" s="1566"/>
      <c r="DE6" s="1568"/>
      <c r="DF6" s="1567"/>
      <c r="DG6" s="1630">
        <f>CHE!J47</f>
        <v>198359.76</v>
      </c>
      <c r="DH6" s="1566"/>
      <c r="DI6" s="1566"/>
      <c r="DJ6" s="1568"/>
      <c r="DK6" s="1567"/>
      <c r="DL6" s="1630">
        <f>EWS_in_CH!J51</f>
        <v>98986.48</v>
      </c>
      <c r="DM6" s="1566"/>
      <c r="DN6" s="1566"/>
      <c r="DO6" s="1568"/>
      <c r="DP6" s="1567"/>
    </row>
    <row r="7" spans="1:120" s="1574" customFormat="1" ht="14.25">
      <c r="B7" s="2270"/>
      <c r="C7" s="1565" t="s">
        <v>1128</v>
      </c>
      <c r="E7" s="1937" t="s">
        <v>68</v>
      </c>
      <c r="F7" s="55"/>
      <c r="G7" s="1575"/>
      <c r="H7" s="1575"/>
      <c r="I7" s="1575"/>
      <c r="J7" s="1576"/>
      <c r="K7" s="1632">
        <f>hear_and_treat!D6</f>
        <v>988837</v>
      </c>
      <c r="L7" s="1575"/>
      <c r="M7" s="1575"/>
      <c r="N7" s="1575"/>
      <c r="O7" s="1576"/>
      <c r="P7" s="1632">
        <f>see_and_treat!D6</f>
        <v>988837</v>
      </c>
      <c r="Q7" s="1575"/>
      <c r="R7" s="1575"/>
      <c r="S7" s="1577"/>
      <c r="T7" s="1576"/>
      <c r="U7" s="1632">
        <f>Clinical_advisor_consultations!D7</f>
        <v>988837</v>
      </c>
      <c r="V7" s="1575"/>
      <c r="W7" s="1575"/>
      <c r="X7" s="1577"/>
      <c r="Y7" s="1576"/>
      <c r="Z7" s="1632">
        <f>Integration_of_hubs!D7</f>
        <v>988837</v>
      </c>
      <c r="AA7" s="1575"/>
      <c r="AB7" s="1575"/>
      <c r="AC7" s="1577"/>
      <c r="AD7" s="1576"/>
      <c r="AE7" s="1632">
        <f>AEC!D7</f>
        <v>300000</v>
      </c>
      <c r="AF7" s="1575"/>
      <c r="AG7" s="1575"/>
      <c r="AH7" s="1577"/>
      <c r="AI7" s="1576"/>
      <c r="AJ7" s="1632">
        <f>Care_planning!D7</f>
        <v>762764</v>
      </c>
      <c r="AK7" s="1575"/>
      <c r="AL7" s="1575"/>
      <c r="AM7" s="1577"/>
      <c r="AN7" s="1576"/>
      <c r="AO7" s="1632">
        <f>Colocate_UTC!D7</f>
        <v>813405</v>
      </c>
      <c r="AP7" s="1575"/>
      <c r="AQ7" s="1575"/>
      <c r="AR7" s="1577"/>
      <c r="AS7" s="1576"/>
      <c r="AT7" s="1632">
        <f>Enhanced_UCS!D7</f>
        <v>762764</v>
      </c>
      <c r="AU7" s="1575"/>
      <c r="AV7" s="1575"/>
      <c r="AW7" s="1577"/>
      <c r="AX7" s="1576"/>
      <c r="AY7" s="1632">
        <f>GP_Hours!D7</f>
        <v>762764</v>
      </c>
      <c r="AZ7" s="1575"/>
      <c r="BA7" s="1575"/>
      <c r="BB7" s="1577"/>
      <c r="BC7" s="1576"/>
      <c r="BD7" s="1632">
        <f>PGD_Minor_ailments!D7</f>
        <v>304721</v>
      </c>
      <c r="BE7" s="1575"/>
      <c r="BF7" s="1575"/>
      <c r="BG7" s="1577"/>
      <c r="BH7" s="1576"/>
      <c r="BI7" s="1632">
        <f>Emergency_medication_supply!D7</f>
        <v>304721</v>
      </c>
      <c r="BJ7" s="1575"/>
      <c r="BK7" s="1575"/>
      <c r="BL7" s="1577"/>
      <c r="BM7" s="1576"/>
      <c r="BN7" s="1632">
        <f>IP_drug_reconciliation!D7</f>
        <v>813405</v>
      </c>
      <c r="BO7" s="1575"/>
      <c r="BP7" s="1575"/>
      <c r="BQ7" s="1577"/>
      <c r="BR7" s="1576"/>
      <c r="BS7" s="1632">
        <f>SCR_in_ED!D7</f>
        <v>813405</v>
      </c>
      <c r="BT7" s="1575"/>
      <c r="BU7" s="1575"/>
      <c r="BV7" s="1577"/>
      <c r="BW7" s="1578"/>
      <c r="BX7" s="1632">
        <f>IR_in_AS!D7</f>
        <v>813405</v>
      </c>
      <c r="BY7" s="1575"/>
      <c r="BZ7" s="1575"/>
      <c r="CA7" s="1577"/>
      <c r="CB7" s="1576"/>
      <c r="CC7" s="1632">
        <f>IR_in_ED!D7</f>
        <v>813405</v>
      </c>
      <c r="CD7" s="1575"/>
      <c r="CE7" s="1575"/>
      <c r="CF7" s="1577"/>
      <c r="CG7" s="1576"/>
      <c r="CH7" s="1632">
        <f>IR_in_CH!D7</f>
        <v>813405</v>
      </c>
      <c r="CI7" s="1575"/>
      <c r="CJ7" s="1575"/>
      <c r="CK7" s="1577"/>
      <c r="CL7" s="1576"/>
      <c r="CM7" s="1632">
        <f>Dis_Pl!D7</f>
        <v>813405</v>
      </c>
      <c r="CN7" s="1575"/>
      <c r="CO7" s="1575"/>
      <c r="CP7" s="1577"/>
      <c r="CQ7" s="1576"/>
      <c r="CR7" s="1999">
        <f>D2A!D6</f>
        <v>342201</v>
      </c>
      <c r="CS7" s="1575"/>
      <c r="CT7" s="1575"/>
      <c r="CU7" s="1577"/>
      <c r="CV7" s="1576"/>
      <c r="CW7" s="1632">
        <f>Rapid_Response!D6</f>
        <v>3043165</v>
      </c>
      <c r="CX7" s="1575"/>
      <c r="CY7" s="1575"/>
      <c r="CZ7" s="1577"/>
      <c r="DA7" s="1576"/>
      <c r="DB7" s="1632">
        <f>Falls!D6</f>
        <v>3043165</v>
      </c>
      <c r="DC7" s="1575"/>
      <c r="DD7" s="1575"/>
      <c r="DE7" s="1577"/>
      <c r="DF7" s="1576"/>
      <c r="DG7" s="1632">
        <f>CHE!D6</f>
        <v>813405</v>
      </c>
      <c r="DH7" s="1575"/>
      <c r="DI7" s="1575"/>
      <c r="DJ7" s="1577"/>
      <c r="DK7" s="1576"/>
      <c r="DL7" s="1632">
        <f>EWS_in_CH!D6</f>
        <v>3043165</v>
      </c>
      <c r="DM7" s="1575"/>
      <c r="DN7" s="1575"/>
      <c r="DO7" s="1577"/>
      <c r="DP7" s="1576"/>
    </row>
    <row r="8" spans="1:120" s="1119" customFormat="1">
      <c r="B8" s="1579"/>
      <c r="C8" s="1565"/>
      <c r="E8" s="1580"/>
      <c r="F8" s="533"/>
      <c r="G8" s="533"/>
      <c r="H8" s="533"/>
      <c r="I8" s="533"/>
      <c r="J8" s="1554"/>
      <c r="K8" s="1580"/>
      <c r="L8" s="533"/>
      <c r="M8" s="533"/>
      <c r="N8" s="533"/>
      <c r="O8" s="1554"/>
      <c r="P8" s="1581"/>
      <c r="Q8" s="533"/>
      <c r="R8" s="533"/>
      <c r="S8" s="1582"/>
      <c r="T8" s="1554"/>
      <c r="U8" s="1580"/>
      <c r="V8" s="533"/>
      <c r="W8" s="533"/>
      <c r="X8" s="1582"/>
      <c r="Y8" s="1554"/>
      <c r="Z8" s="1580"/>
      <c r="AA8" s="533"/>
      <c r="AB8" s="533"/>
      <c r="AC8" s="1582"/>
      <c r="AD8" s="1554"/>
      <c r="AE8" s="1580"/>
      <c r="AF8" s="533"/>
      <c r="AG8" s="533"/>
      <c r="AH8" s="1582"/>
      <c r="AI8" s="1554"/>
      <c r="AJ8" s="1580"/>
      <c r="AK8" s="533"/>
      <c r="AL8" s="533"/>
      <c r="AM8" s="1582"/>
      <c r="AN8" s="1554"/>
      <c r="AO8" s="1580"/>
      <c r="AP8" s="533"/>
      <c r="AQ8" s="533"/>
      <c r="AR8" s="1582"/>
      <c r="AS8" s="1554"/>
      <c r="AT8" s="1580"/>
      <c r="AU8" s="533"/>
      <c r="AV8" s="533"/>
      <c r="AW8" s="1582"/>
      <c r="AX8" s="1554"/>
      <c r="AY8" s="1580"/>
      <c r="AZ8" s="533"/>
      <c r="BA8" s="533"/>
      <c r="BB8" s="1582"/>
      <c r="BC8" s="1554"/>
      <c r="BD8" s="1580"/>
      <c r="BE8" s="533"/>
      <c r="BF8" s="533"/>
      <c r="BG8" s="1582"/>
      <c r="BH8" s="1554"/>
      <c r="BI8" s="1580"/>
      <c r="BJ8" s="533"/>
      <c r="BK8" s="533"/>
      <c r="BL8" s="1582"/>
      <c r="BM8" s="1554"/>
      <c r="BN8" s="1580"/>
      <c r="BO8" s="533"/>
      <c r="BP8" s="533"/>
      <c r="BQ8" s="1582"/>
      <c r="BR8" s="1554"/>
      <c r="BS8" s="1580"/>
      <c r="BT8" s="533"/>
      <c r="BU8" s="533"/>
      <c r="BV8" s="1582"/>
      <c r="BW8" s="1079"/>
      <c r="BX8" s="1580"/>
      <c r="BY8" s="533"/>
      <c r="BZ8" s="533"/>
      <c r="CA8" s="1582"/>
      <c r="CB8" s="1554"/>
      <c r="CC8" s="1580"/>
      <c r="CD8" s="533"/>
      <c r="CE8" s="533"/>
      <c r="CF8" s="1582"/>
      <c r="CG8" s="1554"/>
      <c r="CH8" s="1580"/>
      <c r="CI8" s="533"/>
      <c r="CJ8" s="533"/>
      <c r="CK8" s="1582"/>
      <c r="CL8" s="1554"/>
      <c r="CM8" s="1580"/>
      <c r="CN8" s="533"/>
      <c r="CO8" s="533"/>
      <c r="CP8" s="1582"/>
      <c r="CQ8" s="1554"/>
      <c r="CR8" s="1580"/>
      <c r="CS8" s="533"/>
      <c r="CT8" s="533"/>
      <c r="CU8" s="1582"/>
      <c r="CV8" s="1554"/>
      <c r="CW8" s="1580"/>
      <c r="CX8" s="533"/>
      <c r="CY8" s="533"/>
      <c r="CZ8" s="1582"/>
      <c r="DA8" s="1554"/>
      <c r="DB8" s="1580"/>
      <c r="DC8" s="533"/>
      <c r="DD8" s="533"/>
      <c r="DE8" s="1582"/>
      <c r="DF8" s="1554"/>
      <c r="DG8" s="1580"/>
      <c r="DH8" s="533"/>
      <c r="DI8" s="533"/>
      <c r="DJ8" s="1582"/>
      <c r="DK8" s="1554"/>
      <c r="DL8" s="1580"/>
      <c r="DM8" s="533"/>
      <c r="DN8" s="533"/>
      <c r="DO8" s="1582"/>
      <c r="DP8" s="1554"/>
    </row>
    <row r="9" spans="1:120" s="1119" customFormat="1">
      <c r="B9" s="2270" t="s">
        <v>1129</v>
      </c>
      <c r="C9" s="537" t="s">
        <v>65</v>
      </c>
      <c r="E9" s="1938" t="s">
        <v>68</v>
      </c>
      <c r="F9" s="533"/>
      <c r="G9" s="533"/>
      <c r="H9" s="533"/>
      <c r="I9" s="533"/>
      <c r="J9" s="1554"/>
      <c r="K9" s="1633">
        <f>K6/K5</f>
        <v>10.920017883597884</v>
      </c>
      <c r="L9" s="533"/>
      <c r="M9" s="533"/>
      <c r="N9" s="533"/>
      <c r="O9" s="1554"/>
      <c r="P9" s="1633">
        <f>P6/P5</f>
        <v>139.78966462585032</v>
      </c>
      <c r="Q9" s="533"/>
      <c r="R9" s="533"/>
      <c r="S9" s="1582"/>
      <c r="T9" s="1554"/>
      <c r="U9" s="1633">
        <f>U6/U5</f>
        <v>10.341011613452533</v>
      </c>
      <c r="V9" s="533"/>
      <c r="W9" s="533"/>
      <c r="X9" s="1582"/>
      <c r="Y9" s="1554"/>
      <c r="Z9" s="1633">
        <f>Z6/Z5</f>
        <v>0</v>
      </c>
      <c r="AA9" s="533"/>
      <c r="AB9" s="533"/>
      <c r="AC9" s="1582"/>
      <c r="AD9" s="1554"/>
      <c r="AE9" s="1633">
        <f>AE6/AE5</f>
        <v>256.62844895075295</v>
      </c>
      <c r="AF9" s="533"/>
      <c r="AG9" s="533"/>
      <c r="AH9" s="1582"/>
      <c r="AI9" s="1554"/>
      <c r="AJ9" s="1633">
        <f>AJ6/AJ5</f>
        <v>485.99496666666664</v>
      </c>
      <c r="AK9" s="533"/>
      <c r="AL9" s="533"/>
      <c r="AM9" s="1582"/>
      <c r="AN9" s="1554"/>
      <c r="AO9" s="1633">
        <f>AO6/AO5</f>
        <v>48.299252310758376</v>
      </c>
      <c r="AP9" s="533"/>
      <c r="AQ9" s="533"/>
      <c r="AR9" s="1582"/>
      <c r="AS9" s="1554"/>
      <c r="AT9" s="1633">
        <f>AT6/AT5</f>
        <v>26.773768707482994</v>
      </c>
      <c r="AU9" s="533"/>
      <c r="AV9" s="533"/>
      <c r="AW9" s="1582"/>
      <c r="AX9" s="1554"/>
      <c r="AY9" s="1633">
        <f>AY6/AY5</f>
        <v>17.697667072448812</v>
      </c>
      <c r="AZ9" s="533"/>
      <c r="BA9" s="533"/>
      <c r="BB9" s="1582"/>
      <c r="BC9" s="1554"/>
      <c r="BD9" s="1633">
        <f>BD6/BD5</f>
        <v>10.82</v>
      </c>
      <c r="BE9" s="533"/>
      <c r="BF9" s="533"/>
      <c r="BG9" s="1582"/>
      <c r="BH9" s="1554"/>
      <c r="BI9" s="1633">
        <f>BI6/BI5</f>
        <v>11.64</v>
      </c>
      <c r="BJ9" s="533"/>
      <c r="BK9" s="533"/>
      <c r="BL9" s="1582"/>
      <c r="BM9" s="1554"/>
      <c r="BN9" s="1633">
        <f>BN6/BN5</f>
        <v>0.15780998389694043</v>
      </c>
      <c r="BO9" s="533"/>
      <c r="BP9" s="533"/>
      <c r="BQ9" s="1582"/>
      <c r="BR9" s="1554"/>
      <c r="BS9" s="1633">
        <f>BS6/BS5</f>
        <v>0.8</v>
      </c>
      <c r="BT9" s="533"/>
      <c r="BU9" s="533"/>
      <c r="BV9" s="1582"/>
      <c r="BW9" s="1079"/>
      <c r="BX9" s="1633">
        <f>BX6/BX5</f>
        <v>4.0019684446274519</v>
      </c>
      <c r="BY9" s="533"/>
      <c r="BZ9" s="533"/>
      <c r="CA9" s="1582"/>
      <c r="CB9" s="1554"/>
      <c r="CC9" s="1633">
        <f>CC6/CC5</f>
        <v>0.8191814435092083</v>
      </c>
      <c r="CD9" s="533"/>
      <c r="CE9" s="533"/>
      <c r="CF9" s="1582"/>
      <c r="CG9" s="1554"/>
      <c r="CH9" s="1633">
        <f>CH6/CH5</f>
        <v>1.3282666666666667</v>
      </c>
      <c r="CI9" s="533"/>
      <c r="CJ9" s="533"/>
      <c r="CK9" s="1582"/>
      <c r="CL9" s="1554"/>
      <c r="CM9" s="1633">
        <f>CM6/CM5</f>
        <v>559.04580829015549</v>
      </c>
      <c r="CN9" s="533"/>
      <c r="CO9" s="533"/>
      <c r="CP9" s="1582"/>
      <c r="CQ9" s="1554"/>
      <c r="CR9" s="1633">
        <f>CR6/CR5</f>
        <v>8137.7650474528318</v>
      </c>
      <c r="CS9" s="533"/>
      <c r="CT9" s="533"/>
      <c r="CU9" s="1582"/>
      <c r="CV9" s="1554"/>
      <c r="CW9" s="1633">
        <f>CW6/CW5</f>
        <v>469.21731873322597</v>
      </c>
      <c r="CX9" s="533"/>
      <c r="CY9" s="533"/>
      <c r="CZ9" s="1582"/>
      <c r="DA9" s="1554"/>
      <c r="DB9" s="1633">
        <f>DB6/DB5</f>
        <v>114.83790535278462</v>
      </c>
      <c r="DC9" s="533"/>
      <c r="DD9" s="533"/>
      <c r="DE9" s="1582"/>
      <c r="DF9" s="1554"/>
      <c r="DG9" s="1633">
        <f>DG6/DG5</f>
        <v>60.475536585365859</v>
      </c>
      <c r="DH9" s="533"/>
      <c r="DI9" s="533"/>
      <c r="DJ9" s="1582"/>
      <c r="DK9" s="1554"/>
      <c r="DL9" s="1633">
        <f>DL6/DL5</f>
        <v>206.22183333333334</v>
      </c>
      <c r="DM9" s="533"/>
      <c r="DN9" s="533"/>
      <c r="DO9" s="1582"/>
      <c r="DP9" s="1554"/>
    </row>
    <row r="10" spans="1:120" s="1119" customFormat="1">
      <c r="B10" s="2270"/>
      <c r="C10" s="537" t="s">
        <v>71</v>
      </c>
      <c r="E10" s="1938" t="s">
        <v>68</v>
      </c>
      <c r="F10" s="533"/>
      <c r="G10" s="533"/>
      <c r="H10" s="533"/>
      <c r="I10" s="533"/>
      <c r="J10" s="1554"/>
      <c r="K10" s="1635">
        <f>control_sheet_and_graphs!D4</f>
        <v>1</v>
      </c>
      <c r="L10" s="533"/>
      <c r="M10" s="533"/>
      <c r="N10" s="533"/>
      <c r="O10" s="1554"/>
      <c r="P10" s="1635">
        <f>control_sheet_and_graphs!D5</f>
        <v>1</v>
      </c>
      <c r="Q10" s="533"/>
      <c r="R10" s="533"/>
      <c r="S10" s="1582"/>
      <c r="T10" s="1554"/>
      <c r="U10" s="1635">
        <f>control_sheet_and_graphs!D6</f>
        <v>1</v>
      </c>
      <c r="V10" s="533"/>
      <c r="W10" s="533"/>
      <c r="X10" s="1582"/>
      <c r="Y10" s="1554"/>
      <c r="Z10" s="1635">
        <f>control_sheet_and_graphs!D7</f>
        <v>1</v>
      </c>
      <c r="AA10" s="533"/>
      <c r="AB10" s="533"/>
      <c r="AC10" s="1582"/>
      <c r="AD10" s="1554"/>
      <c r="AE10" s="1635">
        <f>control_sheet_and_graphs!D8</f>
        <v>1</v>
      </c>
      <c r="AF10" s="533"/>
      <c r="AG10" s="533"/>
      <c r="AH10" s="1582"/>
      <c r="AI10" s="1554"/>
      <c r="AJ10" s="1635">
        <f>control_sheet_and_graphs!D9</f>
        <v>1</v>
      </c>
      <c r="AK10" s="533"/>
      <c r="AL10" s="533"/>
      <c r="AM10" s="1582"/>
      <c r="AN10" s="1554"/>
      <c r="AO10" s="1635">
        <f>control_sheet_and_graphs!D10</f>
        <v>1</v>
      </c>
      <c r="AP10" s="533"/>
      <c r="AQ10" s="533"/>
      <c r="AR10" s="1582"/>
      <c r="AS10" s="1554"/>
      <c r="AT10" s="1635">
        <f>control_sheet_and_graphs!D11</f>
        <v>0</v>
      </c>
      <c r="AU10" s="533"/>
      <c r="AV10" s="533"/>
      <c r="AW10" s="1582"/>
      <c r="AX10" s="1554"/>
      <c r="AY10" s="1635">
        <f>control_sheet_and_graphs!F4</f>
        <v>1</v>
      </c>
      <c r="AZ10" s="533"/>
      <c r="BA10" s="533"/>
      <c r="BB10" s="1582"/>
      <c r="BC10" s="1554"/>
      <c r="BD10" s="1635">
        <f>control_sheet_and_graphs!F5</f>
        <v>1</v>
      </c>
      <c r="BE10" s="533"/>
      <c r="BF10" s="533"/>
      <c r="BG10" s="1582"/>
      <c r="BH10" s="1554"/>
      <c r="BI10" s="1635">
        <f>control_sheet_and_graphs!F6</f>
        <v>1</v>
      </c>
      <c r="BJ10" s="533"/>
      <c r="BK10" s="533"/>
      <c r="BL10" s="1582"/>
      <c r="BM10" s="1554"/>
      <c r="BN10" s="1635">
        <f>control_sheet_and_graphs!F7</f>
        <v>1</v>
      </c>
      <c r="BO10" s="533"/>
      <c r="BP10" s="533"/>
      <c r="BQ10" s="1582"/>
      <c r="BR10" s="1554"/>
      <c r="BS10" s="1635">
        <f>control_sheet_and_graphs!F8</f>
        <v>1</v>
      </c>
      <c r="BT10" s="533"/>
      <c r="BU10" s="533"/>
      <c r="BV10" s="1582"/>
      <c r="BW10" s="1079"/>
      <c r="BX10" s="1635">
        <f>control_sheet_and_graphs!F9</f>
        <v>1</v>
      </c>
      <c r="BY10" s="533"/>
      <c r="BZ10" s="533"/>
      <c r="CA10" s="1582"/>
      <c r="CB10" s="1554"/>
      <c r="CC10" s="1635">
        <f>control_sheet_and_graphs!F10</f>
        <v>1</v>
      </c>
      <c r="CD10" s="533"/>
      <c r="CE10" s="533"/>
      <c r="CF10" s="1582"/>
      <c r="CG10" s="1554"/>
      <c r="CH10" s="1635">
        <f>control_sheet_and_graphs!F11</f>
        <v>1</v>
      </c>
      <c r="CI10" s="533"/>
      <c r="CJ10" s="533"/>
      <c r="CK10" s="1582"/>
      <c r="CL10" s="1554"/>
      <c r="CM10" s="1635">
        <f>control_sheet_and_graphs!H5</f>
        <v>1</v>
      </c>
      <c r="CN10" s="533"/>
      <c r="CO10" s="533"/>
      <c r="CP10" s="1582"/>
      <c r="CQ10" s="1554"/>
      <c r="CR10" s="1635">
        <f>control_sheet_and_graphs!H4</f>
        <v>1</v>
      </c>
      <c r="CS10" s="533"/>
      <c r="CT10" s="533"/>
      <c r="CU10" s="1582"/>
      <c r="CV10" s="1554"/>
      <c r="CW10" s="1635">
        <f>control_sheet_and_graphs!H6</f>
        <v>1</v>
      </c>
      <c r="CX10" s="533"/>
      <c r="CY10" s="533"/>
      <c r="CZ10" s="1582"/>
      <c r="DA10" s="1554"/>
      <c r="DB10" s="1635">
        <f>control_sheet_and_graphs!H7</f>
        <v>1</v>
      </c>
      <c r="DC10" s="533"/>
      <c r="DD10" s="533"/>
      <c r="DE10" s="1582"/>
      <c r="DF10" s="1554"/>
      <c r="DG10" s="1635">
        <f>control_sheet_and_graphs!H8</f>
        <v>1</v>
      </c>
      <c r="DH10" s="533"/>
      <c r="DI10" s="533"/>
      <c r="DJ10" s="1582"/>
      <c r="DK10" s="1554"/>
      <c r="DL10" s="1635">
        <f>control_sheet_and_graphs!H9</f>
        <v>1</v>
      </c>
      <c r="DM10" s="533"/>
      <c r="DN10" s="533"/>
      <c r="DO10" s="1582"/>
      <c r="DP10" s="1554"/>
    </row>
    <row r="11" spans="1:120" s="1119" customFormat="1">
      <c r="B11" s="2270"/>
      <c r="C11" s="537" t="s">
        <v>592</v>
      </c>
      <c r="E11" s="1636">
        <f>local_data_input!C42</f>
        <v>1200000</v>
      </c>
      <c r="F11" s="533"/>
      <c r="G11" s="533"/>
      <c r="H11" s="533"/>
      <c r="I11" s="533"/>
      <c r="J11" s="1554"/>
      <c r="K11" s="1636">
        <f>local_data_input!C42</f>
        <v>1200000</v>
      </c>
      <c r="L11" s="533"/>
      <c r="M11" s="533"/>
      <c r="N11" s="533"/>
      <c r="O11" s="1554"/>
      <c r="P11" s="1636">
        <f>local_data_input!C42</f>
        <v>1200000</v>
      </c>
      <c r="Q11" s="533"/>
      <c r="R11" s="533"/>
      <c r="S11" s="1582"/>
      <c r="T11" s="1554"/>
      <c r="U11" s="1636">
        <f>local_data_input!C42</f>
        <v>1200000</v>
      </c>
      <c r="V11" s="533"/>
      <c r="W11" s="533"/>
      <c r="X11" s="1582"/>
      <c r="Y11" s="1554"/>
      <c r="Z11" s="1636">
        <f>local_data_input!C42</f>
        <v>1200000</v>
      </c>
      <c r="AA11" s="533"/>
      <c r="AB11" s="533"/>
      <c r="AC11" s="1582"/>
      <c r="AD11" s="1554"/>
      <c r="AE11" s="1636">
        <f>local_data_input!C42</f>
        <v>1200000</v>
      </c>
      <c r="AF11" s="533"/>
      <c r="AG11" s="533"/>
      <c r="AH11" s="1582"/>
      <c r="AI11" s="1554"/>
      <c r="AJ11" s="1636">
        <f>local_data_input!C42</f>
        <v>1200000</v>
      </c>
      <c r="AK11" s="533"/>
      <c r="AL11" s="533"/>
      <c r="AM11" s="1582"/>
      <c r="AN11" s="1554"/>
      <c r="AO11" s="1636">
        <f>local_data_input!C42</f>
        <v>1200000</v>
      </c>
      <c r="AP11" s="533"/>
      <c r="AQ11" s="533"/>
      <c r="AR11" s="1582"/>
      <c r="AS11" s="1554"/>
      <c r="AT11" s="1636">
        <f>local_data_input!C42</f>
        <v>1200000</v>
      </c>
      <c r="AU11" s="533"/>
      <c r="AV11" s="533"/>
      <c r="AW11" s="1582"/>
      <c r="AX11" s="1554"/>
      <c r="AY11" s="1636">
        <f>local_data_input!C42</f>
        <v>1200000</v>
      </c>
      <c r="AZ11" s="533"/>
      <c r="BA11" s="533"/>
      <c r="BB11" s="1582"/>
      <c r="BC11" s="1554"/>
      <c r="BD11" s="1636">
        <f>local_data_input!C42</f>
        <v>1200000</v>
      </c>
      <c r="BE11" s="533"/>
      <c r="BF11" s="533"/>
      <c r="BG11" s="1582"/>
      <c r="BH11" s="1554"/>
      <c r="BI11" s="1636">
        <f>local_data_input!C42</f>
        <v>1200000</v>
      </c>
      <c r="BJ11" s="533"/>
      <c r="BK11" s="533"/>
      <c r="BL11" s="1582"/>
      <c r="BM11" s="1554"/>
      <c r="BN11" s="1636">
        <f>local_data_input!C42</f>
        <v>1200000</v>
      </c>
      <c r="BO11" s="533"/>
      <c r="BP11" s="533"/>
      <c r="BQ11" s="1582"/>
      <c r="BR11" s="1554"/>
      <c r="BS11" s="1636">
        <f>local_data_input!C42</f>
        <v>1200000</v>
      </c>
      <c r="BT11" s="533"/>
      <c r="BU11" s="533"/>
      <c r="BV11" s="1582"/>
      <c r="BW11" s="1079"/>
      <c r="BX11" s="1636">
        <f>local_data_input!C42</f>
        <v>1200000</v>
      </c>
      <c r="BY11" s="533"/>
      <c r="BZ11" s="533"/>
      <c r="CA11" s="1582"/>
      <c r="CB11" s="1554"/>
      <c r="CC11" s="1636">
        <f>local_data_input!C42</f>
        <v>1200000</v>
      </c>
      <c r="CD11" s="533"/>
      <c r="CE11" s="533"/>
      <c r="CF11" s="1582"/>
      <c r="CG11" s="1554"/>
      <c r="CH11" s="1636">
        <f>local_data_input!C42</f>
        <v>1200000</v>
      </c>
      <c r="CI11" s="533"/>
      <c r="CJ11" s="533"/>
      <c r="CK11" s="1582"/>
      <c r="CL11" s="1554"/>
      <c r="CM11" s="1636">
        <f>local_data_input!C42</f>
        <v>1200000</v>
      </c>
      <c r="CN11" s="533"/>
      <c r="CO11" s="533"/>
      <c r="CP11" s="1582"/>
      <c r="CQ11" s="1554"/>
      <c r="CR11" s="1636">
        <f>local_data_input!C42</f>
        <v>1200000</v>
      </c>
      <c r="CS11" s="533"/>
      <c r="CT11" s="533"/>
      <c r="CU11" s="1582"/>
      <c r="CV11" s="1554"/>
      <c r="CW11" s="1636">
        <f>local_data_input!C42</f>
        <v>1200000</v>
      </c>
      <c r="CX11" s="533"/>
      <c r="CY11" s="533"/>
      <c r="CZ11" s="1582"/>
      <c r="DA11" s="1554"/>
      <c r="DB11" s="1636">
        <f>local_data_input!C42</f>
        <v>1200000</v>
      </c>
      <c r="DC11" s="533"/>
      <c r="DD11" s="533"/>
      <c r="DE11" s="1582"/>
      <c r="DF11" s="1554"/>
      <c r="DG11" s="1636">
        <f>local_data_input!C42</f>
        <v>1200000</v>
      </c>
      <c r="DH11" s="533"/>
      <c r="DI11" s="533"/>
      <c r="DJ11" s="1582"/>
      <c r="DK11" s="1554"/>
      <c r="DL11" s="1636">
        <f>local_data_input!C42</f>
        <v>1200000</v>
      </c>
      <c r="DM11" s="533"/>
      <c r="DN11" s="533"/>
      <c r="DO11" s="1582"/>
      <c r="DP11" s="1554"/>
    </row>
    <row r="12" spans="1:120" s="538" customFormat="1">
      <c r="B12" s="2270"/>
      <c r="C12" s="537" t="s">
        <v>63</v>
      </c>
      <c r="E12" s="1631">
        <f>K12+P12+U12+Z12+AE12+AJ12+AO12+AT12+AY12+BD12+BI12+BN12+BS12+CW12+BX12+CC12+CH12+DB12+CM12+DG12+DL12+CR12</f>
        <v>2937086.9001678457</v>
      </c>
      <c r="F12" s="1584"/>
      <c r="H12" s="1585"/>
      <c r="I12" s="1584"/>
      <c r="J12" s="1586"/>
      <c r="K12" s="1631">
        <f>IF(K10&gt;0,(K4*K11)/(K7*K10),0)</f>
        <v>24270.936463744783</v>
      </c>
      <c r="L12" s="1584"/>
      <c r="M12" s="1584"/>
      <c r="N12" s="1584"/>
      <c r="O12" s="1586"/>
      <c r="P12" s="1631">
        <f>IF(P10&gt;0,(P4*P11)/(P7*P10),0)</f>
        <v>30338.67057968098</v>
      </c>
      <c r="Q12" s="1584"/>
      <c r="R12" s="1584"/>
      <c r="S12" s="1587"/>
      <c r="T12" s="1586"/>
      <c r="U12" s="1631">
        <f>IF(U10&gt;0,(U4*U11)/(U7*U10),0)</f>
        <v>24270.936463744783</v>
      </c>
      <c r="V12" s="1584"/>
      <c r="W12" s="1584"/>
      <c r="X12" s="1587"/>
      <c r="Y12" s="1586"/>
      <c r="Z12" s="1631">
        <f>IF(Z10&gt;0,(Z4*Z11)/(Z7*Z10),0)</f>
        <v>582502.47512987477</v>
      </c>
      <c r="AA12" s="1584"/>
      <c r="AB12" s="1584"/>
      <c r="AC12" s="1587"/>
      <c r="AD12" s="1586"/>
      <c r="AE12" s="1631">
        <f>IF(AE10&gt;0,(AE4*AE11)/(AE7*AE10),0)</f>
        <v>160000</v>
      </c>
      <c r="AF12" s="1584"/>
      <c r="AG12" s="1584"/>
      <c r="AH12" s="1587"/>
      <c r="AI12" s="1586"/>
      <c r="AJ12" s="1631">
        <f>IF(AJ10&gt;0,(AJ4*AJ11)/(AJ7*AJ10),0)</f>
        <v>378203.48102427478</v>
      </c>
      <c r="AK12" s="1584"/>
      <c r="AL12" s="1584"/>
      <c r="AM12" s="1587"/>
      <c r="AN12" s="1586"/>
      <c r="AO12" s="1631">
        <f>IF(AO10&gt;0,(AO4*AO11)/(AO7*AO10),0)</f>
        <v>775992.77112877346</v>
      </c>
      <c r="AP12" s="1584"/>
      <c r="AQ12" s="1584"/>
      <c r="AR12" s="1587"/>
      <c r="AS12" s="1586"/>
      <c r="AT12" s="1631">
        <f>IF(AT10&gt;0,(AT4*AT11)/(AT7*AT10),0)</f>
        <v>0</v>
      </c>
      <c r="AU12" s="1584"/>
      <c r="AV12" s="1584"/>
      <c r="AW12" s="1587"/>
      <c r="AX12" s="1586"/>
      <c r="AY12" s="1631">
        <f>IF(AY10&gt;0,(AY4*AY11)/(AY7*AY10),0)</f>
        <v>224790.3676628682</v>
      </c>
      <c r="AZ12" s="1584"/>
      <c r="BA12" s="1584"/>
      <c r="BB12" s="1587"/>
      <c r="BC12" s="1586"/>
      <c r="BD12" s="1631">
        <f>IF(BD10&gt;0,(BD4*BD11)/(BD7*BD10),0)</f>
        <v>39380.285572704212</v>
      </c>
      <c r="BE12" s="1584"/>
      <c r="BF12" s="1584"/>
      <c r="BG12" s="1587"/>
      <c r="BH12" s="1586"/>
      <c r="BI12" s="1631">
        <f>IF(BI10&gt;0,(BI4*BI11)/(BI7*BI10),0)</f>
        <v>39380.285572704212</v>
      </c>
      <c r="BJ12" s="1584"/>
      <c r="BK12" s="1584"/>
      <c r="BL12" s="1587"/>
      <c r="BM12" s="1586"/>
      <c r="BN12" s="1631">
        <f>IF(BN10&gt;0,(BN4*BN11)/(BN7*BN10),0)</f>
        <v>15785.494310952108</v>
      </c>
      <c r="BO12" s="1584"/>
      <c r="BP12" s="1584"/>
      <c r="BQ12" s="1587"/>
      <c r="BR12" s="1586"/>
      <c r="BS12" s="1631">
        <f>IF(BS10&gt;0,(BS4*BS11)/(BS7*BS10),0)</f>
        <v>15785.494310952108</v>
      </c>
      <c r="BT12" s="1584" t="str">
        <f>IF(BT7&gt;0,BT4*BT7/BT11,"")</f>
        <v/>
      </c>
      <c r="BU12" s="1584"/>
      <c r="BV12" s="1587"/>
      <c r="BW12" s="1588"/>
      <c r="BX12" s="1631">
        <f>IF(BX10&gt;0,(BX4*BX11)/(BX7*BX10),0)</f>
        <v>235484.16840319399</v>
      </c>
      <c r="BY12" s="1584" t="str">
        <f>IF(BY7&gt;0,BY4*BY7/BY11,"")</f>
        <v/>
      </c>
      <c r="BZ12" s="1584"/>
      <c r="CA12" s="1587"/>
      <c r="CB12" s="1586"/>
      <c r="CC12" s="1631">
        <f>IF(CC10&gt;0,(CC4*CC11)/(CC7*CC10),0)</f>
        <v>78494.722801064665</v>
      </c>
      <c r="CD12" s="1584" t="str">
        <f>IF(CD7&gt;0,CD4*CD7/CD11,"")</f>
        <v/>
      </c>
      <c r="CE12" s="1584"/>
      <c r="CF12" s="1587"/>
      <c r="CG12" s="1586"/>
      <c r="CH12" s="1631">
        <f>IF(CH10&gt;0,(CH4*CH11)/(CH7*CH10),0)</f>
        <v>47096.833680638796</v>
      </c>
      <c r="CI12" s="1584" t="str">
        <f>IF(CI7&gt;0,CI4*CI7/CI11,"")</f>
        <v/>
      </c>
      <c r="CJ12" s="1584"/>
      <c r="CK12" s="1587"/>
      <c r="CL12" s="1586"/>
      <c r="CM12" s="1631">
        <f>IF(CM10&gt;0,(CM4*CM11)/(CM7*CM10),0)</f>
        <v>14752.798421450569</v>
      </c>
      <c r="CN12" s="1584" t="str">
        <f>IF(CN7&gt;0,CN4*CN7/CN11,"")</f>
        <v/>
      </c>
      <c r="CO12" s="1584"/>
      <c r="CP12" s="1587"/>
      <c r="CQ12" s="1586"/>
      <c r="CR12" s="1631">
        <f>IF(CR10&gt;0,(CR4*CR11)/(CR7*CR10),0)</f>
        <v>0</v>
      </c>
      <c r="CS12" s="1584" t="str">
        <f>IF(CS7&gt;0,CS4*CS7/CS11,"")</f>
        <v/>
      </c>
      <c r="CT12" s="1584"/>
      <c r="CU12" s="1587"/>
      <c r="CV12" s="1586"/>
      <c r="CW12" s="1631">
        <f>IF(CW10&gt;0,(CW4*CW11)/(CW7*CW10),0)</f>
        <v>7886.5260345725583</v>
      </c>
      <c r="CX12" s="1584" t="str">
        <f>IF(CX7&gt;0,CX4*CX7/CX11,"")</f>
        <v/>
      </c>
      <c r="CY12" s="1584"/>
      <c r="CZ12" s="1587"/>
      <c r="DA12" s="1586"/>
      <c r="DB12" s="1631">
        <f>IF(DB10&gt;0,(DB4*DB11)/(DB7*DB10),0)</f>
        <v>65409.111758400213</v>
      </c>
      <c r="DC12" s="1584" t="str">
        <f>IF(DC7&gt;0,DC4*DC7/DC11,"")</f>
        <v/>
      </c>
      <c r="DD12" s="1584"/>
      <c r="DE12" s="1587"/>
      <c r="DF12" s="1586"/>
      <c r="DG12" s="1631">
        <f>IF(DG10&gt;0,(DG4*DG11)/(DG7*DG10),0)</f>
        <v>146318.07771036567</v>
      </c>
      <c r="DH12" s="1584" t="str">
        <f>IF(DH7&gt;0,DH4*DH7/DH11,"")</f>
        <v/>
      </c>
      <c r="DI12" s="1584"/>
      <c r="DJ12" s="1587"/>
      <c r="DK12" s="1586"/>
      <c r="DL12" s="1631">
        <f>IF(DL10&gt;0,(DL4*DL11)/(DL7*DL10),0)</f>
        <v>30943.463137884406</v>
      </c>
      <c r="DM12" s="1584" t="str">
        <f>IF(DM7&gt;0,DM4*DM7/DM11,"")</f>
        <v/>
      </c>
      <c r="DN12" s="1584"/>
      <c r="DO12" s="1587"/>
      <c r="DP12" s="1586"/>
    </row>
    <row r="13" spans="1:120" s="1589" customFormat="1">
      <c r="B13" s="2270"/>
      <c r="C13" s="1590" t="s">
        <v>72</v>
      </c>
      <c r="E13" s="1939" t="s">
        <v>68</v>
      </c>
      <c r="F13" s="1591"/>
      <c r="G13" s="1591"/>
      <c r="H13" s="1591"/>
      <c r="I13" s="1591"/>
      <c r="J13" s="1592"/>
      <c r="K13" s="1634">
        <f>IF(K11&gt;0,K5*K11/K7*K10,0)</f>
        <v>9174.4139832955279</v>
      </c>
      <c r="L13" s="1591"/>
      <c r="M13" s="1591"/>
      <c r="N13" s="1591"/>
      <c r="O13" s="1592"/>
      <c r="P13" s="1634">
        <f>IF(P11&gt;0,P5*P11/P7*P10,0)</f>
        <v>3567.8276601704829</v>
      </c>
      <c r="Q13" s="1591"/>
      <c r="R13" s="1591"/>
      <c r="S13" s="1593"/>
      <c r="T13" s="1592"/>
      <c r="U13" s="1634">
        <f>IF(U11&gt;0,U5*U11/U7*U10,0)</f>
        <v>28506.214876668248</v>
      </c>
      <c r="V13" s="1591"/>
      <c r="W13" s="1591"/>
      <c r="X13" s="1593"/>
      <c r="Y13" s="1592"/>
      <c r="Z13" s="1634">
        <f>IF(Z11&gt;0,Z5*Z11/Z7*Z10,0)</f>
        <v>1.2135468231872391</v>
      </c>
      <c r="AA13" s="1591"/>
      <c r="AB13" s="1591"/>
      <c r="AC13" s="1593"/>
      <c r="AD13" s="1592"/>
      <c r="AE13" s="1634">
        <f>IF(AE11&gt;0,AE5*AE11/AE7*AE10,0)</f>
        <v>7678.125</v>
      </c>
      <c r="AF13" s="1591"/>
      <c r="AG13" s="1591"/>
      <c r="AH13" s="1593"/>
      <c r="AI13" s="1592"/>
      <c r="AJ13" s="1634">
        <f>IF(AJ11&gt;0,AJ5*AJ11/AJ7*AJ10,0)</f>
        <v>1887.8709535321541</v>
      </c>
      <c r="AK13" s="1591"/>
      <c r="AL13" s="1591"/>
      <c r="AM13" s="1593"/>
      <c r="AN13" s="1592"/>
      <c r="AO13" s="1634">
        <f>IF(AO11&gt;0,AO5*AO11/AO7*AO10,0)</f>
        <v>41824.183524812361</v>
      </c>
      <c r="AP13" s="1591"/>
      <c r="AQ13" s="1591"/>
      <c r="AR13" s="1593"/>
      <c r="AS13" s="1592"/>
      <c r="AT13" s="1634">
        <f>IF(AT11&gt;0,AT5*AT11/AT7*AT10,0)</f>
        <v>0</v>
      </c>
      <c r="AU13" s="1591"/>
      <c r="AV13" s="1591"/>
      <c r="AW13" s="1593"/>
      <c r="AX13" s="1592"/>
      <c r="AY13" s="1634">
        <f>IF(AY11&gt;0,AY5*AY11/AY7*AY10,0)</f>
        <v>14168.18454987388</v>
      </c>
      <c r="AZ13" s="1591"/>
      <c r="BA13" s="1591"/>
      <c r="BB13" s="1593"/>
      <c r="BC13" s="1592"/>
      <c r="BD13" s="1634">
        <f>IF(BD11&gt;0,BD5*BD11/BD7*BD10,0)</f>
        <v>11814.085671811263</v>
      </c>
      <c r="BE13" s="1591"/>
      <c r="BF13" s="1591"/>
      <c r="BG13" s="1593"/>
      <c r="BH13" s="1592"/>
      <c r="BI13" s="1634">
        <f>IF(BI11&gt;0,BI5*BI11/BI7*BI10,0)</f>
        <v>13783.099950446474</v>
      </c>
      <c r="BJ13" s="1591"/>
      <c r="BK13" s="1591"/>
      <c r="BL13" s="1593"/>
      <c r="BM13" s="1592"/>
      <c r="BN13" s="1634">
        <f>IF(BN11&gt;0,BN5*BN11/BN7*BN10,0)</f>
        <v>91614.878197208032</v>
      </c>
      <c r="BO13" s="1591"/>
      <c r="BP13" s="1591"/>
      <c r="BQ13" s="1593"/>
      <c r="BR13" s="1592"/>
      <c r="BS13" s="1634">
        <f>IF(BS11&gt;0,BS5*BS11/BS7*BS10,0)</f>
        <v>14752.798421450569</v>
      </c>
      <c r="BT13" s="1591" t="str">
        <f>IF(BT7&gt;0,BT5*BT11/BT7,"")</f>
        <v/>
      </c>
      <c r="BU13" s="1591"/>
      <c r="BV13" s="1593"/>
      <c r="BW13" s="1594"/>
      <c r="BX13" s="1634">
        <f>IF(BX11&gt;0,BX5*BX11/BX7*BX10,0)</f>
        <v>7344.7544581112734</v>
      </c>
      <c r="BY13" s="1591" t="str">
        <f>IF(BY7&gt;0,BY5*BY11/BY7,"")</f>
        <v/>
      </c>
      <c r="BZ13" s="1591"/>
      <c r="CA13" s="1593"/>
      <c r="CB13" s="1592"/>
      <c r="CC13" s="1634">
        <f>IF(CC11&gt;0,CC5*CC11/CC7*CC10,0)</f>
        <v>11960.506758625777</v>
      </c>
      <c r="CD13" s="1591" t="str">
        <f>IF(CD7&gt;0,CD5*CD11/CD7,"")</f>
        <v/>
      </c>
      <c r="CE13" s="1591"/>
      <c r="CF13" s="1593"/>
      <c r="CG13" s="1592"/>
      <c r="CH13" s="1634">
        <f>IF(CH11&gt;0,CH5*CH11/CH7*CH10,0)</f>
        <v>4425.8395264351702</v>
      </c>
      <c r="CI13" s="1591" t="str">
        <f>IF(CI7&gt;0,CI5*CI11/CI7,"")</f>
        <v/>
      </c>
      <c r="CJ13" s="1591"/>
      <c r="CK13" s="1593"/>
      <c r="CL13" s="1592"/>
      <c r="CM13" s="1634">
        <f>IF(CM11&gt;0,CM5*CM11/CM7*CM10,0)</f>
        <v>4555.6641525439354</v>
      </c>
      <c r="CN13" s="1591" t="str">
        <f>IF(CN7&gt;0,CN5*CN11/CN7,"")</f>
        <v/>
      </c>
      <c r="CO13" s="1591"/>
      <c r="CP13" s="1593"/>
      <c r="CQ13" s="1592"/>
      <c r="CR13" s="1634">
        <f>IF(CR11&gt;0,CR5*CR11/CR7*CR10,0)</f>
        <v>658.25974458620192</v>
      </c>
      <c r="CS13" s="1591" t="str">
        <f>IF(CS7&gt;0,CS5*CS11/CS7,"")</f>
        <v/>
      </c>
      <c r="CT13" s="1591"/>
      <c r="CU13" s="1593"/>
      <c r="CV13" s="1592"/>
      <c r="CW13" s="1634">
        <f>IF(CW11&gt;0,CW5*CW11/CW7*CW10,0)</f>
        <v>734.62990012043383</v>
      </c>
      <c r="CX13" s="1591" t="str">
        <f>IF(CX7&gt;0,CX5*CX11/CX7,"")</f>
        <v/>
      </c>
      <c r="CY13" s="1591"/>
      <c r="CZ13" s="1593"/>
      <c r="DA13" s="1592"/>
      <c r="DB13" s="1634">
        <f>IF(DB11&gt;0,DB5*DB11/DB7*DB10,0)</f>
        <v>281.15465313251173</v>
      </c>
      <c r="DC13" s="1591" t="str">
        <f>IF(DC7&gt;0,DC5*DC11/DC7,"")</f>
        <v/>
      </c>
      <c r="DD13" s="1591"/>
      <c r="DE13" s="1593"/>
      <c r="DF13" s="1592"/>
      <c r="DG13" s="1634">
        <f>IF(DG11&gt;0,DG5*DG11/DG7*DG10,0)</f>
        <v>4838.9178822357862</v>
      </c>
      <c r="DH13" s="1591" t="str">
        <f>IF(DH7&gt;0,DH5*DH11/DH7,"")</f>
        <v/>
      </c>
      <c r="DI13" s="1591"/>
      <c r="DJ13" s="1593"/>
      <c r="DK13" s="1592"/>
      <c r="DL13" s="1634">
        <f>IF(DL11&gt;0,DL5*DL11/DL7*DL10,0)</f>
        <v>189.27662482974139</v>
      </c>
      <c r="DM13" s="1591" t="str">
        <f>IF(DM7&gt;0,DM5*DM11/DM7,"")</f>
        <v/>
      </c>
      <c r="DN13" s="1591"/>
      <c r="DO13" s="1593"/>
      <c r="DP13" s="1592"/>
    </row>
    <row r="14" spans="1:120" s="1119" customFormat="1">
      <c r="B14" s="2270"/>
      <c r="C14" s="537" t="s">
        <v>73</v>
      </c>
      <c r="E14" s="1631">
        <f>K14+P14+U14+Z14+AE14+AJ14+AO14+AT14+AY14+BD14+BI14+BN14+BS14+CW14+BX14+CC14+CH14+DB14+CM14+DG14+DL14+CR14</f>
        <v>15024294.161598349</v>
      </c>
      <c r="F14" s="533"/>
      <c r="G14" s="1595"/>
      <c r="H14" s="533"/>
      <c r="I14" s="533"/>
      <c r="J14" s="1554"/>
      <c r="K14" s="1631">
        <f>IF(K11&gt;0,K6*K11/K7*K10,0)</f>
        <v>100184.76476911765</v>
      </c>
      <c r="L14" s="533"/>
      <c r="M14" s="533"/>
      <c r="N14" s="533"/>
      <c r="O14" s="1554"/>
      <c r="P14" s="1631">
        <f>IF(P11&gt;0,P6*P11/P7*P10,0)</f>
        <v>498745.43205806409</v>
      </c>
      <c r="Q14" s="533"/>
      <c r="R14" s="533"/>
      <c r="S14" s="1582"/>
      <c r="T14" s="1554"/>
      <c r="U14" s="1631">
        <f>IF(U11&gt;0,U6*U11/U7*U10,0)</f>
        <v>294783.09909519972</v>
      </c>
      <c r="V14" s="533"/>
      <c r="W14" s="533"/>
      <c r="X14" s="1582"/>
      <c r="Y14" s="1554"/>
      <c r="Z14" s="1631">
        <f>IF(Z11&gt;0,Z6*Z11/Z7*Z10,0)</f>
        <v>0</v>
      </c>
      <c r="AA14" s="533"/>
      <c r="AB14" s="533"/>
      <c r="AC14" s="1582"/>
      <c r="AD14" s="1554"/>
      <c r="AE14" s="1631">
        <f>IF(AE11&gt;0,AE6*AE11/AE7*AE10,0)</f>
        <v>1970425.3096</v>
      </c>
      <c r="AF14" s="533"/>
      <c r="AG14" s="533"/>
      <c r="AH14" s="1582"/>
      <c r="AI14" s="1554"/>
      <c r="AJ14" s="1631">
        <f>IF(AJ11&gt;0,AJ6*AJ11/AJ7*AJ10,0)</f>
        <v>917495.7811328274</v>
      </c>
      <c r="AK14" s="533"/>
      <c r="AL14" s="533"/>
      <c r="AM14" s="1582"/>
      <c r="AN14" s="1554"/>
      <c r="AO14" s="1631">
        <f>IF(AO11&gt;0,AO6*AO11/AO7*AO10,0)</f>
        <v>2020076.7927563761</v>
      </c>
      <c r="AP14" s="533"/>
      <c r="AQ14" s="533"/>
      <c r="AR14" s="1582"/>
      <c r="AS14" s="1554"/>
      <c r="AT14" s="1631">
        <f>IF(AT11&gt;0,AT6*AT11/AT7*AT10,0)</f>
        <v>0</v>
      </c>
      <c r="AU14" s="533"/>
      <c r="AV14" s="533"/>
      <c r="AW14" s="1582"/>
      <c r="AX14" s="1554"/>
      <c r="AY14" s="1631">
        <f>IF(AY11&gt;0,AY6*AY11/AY7*AY10,0)</f>
        <v>250743.81318468097</v>
      </c>
      <c r="AZ14" s="533"/>
      <c r="BA14" s="533"/>
      <c r="BB14" s="1582"/>
      <c r="BC14" s="1554"/>
      <c r="BD14" s="1631">
        <f>IF(BD11&gt;0,BD6*BD11/BD7*BD10,0)</f>
        <v>127828.40696899786</v>
      </c>
      <c r="BE14" s="533"/>
      <c r="BF14" s="533"/>
      <c r="BG14" s="1582"/>
      <c r="BH14" s="1554"/>
      <c r="BI14" s="1631">
        <f>IF(BI11&gt;0,BI6*BI11/BI7*BI10,0)</f>
        <v>160435.28342319696</v>
      </c>
      <c r="BJ14" s="533"/>
      <c r="BK14" s="533"/>
      <c r="BL14" s="1582"/>
      <c r="BM14" s="1554"/>
      <c r="BN14" s="1631">
        <f>IF(BN11&gt;0,BN6*BN11/BN7*BN10,0)</f>
        <v>14457.742453021558</v>
      </c>
      <c r="BO14" s="533"/>
      <c r="BP14" s="533"/>
      <c r="BQ14" s="1582"/>
      <c r="BR14" s="1554"/>
      <c r="BS14" s="1631">
        <f>IF(BS11&gt;0,BS6*BS11/BS7*BS10,0)</f>
        <v>11802.238737160455</v>
      </c>
      <c r="BT14" s="533"/>
      <c r="BU14" s="533"/>
      <c r="BV14" s="1582"/>
      <c r="BW14" s="1079"/>
      <c r="BX14" s="1631">
        <f>IF(BX11&gt;0,BX6*BX11/BX7*BX10,0)</f>
        <v>29393.475574898115</v>
      </c>
      <c r="BY14" s="533"/>
      <c r="BZ14" s="533"/>
      <c r="CA14" s="1582"/>
      <c r="CB14" s="1554"/>
      <c r="CC14" s="1631">
        <f>IF(CC11&gt;0,CC6*CC11/CC7*CC10,0)</f>
        <v>9797.8251916327063</v>
      </c>
      <c r="CD14" s="533"/>
      <c r="CE14" s="533"/>
      <c r="CF14" s="1582"/>
      <c r="CG14" s="1554"/>
      <c r="CH14" s="1631">
        <f>IF(CH11&gt;0,CH6*CH11/CH7*CH10,0)</f>
        <v>5878.6951149796223</v>
      </c>
      <c r="CI14" s="533"/>
      <c r="CJ14" s="533"/>
      <c r="CK14" s="1582"/>
      <c r="CL14" s="1554"/>
      <c r="CM14" s="1631">
        <f>IF(CM11&gt;0,CM6*CM11/CM7*CM10,0)</f>
        <v>2546824.9484574106</v>
      </c>
      <c r="CN14" s="533"/>
      <c r="CO14" s="533"/>
      <c r="CP14" s="1582"/>
      <c r="CQ14" s="1554"/>
      <c r="CR14" s="1631">
        <f>IF(CR11&gt;0,CR6*CR11/CR7*CR10,0)</f>
        <v>5356763.1416388229</v>
      </c>
      <c r="CS14" s="533"/>
      <c r="CT14" s="533"/>
      <c r="CU14" s="1582"/>
      <c r="CV14" s="1554"/>
      <c r="CW14" s="1631">
        <f>IF(CW11&gt;0,CW6*CW11/CW7*CW10,0)</f>
        <v>344701.07199576759</v>
      </c>
      <c r="CX14" s="533"/>
      <c r="CY14" s="533"/>
      <c r="CZ14" s="1582"/>
      <c r="DA14" s="1554"/>
      <c r="DB14" s="1631">
        <f>IF(DB11&gt;0,DB6*DB11/DB7*DB10,0)</f>
        <v>32287.211445926368</v>
      </c>
      <c r="DC14" s="533"/>
      <c r="DD14" s="533"/>
      <c r="DE14" s="1582"/>
      <c r="DF14" s="1554"/>
      <c r="DG14" s="1631">
        <f>IF(DG11&gt;0,DG6*DG11/DG7*DG10,0)</f>
        <v>292636.15542073135</v>
      </c>
      <c r="DH14" s="533"/>
      <c r="DI14" s="533"/>
      <c r="DJ14" s="1582"/>
      <c r="DK14" s="1554"/>
      <c r="DL14" s="1631">
        <f>IF(DL11&gt;0,DL6*DL11/DL7*DL10,0)</f>
        <v>39032.972579534791</v>
      </c>
      <c r="DM14" s="533"/>
      <c r="DN14" s="533"/>
      <c r="DO14" s="1582"/>
      <c r="DP14" s="1554"/>
    </row>
    <row r="15" spans="1:120" s="1119" customFormat="1" ht="60">
      <c r="B15" s="1579"/>
      <c r="C15" s="1596" t="s">
        <v>1284</v>
      </c>
      <c r="E15" s="1402"/>
      <c r="G15" s="1597" t="s">
        <v>1281</v>
      </c>
      <c r="H15" s="1597" t="s">
        <v>1300</v>
      </c>
      <c r="I15" s="1597" t="s">
        <v>1301</v>
      </c>
      <c r="J15" s="1554"/>
      <c r="K15" s="1598"/>
      <c r="L15" s="533"/>
      <c r="M15" s="1597" t="s">
        <v>1281</v>
      </c>
      <c r="N15" s="1597" t="s">
        <v>1282</v>
      </c>
      <c r="O15" s="1554"/>
      <c r="P15" s="1599"/>
      <c r="Q15" s="533"/>
      <c r="R15" s="1597" t="s">
        <v>1281</v>
      </c>
      <c r="S15" s="1597" t="s">
        <v>1282</v>
      </c>
      <c r="T15" s="1554"/>
      <c r="U15" s="1598"/>
      <c r="V15" s="533"/>
      <c r="W15" s="1597" t="s">
        <v>1281</v>
      </c>
      <c r="X15" s="1597" t="s">
        <v>1282</v>
      </c>
      <c r="Y15" s="1554"/>
      <c r="Z15" s="1598"/>
      <c r="AA15" s="533"/>
      <c r="AB15" s="1597" t="s">
        <v>1281</v>
      </c>
      <c r="AC15" s="1597" t="s">
        <v>1282</v>
      </c>
      <c r="AD15" s="1554"/>
      <c r="AE15" s="1598"/>
      <c r="AF15" s="533"/>
      <c r="AG15" s="1597" t="s">
        <v>1281</v>
      </c>
      <c r="AH15" s="1597" t="s">
        <v>1282</v>
      </c>
      <c r="AI15" s="1554"/>
      <c r="AJ15" s="1598"/>
      <c r="AK15" s="533"/>
      <c r="AL15" s="1597" t="s">
        <v>1281</v>
      </c>
      <c r="AM15" s="1597" t="s">
        <v>1282</v>
      </c>
      <c r="AN15" s="1554"/>
      <c r="AO15" s="1598"/>
      <c r="AP15" s="533"/>
      <c r="AQ15" s="1597" t="s">
        <v>1281</v>
      </c>
      <c r="AR15" s="1597" t="s">
        <v>1282</v>
      </c>
      <c r="AS15" s="1554"/>
      <c r="AT15" s="1598"/>
      <c r="AU15" s="533"/>
      <c r="AV15" s="1597" t="s">
        <v>1281</v>
      </c>
      <c r="AW15" s="1597" t="s">
        <v>1282</v>
      </c>
      <c r="AX15" s="1554"/>
      <c r="AY15" s="1598"/>
      <c r="AZ15" s="533"/>
      <c r="BA15" s="1597" t="s">
        <v>1281</v>
      </c>
      <c r="BB15" s="1597" t="s">
        <v>1282</v>
      </c>
      <c r="BC15" s="1554"/>
      <c r="BD15" s="1598"/>
      <c r="BE15" s="533"/>
      <c r="BF15" s="1597" t="s">
        <v>1281</v>
      </c>
      <c r="BG15" s="1597" t="s">
        <v>1282</v>
      </c>
      <c r="BH15" s="1554"/>
      <c r="BI15" s="1598"/>
      <c r="BJ15" s="533"/>
      <c r="BK15" s="1597" t="s">
        <v>1281</v>
      </c>
      <c r="BL15" s="1597" t="s">
        <v>1282</v>
      </c>
      <c r="BM15" s="1554"/>
      <c r="BN15" s="1598"/>
      <c r="BO15" s="533"/>
      <c r="BP15" s="1597" t="s">
        <v>1281</v>
      </c>
      <c r="BQ15" s="1597" t="s">
        <v>1282</v>
      </c>
      <c r="BR15" s="1554"/>
      <c r="BS15" s="1598"/>
      <c r="BT15" s="533"/>
      <c r="BU15" s="1597" t="s">
        <v>1281</v>
      </c>
      <c r="BV15" s="1597" t="s">
        <v>1282</v>
      </c>
      <c r="BX15" s="1598"/>
      <c r="BY15" s="533"/>
      <c r="BZ15" s="1597" t="s">
        <v>1281</v>
      </c>
      <c r="CA15" s="1597" t="s">
        <v>1282</v>
      </c>
      <c r="CB15" s="1554"/>
      <c r="CC15" s="1598"/>
      <c r="CD15" s="533"/>
      <c r="CE15" s="1597" t="s">
        <v>1281</v>
      </c>
      <c r="CF15" s="1597" t="s">
        <v>1282</v>
      </c>
      <c r="CG15" s="1554"/>
      <c r="CH15" s="1598"/>
      <c r="CI15" s="533"/>
      <c r="CJ15" s="1597" t="s">
        <v>1281</v>
      </c>
      <c r="CK15" s="1597" t="s">
        <v>1282</v>
      </c>
      <c r="CL15" s="1554"/>
      <c r="CM15" s="1598"/>
      <c r="CN15" s="533"/>
      <c r="CO15" s="1597" t="s">
        <v>1281</v>
      </c>
      <c r="CP15" s="1597" t="s">
        <v>1282</v>
      </c>
      <c r="CQ15" s="1554"/>
      <c r="CR15" s="1598"/>
      <c r="CS15" s="533"/>
      <c r="CT15" s="1597" t="s">
        <v>1281</v>
      </c>
      <c r="CU15" s="1597" t="s">
        <v>1282</v>
      </c>
      <c r="CV15" s="1554"/>
      <c r="CW15" s="1598"/>
      <c r="CX15" s="533"/>
      <c r="CY15" s="1597" t="s">
        <v>1281</v>
      </c>
      <c r="CZ15" s="1597" t="s">
        <v>1282</v>
      </c>
      <c r="DA15" s="1554"/>
      <c r="DB15" s="1598"/>
      <c r="DC15" s="533"/>
      <c r="DD15" s="1597" t="s">
        <v>1281</v>
      </c>
      <c r="DE15" s="1597" t="s">
        <v>1282</v>
      </c>
      <c r="DF15" s="1554"/>
      <c r="DG15" s="1598"/>
      <c r="DH15" s="533"/>
      <c r="DI15" s="1597" t="s">
        <v>1281</v>
      </c>
      <c r="DJ15" s="1597" t="s">
        <v>1282</v>
      </c>
      <c r="DK15" s="1554"/>
      <c r="DL15" s="1598"/>
      <c r="DM15" s="533"/>
      <c r="DN15" s="1597" t="s">
        <v>1281</v>
      </c>
      <c r="DO15" s="1597" t="s">
        <v>1282</v>
      </c>
      <c r="DP15" s="1554"/>
    </row>
    <row r="16" spans="1:120" s="1119" customFormat="1">
      <c r="B16" s="1120"/>
      <c r="C16" s="1583" t="s">
        <v>600</v>
      </c>
      <c r="D16" s="1120"/>
      <c r="E16" s="1600"/>
      <c r="F16" s="1601"/>
      <c r="G16" s="1631">
        <f>M16+R16+W16+AB16+AG16+AL16+AQ16+AV16+BA16+BF16+BK16+BP16+BU16+CY16+BZ16+CE16+CJ16+DD16+CO16+DI16+DN16+CT16</f>
        <v>25435162.104394604</v>
      </c>
      <c r="H16" s="1631">
        <f>H39-E14</f>
        <v>-9579795.1625535637</v>
      </c>
      <c r="I16" s="1631">
        <f>I39-E14</f>
        <v>-9579795.1625535619</v>
      </c>
      <c r="J16" s="1554"/>
      <c r="K16" s="1600"/>
      <c r="L16" s="1601"/>
      <c r="M16" s="1631">
        <f>-M82</f>
        <v>448117.16583141539</v>
      </c>
      <c r="N16" s="1631">
        <f>N39-K14</f>
        <v>-52708.298439315877</v>
      </c>
      <c r="O16" s="1554"/>
      <c r="P16" s="1601"/>
      <c r="Q16" s="1601"/>
      <c r="R16" s="1631">
        <f>-R82</f>
        <v>1362675.4333783248</v>
      </c>
      <c r="S16" s="1631">
        <f>S39-P14</f>
        <v>-273397.14542503771</v>
      </c>
      <c r="T16" s="1554"/>
      <c r="U16" s="1600"/>
      <c r="V16" s="1601"/>
      <c r="W16" s="1631">
        <f>-W82</f>
        <v>416332.94666347827</v>
      </c>
      <c r="X16" s="1631">
        <f>X39-U14</f>
        <v>-199502.11914324813</v>
      </c>
      <c r="Y16" s="1554"/>
      <c r="Z16" s="1600"/>
      <c r="AA16" s="1601"/>
      <c r="AB16" s="1631">
        <f>-AB82</f>
        <v>243682.62918964395</v>
      </c>
      <c r="AC16" s="1631">
        <f>AC39-Z14</f>
        <v>12208.499722401144</v>
      </c>
      <c r="AD16" s="1554"/>
      <c r="AE16" s="1600"/>
      <c r="AF16" s="1601"/>
      <c r="AG16" s="1631">
        <f>-AG82</f>
        <v>1087198.4786981698</v>
      </c>
      <c r="AH16" s="1631">
        <f>AH39-AE14</f>
        <v>-1240175.2390819793</v>
      </c>
      <c r="AI16" s="1554"/>
      <c r="AJ16" s="1600"/>
      <c r="AK16" s="1601"/>
      <c r="AL16" s="1631">
        <f>-AL82</f>
        <v>1681414.7503344945</v>
      </c>
      <c r="AM16" s="1631">
        <f>AM39-AJ14</f>
        <v>-646784.0268268662</v>
      </c>
      <c r="AN16" s="1554"/>
      <c r="AO16" s="1600"/>
      <c r="AP16" s="1601"/>
      <c r="AQ16" s="1631">
        <f>-AQ82</f>
        <v>986205.49628341338</v>
      </c>
      <c r="AR16" s="1631">
        <f>AR39-AO14</f>
        <v>-1609426.4475798127</v>
      </c>
      <c r="AS16" s="1554"/>
      <c r="AT16" s="1600"/>
      <c r="AU16" s="1601"/>
      <c r="AV16" s="1631">
        <f>-AV82</f>
        <v>0</v>
      </c>
      <c r="AW16" s="1631">
        <f>AW39-AT14</f>
        <v>0</v>
      </c>
      <c r="AX16" s="1554"/>
      <c r="AY16" s="1600"/>
      <c r="AZ16" s="1601"/>
      <c r="BA16" s="1631">
        <f>-BA82</f>
        <v>2866.5642503492418</v>
      </c>
      <c r="BB16" s="1631">
        <f>BB39-AY14</f>
        <v>-195179.8253675561</v>
      </c>
      <c r="BC16" s="1554"/>
      <c r="BD16" s="1600"/>
      <c r="BE16" s="1601"/>
      <c r="BF16" s="1631">
        <f>-BF82</f>
        <v>343644.13106059551</v>
      </c>
      <c r="BG16" s="1631">
        <f>BG39-BD14</f>
        <v>-70711.979045522807</v>
      </c>
      <c r="BH16" s="1554"/>
      <c r="BI16" s="1600"/>
      <c r="BJ16" s="1601"/>
      <c r="BK16" s="1631">
        <f>-BK82</f>
        <v>449990.55105031328</v>
      </c>
      <c r="BL16" s="1631">
        <f>BL39-BI14</f>
        <v>-88525.376828940949</v>
      </c>
      <c r="BM16" s="1554"/>
      <c r="BN16" s="1600"/>
      <c r="BO16" s="1601"/>
      <c r="BP16" s="1631">
        <f>-BP82</f>
        <v>2080069.2396680955</v>
      </c>
      <c r="BQ16" s="1631">
        <f>BQ39-BN14</f>
        <v>322495.50004292344</v>
      </c>
      <c r="BR16" s="1554"/>
      <c r="BS16" s="1600"/>
      <c r="BT16" s="1601"/>
      <c r="BU16" s="1631">
        <f>-BU82</f>
        <v>274662.92697710748</v>
      </c>
      <c r="BV16" s="1631">
        <f>BV39-BS14</f>
        <v>32690.782011096351</v>
      </c>
      <c r="BW16" s="1079"/>
      <c r="BX16" s="1600"/>
      <c r="BY16" s="1601"/>
      <c r="BZ16" s="1631">
        <f>-BZ82</f>
        <v>889989.44161446264</v>
      </c>
      <c r="CA16" s="1631">
        <f>CA39-BX14</f>
        <v>91854.170642334269</v>
      </c>
      <c r="CB16" s="1554"/>
      <c r="CC16" s="1600"/>
      <c r="CD16" s="1601"/>
      <c r="CE16" s="1631">
        <f>-CE82</f>
        <v>317351.20133612159</v>
      </c>
      <c r="CF16" s="1631">
        <f>CF39-CC14</f>
        <v>54507.47124491445</v>
      </c>
      <c r="CG16" s="1554"/>
      <c r="CH16" s="1600"/>
      <c r="CI16" s="1601"/>
      <c r="CJ16" s="1631">
        <f>-CJ82</f>
        <v>256822.81741602067</v>
      </c>
      <c r="CK16" s="1631">
        <f>CK39-CH14</f>
        <v>33443.415094524149</v>
      </c>
      <c r="CL16" s="1554"/>
      <c r="CM16" s="1600"/>
      <c r="CN16" s="1601"/>
      <c r="CO16" s="1631">
        <f>-CO82</f>
        <v>-656368.97700467915</v>
      </c>
      <c r="CP16" s="1631">
        <f>CP39-CM14</f>
        <v>-2240587.4169229022</v>
      </c>
      <c r="CQ16" s="1554"/>
      <c r="CR16" s="1600"/>
      <c r="CS16" s="1601"/>
      <c r="CT16" s="1631">
        <f>-CT82</f>
        <v>10864194.603236256</v>
      </c>
      <c r="CU16" s="1631">
        <f>CU39-CR14</f>
        <v>-3596857.4957808396</v>
      </c>
      <c r="CV16" s="1554"/>
      <c r="CW16" s="1600"/>
      <c r="CX16" s="1601"/>
      <c r="CY16" s="1631">
        <f>-CY82</f>
        <v>686824.86695480754</v>
      </c>
      <c r="CZ16" s="1631">
        <f>CZ39-CW14</f>
        <v>-203488.92715999146</v>
      </c>
      <c r="DA16" s="1554"/>
      <c r="DB16" s="1600"/>
      <c r="DC16" s="1601"/>
      <c r="DD16" s="1631">
        <f>-DD82</f>
        <v>488794.09067597485</v>
      </c>
      <c r="DE16" s="1631">
        <f>DE39-DB14</f>
        <v>48770.103656674677</v>
      </c>
      <c r="DF16" s="1554"/>
      <c r="DG16" s="1600"/>
      <c r="DH16" s="1601"/>
      <c r="DI16" s="1631">
        <f>-DI82</f>
        <v>2845191.9862023187</v>
      </c>
      <c r="DJ16" s="1631">
        <f>DJ39-DG14</f>
        <v>218162.09611914027</v>
      </c>
      <c r="DK16" s="1554"/>
      <c r="DL16" s="1600"/>
      <c r="DM16" s="1601"/>
      <c r="DN16" s="1631">
        <f>-DN82</f>
        <v>365501.76057792205</v>
      </c>
      <c r="DO16" s="1631">
        <f>DO39-DL14</f>
        <v>23417.096514444223</v>
      </c>
      <c r="DP16" s="1554"/>
    </row>
    <row r="17" spans="2:120" s="1119" customFormat="1">
      <c r="B17" s="1120"/>
      <c r="C17" s="1583" t="s">
        <v>1140</v>
      </c>
      <c r="D17" s="1120"/>
      <c r="E17" s="1600"/>
      <c r="F17" s="1601"/>
      <c r="G17" s="1631">
        <f>G16-(E12/5)</f>
        <v>24847744.724361036</v>
      </c>
      <c r="H17" s="1631">
        <f>H39-E14-(E12/5)</f>
        <v>-10167212.542587133</v>
      </c>
      <c r="I17" s="1631">
        <f>I39-E14-(E12/5)</f>
        <v>-10167212.542587131</v>
      </c>
      <c r="J17" s="1554"/>
      <c r="K17" s="1600"/>
      <c r="L17" s="1601"/>
      <c r="M17" s="1631">
        <f>-M83</f>
        <v>443262.97853866644</v>
      </c>
      <c r="N17" s="1631">
        <f>N39-K14-(K12/5)</f>
        <v>-57562.48573206483</v>
      </c>
      <c r="O17" s="1554"/>
      <c r="P17" s="1601"/>
      <c r="Q17" s="1601"/>
      <c r="R17" s="1631">
        <f>-R83</f>
        <v>1356607.6992623887</v>
      </c>
      <c r="S17" s="1631">
        <f>S39-P14-(P12/5)</f>
        <v>-279464.87954097393</v>
      </c>
      <c r="T17" s="1554"/>
      <c r="U17" s="1600"/>
      <c r="V17" s="1601"/>
      <c r="W17" s="1631">
        <f>-W83</f>
        <v>411478.75937072933</v>
      </c>
      <c r="X17" s="1631">
        <f>X39-U14-(U12/5)</f>
        <v>-204356.30643599707</v>
      </c>
      <c r="Y17" s="1554"/>
      <c r="Z17" s="1600"/>
      <c r="AA17" s="1601"/>
      <c r="AB17" s="1631">
        <f>-AB83</f>
        <v>127182.13416366899</v>
      </c>
      <c r="AC17" s="1631">
        <f>AC39-Z14-(Z12/5)</f>
        <v>-104291.99530357381</v>
      </c>
      <c r="AD17" s="1554"/>
      <c r="AE17" s="1600"/>
      <c r="AF17" s="1601"/>
      <c r="AG17" s="1631">
        <f>-AG83</f>
        <v>1055198.4786981698</v>
      </c>
      <c r="AH17" s="1631">
        <f>AH39-AE14-(AE12/5)</f>
        <v>-1272175.2390819793</v>
      </c>
      <c r="AI17" s="1554"/>
      <c r="AJ17" s="1600"/>
      <c r="AK17" s="1601"/>
      <c r="AL17" s="1631">
        <f>-AL83</f>
        <v>1605774.0541296396</v>
      </c>
      <c r="AM17" s="1631">
        <f>AM39-AJ14-(AJ12/5)</f>
        <v>-722424.72303172119</v>
      </c>
      <c r="AN17" s="1554"/>
      <c r="AO17" s="1600"/>
      <c r="AP17" s="1601"/>
      <c r="AQ17" s="1631">
        <f>-AQ83</f>
        <v>831006.94205765869</v>
      </c>
      <c r="AR17" s="1631">
        <f>AR39-AO14-(AO12/5)</f>
        <v>-1764625.0018055674</v>
      </c>
      <c r="AS17" s="1554"/>
      <c r="AT17" s="1600"/>
      <c r="AU17" s="1601"/>
      <c r="AV17" s="1631">
        <f>-AV83</f>
        <v>0</v>
      </c>
      <c r="AW17" s="1631">
        <f>AW39-AT14-(AT12/5)</f>
        <v>0</v>
      </c>
      <c r="AX17" s="1554"/>
      <c r="AY17" s="1600"/>
      <c r="AZ17" s="1601"/>
      <c r="BA17" s="1631">
        <f>-BA83</f>
        <v>-42091.509282224397</v>
      </c>
      <c r="BB17" s="1631">
        <f>BB39-AY14-(AY12/5)</f>
        <v>-240137.89890012975</v>
      </c>
      <c r="BC17" s="1554"/>
      <c r="BD17" s="1600"/>
      <c r="BE17" s="1601"/>
      <c r="BF17" s="1631">
        <f>-BF83</f>
        <v>335768.07394605468</v>
      </c>
      <c r="BG17" s="1631">
        <f>BG39-BD14-(BD12/5)</f>
        <v>-78588.036160063653</v>
      </c>
      <c r="BH17" s="1554"/>
      <c r="BI17" s="1600"/>
      <c r="BJ17" s="1601"/>
      <c r="BK17" s="1631">
        <f>-BK83</f>
        <v>442114.49393577245</v>
      </c>
      <c r="BL17" s="1631">
        <f>BL39-BI14-(BI12/5)</f>
        <v>-96401.433943481796</v>
      </c>
      <c r="BM17" s="1554"/>
      <c r="BN17" s="1600"/>
      <c r="BO17" s="1601"/>
      <c r="BP17" s="1631">
        <f>-BP83</f>
        <v>2076912.140805905</v>
      </c>
      <c r="BQ17" s="1631">
        <f>BQ39-BN14-(BN12/5)</f>
        <v>319338.401180733</v>
      </c>
      <c r="BR17" s="1554"/>
      <c r="BS17" s="1600"/>
      <c r="BT17" s="1601"/>
      <c r="BU17" s="1631">
        <f>-BU83</f>
        <v>271505.82811491704</v>
      </c>
      <c r="BV17" s="1631">
        <f>BV39-BS14-(BS12/5)</f>
        <v>29533.68314890593</v>
      </c>
      <c r="BW17" s="1079"/>
      <c r="BX17" s="1600"/>
      <c r="BY17" s="1601"/>
      <c r="BZ17" s="1631">
        <f>-BZ83</f>
        <v>842892.60793382383</v>
      </c>
      <c r="CA17" s="1631">
        <f>CA39-BX14-(BX12/5)</f>
        <v>44757.336961695473</v>
      </c>
      <c r="CB17" s="1554"/>
      <c r="CC17" s="1600"/>
      <c r="CD17" s="1601"/>
      <c r="CE17" s="1631">
        <f>-CE83</f>
        <v>301652.25677590864</v>
      </c>
      <c r="CF17" s="1631">
        <f>CF39-CC14-(CC12/5)</f>
        <v>38808.526684701515</v>
      </c>
      <c r="CG17" s="1554"/>
      <c r="CH17" s="1600"/>
      <c r="CI17" s="1601"/>
      <c r="CJ17" s="1631">
        <f>-CJ83</f>
        <v>247403.45067989291</v>
      </c>
      <c r="CK17" s="1631">
        <f>CK39-CH14-(CH12/5)</f>
        <v>24024.048358396391</v>
      </c>
      <c r="CL17" s="1554"/>
      <c r="CM17" s="1600"/>
      <c r="CN17" s="1601"/>
      <c r="CO17" s="1631">
        <f>-CO83</f>
        <v>-659319.53668896924</v>
      </c>
      <c r="CP17" s="1631">
        <f>CP39-CM14-(CM12/5)</f>
        <v>-2243537.9766071923</v>
      </c>
      <c r="CQ17" s="1554"/>
      <c r="CR17" s="1600"/>
      <c r="CS17" s="1601"/>
      <c r="CT17" s="1631">
        <f>-CT83</f>
        <v>10864194.603236256</v>
      </c>
      <c r="CU17" s="1631">
        <f>CU39-CR14-(CR12/5)</f>
        <v>-3596857.4957808396</v>
      </c>
      <c r="CV17" s="1554"/>
      <c r="CW17" s="1600"/>
      <c r="CX17" s="1601"/>
      <c r="CY17" s="1631">
        <f>-CY83</f>
        <v>685247.56174789299</v>
      </c>
      <c r="CZ17" s="1631">
        <f>CZ39-CW14-(CW12/5)</f>
        <v>-205066.23236690598</v>
      </c>
      <c r="DA17" s="1554"/>
      <c r="DB17" s="1600"/>
      <c r="DC17" s="1601"/>
      <c r="DD17" s="1631">
        <f>-DD83</f>
        <v>475712.26832429483</v>
      </c>
      <c r="DE17" s="1631">
        <f>DE39-DB14-(DB12/5)</f>
        <v>35688.281304994634</v>
      </c>
      <c r="DF17" s="1554"/>
      <c r="DG17" s="1600"/>
      <c r="DH17" s="1601"/>
      <c r="DI17" s="1631">
        <f>-DI83</f>
        <v>2815928.3706602454</v>
      </c>
      <c r="DJ17" s="1631">
        <f>DJ39-DG14-(DG12/5)</f>
        <v>188898.48057706715</v>
      </c>
      <c r="DK17" s="1554"/>
      <c r="DL17" s="1600"/>
      <c r="DM17" s="1601"/>
      <c r="DN17" s="1631">
        <f>-DN83</f>
        <v>359313.06795034517</v>
      </c>
      <c r="DO17" s="1631">
        <f>DO39-DL14-(DL12/5)</f>
        <v>17228.403886867341</v>
      </c>
      <c r="DP17" s="1554"/>
    </row>
    <row r="18" spans="2:120" s="1119" customFormat="1">
      <c r="B18" s="1602"/>
      <c r="C18" s="1603"/>
      <c r="D18" s="1602"/>
      <c r="E18" s="1604"/>
      <c r="F18" s="1605"/>
      <c r="G18" s="1605"/>
      <c r="H18" s="1605"/>
      <c r="I18" s="1605"/>
      <c r="J18" s="1554"/>
      <c r="K18" s="1604"/>
      <c r="L18" s="1605"/>
      <c r="M18" s="1605"/>
      <c r="N18" s="1605"/>
      <c r="O18" s="1554"/>
      <c r="P18" s="1605"/>
      <c r="Q18" s="1605"/>
      <c r="R18" s="1605"/>
      <c r="S18" s="1606"/>
      <c r="T18" s="1554"/>
      <c r="U18" s="1604"/>
      <c r="V18" s="1605"/>
      <c r="W18" s="1605"/>
      <c r="X18" s="1606"/>
      <c r="Y18" s="1554"/>
      <c r="Z18" s="1604"/>
      <c r="AA18" s="1605"/>
      <c r="AB18" s="1605"/>
      <c r="AC18" s="1606"/>
      <c r="AD18" s="1554"/>
      <c r="AE18" s="1604"/>
      <c r="AF18" s="1605"/>
      <c r="AG18" s="1605"/>
      <c r="AH18" s="1606"/>
      <c r="AI18" s="1554"/>
      <c r="AJ18" s="1604"/>
      <c r="AK18" s="1605"/>
      <c r="AL18" s="1605"/>
      <c r="AM18" s="1606"/>
      <c r="AN18" s="1554"/>
      <c r="AO18" s="1604"/>
      <c r="AP18" s="1605"/>
      <c r="AQ18" s="1605"/>
      <c r="AR18" s="1606"/>
      <c r="AS18" s="1554"/>
      <c r="AT18" s="1604"/>
      <c r="AU18" s="1605"/>
      <c r="AV18" s="1605"/>
      <c r="AW18" s="1606"/>
      <c r="AX18" s="1554"/>
      <c r="AY18" s="1604"/>
      <c r="AZ18" s="1605"/>
      <c r="BA18" s="1605"/>
      <c r="BB18" s="1606"/>
      <c r="BC18" s="1554"/>
      <c r="BD18" s="1604"/>
      <c r="BE18" s="1605"/>
      <c r="BF18" s="1605"/>
      <c r="BG18" s="1606"/>
      <c r="BH18" s="1554"/>
      <c r="BI18" s="1604"/>
      <c r="BJ18" s="1605"/>
      <c r="BK18" s="1605"/>
      <c r="BL18" s="1606"/>
      <c r="BM18" s="1554"/>
      <c r="BN18" s="1604"/>
      <c r="BO18" s="1605"/>
      <c r="BP18" s="1605"/>
      <c r="BQ18" s="1606"/>
      <c r="BR18" s="1554"/>
      <c r="BS18" s="1604"/>
      <c r="BT18" s="1605"/>
      <c r="BU18" s="1605"/>
      <c r="BV18" s="1606"/>
      <c r="BW18" s="1079"/>
      <c r="BX18" s="1604"/>
      <c r="BY18" s="1605"/>
      <c r="BZ18" s="1605"/>
      <c r="CA18" s="1606"/>
      <c r="CB18" s="1554"/>
      <c r="CC18" s="1604"/>
      <c r="CD18" s="1605"/>
      <c r="CE18" s="1605"/>
      <c r="CF18" s="1606"/>
      <c r="CG18" s="1554"/>
      <c r="CH18" s="1604"/>
      <c r="CI18" s="1605"/>
      <c r="CJ18" s="1605"/>
      <c r="CK18" s="1606"/>
      <c r="CL18" s="1554"/>
      <c r="CM18" s="1604"/>
      <c r="CN18" s="1605"/>
      <c r="CO18" s="1605"/>
      <c r="CP18" s="1606"/>
      <c r="CQ18" s="1554"/>
      <c r="CR18" s="1604"/>
      <c r="CS18" s="1605"/>
      <c r="CT18" s="1605"/>
      <c r="CU18" s="1606"/>
      <c r="CV18" s="1554"/>
      <c r="CW18" s="1604"/>
      <c r="CX18" s="1605"/>
      <c r="CY18" s="1605"/>
      <c r="CZ18" s="1606"/>
      <c r="DA18" s="1554"/>
      <c r="DB18" s="1604"/>
      <c r="DC18" s="1605"/>
      <c r="DD18" s="1605"/>
      <c r="DE18" s="1606"/>
      <c r="DF18" s="1554"/>
      <c r="DG18" s="1604"/>
      <c r="DH18" s="1605"/>
      <c r="DI18" s="1605"/>
      <c r="DJ18" s="1606"/>
      <c r="DK18" s="1554"/>
      <c r="DL18" s="1604"/>
      <c r="DM18" s="1605"/>
      <c r="DN18" s="1605"/>
      <c r="DO18" s="1606"/>
      <c r="DP18" s="1554"/>
    </row>
    <row r="19" spans="2:120" s="1119" customFormat="1">
      <c r="B19" s="539"/>
      <c r="C19" s="537"/>
      <c r="D19" s="1120"/>
      <c r="E19" s="1607"/>
      <c r="F19" s="1608"/>
      <c r="G19" s="1609"/>
      <c r="H19" s="1609"/>
      <c r="I19" s="1609"/>
      <c r="J19" s="1554"/>
      <c r="K19" s="1607"/>
      <c r="L19" s="1609"/>
      <c r="M19" s="1609"/>
      <c r="N19" s="1609"/>
      <c r="O19" s="1554"/>
      <c r="P19" s="1609"/>
      <c r="Q19" s="1609"/>
      <c r="R19" s="1609"/>
      <c r="S19" s="1610"/>
      <c r="T19" s="1554"/>
      <c r="U19" s="1607"/>
      <c r="V19" s="1609"/>
      <c r="W19" s="1609"/>
      <c r="X19" s="1610"/>
      <c r="Y19" s="1554"/>
      <c r="Z19" s="1607"/>
      <c r="AA19" s="1609"/>
      <c r="AB19" s="1609"/>
      <c r="AC19" s="1610"/>
      <c r="AD19" s="1554"/>
      <c r="AE19" s="1607"/>
      <c r="AF19" s="1609"/>
      <c r="AG19" s="1609"/>
      <c r="AH19" s="1610"/>
      <c r="AI19" s="1554"/>
      <c r="AJ19" s="1607"/>
      <c r="AK19" s="1609"/>
      <c r="AL19" s="1609"/>
      <c r="AM19" s="1610"/>
      <c r="AN19" s="1554"/>
      <c r="AO19" s="1607"/>
      <c r="AP19" s="1609"/>
      <c r="AQ19" s="1609"/>
      <c r="AR19" s="1610"/>
      <c r="AS19" s="1554"/>
      <c r="AT19" s="1607"/>
      <c r="AU19" s="1609"/>
      <c r="AV19" s="1609"/>
      <c r="AW19" s="1610"/>
      <c r="AX19" s="1554"/>
      <c r="AY19" s="1607"/>
      <c r="AZ19" s="1609"/>
      <c r="BA19" s="1609"/>
      <c r="BB19" s="1610"/>
      <c r="BC19" s="1554"/>
      <c r="BD19" s="1607"/>
      <c r="BE19" s="1609"/>
      <c r="BF19" s="1609"/>
      <c r="BG19" s="1610"/>
      <c r="BH19" s="1554"/>
      <c r="BI19" s="1607"/>
      <c r="BJ19" s="1609"/>
      <c r="BK19" s="1609"/>
      <c r="BL19" s="1610"/>
      <c r="BM19" s="1554"/>
      <c r="BN19" s="1607"/>
      <c r="BO19" s="1609"/>
      <c r="BP19" s="1609"/>
      <c r="BQ19" s="1610"/>
      <c r="BR19" s="1554"/>
      <c r="BS19" s="1607"/>
      <c r="BT19" s="1609"/>
      <c r="BU19" s="1609"/>
      <c r="BV19" s="1610"/>
      <c r="BW19" s="1079"/>
      <c r="BX19" s="1607"/>
      <c r="BY19" s="1609"/>
      <c r="BZ19" s="1609"/>
      <c r="CA19" s="1610"/>
      <c r="CB19" s="1554"/>
      <c r="CC19" s="1607"/>
      <c r="CD19" s="1609"/>
      <c r="CE19" s="1609"/>
      <c r="CF19" s="1610"/>
      <c r="CG19" s="1554"/>
      <c r="CH19" s="1607"/>
      <c r="CI19" s="1609"/>
      <c r="CJ19" s="1609"/>
      <c r="CK19" s="1610"/>
      <c r="CL19" s="1554"/>
      <c r="CM19" s="1607"/>
      <c r="CN19" s="1609"/>
      <c r="CO19" s="1609"/>
      <c r="CP19" s="1610"/>
      <c r="CQ19" s="1554"/>
      <c r="CR19" s="1607"/>
      <c r="CS19" s="1609"/>
      <c r="CT19" s="1609"/>
      <c r="CU19" s="1610"/>
      <c r="CV19" s="1554"/>
      <c r="CW19" s="1607"/>
      <c r="CX19" s="1609"/>
      <c r="CY19" s="1609"/>
      <c r="CZ19" s="1610"/>
      <c r="DA19" s="1554"/>
      <c r="DB19" s="1607"/>
      <c r="DC19" s="1609"/>
      <c r="DD19" s="1609"/>
      <c r="DE19" s="1610"/>
      <c r="DF19" s="1554"/>
      <c r="DG19" s="1607"/>
      <c r="DH19" s="1609"/>
      <c r="DI19" s="1609"/>
      <c r="DJ19" s="1610"/>
      <c r="DK19" s="1554"/>
      <c r="DL19" s="1607"/>
      <c r="DM19" s="1609"/>
      <c r="DN19" s="1609"/>
      <c r="DO19" s="1610"/>
      <c r="DP19" s="1554"/>
    </row>
    <row r="20" spans="2:120" s="1081" customFormat="1" ht="75.75" customHeight="1">
      <c r="B20" s="200"/>
      <c r="C20" s="1447" t="s">
        <v>1130</v>
      </c>
      <c r="D20" s="1088"/>
      <c r="E20" s="1637" t="s">
        <v>1142</v>
      </c>
      <c r="F20" s="1611" t="s">
        <v>1131</v>
      </c>
      <c r="G20" s="1639" t="s">
        <v>618</v>
      </c>
      <c r="H20" s="1639" t="s">
        <v>74</v>
      </c>
      <c r="I20" s="1639" t="s">
        <v>75</v>
      </c>
      <c r="J20" s="1640"/>
      <c r="K20" s="1637" t="s">
        <v>1132</v>
      </c>
      <c r="L20" s="1638" t="s">
        <v>1133</v>
      </c>
      <c r="M20" s="1639" t="s">
        <v>618</v>
      </c>
      <c r="N20" s="1639" t="s">
        <v>1134</v>
      </c>
      <c r="O20" s="1640"/>
      <c r="P20" s="1611" t="s">
        <v>1132</v>
      </c>
      <c r="Q20" s="1638" t="s">
        <v>1133</v>
      </c>
      <c r="R20" s="1639" t="s">
        <v>618</v>
      </c>
      <c r="S20" s="1641" t="s">
        <v>1134</v>
      </c>
      <c r="T20" s="1640"/>
      <c r="U20" s="1637" t="s">
        <v>1132</v>
      </c>
      <c r="V20" s="1638" t="s">
        <v>1133</v>
      </c>
      <c r="W20" s="1639" t="s">
        <v>618</v>
      </c>
      <c r="X20" s="1641" t="s">
        <v>1134</v>
      </c>
      <c r="Y20" s="1640"/>
      <c r="Z20" s="1637" t="s">
        <v>1132</v>
      </c>
      <c r="AA20" s="1638" t="s">
        <v>1133</v>
      </c>
      <c r="AB20" s="1639" t="s">
        <v>618</v>
      </c>
      <c r="AC20" s="1641" t="s">
        <v>1134</v>
      </c>
      <c r="AD20" s="1640"/>
      <c r="AE20" s="1637" t="s">
        <v>1132</v>
      </c>
      <c r="AF20" s="1638" t="s">
        <v>1133</v>
      </c>
      <c r="AG20" s="1639" t="s">
        <v>618</v>
      </c>
      <c r="AH20" s="1641" t="s">
        <v>1134</v>
      </c>
      <c r="AI20" s="1640"/>
      <c r="AJ20" s="1637" t="s">
        <v>1132</v>
      </c>
      <c r="AK20" s="1638" t="s">
        <v>1133</v>
      </c>
      <c r="AL20" s="1639" t="s">
        <v>618</v>
      </c>
      <c r="AM20" s="1641" t="s">
        <v>1134</v>
      </c>
      <c r="AN20" s="1640"/>
      <c r="AO20" s="1637" t="s">
        <v>1132</v>
      </c>
      <c r="AP20" s="1638" t="s">
        <v>1133</v>
      </c>
      <c r="AQ20" s="1639" t="s">
        <v>618</v>
      </c>
      <c r="AR20" s="1641" t="s">
        <v>1134</v>
      </c>
      <c r="AS20" s="1640"/>
      <c r="AT20" s="1637" t="s">
        <v>1132</v>
      </c>
      <c r="AU20" s="1638" t="s">
        <v>1133</v>
      </c>
      <c r="AV20" s="1639" t="s">
        <v>618</v>
      </c>
      <c r="AW20" s="1641" t="s">
        <v>1134</v>
      </c>
      <c r="AX20" s="1640"/>
      <c r="AY20" s="1637" t="s">
        <v>1132</v>
      </c>
      <c r="AZ20" s="1638" t="s">
        <v>1133</v>
      </c>
      <c r="BA20" s="1639" t="s">
        <v>618</v>
      </c>
      <c r="BB20" s="1641" t="s">
        <v>1134</v>
      </c>
      <c r="BC20" s="1640"/>
      <c r="BD20" s="1637" t="s">
        <v>1132</v>
      </c>
      <c r="BE20" s="1638" t="s">
        <v>1133</v>
      </c>
      <c r="BF20" s="1639" t="s">
        <v>618</v>
      </c>
      <c r="BG20" s="1641" t="s">
        <v>1134</v>
      </c>
      <c r="BH20" s="1640"/>
      <c r="BI20" s="1637" t="s">
        <v>1132</v>
      </c>
      <c r="BJ20" s="1638" t="s">
        <v>1133</v>
      </c>
      <c r="BK20" s="1639" t="s">
        <v>618</v>
      </c>
      <c r="BL20" s="1641" t="s">
        <v>1134</v>
      </c>
      <c r="BM20" s="1640"/>
      <c r="BN20" s="1637" t="s">
        <v>1132</v>
      </c>
      <c r="BO20" s="1638" t="s">
        <v>1133</v>
      </c>
      <c r="BP20" s="1639" t="s">
        <v>618</v>
      </c>
      <c r="BQ20" s="1641" t="s">
        <v>1134</v>
      </c>
      <c r="BR20" s="1640"/>
      <c r="BS20" s="1637" t="s">
        <v>1132</v>
      </c>
      <c r="BT20" s="1638" t="s">
        <v>1133</v>
      </c>
      <c r="BU20" s="1639" t="s">
        <v>618</v>
      </c>
      <c r="BV20" s="1641" t="s">
        <v>1134</v>
      </c>
      <c r="BW20" s="1083"/>
      <c r="BX20" s="1637" t="s">
        <v>1132</v>
      </c>
      <c r="BY20" s="1638" t="s">
        <v>1133</v>
      </c>
      <c r="BZ20" s="1639" t="s">
        <v>618</v>
      </c>
      <c r="CA20" s="1641" t="s">
        <v>1134</v>
      </c>
      <c r="CB20" s="1640"/>
      <c r="CC20" s="1637" t="s">
        <v>1132</v>
      </c>
      <c r="CD20" s="1638" t="s">
        <v>1133</v>
      </c>
      <c r="CE20" s="1639" t="s">
        <v>618</v>
      </c>
      <c r="CF20" s="1641" t="s">
        <v>1134</v>
      </c>
      <c r="CG20" s="1640"/>
      <c r="CH20" s="1637" t="s">
        <v>1132</v>
      </c>
      <c r="CI20" s="1638" t="s">
        <v>1133</v>
      </c>
      <c r="CJ20" s="1639" t="s">
        <v>618</v>
      </c>
      <c r="CK20" s="1641" t="s">
        <v>1134</v>
      </c>
      <c r="CL20" s="1640"/>
      <c r="CM20" s="1637" t="s">
        <v>1132</v>
      </c>
      <c r="CN20" s="1638" t="s">
        <v>1133</v>
      </c>
      <c r="CO20" s="1639" t="s">
        <v>618</v>
      </c>
      <c r="CP20" s="1641" t="s">
        <v>1134</v>
      </c>
      <c r="CQ20" s="1640"/>
      <c r="CR20" s="1637" t="s">
        <v>1132</v>
      </c>
      <c r="CS20" s="1638" t="s">
        <v>1133</v>
      </c>
      <c r="CT20" s="1639" t="s">
        <v>618</v>
      </c>
      <c r="CU20" s="1641" t="s">
        <v>1134</v>
      </c>
      <c r="CV20" s="1640"/>
      <c r="CW20" s="1637" t="s">
        <v>1132</v>
      </c>
      <c r="CX20" s="1638" t="s">
        <v>1133</v>
      </c>
      <c r="CY20" s="1639" t="s">
        <v>618</v>
      </c>
      <c r="CZ20" s="1641" t="s">
        <v>1134</v>
      </c>
      <c r="DA20" s="1640"/>
      <c r="DB20" s="1637" t="s">
        <v>1132</v>
      </c>
      <c r="DC20" s="1638" t="s">
        <v>1133</v>
      </c>
      <c r="DD20" s="1639" t="s">
        <v>618</v>
      </c>
      <c r="DE20" s="1641" t="s">
        <v>1134</v>
      </c>
      <c r="DF20" s="1640"/>
      <c r="DG20" s="1637" t="s">
        <v>1132</v>
      </c>
      <c r="DH20" s="1638" t="s">
        <v>1133</v>
      </c>
      <c r="DI20" s="1639" t="s">
        <v>618</v>
      </c>
      <c r="DJ20" s="1641" t="s">
        <v>1134</v>
      </c>
      <c r="DK20" s="1640"/>
      <c r="DL20" s="1637" t="s">
        <v>1132</v>
      </c>
      <c r="DM20" s="1638" t="s">
        <v>1133</v>
      </c>
      <c r="DN20" s="1639" t="s">
        <v>618</v>
      </c>
      <c r="DO20" s="1641" t="s">
        <v>1134</v>
      </c>
      <c r="DP20" s="1640"/>
    </row>
    <row r="21" spans="2:120" s="1119" customFormat="1">
      <c r="B21" s="1613"/>
      <c r="C21" s="1613" t="s">
        <v>69</v>
      </c>
      <c r="D21" s="1120"/>
      <c r="E21" s="771">
        <f t="shared" ref="E21:E37" si="0">L21+Q21+V21+AA21+AF21+AK21+AP21+AU21+AZ21+BE21+BJ21+BO21+BT21+CX21+BY21+CD21+CI21+DC21+CN21+DH21+DM21+CS21</f>
        <v>57054.469468729731</v>
      </c>
      <c r="F21" s="1927">
        <f>E21-SIGN(E21)*INT(ABS(E21)/local_data_input!H4)*local_data_input!H4</f>
        <v>114.46946872973058</v>
      </c>
      <c r="G21" s="1935">
        <f>E21*local_data_input!$C4</f>
        <v>26904310.489702538</v>
      </c>
      <c r="H21" s="1072">
        <f t="shared" ref="H21:H37" si="1">N21+S21+X21+AC21+AH21+AM21+AR21+AW21+BB21+BG21+BL21+BQ21+BV21+CZ21+CA21+CF21+CK21+DE21+CP21+DJ21+DO21+CU21</f>
        <v>4358265.8133387258</v>
      </c>
      <c r="I21" s="1935">
        <f>IF(E21&gt;0,(E21-INT(E21/local_data_input!$H4)*local_data_input!$H4)*local_data_input!$I4+INT(E21/local_data_input!$H4)*local_data_input!$H4*local_data_input!$J4,(E21-INT(-E21/local_data_input!$H4)*-local_data_input!$H4)*local_data_input!$I4+INT(-E21/local_data_input!$H4)*-local_data_input!$H4*local_data_input!$J4)</f>
        <v>4358265.8133387258</v>
      </c>
      <c r="J21" s="1554"/>
      <c r="K21" s="1932"/>
      <c r="L21" s="771">
        <f t="shared" ref="L21:L37" si="2">IF(ISERROR(K21*K$13),0,(K21*K$13))</f>
        <v>0</v>
      </c>
      <c r="M21" s="1935">
        <f>L21*local_data_input!$C4</f>
        <v>0</v>
      </c>
      <c r="N21" s="1935">
        <f>IF(L21&gt;0,(L21-INT(L21/local_data_input!$H4)*local_data_input!$H4)*local_data_input!$I4+INT(L21/local_data_input!$H4)*local_data_input!$H4*local_data_input!$J4,(L21-INT(-L21/local_data_input!$H4)*-local_data_input!$H4)*local_data_input!$I4+INT(-L21/local_data_input!$H4)*-local_data_input!$H4*local_data_input!$J4)</f>
        <v>0</v>
      </c>
      <c r="O21" s="1554"/>
      <c r="P21" s="1934">
        <f>see_and_treat!F58</f>
        <v>0.70000000000000007</v>
      </c>
      <c r="Q21" s="771">
        <f t="shared" ref="Q21:Q37" si="3">IF(ISERROR(P21*P$13),0,(P21*P$13))</f>
        <v>2497.4793621193385</v>
      </c>
      <c r="R21" s="1072">
        <f>Q21*local_data_input!$C4</f>
        <v>1177698.4489691884</v>
      </c>
      <c r="S21" s="1935">
        <f>IF(Q21&gt;0,(Q21-INT(Q21/local_data_input!$H4)*local_data_input!$H4)*local_data_input!$I4+INT(Q21/local_data_input!$H4)*local_data_input!$H4*local_data_input!$J4,(Q21-INT(-Q21/local_data_input!$H4)*-local_data_input!$H4)*local_data_input!$I4+INT(-Q21/local_data_input!$H4)*-local_data_input!$H4*local_data_input!$J4)</f>
        <v>190776.97198480423</v>
      </c>
      <c r="T21" s="1554"/>
      <c r="U21" s="1932"/>
      <c r="V21" s="771">
        <f>IF(ISERROR(U21*U$13),0,(U21*U$13))</f>
        <v>0</v>
      </c>
      <c r="W21" s="1072">
        <f>V21*local_data_input!$C4</f>
        <v>0</v>
      </c>
      <c r="X21" s="1935">
        <f>IF(V21&gt;0,(V21-INT(V21/local_data_input!$H4)*local_data_input!$H4)*local_data_input!$I4+INT(V21/local_data_input!$H4)*local_data_input!$H4*local_data_input!$J4,(V21-INT(-V21/local_data_input!$H4)*-local_data_input!$H4)*local_data_input!$I4+INT(-V21/local_data_input!$H4)*-local_data_input!$H4*local_data_input!$J4)</f>
        <v>0</v>
      </c>
      <c r="Y21" s="1554"/>
      <c r="Z21" s="1932"/>
      <c r="AA21" s="771">
        <f>IF(ISERROR(Z21*Z$13),0,(Z21*Z$13))</f>
        <v>0</v>
      </c>
      <c r="AB21" s="1072">
        <f>AA21*local_data_input!$C4</f>
        <v>0</v>
      </c>
      <c r="AC21" s="1935">
        <f>IF(AA21&gt;0,(AA21-INT(AA21/local_data_input!$H4)*local_data_input!$H4)*local_data_input!$I4+INT(AA21/local_data_input!$H4)*local_data_input!$H4*local_data_input!$J4,(AA21-INT(-AA21/local_data_input!$H4)*-local_data_input!$H4)*local_data_input!$I4+INT(-AA21/local_data_input!$H4)*-local_data_input!$H4*local_data_input!$J4)</f>
        <v>0</v>
      </c>
      <c r="AD21" s="1554"/>
      <c r="AE21" s="1932">
        <f>AEC!K69</f>
        <v>1.2000000000000002</v>
      </c>
      <c r="AF21" s="771">
        <f t="shared" ref="AF21:AF37" si="4">IF(ISERROR(AE21*AE$13),0,(AE21*AE$13))</f>
        <v>9213.7500000000018</v>
      </c>
      <c r="AG21" s="1072">
        <f>AF21*local_data_input!$C4</f>
        <v>4344788.2888536807</v>
      </c>
      <c r="AH21" s="1935">
        <f>IF(AF21&gt;0,(AF21-INT(AF21/local_data_input!$H4)*local_data_input!$H4)*local_data_input!$I4+INT(AF21/local_data_input!$H4)*local_data_input!$H4*local_data_input!$J4,(AF21-INT(-AF21/local_data_input!$H4)*-local_data_input!$H4)*local_data_input!$I4+INT(-AF21/local_data_input!$H4)*-local_data_input!$H4*local_data_input!$J4)</f>
        <v>703818.15853459598</v>
      </c>
      <c r="AI21" s="1554"/>
      <c r="AJ21" s="1932">
        <f>Care_planning!F52</f>
        <v>1.875</v>
      </c>
      <c r="AK21" s="771">
        <f>IF(ISERROR(AJ21*AJ$13),0,(AJ21*AJ$13))</f>
        <v>3539.7580378727889</v>
      </c>
      <c r="AL21" s="1072">
        <f>AK21*local_data_input!$C4</f>
        <v>1669189.9897789035</v>
      </c>
      <c r="AM21" s="1935">
        <f>IF(AK21&gt;0,(AK21-INT(AK21/local_data_input!$H4)*local_data_input!$H4)*local_data_input!$I4+INT(AK21/local_data_input!$H4)*local_data_input!$H4*local_data_input!$J4,(AK21-INT(-AK21/local_data_input!$H4)*-local_data_input!$H4)*local_data_input!$I4+INT(-AK21/local_data_input!$H4)*-local_data_input!$H4*local_data_input!$J4)</f>
        <v>270394.35451077577</v>
      </c>
      <c r="AN21" s="1554"/>
      <c r="AO21" s="1932"/>
      <c r="AP21" s="771">
        <f t="shared" ref="AP21:AP37" si="5">IF(ISERROR(AO21*AO$13),0,(AO21*AO$13))</f>
        <v>0</v>
      </c>
      <c r="AQ21" s="1072">
        <f>AP21*local_data_input!$C4</f>
        <v>0</v>
      </c>
      <c r="AR21" s="1935">
        <f>IF(AP21&gt;0,(AP21-INT(AP21/local_data_input!$H4)*local_data_input!$H4)*local_data_input!$I4+INT(AP21/local_data_input!$H4)*local_data_input!$H4*local_data_input!$J4,(AP21-INT(-AP21/local_data_input!$H4)*-local_data_input!$H4)*local_data_input!$I4+INT(-AP21/local_data_input!$H4)*-local_data_input!$H4*local_data_input!$J4)</f>
        <v>0</v>
      </c>
      <c r="AS21" s="1554"/>
      <c r="AT21" s="1932"/>
      <c r="AU21" s="771">
        <f t="shared" ref="AU21:AU37" si="6">IF(ISERROR(AT21*AT$13),0,(AT21*AT$13))</f>
        <v>0</v>
      </c>
      <c r="AV21" s="1072">
        <f>AU21*local_data_input!$C4</f>
        <v>0</v>
      </c>
      <c r="AW21" s="1935">
        <f>IF(AU21&gt;0,(AU21-INT(AU21/local_data_input!$H4)*local_data_input!$H4)*local_data_input!$I4+INT(AU21/local_data_input!$H4)*local_data_input!$H4*local_data_input!$J4,(AU21-INT(-AU21/local_data_input!$H4)*-local_data_input!$H4)*local_data_input!$I4+INT(-AU21/local_data_input!$H4)*-local_data_input!$H4*local_data_input!$J4)</f>
        <v>0</v>
      </c>
      <c r="AX21" s="1554"/>
      <c r="AY21" s="1932"/>
      <c r="AZ21" s="771">
        <f t="shared" ref="AZ21:AZ37" si="7">IF(ISERROR(AY21*AY$13),0,(AY21*AY$13))</f>
        <v>0</v>
      </c>
      <c r="BA21" s="1072">
        <f>AZ21*local_data_input!$C4</f>
        <v>0</v>
      </c>
      <c r="BB21" s="1935">
        <f>IF(AZ21&gt;0,(AZ21-INT(AZ21/local_data_input!$H4)*local_data_input!$H4)*local_data_input!$I4+INT(AZ21/local_data_input!$H4)*local_data_input!$H4*local_data_input!$J4,(AZ21-INT(-AZ21/local_data_input!$H4)*-local_data_input!$H4)*local_data_input!$I4+INT(-AZ21/local_data_input!$H4)*-local_data_input!$H4*local_data_input!$J4)</f>
        <v>0</v>
      </c>
      <c r="BC21" s="1554"/>
      <c r="BD21" s="1932"/>
      <c r="BE21" s="771">
        <f t="shared" ref="BE21:BE37" si="8">IF(ISERROR(BD21*BD$13),"",(BD21*BD$13))</f>
        <v>0</v>
      </c>
      <c r="BF21" s="1072">
        <f>BE21*local_data_input!$C4</f>
        <v>0</v>
      </c>
      <c r="BG21" s="1935">
        <f>IF(BE21&gt;0,(BE21-INT(BE21/local_data_input!$H4)*local_data_input!$H4)*local_data_input!$I4+INT(BE21/local_data_input!$H4)*local_data_input!$H4*local_data_input!$J4,(BE21-INT(-BE21/local_data_input!$H4)*-local_data_input!$H4)*local_data_input!$I4+INT(-BE21/local_data_input!$H4)*-local_data_input!$H4*local_data_input!$J4)</f>
        <v>0</v>
      </c>
      <c r="BH21" s="1554"/>
      <c r="BI21" s="1932"/>
      <c r="BJ21" s="771">
        <f>IF(ISERROR(BI21*BI$13),"",(BI21*BI$13))</f>
        <v>0</v>
      </c>
      <c r="BK21" s="1072">
        <f>BJ21*local_data_input!$C4</f>
        <v>0</v>
      </c>
      <c r="BL21" s="1935">
        <f>IF(BJ21&gt;0,(BJ21-INT(BJ21/local_data_input!$H4)*local_data_input!$H4)*local_data_input!$I4+INT(BJ21/local_data_input!$H4)*local_data_input!$H4*local_data_input!$J4,(BJ21-INT(-BJ21/local_data_input!$H4)*-local_data_input!$H4)*local_data_input!$I4+INT(-BJ21/local_data_input!$H4)*-local_data_input!$H4*local_data_input!$J4)</f>
        <v>0</v>
      </c>
      <c r="BM21" s="1554"/>
      <c r="BN21" s="1932">
        <f>IP_drug_reconciliation!F46</f>
        <v>4.8148148148148169E-2</v>
      </c>
      <c r="BO21" s="771">
        <f t="shared" ref="BO21:BO37" si="9">IF(ISERROR(BN21*BN$13),"",(BN21*BN$13))</f>
        <v>4411.0867280137218</v>
      </c>
      <c r="BP21" s="1072">
        <f>BO21*local_data_input!$C4</f>
        <v>2080069.2396680955</v>
      </c>
      <c r="BQ21" s="1935">
        <f>IF(BO21&gt;0,(BO21-INT(BO21/local_data_input!$H4)*local_data_input!$H4)*local_data_input!$I4+INT(BO21/local_data_input!$H4)*local_data_input!$H4*local_data_input!$J4,(BO21-INT(-BO21/local_data_input!$H4)*-local_data_input!$H4)*local_data_input!$I4+INT(-BO21/local_data_input!$H4)*-local_data_input!$H4*local_data_input!$J4)</f>
        <v>336953.24249594501</v>
      </c>
      <c r="BR21" s="1554"/>
      <c r="BS21" s="1932">
        <f>SCR_in_ED!D42</f>
        <v>3.9481481481481479E-2</v>
      </c>
      <c r="BT21" s="771">
        <f t="shared" ref="BT21:BT37" si="10">IF(ISERROR(BS21*BS$13),"",(BS21*BS$13))</f>
        <v>582.46233767652984</v>
      </c>
      <c r="BU21" s="1072">
        <f>BT21*local_data_input!$C4</f>
        <v>274662.92697710748</v>
      </c>
      <c r="BV21" s="1935">
        <f>IF(BT21&gt;0,(BT21-INT(BT21/local_data_input!$H4)*local_data_input!$H4)*local_data_input!$I4+INT(BT21/local_data_input!$H4)*local_data_input!$H4*local_data_input!$J4,(BT21-INT(-BT21/local_data_input!$H4)*-local_data_input!$H4)*local_data_input!$I4+INT(-BT21/local_data_input!$H4)*-local_data_input!$H4*local_data_input!$J4)</f>
        <v>44493.020748256808</v>
      </c>
      <c r="BW21" s="1079"/>
      <c r="BX21" s="1932">
        <f>IR_in_AS!D40</f>
        <v>0.01</v>
      </c>
      <c r="BY21" s="771">
        <f t="shared" ref="BY21:BY30" si="11">IF(ISERROR(BX21*BX$13),"",(BX21*BX$13))</f>
        <v>73.447544581112737</v>
      </c>
      <c r="BZ21" s="1072">
        <f>BY21*local_data_input!$C4</f>
        <v>34634.544191135763</v>
      </c>
      <c r="CA21" s="1935">
        <f>IF(BY21&gt;0,(BY21-INT(BY21/local_data_input!$H4)*local_data_input!$H4)*local_data_input!$I4+INT(BY21/local_data_input!$H4)*local_data_input!$H4*local_data_input!$J4,(BY21-INT(-BY21/local_data_input!$H4)*-local_data_input!$H4)*local_data_input!$I4+INT(-BY21/local_data_input!$H4)*-local_data_input!$H4*local_data_input!$J4)</f>
        <v>5610.4968743417612</v>
      </c>
      <c r="CB21" s="1554"/>
      <c r="CC21" s="1932">
        <f>IR_in_ED!D40</f>
        <v>0.1</v>
      </c>
      <c r="CD21" s="771">
        <f t="shared" ref="CD21:CD30" si="12">IF(ISERROR(CC21*CC$13),"",(CC21*CC$13))</f>
        <v>1196.0506758625777</v>
      </c>
      <c r="CE21" s="1072">
        <f>CD21*local_data_input!$C4</f>
        <v>564003.46974502841</v>
      </c>
      <c r="CF21" s="1935">
        <f>IF(CD21&gt;0,(CD21-INT(CD21/local_data_input!$H4)*local_data_input!$H4)*local_data_input!$I4+INT(CD21/local_data_input!$H4)*local_data_input!$H4*local_data_input!$J4,(CD21-INT(-CD21/local_data_input!$H4)*-local_data_input!$H4)*local_data_input!$I4+INT(-CD21/local_data_input!$H4)*-local_data_input!$H4*local_data_input!$J4)</f>
        <v>91363.688422157997</v>
      </c>
      <c r="CG21" s="1554"/>
      <c r="CH21" s="1932">
        <f>IR_in_CH!F39</f>
        <v>0.1</v>
      </c>
      <c r="CI21" s="771">
        <f t="shared" ref="CI21:CI30" si="13">IF(ISERROR(CH21*CH$13),"",(CH21*CH$13))</f>
        <v>442.58395264351702</v>
      </c>
      <c r="CJ21" s="1072">
        <f>CI21*local_data_input!$C4</f>
        <v>208702.59929780211</v>
      </c>
      <c r="CK21" s="1935">
        <f>IF(CI21&gt;0,(CI21-INT(CI21/local_data_input!$H4)*local_data_input!$H4)*local_data_input!$I4+INT(CI21/local_data_input!$H4)*local_data_input!$H4*local_data_input!$J4,(CI21-INT(-CI21/local_data_input!$H4)*-local_data_input!$H4)*local_data_input!$I4+INT(-CI21/local_data_input!$H4)*-local_data_input!$H4*local_data_input!$J4)</f>
        <v>33808.017641733597</v>
      </c>
      <c r="CL21" s="1554"/>
      <c r="CM21" s="1932">
        <f>(Dis_Pl!F72)+(Dis_Pl!F73*Dis_Pl!F74)</f>
        <v>0.88</v>
      </c>
      <c r="CN21" s="771">
        <f t="shared" ref="CN21:CN30" si="14">IF(ISERROR(CM21*CM$13),"",(CM21*CM$13))</f>
        <v>4008.9844542386631</v>
      </c>
      <c r="CO21" s="1072">
        <f>CN21*local_data_input!$C4</f>
        <v>1890455.9714527314</v>
      </c>
      <c r="CP21" s="1935">
        <f>IF(CN21&gt;0,(CN21-INT(CN21/local_data_input!$H4)*local_data_input!$H4)*local_data_input!$I4+INT(CN21/local_data_input!$H4)*local_data_input!$H4*local_data_input!$J4,(CN21-INT(-CN21/local_data_input!$H4)*-local_data_input!$H4)*local_data_input!$I4+INT(-CN21/local_data_input!$H4)*-local_data_input!$H4*local_data_input!$J4)</f>
        <v>306237.53153450851</v>
      </c>
      <c r="CQ21" s="1554"/>
      <c r="CR21" s="1932">
        <f>D2A!D42</f>
        <v>35</v>
      </c>
      <c r="CS21" s="1927">
        <f>IF(ISERROR(CR21*CR$13),"",(CR21*CR$13))</f>
        <v>23039.091060517068</v>
      </c>
      <c r="CT21" s="1072">
        <f>CS21*local_data_input!$C4</f>
        <v>10864194.603236256</v>
      </c>
      <c r="CU21" s="1935">
        <f>IF(CS21&gt;0,(CS21-INT(CS21/local_data_input!$H4)*local_data_input!$H4)*local_data_input!$I4+INT(CS21/local_data_input!$H4)*local_data_input!$H4*local_data_input!$J4,(CS21-INT(-CS21/local_data_input!$H4)*-local_data_input!$H4)*local_data_input!$I4+INT(-CS21/local_data_input!$H4)*-local_data_input!$H4*local_data_input!$J4)</f>
        <v>1759905.645857983</v>
      </c>
      <c r="CV21" s="1554"/>
      <c r="CW21" s="1932">
        <f>Rapid_Response!F75</f>
        <v>2</v>
      </c>
      <c r="CX21" s="771">
        <f t="shared" ref="CX21:CX30" si="15">IF(ISERROR(CW21*CW$13),"",(CW21*CW$13))</f>
        <v>1469.2598002408677</v>
      </c>
      <c r="CY21" s="1072">
        <f>CX21*local_data_input!$C4</f>
        <v>692836.5511729772</v>
      </c>
      <c r="CZ21" s="1935">
        <f>IF(CX21&gt;0,(CX21-INT(CX21/local_data_input!$H4)*local_data_input!$H4)*local_data_input!$I4+INT(CX21/local_data_input!$H4)*local_data_input!$H4*local_data_input!$J4,(CX21-INT(-CX21/local_data_input!$H4)*-local_data_input!$H4)*local_data_input!$I4+INT(-CX21/local_data_input!$H4)*-local_data_input!$H4*local_data_input!$J4)</f>
        <v>112233.53433883442</v>
      </c>
      <c r="DA21" s="1554"/>
      <c r="DB21" s="1932">
        <f>Falls!F77</f>
        <v>3.5015999999999998</v>
      </c>
      <c r="DC21" s="771">
        <f t="shared" ref="DC21:DC30" si="16">IF(ISERROR(DB21*DB$13),"",(DB21*DB$13))</f>
        <v>984.49113340880297</v>
      </c>
      <c r="DD21" s="1072">
        <f>DC21*local_data_input!$C4</f>
        <v>464241.54626670491</v>
      </c>
      <c r="DE21" s="1935">
        <f>IF(DC21&gt;0,(DC21-INT(DC21/local_data_input!$H4)*local_data_input!$H4)*local_data_input!$I4+INT(DC21/local_data_input!$H4)*local_data_input!$H4*local_data_input!$J4,(DC21-INT(-DC21/local_data_input!$H4)*-local_data_input!$H4)*local_data_input!$I4+INT(-DC21/local_data_input!$H4)*-local_data_input!$H4*local_data_input!$J4)</f>
        <v>75203.118883128031</v>
      </c>
      <c r="DF21" s="1554"/>
      <c r="DG21" s="1932">
        <f>CHE!F56</f>
        <v>1</v>
      </c>
      <c r="DH21" s="771">
        <f t="shared" ref="DH21:DH30" si="17">IF(ISERROR(DG21*DG$13),"",(DG21*DG$13))</f>
        <v>4838.9178822357862</v>
      </c>
      <c r="DI21" s="1072">
        <f>DH21*local_data_input!$C4</f>
        <v>2281815.08565597</v>
      </c>
      <c r="DJ21" s="1935">
        <f>IF(DH21&gt;0,(DH21-INT(DH21/local_data_input!$H4)*local_data_input!$H4)*local_data_input!$I4+INT(DH21/local_data_input!$H4)*local_data_input!$H4*local_data_input!$J4,(DH21-INT(-DH21/local_data_input!$H4)*-local_data_input!$H4)*local_data_input!$I4+INT(-DH21/local_data_input!$H4)*-local_data_input!$H4*local_data_input!$J4)</f>
        <v>369634.32621628733</v>
      </c>
      <c r="DK21" s="1554"/>
      <c r="DL21" s="1932">
        <f>EWS_in_CH!F60</f>
        <v>4</v>
      </c>
      <c r="DM21" s="771">
        <f t="shared" ref="DM21:DM30" si="18">IF(ISERROR(DL21*DL$13),"",(DL21*DL$13))</f>
        <v>757.10649931896558</v>
      </c>
      <c r="DN21" s="1072">
        <f>DM21*local_data_input!$C4</f>
        <v>357017.22443696082</v>
      </c>
      <c r="DO21" s="1935">
        <f>IF(DM21&gt;0,(DM21-INT(DM21/local_data_input!$H4)*local_data_input!$H4)*local_data_input!$I4+INT(DM21/local_data_input!$H4)*local_data_input!$H4*local_data_input!$J4,(DM21-INT(-DM21/local_data_input!$H4)*-local_data_input!$H4)*local_data_input!$I4+INT(-DM21/local_data_input!$H4)*-local_data_input!$H4*local_data_input!$J4)</f>
        <v>57833.705295373613</v>
      </c>
      <c r="DP21" s="1554"/>
    </row>
    <row r="22" spans="2:120" s="1119" customFormat="1">
      <c r="B22" s="1613"/>
      <c r="C22" s="1613" t="s">
        <v>43</v>
      </c>
      <c r="D22" s="1120"/>
      <c r="E22" s="771">
        <f>L22+Q22+V22+AA22+AF22+AK22+AP22+AU22+AZ22+BE22+BJ22+BO22+BT22+CX22+BY22+CD22+CI22+DC22+CN22+DH22+DM22+CS22</f>
        <v>8602.2307853567527</v>
      </c>
      <c r="F22" s="1927">
        <f>E22-SIGN(E22)*INT(ABS(E22)/local_data_input!H5)*local_data_input!H5</f>
        <v>3877.2307853567527</v>
      </c>
      <c r="G22" s="1935">
        <f>E22*local_data_input!$C5</f>
        <v>1326420.4074040281</v>
      </c>
      <c r="H22" s="1072">
        <f t="shared" si="1"/>
        <v>111925.78664691307</v>
      </c>
      <c r="I22" s="1935">
        <f>IF(E22&gt;0,(E22-INT(E22/local_data_input!$H5)*local_data_input!$H5)*local_data_input!$I5+INT(E22/local_data_input!$H5)*local_data_input!$H5*local_data_input!$J5,(E22-INT(-E22/local_data_input!$H5)*-local_data_input!$H5)*local_data_input!$I5+INT(-E22/local_data_input!$H5)*-local_data_input!$H5*local_data_input!$J5)</f>
        <v>111925.78664691305</v>
      </c>
      <c r="J22" s="1554"/>
      <c r="K22" s="1932">
        <f>hear_and_treat!F59+hear_and_treat!F60</f>
        <v>0.2</v>
      </c>
      <c r="L22" s="771">
        <f>IF(ISERROR(K22*K$13),0,(K22*K$13))</f>
        <v>1834.8827966591057</v>
      </c>
      <c r="M22" s="1935">
        <f>L22*local_data_input!$C5</f>
        <v>282929.63155862101</v>
      </c>
      <c r="N22" s="1935">
        <f>IF(L22&gt;0,(L22-INT(L22/local_data_input!$H5)*local_data_input!$H5)*local_data_input!$I5+INT(L22/local_data_input!$H5)*local_data_input!$H5*local_data_input!$J5,(L22-INT(-L22/local_data_input!$H5)*-local_data_input!$H5)*local_data_input!$I5+INT(-L22/local_data_input!$H5)*-local_data_input!$H5*local_data_input!$J5)</f>
        <v>23874.12120708885</v>
      </c>
      <c r="O22" s="1554"/>
      <c r="P22" s="1934">
        <f>see_and_treat!F59</f>
        <v>0.25</v>
      </c>
      <c r="Q22" s="771">
        <f t="shared" si="3"/>
        <v>891.95691504262072</v>
      </c>
      <c r="R22" s="1072">
        <f>Q22*local_data_input!$C5</f>
        <v>137535.23756321854</v>
      </c>
      <c r="S22" s="1935">
        <f>IF(Q22&gt;0,(Q22-INT(Q22/local_data_input!$H5)*local_data_input!$H5)*local_data_input!$I5+INT(Q22/local_data_input!$H5)*local_data_input!$H5*local_data_input!$J5,(Q22-INT(-Q22/local_data_input!$H5)*-local_data_input!$H5)*local_data_input!$I5+INT(-Q22/local_data_input!$H5)*-local_data_input!$H5*local_data_input!$J5)</f>
        <v>11605.475586779301</v>
      </c>
      <c r="T22" s="1554"/>
      <c r="U22" s="1932"/>
      <c r="V22" s="771">
        <f t="shared" ref="V22:V37" si="19">IF(ISERROR(U22*U$13),0,(U22*U$13))</f>
        <v>0</v>
      </c>
      <c r="W22" s="1072">
        <f>V22*local_data_input!$C5</f>
        <v>0</v>
      </c>
      <c r="X22" s="1935">
        <f>IF(V22&gt;0,(V22-INT(V22/local_data_input!$H5)*local_data_input!$H5)*local_data_input!$I5+INT(V22/local_data_input!$H5)*local_data_input!$H5*local_data_input!$J5,(V22-INT(-V22/local_data_input!$H5)*-local_data_input!$H5)*local_data_input!$I5+INT(-V22/local_data_input!$H5)*-local_data_input!$H5*local_data_input!$J5)</f>
        <v>0</v>
      </c>
      <c r="Y22" s="1554"/>
      <c r="Z22" s="1932"/>
      <c r="AA22" s="771">
        <f t="shared" ref="AA22:AA37" si="20">IF(ISERROR(Z22*Z$13),0,(Z22*Z$13))</f>
        <v>0</v>
      </c>
      <c r="AB22" s="1072">
        <f>AA22*local_data_input!$C5</f>
        <v>0</v>
      </c>
      <c r="AC22" s="1935">
        <f>IF(AA22&gt;0,(AA22-INT(AA22/local_data_input!$H5)*local_data_input!$H5)*local_data_input!$I5+INT(AA22/local_data_input!$H5)*local_data_input!$H5*local_data_input!$J5,(AA22-INT(-AA22/local_data_input!$H5)*-local_data_input!$H5)*local_data_input!$I5+INT(-AA22/local_data_input!$H5)*-local_data_input!$H5*local_data_input!$J5)</f>
        <v>0</v>
      </c>
      <c r="AD22" s="1554"/>
      <c r="AE22" s="1932">
        <f>AEC!K68</f>
        <v>0.5</v>
      </c>
      <c r="AF22" s="771">
        <f t="shared" si="4"/>
        <v>3839.0625</v>
      </c>
      <c r="AG22" s="1072">
        <f>AF22*local_data_input!$C5</f>
        <v>591963.98845376261</v>
      </c>
      <c r="AH22" s="1935">
        <f>IF(AF22&gt;0,(AF22-INT(AF22/local_data_input!$H5)*local_data_input!$H5)*local_data_input!$I5+INT(AF22/local_data_input!$H5)*local_data_input!$H5*local_data_input!$J5,(AF22-INT(-AF22/local_data_input!$H5)*-local_data_input!$H5)*local_data_input!$I5+INT(-AF22/local_data_input!$H5)*-local_data_input!$H5*local_data_input!$J5)</f>
        <v>49951.007014437419</v>
      </c>
      <c r="AI22" s="1554"/>
      <c r="AJ22" s="1932">
        <f>Care_planning!F53</f>
        <v>0.125</v>
      </c>
      <c r="AK22" s="771">
        <f t="shared" ref="AK22:AK37" si="21">IF(ISERROR(AJ22*AJ$13),0,(AJ22*AJ$13))</f>
        <v>235.98386919151926</v>
      </c>
      <c r="AL22" s="1072">
        <f>AK22*local_data_input!$C5</f>
        <v>36387.51711319176</v>
      </c>
      <c r="AM22" s="1935">
        <f>IF(AK22&gt;0,(AK22-INT(AK22/local_data_input!$H5)*local_data_input!$H5)*local_data_input!$I5+INT(AK22/local_data_input!$H5)*local_data_input!$H5*local_data_input!$J5,(AK22-INT(-AK22/local_data_input!$H5)*-local_data_input!$H5)*local_data_input!$I5+INT(-AK22/local_data_input!$H5)*-local_data_input!$H5*local_data_input!$J5)</f>
        <v>3070.4454291326751</v>
      </c>
      <c r="AN22" s="1554"/>
      <c r="AO22" s="1932"/>
      <c r="AP22" s="771">
        <f t="shared" si="5"/>
        <v>0</v>
      </c>
      <c r="AQ22" s="1072">
        <f>AP22*local_data_input!$C5</f>
        <v>0</v>
      </c>
      <c r="AR22" s="1935">
        <f>IF(AP22&gt;0,(AP22-INT(AP22/local_data_input!$H5)*local_data_input!$H5)*local_data_input!$I5+INT(AP22/local_data_input!$H5)*local_data_input!$H5*local_data_input!$J5,(AP22-INT(-AP22/local_data_input!$H5)*-local_data_input!$H5)*local_data_input!$I5+INT(-AP22/local_data_input!$H5)*-local_data_input!$H5*local_data_input!$J5)</f>
        <v>0</v>
      </c>
      <c r="AS22" s="1554"/>
      <c r="AT22" s="1932"/>
      <c r="AU22" s="771">
        <f t="shared" si="6"/>
        <v>0</v>
      </c>
      <c r="AV22" s="1072">
        <f>AU22*local_data_input!$C5</f>
        <v>0</v>
      </c>
      <c r="AW22" s="1935">
        <f>IF(AU22&gt;0,(AU22-INT(AU22/local_data_input!$H5)*local_data_input!$H5)*local_data_input!$I5+INT(AU22/local_data_input!$H5)*local_data_input!$H5*local_data_input!$J5,(AU22-INT(-AU22/local_data_input!$H5)*-local_data_input!$H5)*local_data_input!$I5+INT(-AU22/local_data_input!$H5)*-local_data_input!$H5*local_data_input!$J5)</f>
        <v>0</v>
      </c>
      <c r="AX22" s="1554"/>
      <c r="AY22" s="1932"/>
      <c r="AZ22" s="771">
        <f t="shared" si="7"/>
        <v>0</v>
      </c>
      <c r="BA22" s="1072">
        <f>AZ22*local_data_input!$C5</f>
        <v>0</v>
      </c>
      <c r="BB22" s="1935">
        <f>IF(AZ22&gt;0,(AZ22-INT(AZ22/local_data_input!$H5)*local_data_input!$H5)*local_data_input!$I5+INT(AZ22/local_data_input!$H5)*local_data_input!$H5*local_data_input!$J5,(AZ22-INT(-AZ22/local_data_input!$H5)*-local_data_input!$H5)*local_data_input!$I5+INT(-AZ22/local_data_input!$H5)*-local_data_input!$H5*local_data_input!$J5)</f>
        <v>0</v>
      </c>
      <c r="BC22" s="1554"/>
      <c r="BD22" s="1932"/>
      <c r="BE22" s="771">
        <f t="shared" si="8"/>
        <v>0</v>
      </c>
      <c r="BF22" s="1072">
        <f>BE22*local_data_input!$C5</f>
        <v>0</v>
      </c>
      <c r="BG22" s="1935">
        <f>IF(BE22&gt;0,(BE22-INT(BE22/local_data_input!$H5)*local_data_input!$H5)*local_data_input!$I5+INT(BE22/local_data_input!$H5)*local_data_input!$H5*local_data_input!$J5,(BE22-INT(-BE22/local_data_input!$H5)*-local_data_input!$H5)*local_data_input!$I5+INT(-BE22/local_data_input!$H5)*-local_data_input!$H5*local_data_input!$J5)</f>
        <v>0</v>
      </c>
      <c r="BH22" s="1554"/>
      <c r="BI22" s="1932"/>
      <c r="BJ22" s="771">
        <f t="shared" ref="BJ22:BJ37" si="22">IF(ISERROR(BI22*BI$13),"",(BI22*BI$13))</f>
        <v>0</v>
      </c>
      <c r="BK22" s="1072">
        <f>BJ22*local_data_input!$C5</f>
        <v>0</v>
      </c>
      <c r="BL22" s="1935">
        <f>IF(BJ22&gt;0,(BJ22-INT(BJ22/local_data_input!$H5)*local_data_input!$H5)*local_data_input!$I5+INT(BJ22/local_data_input!$H5)*local_data_input!$H5*local_data_input!$J5,(BJ22-INT(-BJ22/local_data_input!$H5)*-local_data_input!$H5)*local_data_input!$I5+INT(-BJ22/local_data_input!$H5)*-local_data_input!$H5*local_data_input!$J5)</f>
        <v>0</v>
      </c>
      <c r="BM22" s="1554"/>
      <c r="BN22" s="1932"/>
      <c r="BO22" s="771">
        <f t="shared" si="9"/>
        <v>0</v>
      </c>
      <c r="BP22" s="1072">
        <f>BO22*local_data_input!$C5</f>
        <v>0</v>
      </c>
      <c r="BQ22" s="1935">
        <f>IF(BO22&gt;0,(BO22-INT(BO22/local_data_input!$H5)*local_data_input!$H5)*local_data_input!$I5+INT(BO22/local_data_input!$H5)*local_data_input!$H5*local_data_input!$J5,(BO22-INT(-BO22/local_data_input!$H5)*-local_data_input!$H5)*local_data_input!$I5+INT(-BO22/local_data_input!$H5)*-local_data_input!$H5*local_data_input!$J5)</f>
        <v>0</v>
      </c>
      <c r="BR22" s="1554"/>
      <c r="BS22" s="1932"/>
      <c r="BT22" s="771">
        <f t="shared" si="10"/>
        <v>0</v>
      </c>
      <c r="BU22" s="1072">
        <f>BT22*local_data_input!$C5</f>
        <v>0</v>
      </c>
      <c r="BV22" s="1935">
        <f>IF(BT22&gt;0,(BT22-INT(BT22/local_data_input!$H5)*local_data_input!$H5)*local_data_input!$I5+INT(BT22/local_data_input!$H5)*local_data_input!$H5*local_data_input!$J5,(BT22-INT(-BT22/local_data_input!$H5)*-local_data_input!$H5)*local_data_input!$I5+INT(-BT22/local_data_input!$H5)*-local_data_input!$H5*local_data_input!$J5)</f>
        <v>0</v>
      </c>
      <c r="BW22" s="1079"/>
      <c r="BX22" s="1932">
        <f>IR_in_AS!D41</f>
        <v>0</v>
      </c>
      <c r="BY22" s="771">
        <f t="shared" si="11"/>
        <v>0</v>
      </c>
      <c r="BZ22" s="1072">
        <f>BY22*local_data_input!$C5</f>
        <v>0</v>
      </c>
      <c r="CA22" s="1935">
        <f>IF(BY22&gt;0,(BY22-INT(BY22/local_data_input!$H5)*local_data_input!$H5)*local_data_input!$I5+INT(BY22/local_data_input!$H5)*local_data_input!$H5*local_data_input!$J5,(BY22-INT(-BY22/local_data_input!$H5)*-local_data_input!$H5)*local_data_input!$I5+INT(-BY22/local_data_input!$H5)*-local_data_input!$H5*local_data_input!$J5)</f>
        <v>0</v>
      </c>
      <c r="CB22" s="1554"/>
      <c r="CC22" s="1932">
        <f>IR_in_ED!D41</f>
        <v>0</v>
      </c>
      <c r="CD22" s="771">
        <f t="shared" si="12"/>
        <v>0</v>
      </c>
      <c r="CE22" s="1072">
        <f>CD22*local_data_input!$C5</f>
        <v>0</v>
      </c>
      <c r="CF22" s="1935">
        <f>IF(CD22&gt;0,(CD22-INT(CD22/local_data_input!$H5)*local_data_input!$H5)*local_data_input!$I5+INT(CD22/local_data_input!$H5)*local_data_input!$H5*local_data_input!$J5,(CD22-INT(-CD22/local_data_input!$H5)*-local_data_input!$H5)*local_data_input!$I5+INT(-CD22/local_data_input!$H5)*-local_data_input!$H5*local_data_input!$J5)</f>
        <v>0</v>
      </c>
      <c r="CG22" s="1554"/>
      <c r="CH22" s="1932">
        <f>IR_in_CH!F40</f>
        <v>0.02</v>
      </c>
      <c r="CI22" s="771">
        <f t="shared" si="13"/>
        <v>88.51679052870341</v>
      </c>
      <c r="CJ22" s="1072">
        <f>CI22*local_data_input!$C5</f>
        <v>13648.840665265938</v>
      </c>
      <c r="CK22" s="1935">
        <f>IF(CI22&gt;0,(CI22-INT(CI22/local_data_input!$H5)*local_data_input!$H5)*local_data_input!$I5+INT(CI22/local_data_input!$H5)*local_data_input!$H5*local_data_input!$J5,(CI22-INT(-CI22/local_data_input!$H5)*-local_data_input!$H5)*local_data_input!$I5+INT(-CI22/local_data_input!$H5)*-local_data_input!$H5*local_data_input!$J5)</f>
        <v>1151.7142074646483</v>
      </c>
      <c r="CL22" s="1554"/>
      <c r="CM22" s="1932"/>
      <c r="CN22" s="771">
        <f t="shared" si="14"/>
        <v>0</v>
      </c>
      <c r="CO22" s="1072">
        <f>CN22*local_data_input!$C5</f>
        <v>0</v>
      </c>
      <c r="CP22" s="1935">
        <f>IF(CN22&gt;0,(CN22-INT(CN22/local_data_input!$H5)*local_data_input!$H5)*local_data_input!$I5+INT(CN22/local_data_input!$H5)*local_data_input!$H5*local_data_input!$J5,(CN22-INT(-CN22/local_data_input!$H5)*-local_data_input!$H5)*local_data_input!$I5+INT(-CN22/local_data_input!$H5)*-local_data_input!$H5*local_data_input!$J5)</f>
        <v>0</v>
      </c>
      <c r="CQ22" s="1554"/>
      <c r="CR22" s="1932"/>
      <c r="CS22" s="1927">
        <f t="shared" ref="CS22:CS29" si="23">IF(ISERROR(CR22*CR$13),"",(CR22*CR$13))</f>
        <v>0</v>
      </c>
      <c r="CT22" s="1072">
        <f>CS22*local_data_input!$C5</f>
        <v>0</v>
      </c>
      <c r="CU22" s="1935">
        <f>IF(CS22&gt;0,(CS22-INT(CS22/local_data_input!$H5)*local_data_input!$H5)*local_data_input!$I5+INT(CS22/local_data_input!$H5)*local_data_input!$H5*local_data_input!$J5,(CS22-INT(-CS22/local_data_input!$H5)*-local_data_input!$H5)*local_data_input!$I5+INT(-CS22/local_data_input!$H5)*-local_data_input!$H5*local_data_input!$J5)</f>
        <v>0</v>
      </c>
      <c r="CV22" s="1554"/>
      <c r="CW22" s="1932">
        <f>Rapid_Response!F76</f>
        <v>0.95</v>
      </c>
      <c r="CX22" s="771">
        <f t="shared" si="15"/>
        <v>697.89840511441207</v>
      </c>
      <c r="CY22" s="1072">
        <f>CX22*local_data_input!$C5</f>
        <v>107612.3984506757</v>
      </c>
      <c r="CZ22" s="1935">
        <f>IF(CX22&gt;0,(CX22-INT(CX22/local_data_input!$H5)*local_data_input!$H5)*local_data_input!$I5+INT(CX22/local_data_input!$H5)*local_data_input!$H5*local_data_input!$J5,(CX22-INT(-CX22/local_data_input!$H5)*-local_data_input!$H5)*local_data_input!$I5+INT(-CX22/local_data_input!$H5)*-local_data_input!$H5*local_data_input!$J5)</f>
        <v>9080.5315436345936</v>
      </c>
      <c r="DA22" s="1554"/>
      <c r="DB22" s="1932">
        <f>Falls!F78</f>
        <v>0.87540000000000007</v>
      </c>
      <c r="DC22" s="771">
        <f t="shared" si="16"/>
        <v>246.12278335220077</v>
      </c>
      <c r="DD22" s="1072">
        <f>DC22*local_data_input!$C5</f>
        <v>37950.886312090544</v>
      </c>
      <c r="DE22" s="1935">
        <f>IF(DC22&gt;0,(DC22-INT(DC22/local_data_input!$H5)*local_data_input!$H5)*local_data_input!$I5+INT(DC22/local_data_input!$H5)*local_data_input!$H5*local_data_input!$J5,(DC22-INT(-DC22/local_data_input!$H5)*-local_data_input!$H5)*local_data_input!$I5+INT(-DC22/local_data_input!$H5)*-local_data_input!$H5*local_data_input!$J5)</f>
        <v>3202.3653893727028</v>
      </c>
      <c r="DF22" s="1554"/>
      <c r="DG22" s="1932">
        <f>CHE!F57</f>
        <v>0.1</v>
      </c>
      <c r="DH22" s="771">
        <f t="shared" si="17"/>
        <v>483.89178822357866</v>
      </c>
      <c r="DI22" s="1072">
        <f>DH22*local_data_input!$C5</f>
        <v>74613.662303453792</v>
      </c>
      <c r="DJ22" s="1935">
        <f>IF(DH22&gt;0,(DH22-INT(DH22/local_data_input!$H5)*local_data_input!$H5)*local_data_input!$I5+INT(DH22/local_data_input!$H5)*local_data_input!$H5*local_data_input!$J5,(DH22-INT(-DH22/local_data_input!$H5)*-local_data_input!$H5)*local_data_input!$I5+INT(-DH22/local_data_input!$H5)*-local_data_input!$H5*local_data_input!$J5)</f>
        <v>6296.0376674734116</v>
      </c>
      <c r="DK22" s="1554"/>
      <c r="DL22" s="1932">
        <f>EWS_in_CH!F61</f>
        <v>1.5</v>
      </c>
      <c r="DM22" s="771">
        <f t="shared" si="18"/>
        <v>283.91493724461208</v>
      </c>
      <c r="DN22" s="1072">
        <f>DM22*local_data_input!$C5</f>
        <v>43778.24498374806</v>
      </c>
      <c r="DO22" s="1935">
        <f>IF(DM22&gt;0,(DM22-INT(DM22/local_data_input!$H5)*local_data_input!$H5)*local_data_input!$I5+INT(DM22/local_data_input!$H5)*local_data_input!$H5*local_data_input!$J5,(DM22-INT(-DM22/local_data_input!$H5)*-local_data_input!$H5)*local_data_input!$I5+INT(-DM22/local_data_input!$H5)*-local_data_input!$H5*local_data_input!$J5)</f>
        <v>3694.0886015294559</v>
      </c>
      <c r="DP22" s="1554"/>
    </row>
    <row r="23" spans="2:120" s="1119" customFormat="1">
      <c r="B23" s="1613"/>
      <c r="C23" s="1613" t="s">
        <v>49</v>
      </c>
      <c r="D23" s="1120"/>
      <c r="E23" s="771">
        <f t="shared" si="0"/>
        <v>45272.619167813384</v>
      </c>
      <c r="F23" s="1927">
        <f>E23-SIGN(E23)*INT(ABS(E23)/local_data_input!H6)*local_data_input!H6</f>
        <v>1172.6191678133837</v>
      </c>
      <c r="G23" s="1935">
        <f>E23*local_data_input!$C6</f>
        <v>4053397.9775167266</v>
      </c>
      <c r="H23" s="1072">
        <f t="shared" si="1"/>
        <v>493898.64166028239</v>
      </c>
      <c r="I23" s="1935">
        <f>IF(E23&gt;0,(E23-INT(E23/local_data_input!$H6)*local_data_input!$H6)*local_data_input!$I6+INT(E23/local_data_input!$H6)*local_data_input!$H6*local_data_input!$J6,(E23-INT(-E23/local_data_input!$H6)*-local_data_input!$H6)*local_data_input!$I6+INT(-E23/local_data_input!$H6)*-local_data_input!$H6*local_data_input!$J6)</f>
        <v>493898.64166028245</v>
      </c>
      <c r="J23" s="1554"/>
      <c r="K23" s="1932"/>
      <c r="L23" s="771">
        <f t="shared" si="2"/>
        <v>0</v>
      </c>
      <c r="M23" s="1935">
        <f>L23*local_data_input!$C6</f>
        <v>0</v>
      </c>
      <c r="N23" s="1935">
        <f>IF(L23&gt;0,(L23-INT(L23/local_data_input!$H6)*local_data_input!$H6)*local_data_input!$I6+INT(L23/local_data_input!$H6)*local_data_input!$H6*local_data_input!$J6,(L23-INT(-L23/local_data_input!$H6)*-local_data_input!$H6)*local_data_input!$I6+INT(-L23/local_data_input!$H6)*-local_data_input!$H6*local_data_input!$J6)</f>
        <v>0</v>
      </c>
      <c r="O23" s="1554"/>
      <c r="P23" s="1934"/>
      <c r="Q23" s="771">
        <f t="shared" si="3"/>
        <v>0</v>
      </c>
      <c r="R23" s="1072">
        <f>Q23*local_data_input!$C6</f>
        <v>0</v>
      </c>
      <c r="S23" s="1935">
        <f>IF(Q23&gt;0,(Q23-INT(Q23/local_data_input!$H6)*local_data_input!$H6)*local_data_input!$I6+INT(Q23/local_data_input!$H6)*local_data_input!$H6*local_data_input!$J6,(Q23-INT(-Q23/local_data_input!$H6)*-local_data_input!$H6)*local_data_input!$I6+INT(-Q23/local_data_input!$H6)*-local_data_input!$H6*local_data_input!$J6)</f>
        <v>0</v>
      </c>
      <c r="T23" s="1554"/>
      <c r="U23" s="1932">
        <f>Clinical_advisor_consultations!F56+Clinical_advisor_consultations!F57</f>
        <v>0.04</v>
      </c>
      <c r="V23" s="771">
        <f t="shared" si="19"/>
        <v>1140.2485950667299</v>
      </c>
      <c r="W23" s="1072">
        <f>V23*local_data_input!$C6</f>
        <v>102089.99245167825</v>
      </c>
      <c r="X23" s="1935">
        <f>IF(V23&gt;0,(V23-INT(V23/local_data_input!$H6)*local_data_input!$H6)*local_data_input!$I6+INT(V23/local_data_input!$H6)*local_data_input!$H6*local_data_input!$J6,(V23-INT(-V23/local_data_input!$H6)*-local_data_input!$H6)*local_data_input!$I6+INT(-V23/local_data_input!$H6)*-local_data_input!$H6*local_data_input!$J6)</f>
        <v>12439.466560814481</v>
      </c>
      <c r="Y23" s="1554"/>
      <c r="Z23" s="1932"/>
      <c r="AA23" s="771">
        <f t="shared" si="20"/>
        <v>0</v>
      </c>
      <c r="AB23" s="1072">
        <f>AA23*local_data_input!$C6</f>
        <v>0</v>
      </c>
      <c r="AC23" s="1935">
        <f>IF(AA23&gt;0,(AA23-INT(AA23/local_data_input!$H6)*local_data_input!$H6)*local_data_input!$I6+INT(AA23/local_data_input!$H6)*local_data_input!$H6*local_data_input!$J6,(AA23-INT(-AA23/local_data_input!$H6)*-local_data_input!$H6)*local_data_input!$I6+INT(-AA23/local_data_input!$H6)*-local_data_input!$H6*local_data_input!$J6)</f>
        <v>0</v>
      </c>
      <c r="AD23" s="1554"/>
      <c r="AE23" s="1932"/>
      <c r="AF23" s="771">
        <f t="shared" si="4"/>
        <v>0</v>
      </c>
      <c r="AG23" s="1072">
        <f>AF23*local_data_input!$C6</f>
        <v>0</v>
      </c>
      <c r="AH23" s="1935">
        <f>IF(AF23&gt;0,(AF23-INT(AF23/local_data_input!$H6)*local_data_input!$H6)*local_data_input!$I6+INT(AF23/local_data_input!$H6)*local_data_input!$H6*local_data_input!$J6,(AF23-INT(-AF23/local_data_input!$H6)*-local_data_input!$H6)*local_data_input!$I6+INT(-AF23/local_data_input!$H6)*-local_data_input!$H6*local_data_input!$J6)</f>
        <v>0</v>
      </c>
      <c r="AI23" s="1554"/>
      <c r="AJ23" s="1932"/>
      <c r="AK23" s="771">
        <f t="shared" si="21"/>
        <v>0</v>
      </c>
      <c r="AL23" s="1072">
        <f>AK23*local_data_input!$C6</f>
        <v>0</v>
      </c>
      <c r="AM23" s="1935">
        <f>IF(AK23&gt;0,(AK23-INT(AK23/local_data_input!$H6)*local_data_input!$H6)*local_data_input!$I6+INT(AK23/local_data_input!$H6)*local_data_input!$H6*local_data_input!$J6,(AK23-INT(-AK23/local_data_input!$H6)*-local_data_input!$H6)*local_data_input!$I6+INT(-AK23/local_data_input!$H6)*-local_data_input!$H6*local_data_input!$J6)</f>
        <v>0</v>
      </c>
      <c r="AN23" s="1554"/>
      <c r="AO23" s="1932">
        <f>Colocate_UTC!F64</f>
        <v>0.9</v>
      </c>
      <c r="AP23" s="771">
        <f t="shared" si="5"/>
        <v>37641.765172331128</v>
      </c>
      <c r="AQ23" s="1072">
        <f>AP23*local_data_input!$C6</f>
        <v>3370183.9571977179</v>
      </c>
      <c r="AR23" s="1935">
        <f>IF(AP23&gt;0,(AP23-INT(AP23/local_data_input!$H6)*local_data_input!$H6)*local_data_input!$I6+INT(AP23/local_data_input!$H6)*local_data_input!$H6*local_data_input!$J6,(AP23-INT(-AP23/local_data_input!$H6)*-local_data_input!$H6)*local_data_input!$I6+INT(-AP23/local_data_input!$H6)*-local_data_input!$H6*local_data_input!$J6)</f>
        <v>410650.34517656348</v>
      </c>
      <c r="AS23" s="1554"/>
      <c r="AT23" s="1932">
        <f>Enhanced_UCS!F68</f>
        <v>0.2857142857142857</v>
      </c>
      <c r="AU23" s="771">
        <f t="shared" si="6"/>
        <v>0</v>
      </c>
      <c r="AV23" s="1072">
        <f>AU23*local_data_input!$C6</f>
        <v>0</v>
      </c>
      <c r="AW23" s="1935">
        <f>IF(AU23&gt;0,(AU23-INT(AU23/local_data_input!$H6)*local_data_input!$H6)*local_data_input!$I6+INT(AU23/local_data_input!$H6)*local_data_input!$H6*local_data_input!$J6,(AU23-INT(-AU23/local_data_input!$H6)*-local_data_input!$H6)*local_data_input!$I6+INT(-AU23/local_data_input!$H6)*-local_data_input!$H6*local_data_input!$J6)</f>
        <v>0</v>
      </c>
      <c r="AX23" s="1554"/>
      <c r="AY23" s="1932">
        <f>GP_Hours!F76</f>
        <v>0.04</v>
      </c>
      <c r="AZ23" s="771">
        <f t="shared" si="7"/>
        <v>566.72738199495518</v>
      </c>
      <c r="BA23" s="1072">
        <f>AZ23*local_data_input!$C6</f>
        <v>50740.859844373161</v>
      </c>
      <c r="BB23" s="1935">
        <f>IF(AZ23&gt;0,(AZ23-INT(AZ23/local_data_input!$H6)*local_data_input!$H6)*local_data_input!$I6+INT(AZ23/local_data_input!$H6)*local_data_input!$H6*local_data_input!$J6,(AZ23-INT(-AZ23/local_data_input!$H6)*-local_data_input!$H6)*local_data_input!$I6+INT(-AZ23/local_data_input!$H6)*-local_data_input!$H6*local_data_input!$J6)</f>
        <v>6182.6748552245408</v>
      </c>
      <c r="BC23" s="1554"/>
      <c r="BD23" s="1932">
        <f>PGD_Minor_ailments!F42</f>
        <v>0.02</v>
      </c>
      <c r="BE23" s="771">
        <f t="shared" si="8"/>
        <v>236.28171343622526</v>
      </c>
      <c r="BF23" s="1072">
        <f>BE23*local_data_input!$C6</f>
        <v>21155.034477163434</v>
      </c>
      <c r="BG23" s="1935">
        <f>IF(BE23&gt;0,(BE23-INT(BE23/local_data_input!$H6)*local_data_input!$H6)*local_data_input!$I6+INT(BE23/local_data_input!$H6)*local_data_input!$H6*local_data_input!$J6,(BE23-INT(-BE23/local_data_input!$H6)*-local_data_input!$H6)*local_data_input!$I6+INT(-BE23/local_data_input!$H6)*-local_data_input!$H6*local_data_input!$J6)</f>
        <v>2577.6997103424314</v>
      </c>
      <c r="BH23" s="1554"/>
      <c r="BI23" s="1932">
        <f>Emergency_medication_supply!F36</f>
        <v>0.03</v>
      </c>
      <c r="BJ23" s="771">
        <f t="shared" si="22"/>
        <v>413.49299851339424</v>
      </c>
      <c r="BK23" s="1072">
        <f>BJ23*local_data_input!$C6</f>
        <v>37021.310335036011</v>
      </c>
      <c r="BL23" s="1935">
        <f>IF(BJ23&gt;0,(BJ23-INT(BJ23/local_data_input!$H6)*local_data_input!$H6)*local_data_input!$I6+INT(BJ23/local_data_input!$H6)*local_data_input!$H6*local_data_input!$J6,(BJ23-INT(-BJ23/local_data_input!$H6)*-local_data_input!$H6)*local_data_input!$I6+INT(-BJ23/local_data_input!$H6)*-local_data_input!$H6*local_data_input!$J6)</f>
        <v>4510.9744930992556</v>
      </c>
      <c r="BM23" s="1554"/>
      <c r="BN23" s="1932"/>
      <c r="BO23" s="771">
        <f t="shared" si="9"/>
        <v>0</v>
      </c>
      <c r="BP23" s="1072">
        <f>BO23*local_data_input!$C6</f>
        <v>0</v>
      </c>
      <c r="BQ23" s="1935">
        <f>IF(BO23&gt;0,(BO23-INT(BO23/local_data_input!$H6)*local_data_input!$H6)*local_data_input!$I6+INT(BO23/local_data_input!$H6)*local_data_input!$H6*local_data_input!$J6,(BO23-INT(-BO23/local_data_input!$H6)*-local_data_input!$H6)*local_data_input!$I6+INT(-BO23/local_data_input!$H6)*-local_data_input!$H6*local_data_input!$J6)</f>
        <v>0</v>
      </c>
      <c r="BR23" s="1554"/>
      <c r="BS23" s="1932"/>
      <c r="BT23" s="771">
        <f t="shared" si="10"/>
        <v>0</v>
      </c>
      <c r="BU23" s="1072">
        <f>BT23*local_data_input!$C6</f>
        <v>0</v>
      </c>
      <c r="BV23" s="1935">
        <f>IF(BT23&gt;0,(BT23-INT(BT23/local_data_input!$H6)*local_data_input!$H6)*local_data_input!$I6+INT(BT23/local_data_input!$H6)*local_data_input!$H6*local_data_input!$J6,(BT23-INT(-BT23/local_data_input!$H6)*-local_data_input!$H6)*local_data_input!$I6+INT(-BT23/local_data_input!$H6)*-local_data_input!$H6*local_data_input!$J6)</f>
        <v>0</v>
      </c>
      <c r="BW23" s="1079"/>
      <c r="BX23" s="1932">
        <f>IR_in_AS!D42</f>
        <v>0.7</v>
      </c>
      <c r="BY23" s="771">
        <f t="shared" si="11"/>
        <v>5141.3281206778911</v>
      </c>
      <c r="BZ23" s="1072">
        <f>BY23*local_data_input!$C6</f>
        <v>460319.04911129485</v>
      </c>
      <c r="CA23" s="1935">
        <f>IF(BY23&gt;0,(BY23-INT(BY23/local_data_input!$H6)*local_data_input!$H6)*local_data_input!$I6+INT(BY23/local_data_input!$H6)*local_data_input!$H6*local_data_input!$J6,(BY23-INT(-BY23/local_data_input!$H6)*-local_data_input!$H6)*local_data_input!$I6+INT(-BY23/local_data_input!$H6)*-local_data_input!$H6*local_data_input!$J6)</f>
        <v>56088.978764849933</v>
      </c>
      <c r="CB23" s="1554"/>
      <c r="CC23" s="1932">
        <f>IR_in_ED!D42</f>
        <v>0</v>
      </c>
      <c r="CD23" s="771">
        <f t="shared" si="12"/>
        <v>0</v>
      </c>
      <c r="CE23" s="1072">
        <f>CD23*local_data_input!$C6</f>
        <v>0</v>
      </c>
      <c r="CF23" s="1935">
        <f>IF(CD23&gt;0,(CD23-INT(CD23/local_data_input!$H6)*local_data_input!$H6)*local_data_input!$I6+INT(CD23/local_data_input!$H6)*local_data_input!$H6*local_data_input!$J6,(CD23-INT(-CD23/local_data_input!$H6)*-local_data_input!$H6)*local_data_input!$I6+INT(-CD23/local_data_input!$H6)*-local_data_input!$H6*local_data_input!$J6)</f>
        <v>0</v>
      </c>
      <c r="CG23" s="1554"/>
      <c r="CH23" s="1932">
        <f>IR_in_CH!F41</f>
        <v>0.03</v>
      </c>
      <c r="CI23" s="771">
        <f t="shared" si="13"/>
        <v>132.7751857930551</v>
      </c>
      <c r="CJ23" s="1072">
        <f>CI23*local_data_input!$C6</f>
        <v>11887.774099462848</v>
      </c>
      <c r="CK23" s="1935">
        <f>IF(CI23&gt;0,(CI23-INT(CI23/local_data_input!$H6)*local_data_input!$H6)*local_data_input!$I6+INT(CI23/local_data_input!$H6)*local_data_input!$H6*local_data_input!$J6,(CI23-INT(-CI23/local_data_input!$H6)*-local_data_input!$H6)*local_data_input!$I6+INT(-CI23/local_data_input!$H6)*-local_data_input!$H6*local_data_input!$J6)</f>
        <v>1448.5020993882308</v>
      </c>
      <c r="CL23" s="1554"/>
      <c r="CM23" s="1932"/>
      <c r="CN23" s="771">
        <f t="shared" si="14"/>
        <v>0</v>
      </c>
      <c r="CO23" s="1072">
        <f>CN23*local_data_input!$C6</f>
        <v>0</v>
      </c>
      <c r="CP23" s="1935">
        <f>IF(CN23&gt;0,(CN23-INT(CN23/local_data_input!$H6)*local_data_input!$H6)*local_data_input!$I6+INT(CN23/local_data_input!$H6)*local_data_input!$H6*local_data_input!$J6,(CN23-INT(-CN23/local_data_input!$H6)*-local_data_input!$H6)*local_data_input!$I6+INT(-CN23/local_data_input!$H6)*-local_data_input!$H6*local_data_input!$J6)</f>
        <v>0</v>
      </c>
      <c r="CQ23" s="1554"/>
      <c r="CR23" s="1932"/>
      <c r="CS23" s="1927">
        <f t="shared" si="23"/>
        <v>0</v>
      </c>
      <c r="CT23" s="1072">
        <f>CS23*local_data_input!$C6</f>
        <v>0</v>
      </c>
      <c r="CU23" s="1935">
        <f>IF(CS23&gt;0,(CS23-INT(CS23/local_data_input!$H6)*local_data_input!$H6)*local_data_input!$I6+INT(CS23/local_data_input!$H6)*local_data_input!$H6*local_data_input!$J6,(CS23-INT(-CS23/local_data_input!$H6)*-local_data_input!$H6)*local_data_input!$I6+INT(-CS23/local_data_input!$H6)*-local_data_input!$H6*local_data_input!$J6)</f>
        <v>0</v>
      </c>
      <c r="CV23" s="1554"/>
      <c r="CW23" s="1932"/>
      <c r="CX23" s="771">
        <f t="shared" si="15"/>
        <v>0</v>
      </c>
      <c r="CY23" s="1072">
        <f>CX23*local_data_input!$C6</f>
        <v>0</v>
      </c>
      <c r="CZ23" s="1935">
        <f>IF(CX23&gt;0,(CX23-INT(CX23/local_data_input!$H6)*local_data_input!$H6)*local_data_input!$I6+INT(CX23/local_data_input!$H6)*local_data_input!$H6*local_data_input!$J6,(CX23-INT(-CX23/local_data_input!$H6)*-local_data_input!$H6)*local_data_input!$I6+INT(-CX23/local_data_input!$H6)*-local_data_input!$H6*local_data_input!$J6)</f>
        <v>0</v>
      </c>
      <c r="DA23" s="1554"/>
      <c r="DB23" s="1932"/>
      <c r="DC23" s="771">
        <f t="shared" si="16"/>
        <v>0</v>
      </c>
      <c r="DD23" s="1072">
        <f>DC23*local_data_input!$C6</f>
        <v>0</v>
      </c>
      <c r="DE23" s="1935">
        <f>IF(DC23&gt;0,(DC23-INT(DC23/local_data_input!$H6)*local_data_input!$H6)*local_data_input!$I6+INT(DC23/local_data_input!$H6)*local_data_input!$H6*local_data_input!$J6,(DC23-INT(-DC23/local_data_input!$H6)*-local_data_input!$H6)*local_data_input!$I6+INT(-DC23/local_data_input!$H6)*-local_data_input!$H6*local_data_input!$J6)</f>
        <v>0</v>
      </c>
      <c r="DF23" s="1554"/>
      <c r="DG23" s="1932"/>
      <c r="DH23" s="771">
        <f t="shared" si="17"/>
        <v>0</v>
      </c>
      <c r="DI23" s="1072">
        <f>DH23*local_data_input!$C6</f>
        <v>0</v>
      </c>
      <c r="DJ23" s="1935">
        <f>IF(DH23&gt;0,(DH23-INT(DH23/local_data_input!$H6)*local_data_input!$H6)*local_data_input!$I6+INT(DH23/local_data_input!$H6)*local_data_input!$H6*local_data_input!$J6,(DH23-INT(-DH23/local_data_input!$H6)*-local_data_input!$H6)*local_data_input!$I6+INT(-DH23/local_data_input!$H6)*-local_data_input!$H6*local_data_input!$J6)</f>
        <v>0</v>
      </c>
      <c r="DK23" s="1554"/>
      <c r="DL23" s="1932"/>
      <c r="DM23" s="771">
        <f t="shared" si="18"/>
        <v>0</v>
      </c>
      <c r="DN23" s="1072">
        <f>DM23*local_data_input!$C6</f>
        <v>0</v>
      </c>
      <c r="DO23" s="1935">
        <f>IF(DM23&gt;0,(DM23-INT(DM23/local_data_input!$H6)*local_data_input!$H6)*local_data_input!$I6+INT(DM23/local_data_input!$H6)*local_data_input!$H6*local_data_input!$J6,(DM23-INT(-DM23/local_data_input!$H6)*-local_data_input!$H6)*local_data_input!$I6+INT(-DM23/local_data_input!$H6)*-local_data_input!$H6*local_data_input!$J6)</f>
        <v>0</v>
      </c>
      <c r="DP23" s="1554"/>
    </row>
    <row r="24" spans="2:120" s="1119" customFormat="1">
      <c r="B24" s="1613"/>
      <c r="C24" s="1613" t="s">
        <v>67</v>
      </c>
      <c r="D24" s="1120"/>
      <c r="E24" s="771">
        <f t="shared" si="0"/>
        <v>8408.809185013979</v>
      </c>
      <c r="F24" s="1927">
        <f>E24-SIGN(E24)*INT(ABS(E24)/local_data_input!H7)*local_data_input!H7</f>
        <v>3683.809185013979</v>
      </c>
      <c r="G24" s="1935">
        <f>E24*local_data_input!$C7</f>
        <v>479302.12354579679</v>
      </c>
      <c r="H24" s="1072">
        <f t="shared" si="1"/>
        <v>36662.408046660945</v>
      </c>
      <c r="I24" s="1935">
        <f>IF(E24&gt;0,(E24-INT(E24/local_data_input!$H7)*local_data_input!$H7)*local_data_input!$I7+INT(E24/local_data_input!$H7)*local_data_input!$H7*local_data_input!$J7,(E24-INT(-E24/local_data_input!$H7)*-local_data_input!$H7)*local_data_input!$I7+INT(-E24/local_data_input!$H7)*-local_data_input!$H7*local_data_input!$J7)</f>
        <v>36662.408046660945</v>
      </c>
      <c r="J24" s="1554"/>
      <c r="K24" s="1932">
        <f>-hear_and_treat!F64</f>
        <v>-0.1</v>
      </c>
      <c r="L24" s="771">
        <f t="shared" si="2"/>
        <v>-917.44139832955284</v>
      </c>
      <c r="M24" s="1935">
        <f>L24*local_data_input!$C7</f>
        <v>-52294.159704784513</v>
      </c>
      <c r="N24" s="1935">
        <f>IF(L24&gt;0,(L24-INT(L24/local_data_input!$H7)*local_data_input!$H7)*local_data_input!$I7+INT(L24/local_data_input!$H7)*local_data_input!$H7*local_data_input!$J7,(L24-INT(-L24/local_data_input!$H7)*-local_data_input!$H7)*local_data_input!$I7+INT(-L24/local_data_input!$H7)*-local_data_input!$H7*local_data_input!$J7)</f>
        <v>-4000.0444967168501</v>
      </c>
      <c r="O24" s="1554"/>
      <c r="P24" s="1934"/>
      <c r="Q24" s="771">
        <f t="shared" si="3"/>
        <v>0</v>
      </c>
      <c r="R24" s="1072">
        <f>Q24*local_data_input!$C7</f>
        <v>0</v>
      </c>
      <c r="S24" s="1935">
        <f>IF(Q24&gt;0,(Q24-INT(Q24/local_data_input!$H7)*local_data_input!$H7)*local_data_input!$I7+INT(Q24/local_data_input!$H7)*local_data_input!$H7*local_data_input!$J7,(Q24-INT(-Q24/local_data_input!$H7)*-local_data_input!$H7)*local_data_input!$I7+INT(-Q24/local_data_input!$H7)*-local_data_input!$H7*local_data_input!$J7)</f>
        <v>0</v>
      </c>
      <c r="T24" s="1554"/>
      <c r="U24" s="1932">
        <f>Clinical_advisor_consultations!F59</f>
        <v>0.2</v>
      </c>
      <c r="V24" s="771">
        <f t="shared" si="19"/>
        <v>5701.2429753336501</v>
      </c>
      <c r="W24" s="1072">
        <f>V24*local_data_input!$C7</f>
        <v>324970.84959401807</v>
      </c>
      <c r="X24" s="1935">
        <f>IF(V24&gt;0,(V24-INT(V24/local_data_input!$H7)*local_data_input!$H7)*local_data_input!$I7+INT(V24/local_data_input!$H7)*local_data_input!$H7*local_data_input!$J7,(V24-INT(-V24/local_data_input!$H7)*-local_data_input!$H7)*local_data_input!$I7+INT(-V24/local_data_input!$H7)*-local_data_input!$H7*local_data_input!$J7)</f>
        <v>24857.419372454711</v>
      </c>
      <c r="Y24" s="1554"/>
      <c r="Z24" s="1932"/>
      <c r="AA24" s="771">
        <f t="shared" si="20"/>
        <v>0</v>
      </c>
      <c r="AB24" s="1072">
        <f>AA24*local_data_input!$C7</f>
        <v>0</v>
      </c>
      <c r="AC24" s="1935">
        <f>IF(AA24&gt;0,(AA24-INT(AA24/local_data_input!$H7)*local_data_input!$H7)*local_data_input!$I7+INT(AA24/local_data_input!$H7)*local_data_input!$H7*local_data_input!$J7,(AA24-INT(-AA24/local_data_input!$H7)*-local_data_input!$H7)*local_data_input!$I7+INT(-AA24/local_data_input!$H7)*-local_data_input!$H7*local_data_input!$J7)</f>
        <v>0</v>
      </c>
      <c r="AD24" s="1554"/>
      <c r="AE24" s="1932"/>
      <c r="AF24" s="771">
        <f t="shared" si="4"/>
        <v>0</v>
      </c>
      <c r="AG24" s="1072">
        <f>AF24*local_data_input!$C7</f>
        <v>0</v>
      </c>
      <c r="AH24" s="1935">
        <f>IF(AF24&gt;0,(AF24-INT(AF24/local_data_input!$H7)*local_data_input!$H7)*local_data_input!$I7+INT(AF24/local_data_input!$H7)*local_data_input!$H7*local_data_input!$J7,(AF24-INT(-AF24/local_data_input!$H7)*-local_data_input!$H7)*local_data_input!$I7+INT(-AF24/local_data_input!$H7)*-local_data_input!$H7*local_data_input!$J7)</f>
        <v>0</v>
      </c>
      <c r="AI24" s="1554"/>
      <c r="AJ24" s="1932"/>
      <c r="AK24" s="771">
        <f t="shared" si="21"/>
        <v>0</v>
      </c>
      <c r="AL24" s="1072">
        <f>AK24*local_data_input!$C7</f>
        <v>0</v>
      </c>
      <c r="AM24" s="1935">
        <f>IF(AK24&gt;0,(AK24-INT(AK24/local_data_input!$H7)*local_data_input!$H7)*local_data_input!$I7+INT(AK24/local_data_input!$H7)*local_data_input!$H7*local_data_input!$J7,(AK24-INT(-AK24/local_data_input!$H7)*-local_data_input!$H7)*local_data_input!$I7+INT(-AK24/local_data_input!$H7)*-local_data_input!$H7*local_data_input!$J7)</f>
        <v>0</v>
      </c>
      <c r="AN24" s="1554"/>
      <c r="AO24" s="1932">
        <f>Colocate_UTC!F65</f>
        <v>0</v>
      </c>
      <c r="AP24" s="771">
        <f t="shared" si="5"/>
        <v>0</v>
      </c>
      <c r="AQ24" s="1072">
        <f>AP24*local_data_input!$C7</f>
        <v>0</v>
      </c>
      <c r="AR24" s="1935">
        <f>IF(AP24&gt;0,(AP24-INT(AP24/local_data_input!$H7)*local_data_input!$H7)*local_data_input!$I7+INT(AP24/local_data_input!$H7)*local_data_input!$H7*local_data_input!$J7,(AP24-INT(-AP24/local_data_input!$H7)*-local_data_input!$H7)*local_data_input!$I7+INT(-AP24/local_data_input!$H7)*-local_data_input!$H7*local_data_input!$J7)</f>
        <v>0</v>
      </c>
      <c r="AS24" s="1554"/>
      <c r="AT24" s="1932"/>
      <c r="AU24" s="771">
        <f t="shared" si="6"/>
        <v>0</v>
      </c>
      <c r="AV24" s="1072">
        <f>AU24*local_data_input!$C7</f>
        <v>0</v>
      </c>
      <c r="AW24" s="1935">
        <f>IF(AU24&gt;0,(AU24-INT(AU24/local_data_input!$H7)*local_data_input!$H7)*local_data_input!$I7+INT(AU24/local_data_input!$H7)*local_data_input!$H7*local_data_input!$J7,(AU24-INT(-AU24/local_data_input!$H7)*-local_data_input!$H7)*local_data_input!$I7+INT(-AU24/local_data_input!$H7)*-local_data_input!$H7*local_data_input!$J7)</f>
        <v>0</v>
      </c>
      <c r="AX24" s="1554"/>
      <c r="AY24" s="1932">
        <f>GP_Hours!F75</f>
        <v>0.14000000000000001</v>
      </c>
      <c r="AZ24" s="771">
        <f t="shared" si="7"/>
        <v>1983.5458369823434</v>
      </c>
      <c r="BA24" s="1072">
        <f>AZ24*local_data_input!$C7</f>
        <v>113062.11270799357</v>
      </c>
      <c r="BB24" s="1935">
        <f>IF(AZ24&gt;0,(AZ24-INT(AZ24/local_data_input!$H7)*local_data_input!$H7)*local_data_input!$I7+INT(AZ24/local_data_input!$H7)*local_data_input!$H7*local_data_input!$J7,(AZ24-INT(-AZ24/local_data_input!$H7)*-local_data_input!$H7)*local_data_input!$I7+INT(-AZ24/local_data_input!$H7)*-local_data_input!$H7*local_data_input!$J7)</f>
        <v>8648.259849243017</v>
      </c>
      <c r="BC24" s="1554"/>
      <c r="BD24" s="1932">
        <f>PGD_Minor_ailments!F43</f>
        <v>0.01</v>
      </c>
      <c r="BE24" s="771">
        <f t="shared" si="8"/>
        <v>118.14085671811263</v>
      </c>
      <c r="BF24" s="1072">
        <f>BE24*local_data_input!$C7</f>
        <v>6734.0288329324203</v>
      </c>
      <c r="BG24" s="1935">
        <f>IF(BE24&gt;0,(BE24-INT(BE24/local_data_input!$H7)*local_data_input!$H7)*local_data_input!$I7+INT(BE24/local_data_input!$H7)*local_data_input!$H7*local_data_input!$J7,(BE24-INT(-BE24/local_data_input!$H7)*-local_data_input!$H7)*local_data_input!$I7+INT(-BE24/local_data_input!$H7)*-local_data_input!$H7*local_data_input!$J7)</f>
        <v>515.09413529097105</v>
      </c>
      <c r="BH24" s="1554"/>
      <c r="BI24" s="1932">
        <f>Emergency_medication_supply!F37</f>
        <v>0.02</v>
      </c>
      <c r="BJ24" s="771">
        <f t="shared" si="22"/>
        <v>275.66199900892951</v>
      </c>
      <c r="BK24" s="1072">
        <f>BJ24*local_data_input!$C7</f>
        <v>15712.733943508982</v>
      </c>
      <c r="BL24" s="1935">
        <f>IF(BJ24&gt;0,(BJ24-INT(BJ24/local_data_input!$H7)*local_data_input!$H7)*local_data_input!$I7+INT(BJ24/local_data_input!$H7)*local_data_input!$H7*local_data_input!$J7,(BJ24-INT(-BJ24/local_data_input!$H7)*-local_data_input!$H7)*local_data_input!$I7+INT(-BJ24/local_data_input!$H7)*-local_data_input!$H7*local_data_input!$J7)</f>
        <v>1201.8863156789325</v>
      </c>
      <c r="BM24" s="1554"/>
      <c r="BN24" s="1932"/>
      <c r="BO24" s="771">
        <f t="shared" si="9"/>
        <v>0</v>
      </c>
      <c r="BP24" s="1072">
        <f>BO24*local_data_input!$C7</f>
        <v>0</v>
      </c>
      <c r="BQ24" s="1935">
        <f>IF(BO24&gt;0,(BO24-INT(BO24/local_data_input!$H7)*local_data_input!$H7)*local_data_input!$I7+INT(BO24/local_data_input!$H7)*local_data_input!$H7*local_data_input!$J7,(BO24-INT(-BO24/local_data_input!$H7)*-local_data_input!$H7)*local_data_input!$I7+INT(-BO24/local_data_input!$H7)*-local_data_input!$H7*local_data_input!$J7)</f>
        <v>0</v>
      </c>
      <c r="BR24" s="1554"/>
      <c r="BS24" s="1932"/>
      <c r="BT24" s="771">
        <f t="shared" si="10"/>
        <v>0</v>
      </c>
      <c r="BU24" s="1072">
        <f>BT24*local_data_input!$C7</f>
        <v>0</v>
      </c>
      <c r="BV24" s="1935">
        <f>IF(BT24&gt;0,(BT24-INT(BT24/local_data_input!$H7)*local_data_input!$H7)*local_data_input!$I7+INT(BT24/local_data_input!$H7)*local_data_input!$H7*local_data_input!$J7,(BT24-INT(-BT24/local_data_input!$H7)*-local_data_input!$H7)*local_data_input!$I7+INT(-BT24/local_data_input!$H7)*-local_data_input!$H7*local_data_input!$J7)</f>
        <v>0</v>
      </c>
      <c r="BW24" s="1079"/>
      <c r="BX24" s="1932">
        <f>IR_in_AS!D43</f>
        <v>0.2</v>
      </c>
      <c r="BY24" s="771">
        <f t="shared" si="11"/>
        <v>1468.9508916222549</v>
      </c>
      <c r="BZ24" s="1072">
        <f>BY24*local_data_input!$C7</f>
        <v>83730.200822468527</v>
      </c>
      <c r="CA24" s="1935">
        <f>IF(BY24&gt;0,(BY24-INT(BY24/local_data_input!$H7)*local_data_input!$H7)*local_data_input!$I7+INT(BY24/local_data_input!$H7)*local_data_input!$H7*local_data_input!$J7,(BY24-INT(-BY24/local_data_input!$H7)*-local_data_input!$H7)*local_data_input!$I7+INT(-BY24/local_data_input!$H7)*-local_data_input!$H7*local_data_input!$J7)</f>
        <v>6404.6258874730302</v>
      </c>
      <c r="CB24" s="1554"/>
      <c r="CC24" s="1932">
        <f>IR_in_ED!D43</f>
        <v>0</v>
      </c>
      <c r="CD24" s="771">
        <f t="shared" si="12"/>
        <v>0</v>
      </c>
      <c r="CE24" s="1072">
        <f>CD24*local_data_input!$C7</f>
        <v>0</v>
      </c>
      <c r="CF24" s="1935">
        <f>IF(CD24&gt;0,(CD24-INT(CD24/local_data_input!$H7)*local_data_input!$H7)*local_data_input!$I7+INT(CD24/local_data_input!$H7)*local_data_input!$H7*local_data_input!$J7,(CD24-INT(-CD24/local_data_input!$H7)*-local_data_input!$H7)*local_data_input!$I7+INT(-CD24/local_data_input!$H7)*-local_data_input!$H7*local_data_input!$J7)</f>
        <v>0</v>
      </c>
      <c r="CG24" s="1554"/>
      <c r="CH24" s="1932">
        <f>IR_in_CH!F42</f>
        <v>-0.05</v>
      </c>
      <c r="CI24" s="771">
        <f t="shared" si="13"/>
        <v>-221.29197632175851</v>
      </c>
      <c r="CJ24" s="1072">
        <f>CI24*local_data_input!$C7</f>
        <v>-12613.642650340234</v>
      </c>
      <c r="CK24" s="1935">
        <f>IF(CI24&gt;0,(CI24-INT(CI24/local_data_input!$H7)*local_data_input!$H7)*local_data_input!$I7+INT(CI24/local_data_input!$H7)*local_data_input!$H7*local_data_input!$J7,(CI24-INT(-CI24/local_data_input!$H7)*-local_data_input!$H7)*local_data_input!$I7+INT(-CI24/local_data_input!$H7)*-local_data_input!$H7*local_data_input!$J7)</f>
        <v>-964.83301676286703</v>
      </c>
      <c r="CL24" s="1554"/>
      <c r="CM24" s="1932"/>
      <c r="CN24" s="771">
        <f t="shared" si="14"/>
        <v>0</v>
      </c>
      <c r="CO24" s="1072">
        <f>CN24*local_data_input!$C7</f>
        <v>0</v>
      </c>
      <c r="CP24" s="1935">
        <f>IF(CN24&gt;0,(CN24-INT(CN24/local_data_input!$H7)*local_data_input!$H7)*local_data_input!$I7+INT(CN24/local_data_input!$H7)*local_data_input!$H7*local_data_input!$J7,(CN24-INT(-CN24/local_data_input!$H7)*-local_data_input!$H7)*local_data_input!$I7+INT(-CN24/local_data_input!$H7)*-local_data_input!$H7*local_data_input!$J7)</f>
        <v>0</v>
      </c>
      <c r="CQ24" s="1554"/>
      <c r="CR24" s="1932"/>
      <c r="CS24" s="1927">
        <f t="shared" si="23"/>
        <v>0</v>
      </c>
      <c r="CT24" s="1072">
        <f>CS24*local_data_input!$C7</f>
        <v>0</v>
      </c>
      <c r="CU24" s="1935">
        <f>IF(CS24&gt;0,(CS24-INT(CS24/local_data_input!$H7)*local_data_input!$H7)*local_data_input!$I7+INT(CS24/local_data_input!$H7)*local_data_input!$H7*local_data_input!$J7,(CS24-INT(-CS24/local_data_input!$H7)*-local_data_input!$H7)*local_data_input!$I7+INT(-CS24/local_data_input!$H7)*-local_data_input!$H7*local_data_input!$J7)</f>
        <v>0</v>
      </c>
      <c r="CV24" s="1554"/>
      <c r="CW24" s="1932"/>
      <c r="CX24" s="771">
        <f t="shared" si="15"/>
        <v>0</v>
      </c>
      <c r="CY24" s="1072">
        <f>CX24*local_data_input!$C7</f>
        <v>0</v>
      </c>
      <c r="CZ24" s="1935">
        <f>IF(CX24&gt;0,(CX24-INT(CX24/local_data_input!$H7)*local_data_input!$H7)*local_data_input!$I7+INT(CX24/local_data_input!$H7)*local_data_input!$H7*local_data_input!$J7,(CX24-INT(-CX24/local_data_input!$H7)*-local_data_input!$H7)*local_data_input!$I7+INT(-CX24/local_data_input!$H7)*-local_data_input!$H7*local_data_input!$J7)</f>
        <v>0</v>
      </c>
      <c r="DA24" s="1554"/>
      <c r="DB24" s="1932"/>
      <c r="DC24" s="771">
        <f t="shared" si="16"/>
        <v>0</v>
      </c>
      <c r="DD24" s="1072">
        <f>DC24*local_data_input!$C7</f>
        <v>0</v>
      </c>
      <c r="DE24" s="1935">
        <f>IF(DC24&gt;0,(DC24-INT(DC24/local_data_input!$H7)*local_data_input!$H7)*local_data_input!$I7+INT(DC24/local_data_input!$H7)*local_data_input!$H7*local_data_input!$J7,(DC24-INT(-DC24/local_data_input!$H7)*-local_data_input!$H7)*local_data_input!$I7+INT(-DC24/local_data_input!$H7)*-local_data_input!$H7*local_data_input!$J7)</f>
        <v>0</v>
      </c>
      <c r="DF24" s="1554"/>
      <c r="DG24" s="1932"/>
      <c r="DH24" s="771">
        <f t="shared" si="17"/>
        <v>0</v>
      </c>
      <c r="DI24" s="1072">
        <f>DH24*local_data_input!$C7</f>
        <v>0</v>
      </c>
      <c r="DJ24" s="1935">
        <f>IF(DH24&gt;0,(DH24-INT(DH24/local_data_input!$H7)*local_data_input!$H7)*local_data_input!$I7+INT(DH24/local_data_input!$H7)*local_data_input!$H7*local_data_input!$J7,(DH24-INT(-DH24/local_data_input!$H7)*-local_data_input!$H7)*local_data_input!$I7+INT(-DH24/local_data_input!$H7)*-local_data_input!$H7*local_data_input!$J7)</f>
        <v>0</v>
      </c>
      <c r="DK24" s="1554"/>
      <c r="DL24" s="1932"/>
      <c r="DM24" s="771">
        <f t="shared" si="18"/>
        <v>0</v>
      </c>
      <c r="DN24" s="1072">
        <f>DM24*local_data_input!$C7</f>
        <v>0</v>
      </c>
      <c r="DO24" s="1935">
        <f>IF(DM24&gt;0,(DM24-INT(DM24/local_data_input!$H7)*local_data_input!$H7)*local_data_input!$I7+INT(DM24/local_data_input!$H7)*local_data_input!$H7*local_data_input!$J7,(DM24-INT(-DM24/local_data_input!$H7)*-local_data_input!$H7)*local_data_input!$I7+INT(-DM24/local_data_input!$H7)*-local_data_input!$H7*local_data_input!$J7)</f>
        <v>0</v>
      </c>
      <c r="DP24" s="1554"/>
    </row>
    <row r="25" spans="2:120" s="1119" customFormat="1">
      <c r="B25" s="1613"/>
      <c r="C25" s="1613" t="s">
        <v>44</v>
      </c>
      <c r="D25" s="1120"/>
      <c r="E25" s="771">
        <f t="shared" si="0"/>
        <v>13874.506136504555</v>
      </c>
      <c r="F25" s="1927">
        <f>E25-SIGN(E25)*INT(ABS(E25)/local_data_input!H8)*local_data_input!H8</f>
        <v>1274.5061365045549</v>
      </c>
      <c r="G25" s="1935">
        <f>E25*local_data_input!$C8</f>
        <v>947628.7691232611</v>
      </c>
      <c r="H25" s="1072">
        <f t="shared" si="1"/>
        <v>106248.53995370655</v>
      </c>
      <c r="I25" s="1935">
        <f>IF(E25&gt;0,(E25-INT(E25/local_data_input!$H8)*local_data_input!$H8)*local_data_input!$I8+INT(E25/local_data_input!$H8)*local_data_input!$H8*local_data_input!$J8,(E25-INT(-E25/local_data_input!$H8)*-local_data_input!$H8)*local_data_input!$I8+INT(-E25/local_data_input!$H8)*-local_data_input!$H8*local_data_input!$J8)</f>
        <v>106248.53995370655</v>
      </c>
      <c r="J25" s="1554"/>
      <c r="K25" s="1932">
        <f>-hear_and_treat!F63</f>
        <v>-0.1</v>
      </c>
      <c r="L25" s="771">
        <f t="shared" si="2"/>
        <v>-917.44139832955284</v>
      </c>
      <c r="M25" s="1935">
        <f>L25*local_data_input!$C8</f>
        <v>-62661.247505908454</v>
      </c>
      <c r="N25" s="1935">
        <f>IF(L25&gt;0,(L25-INT(L25/local_data_input!$H8)*local_data_input!$H8)*local_data_input!$I8+INT(L25/local_data_input!$H8)*local_data_input!$H8*local_data_input!$J8,(L25-INT(-L25/local_data_input!$H8)*-local_data_input!$H8)*local_data_input!$I8+INT(-L25/local_data_input!$H8)*-local_data_input!$H8*local_data_input!$J8)</f>
        <v>-7025.6056760921601</v>
      </c>
      <c r="O25" s="1554"/>
      <c r="P25" s="1934"/>
      <c r="Q25" s="771">
        <f t="shared" si="3"/>
        <v>0</v>
      </c>
      <c r="R25" s="1072">
        <f>Q25*local_data_input!$C8</f>
        <v>0</v>
      </c>
      <c r="S25" s="1935">
        <f>IF(Q25&gt;0,(Q25-INT(Q25/local_data_input!$H8)*local_data_input!$H8)*local_data_input!$I8+INT(Q25/local_data_input!$H8)*local_data_input!$H8*local_data_input!$J8,(Q25-INT(-Q25/local_data_input!$H8)*-local_data_input!$H8)*local_data_input!$I8+INT(-Q25/local_data_input!$H8)*-local_data_input!$H8*local_data_input!$J8)</f>
        <v>0</v>
      </c>
      <c r="T25" s="1554"/>
      <c r="U25" s="1932">
        <f>Clinical_advisor_consultations!F58</f>
        <v>0</v>
      </c>
      <c r="V25" s="771">
        <f t="shared" si="19"/>
        <v>0</v>
      </c>
      <c r="W25" s="1072">
        <f>V25*local_data_input!$C8</f>
        <v>0</v>
      </c>
      <c r="X25" s="1935">
        <f>IF(V25&gt;0,(V25-INT(V25/local_data_input!$H8)*local_data_input!$H8)*local_data_input!$I8+INT(V25/local_data_input!$H8)*local_data_input!$H8*local_data_input!$J8,(V25-INT(-V25/local_data_input!$H8)*-local_data_input!$H8)*local_data_input!$I8+INT(-V25/local_data_input!$H8)*-local_data_input!$H8*local_data_input!$J8)</f>
        <v>0</v>
      </c>
      <c r="Y25" s="1554"/>
      <c r="Z25" s="1932"/>
      <c r="AA25" s="771">
        <f t="shared" si="20"/>
        <v>0</v>
      </c>
      <c r="AB25" s="1072">
        <f>AA25*local_data_input!$C8</f>
        <v>0</v>
      </c>
      <c r="AC25" s="1935">
        <f>IF(AA25&gt;0,(AA25-INT(AA25/local_data_input!$H8)*local_data_input!$H8)*local_data_input!$I8+INT(AA25/local_data_input!$H8)*local_data_input!$H8*local_data_input!$J8,(AA25-INT(-AA25/local_data_input!$H8)*-local_data_input!$H8)*local_data_input!$I8+INT(-AA25/local_data_input!$H8)*-local_data_input!$H8*local_data_input!$J8)</f>
        <v>0</v>
      </c>
      <c r="AD25" s="1554"/>
      <c r="AE25" s="1932"/>
      <c r="AF25" s="771">
        <f t="shared" si="4"/>
        <v>0</v>
      </c>
      <c r="AG25" s="1072">
        <f>AF25*local_data_input!$C8</f>
        <v>0</v>
      </c>
      <c r="AH25" s="1935">
        <f>IF(AF25&gt;0,(AF25-INT(AF25/local_data_input!$H8)*local_data_input!$H8)*local_data_input!$I8+INT(AF25/local_data_input!$H8)*local_data_input!$H8*local_data_input!$J8,(AF25-INT(-AF25/local_data_input!$H8)*-local_data_input!$H8)*local_data_input!$I8+INT(-AF25/local_data_input!$H8)*-local_data_input!$H8*local_data_input!$J8)</f>
        <v>0</v>
      </c>
      <c r="AI25" s="1554"/>
      <c r="AJ25" s="1932"/>
      <c r="AK25" s="771">
        <f t="shared" si="21"/>
        <v>0</v>
      </c>
      <c r="AL25" s="1072">
        <f>AK25*local_data_input!$C8</f>
        <v>0</v>
      </c>
      <c r="AM25" s="1935">
        <f>IF(AK25&gt;0,(AK25-INT(AK25/local_data_input!$H8)*local_data_input!$H8)*local_data_input!$I8+INT(AK25/local_data_input!$H8)*local_data_input!$H8*local_data_input!$J8,(AK25-INT(-AK25/local_data_input!$H8)*-local_data_input!$H8)*local_data_input!$I8+INT(-AK25/local_data_input!$H8)*-local_data_input!$H8*local_data_input!$J8)</f>
        <v>0</v>
      </c>
      <c r="AN25" s="1554"/>
      <c r="AO25" s="1932">
        <f>Colocate_UTC!F67</f>
        <v>0</v>
      </c>
      <c r="AP25" s="771">
        <f t="shared" si="5"/>
        <v>0</v>
      </c>
      <c r="AQ25" s="1072">
        <f>AP25*local_data_input!$C8</f>
        <v>0</v>
      </c>
      <c r="AR25" s="1935">
        <f>IF(AP25&gt;0,(AP25-INT(AP25/local_data_input!$H8)*local_data_input!$H8)*local_data_input!$I8+INT(AP25/local_data_input!$H8)*local_data_input!$H8*local_data_input!$J8,(AP25-INT(-AP25/local_data_input!$H8)*-local_data_input!$H8)*local_data_input!$I8+INT(-AP25/local_data_input!$H8)*-local_data_input!$H8*local_data_input!$J8)</f>
        <v>0</v>
      </c>
      <c r="AS25" s="1554"/>
      <c r="AT25" s="1932">
        <f>Enhanced_UCS!F65</f>
        <v>6.6666666666666666E-2</v>
      </c>
      <c r="AU25" s="771">
        <f t="shared" si="6"/>
        <v>0</v>
      </c>
      <c r="AV25" s="1072">
        <f>AU25*local_data_input!$C8</f>
        <v>0</v>
      </c>
      <c r="AW25" s="1935">
        <f>IF(AU25&gt;0,(AU25-INT(AU25/local_data_input!$H8)*local_data_input!$H8)*local_data_input!$I8+INT(AU25/local_data_input!$H8)*local_data_input!$H8*local_data_input!$J8,(AU25-INT(-AU25/local_data_input!$H8)*-local_data_input!$H8)*local_data_input!$I8+INT(-AU25/local_data_input!$H8)*-local_data_input!$H8*local_data_input!$J8)</f>
        <v>0</v>
      </c>
      <c r="AX25" s="1554"/>
      <c r="AY25" s="1932">
        <f>GP_Hours!F74</f>
        <v>0.37</v>
      </c>
      <c r="AZ25" s="771">
        <f t="shared" si="7"/>
        <v>5242.2282834533353</v>
      </c>
      <c r="BA25" s="1072">
        <f>AZ25*local_data_input!$C8</f>
        <v>358044.19175986276</v>
      </c>
      <c r="BB25" s="1935">
        <f>IF(AZ25&gt;0,(AZ25-INT(AZ25/local_data_input!$H8)*local_data_input!$H8)*local_data_input!$I8+INT(AZ25/local_data_input!$H8)*local_data_input!$H8*local_data_input!$J8,(AZ25-INT(-AZ25/local_data_input!$H8)*-local_data_input!$H8)*local_data_input!$I8+INT(-AZ25/local_data_input!$H8)*-local_data_input!$H8*local_data_input!$J8)</f>
        <v>40144.066804331211</v>
      </c>
      <c r="BC25" s="1554"/>
      <c r="BD25" s="1932">
        <f>PGD_Minor_ailments!F41</f>
        <v>0.19</v>
      </c>
      <c r="BE25" s="771">
        <f t="shared" si="8"/>
        <v>2244.6762776441401</v>
      </c>
      <c r="BF25" s="1072">
        <f>BE25*local_data_input!$C8</f>
        <v>153311.38976309478</v>
      </c>
      <c r="BG25" s="1935">
        <f>IF(BE25&gt;0,(BE25-INT(BE25/local_data_input!$H8)*local_data_input!$H8)*local_data_input!$I8+INT(BE25/local_data_input!$H8)*local_data_input!$H8*local_data_input!$J8,(BE25-INT(-BE25/local_data_input!$H8)*-local_data_input!$H8)*local_data_input!$I8+INT(-BE25/local_data_input!$H8)*-local_data_input!$H8*local_data_input!$J8)</f>
        <v>17189.338115676896</v>
      </c>
      <c r="BH25" s="1554"/>
      <c r="BI25" s="1932">
        <f>Emergency_medication_supply!F35</f>
        <v>0.53</v>
      </c>
      <c r="BJ25" s="771">
        <f t="shared" si="22"/>
        <v>7305.0429737366321</v>
      </c>
      <c r="BK25" s="1072">
        <f>BJ25*local_data_input!$C8</f>
        <v>498934.43510621192</v>
      </c>
      <c r="BL25" s="1935">
        <f>IF(BJ25&gt;0,(BJ25-INT(BJ25/local_data_input!$H8)*local_data_input!$H8)*local_data_input!$I8+INT(BJ25/local_data_input!$H8)*local_data_input!$H8*local_data_input!$J8,(BJ25-INT(-BJ25/local_data_input!$H8)*-local_data_input!$H8)*local_data_input!$I8+INT(-BJ25/local_data_input!$H8)*-local_data_input!$H8*local_data_input!$J8)</f>
        <v>55940.740709790603</v>
      </c>
      <c r="BM25" s="1554"/>
      <c r="BN25" s="1932"/>
      <c r="BO25" s="771">
        <f t="shared" si="9"/>
        <v>0</v>
      </c>
      <c r="BP25" s="1072">
        <f>BO25*local_data_input!$C8</f>
        <v>0</v>
      </c>
      <c r="BQ25" s="1935">
        <f>IF(BO25&gt;0,(BO25-INT(BO25/local_data_input!$H8)*local_data_input!$H8)*local_data_input!$I8+INT(BO25/local_data_input!$H8)*local_data_input!$H8*local_data_input!$J8,(BO25-INT(-BO25/local_data_input!$H8)*-local_data_input!$H8)*local_data_input!$I8+INT(-BO25/local_data_input!$H8)*-local_data_input!$H8*local_data_input!$J8)</f>
        <v>0</v>
      </c>
      <c r="BR25" s="1554"/>
      <c r="BS25" s="1932"/>
      <c r="BT25" s="771">
        <f t="shared" si="10"/>
        <v>0</v>
      </c>
      <c r="BU25" s="1072">
        <f>BT25*local_data_input!$C8</f>
        <v>0</v>
      </c>
      <c r="BV25" s="1935">
        <f>IF(BT25&gt;0,(BT25-INT(BT25/local_data_input!$H8)*local_data_input!$H8)*local_data_input!$I8+INT(BT25/local_data_input!$H8)*local_data_input!$H8*local_data_input!$J8,(BT25-INT(-BT25/local_data_input!$H8)*-local_data_input!$H8)*local_data_input!$I8+INT(-BT25/local_data_input!$H8)*-local_data_input!$H8*local_data_input!$J8)</f>
        <v>0</v>
      </c>
      <c r="BW25" s="1079"/>
      <c r="BX25" s="1932">
        <f>IR_in_AS!D44</f>
        <v>0</v>
      </c>
      <c r="BY25" s="771">
        <f t="shared" si="11"/>
        <v>0</v>
      </c>
      <c r="BZ25" s="1072">
        <f>BY25*local_data_input!$C8</f>
        <v>0</v>
      </c>
      <c r="CA25" s="1935">
        <f>IF(BY25&gt;0,(BY25-INT(BY25/local_data_input!$H8)*local_data_input!$H8)*local_data_input!$I8+INT(BY25/local_data_input!$H8)*local_data_input!$H8*local_data_input!$J8,(BY25-INT(-BY25/local_data_input!$H8)*-local_data_input!$H8)*local_data_input!$I8+INT(-BY25/local_data_input!$H8)*-local_data_input!$H8*local_data_input!$J8)</f>
        <v>0</v>
      </c>
      <c r="CB25" s="1554"/>
      <c r="CC25" s="1932">
        <f>IR_in_ED!D44</f>
        <v>0</v>
      </c>
      <c r="CD25" s="771">
        <f t="shared" si="12"/>
        <v>0</v>
      </c>
      <c r="CE25" s="1072">
        <f>CD25*local_data_input!$C8</f>
        <v>0</v>
      </c>
      <c r="CF25" s="1935">
        <f>IF(CD25&gt;0,(CD25-INT(CD25/local_data_input!$H8)*local_data_input!$H8)*local_data_input!$I8+INT(CD25/local_data_input!$H8)*local_data_input!$H8*local_data_input!$J8,(CD25-INT(-CD25/local_data_input!$H8)*-local_data_input!$H8)*local_data_input!$I8+INT(-CD25/local_data_input!$H8)*-local_data_input!$H8*local_data_input!$J8)</f>
        <v>0</v>
      </c>
      <c r="CG25" s="1554"/>
      <c r="CH25" s="1932">
        <f>IR_in_CH!F43</f>
        <v>0</v>
      </c>
      <c r="CI25" s="771">
        <f t="shared" si="13"/>
        <v>0</v>
      </c>
      <c r="CJ25" s="1072">
        <f>CI25*local_data_input!$C8</f>
        <v>0</v>
      </c>
      <c r="CK25" s="1935">
        <f>IF(CI25&gt;0,(CI25-INT(CI25/local_data_input!$H8)*local_data_input!$H8)*local_data_input!$I8+INT(CI25/local_data_input!$H8)*local_data_input!$H8*local_data_input!$J8,(CI25-INT(-CI25/local_data_input!$H8)*-local_data_input!$H8)*local_data_input!$I8+INT(-CI25/local_data_input!$H8)*-local_data_input!$H8*local_data_input!$J8)</f>
        <v>0</v>
      </c>
      <c r="CL25" s="1554"/>
      <c r="CM25" s="1932"/>
      <c r="CN25" s="771">
        <f t="shared" si="14"/>
        <v>0</v>
      </c>
      <c r="CO25" s="1072">
        <f>CN25*local_data_input!$C8</f>
        <v>0</v>
      </c>
      <c r="CP25" s="1935">
        <f>IF(CN25&gt;0,(CN25-INT(CN25/local_data_input!$H8)*local_data_input!$H8)*local_data_input!$I8+INT(CN25/local_data_input!$H8)*local_data_input!$H8*local_data_input!$J8,(CN25-INT(-CN25/local_data_input!$H8)*-local_data_input!$H8)*local_data_input!$I8+INT(-CN25/local_data_input!$H8)*-local_data_input!$H8*local_data_input!$J8)</f>
        <v>0</v>
      </c>
      <c r="CQ25" s="1554"/>
      <c r="CR25" s="1932"/>
      <c r="CS25" s="1927">
        <f t="shared" si="23"/>
        <v>0</v>
      </c>
      <c r="CT25" s="1072">
        <f>CS25*local_data_input!$C8</f>
        <v>0</v>
      </c>
      <c r="CU25" s="1935">
        <f>IF(CS25&gt;0,(CS25-INT(CS25/local_data_input!$H8)*local_data_input!$H8)*local_data_input!$I8+INT(CS25/local_data_input!$H8)*local_data_input!$H8*local_data_input!$J8,(CS25-INT(-CS25/local_data_input!$H8)*-local_data_input!$H8)*local_data_input!$I8+INT(-CS25/local_data_input!$H8)*-local_data_input!$H8*local_data_input!$J8)</f>
        <v>0</v>
      </c>
      <c r="CV25" s="1554"/>
      <c r="CW25" s="1932"/>
      <c r="CX25" s="771">
        <f t="shared" si="15"/>
        <v>0</v>
      </c>
      <c r="CY25" s="1072">
        <f>CX25*local_data_input!$C8</f>
        <v>0</v>
      </c>
      <c r="CZ25" s="1935">
        <f>IF(CX25&gt;0,(CX25-INT(CX25/local_data_input!$H8)*local_data_input!$H8)*local_data_input!$I8+INT(CX25/local_data_input!$H8)*local_data_input!$H8*local_data_input!$J8,(CX25-INT(-CX25/local_data_input!$H8)*-local_data_input!$H8)*local_data_input!$I8+INT(-CX25/local_data_input!$H8)*-local_data_input!$H8*local_data_input!$J8)</f>
        <v>0</v>
      </c>
      <c r="DA25" s="1554"/>
      <c r="DB25" s="1932"/>
      <c r="DC25" s="771">
        <f t="shared" si="16"/>
        <v>0</v>
      </c>
      <c r="DD25" s="1072">
        <f>DC25*local_data_input!$C8</f>
        <v>0</v>
      </c>
      <c r="DE25" s="1935">
        <f>IF(DC25&gt;0,(DC25-INT(DC25/local_data_input!$H8)*local_data_input!$H8)*local_data_input!$I8+INT(DC25/local_data_input!$H8)*local_data_input!$H8*local_data_input!$J8,(DC25-INT(-DC25/local_data_input!$H8)*-local_data_input!$H8)*local_data_input!$I8+INT(-DC25/local_data_input!$H8)*-local_data_input!$H8*local_data_input!$J8)</f>
        <v>0</v>
      </c>
      <c r="DF25" s="1554"/>
      <c r="DG25" s="1932"/>
      <c r="DH25" s="771">
        <f t="shared" si="17"/>
        <v>0</v>
      </c>
      <c r="DI25" s="1072">
        <f>DH25*local_data_input!$C8</f>
        <v>0</v>
      </c>
      <c r="DJ25" s="1935">
        <f>IF(DH25&gt;0,(DH25-INT(DH25/local_data_input!$H8)*local_data_input!$H8)*local_data_input!$I8+INT(DH25/local_data_input!$H8)*local_data_input!$H8*local_data_input!$J8,(DH25-INT(-DH25/local_data_input!$H8)*-local_data_input!$H8)*local_data_input!$I8+INT(-DH25/local_data_input!$H8)*-local_data_input!$H8*local_data_input!$J8)</f>
        <v>0</v>
      </c>
      <c r="DK25" s="1554"/>
      <c r="DL25" s="1932"/>
      <c r="DM25" s="771">
        <f t="shared" si="18"/>
        <v>0</v>
      </c>
      <c r="DN25" s="1072">
        <f>DM25*local_data_input!$C8</f>
        <v>0</v>
      </c>
      <c r="DO25" s="1935">
        <f>IF(DM25&gt;0,(DM25-INT(DM25/local_data_input!$H8)*local_data_input!$H8)*local_data_input!$I8+INT(DM25/local_data_input!$H8)*local_data_input!$H8*local_data_input!$J8,(DM25-INT(-DM25/local_data_input!$H8)*-local_data_input!$H8)*local_data_input!$I8+INT(-DM25/local_data_input!$H8)*-local_data_input!$H8*local_data_input!$J8)</f>
        <v>0</v>
      </c>
      <c r="DP25" s="1554"/>
    </row>
    <row r="26" spans="2:120" s="1119" customFormat="1">
      <c r="B26" s="1613"/>
      <c r="C26" s="1613" t="s">
        <v>45</v>
      </c>
      <c r="D26" s="1120"/>
      <c r="E26" s="771">
        <f t="shared" si="0"/>
        <v>5200.0340832551828</v>
      </c>
      <c r="F26" s="1927">
        <f>E26-SIGN(E26)*INT(ABS(E26)/local_data_input!H9)*local_data_input!H9</f>
        <v>475.03408325518285</v>
      </c>
      <c r="G26" s="1935">
        <f>E26*local_data_input!$C9</f>
        <v>780005.11248827737</v>
      </c>
      <c r="H26" s="1072">
        <f t="shared" si="1"/>
        <v>87037.221478427353</v>
      </c>
      <c r="I26" s="1935">
        <f>IF(E26&gt;0,(E26-INT(E26/local_data_input!$H9)*local_data_input!$H9)*local_data_input!$I9+INT(E26/local_data_input!$H9)*local_data_input!$H9*local_data_input!$J9,(E26-INT(-E26/local_data_input!$H9)*-local_data_input!$H9)*local_data_input!$I9+INT(-E26/local_data_input!$H9)*-local_data_input!$H9*local_data_input!$J9)</f>
        <v>87037.221478427367</v>
      </c>
      <c r="J26" s="1554"/>
      <c r="K26" s="1932"/>
      <c r="L26" s="771">
        <f t="shared" si="2"/>
        <v>0</v>
      </c>
      <c r="M26" s="1935">
        <f>L26*local_data_input!$C9</f>
        <v>0</v>
      </c>
      <c r="N26" s="1935">
        <f>IF(L26&gt;0,(L26-INT(L26/local_data_input!$H9)*local_data_input!$H9)*local_data_input!$I9+INT(L26/local_data_input!$H9)*local_data_input!$H9*local_data_input!$J9,(L26-INT(-L26/local_data_input!$H9)*-local_data_input!$H9)*local_data_input!$I9+INT(-L26/local_data_input!$H9)*-local_data_input!$H9*local_data_input!$J9)</f>
        <v>0</v>
      </c>
      <c r="O26" s="1554"/>
      <c r="P26" s="1934"/>
      <c r="Q26" s="771">
        <f t="shared" si="3"/>
        <v>0</v>
      </c>
      <c r="R26" s="1072">
        <f>Q26*local_data_input!$C9</f>
        <v>0</v>
      </c>
      <c r="S26" s="1935">
        <f>IF(Q26&gt;0,(Q26-INT(Q26/local_data_input!$H9)*local_data_input!$H9)*local_data_input!$I9+INT(Q26/local_data_input!$H9)*local_data_input!$H9*local_data_input!$J9,(Q26-INT(-Q26/local_data_input!$H9)*-local_data_input!$H9)*local_data_input!$I9+INT(-Q26/local_data_input!$H9)*-local_data_input!$H9*local_data_input!$J9)</f>
        <v>0</v>
      </c>
      <c r="T26" s="1554"/>
      <c r="U26" s="1932"/>
      <c r="V26" s="771">
        <f t="shared" si="19"/>
        <v>0</v>
      </c>
      <c r="W26" s="1072">
        <f>V26*local_data_input!$C9</f>
        <v>0</v>
      </c>
      <c r="X26" s="1935">
        <f>IF(V26&gt;0,(V26-INT(V26/local_data_input!$H9)*local_data_input!$H9)*local_data_input!$I9+INT(V26/local_data_input!$H9)*local_data_input!$H9*local_data_input!$J9,(V26-INT(-V26/local_data_input!$H9)*-local_data_input!$H9)*local_data_input!$I9+INT(-V26/local_data_input!$H9)*-local_data_input!$H9*local_data_input!$J9)</f>
        <v>0</v>
      </c>
      <c r="Y26" s="1554"/>
      <c r="Z26" s="1932"/>
      <c r="AA26" s="771">
        <f t="shared" si="20"/>
        <v>0</v>
      </c>
      <c r="AB26" s="1072">
        <f>AA26*local_data_input!$C9</f>
        <v>0</v>
      </c>
      <c r="AC26" s="1935">
        <f>IF(AA26&gt;0,(AA26-INT(AA26/local_data_input!$H9)*local_data_input!$H9)*local_data_input!$I9+INT(AA26/local_data_input!$H9)*local_data_input!$H9*local_data_input!$J9,(AA26-INT(-AA26/local_data_input!$H9)*-local_data_input!$H9)*local_data_input!$I9+INT(-AA26/local_data_input!$H9)*-local_data_input!$H9*local_data_input!$J9)</f>
        <v>0</v>
      </c>
      <c r="AD26" s="1554"/>
      <c r="AE26" s="1932"/>
      <c r="AF26" s="771">
        <f t="shared" si="4"/>
        <v>0</v>
      </c>
      <c r="AG26" s="1072">
        <f>AF26*local_data_input!$C9</f>
        <v>0</v>
      </c>
      <c r="AH26" s="1935">
        <f>IF(AF26&gt;0,(AF26-INT(AF26/local_data_input!$H9)*local_data_input!$H9)*local_data_input!$I9+INT(AF26/local_data_input!$H9)*local_data_input!$H9*local_data_input!$J9,(AF26-INT(-AF26/local_data_input!$H9)*-local_data_input!$H9)*local_data_input!$I9+INT(-AF26/local_data_input!$H9)*-local_data_input!$H9*local_data_input!$J9)</f>
        <v>0</v>
      </c>
      <c r="AI26" s="1554"/>
      <c r="AJ26" s="1932"/>
      <c r="AK26" s="771">
        <f t="shared" si="21"/>
        <v>0</v>
      </c>
      <c r="AL26" s="1072">
        <f>AK26*local_data_input!$C9</f>
        <v>0</v>
      </c>
      <c r="AM26" s="1935">
        <f>IF(AK26&gt;0,(AK26-INT(AK26/local_data_input!$H9)*local_data_input!$H9)*local_data_input!$I9+INT(AK26/local_data_input!$H9)*local_data_input!$H9*local_data_input!$J9,(AK26-INT(-AK26/local_data_input!$H9)*-local_data_input!$H9)*local_data_input!$I9+INT(-AK26/local_data_input!$H9)*-local_data_input!$H9*local_data_input!$J9)</f>
        <v>0</v>
      </c>
      <c r="AN26" s="1554"/>
      <c r="AO26" s="1932"/>
      <c r="AP26" s="771">
        <f t="shared" si="5"/>
        <v>0</v>
      </c>
      <c r="AQ26" s="1072">
        <f>AP26*local_data_input!$C9</f>
        <v>0</v>
      </c>
      <c r="AR26" s="1935">
        <f>IF(AP26&gt;0,(AP26-INT(AP26/local_data_input!$H9)*local_data_input!$H9)*local_data_input!$I9+INT(AP26/local_data_input!$H9)*local_data_input!$H9*local_data_input!$J9,(AP26-INT(-AP26/local_data_input!$H9)*-local_data_input!$H9)*local_data_input!$I9+INT(-AP26/local_data_input!$H9)*-local_data_input!$H9*local_data_input!$J9)</f>
        <v>0</v>
      </c>
      <c r="AS26" s="1554"/>
      <c r="AT26" s="1932"/>
      <c r="AU26" s="771">
        <f t="shared" si="6"/>
        <v>0</v>
      </c>
      <c r="AV26" s="1072">
        <f>AU26*local_data_input!$C9</f>
        <v>0</v>
      </c>
      <c r="AW26" s="1935">
        <f>IF(AU26&gt;0,(AU26-INT(AU26/local_data_input!$H9)*local_data_input!$H9)*local_data_input!$I9+INT(AU26/local_data_input!$H9)*local_data_input!$H9*local_data_input!$J9,(AU26-INT(-AU26/local_data_input!$H9)*-local_data_input!$H9)*local_data_input!$I9+INT(-AU26/local_data_input!$H9)*-local_data_input!$H9*local_data_input!$J9)</f>
        <v>0</v>
      </c>
      <c r="AX26" s="1554"/>
      <c r="AY26" s="1932"/>
      <c r="AZ26" s="771">
        <f t="shared" si="7"/>
        <v>0</v>
      </c>
      <c r="BA26" s="1072">
        <f>AZ26*local_data_input!$C9</f>
        <v>0</v>
      </c>
      <c r="BB26" s="1935">
        <f>IF(AZ26&gt;0,(AZ26-INT(AZ26/local_data_input!$H9)*local_data_input!$H9)*local_data_input!$I9+INT(AZ26/local_data_input!$H9)*local_data_input!$H9*local_data_input!$J9,(AZ26-INT(-AZ26/local_data_input!$H9)*-local_data_input!$H9)*local_data_input!$I9+INT(-AZ26/local_data_input!$H9)*-local_data_input!$H9*local_data_input!$J9)</f>
        <v>0</v>
      </c>
      <c r="BC26" s="1554"/>
      <c r="BD26" s="1932"/>
      <c r="BE26" s="771">
        <f t="shared" si="8"/>
        <v>0</v>
      </c>
      <c r="BF26" s="1072">
        <f>BE26*local_data_input!$C9</f>
        <v>0</v>
      </c>
      <c r="BG26" s="1935">
        <f>IF(BE26&gt;0,(BE26-INT(BE26/local_data_input!$H9)*local_data_input!$H9)*local_data_input!$I9+INT(BE26/local_data_input!$H9)*local_data_input!$H9*local_data_input!$J9,(BE26-INT(-BE26/local_data_input!$H9)*-local_data_input!$H9)*local_data_input!$I9+INT(-BE26/local_data_input!$H9)*-local_data_input!$H9*local_data_input!$J9)</f>
        <v>0</v>
      </c>
      <c r="BH26" s="1554"/>
      <c r="BI26" s="1932"/>
      <c r="BJ26" s="771">
        <f t="shared" si="22"/>
        <v>0</v>
      </c>
      <c r="BK26" s="1072">
        <f>BJ26*local_data_input!$C9</f>
        <v>0</v>
      </c>
      <c r="BL26" s="1935">
        <f>IF(BJ26&gt;0,(BJ26-INT(BJ26/local_data_input!$H9)*local_data_input!$H9)*local_data_input!$I9+INT(BJ26/local_data_input!$H9)*local_data_input!$H9*local_data_input!$J9,(BJ26-INT(-BJ26/local_data_input!$H9)*-local_data_input!$H9)*local_data_input!$I9+INT(-BJ26/local_data_input!$H9)*-local_data_input!$H9*local_data_input!$J9)</f>
        <v>0</v>
      </c>
      <c r="BM26" s="1554"/>
      <c r="BN26" s="1932"/>
      <c r="BO26" s="771">
        <f t="shared" si="9"/>
        <v>0</v>
      </c>
      <c r="BP26" s="1072">
        <f>BO26*local_data_input!$C9</f>
        <v>0</v>
      </c>
      <c r="BQ26" s="1935">
        <f>IF(BO26&gt;0,(BO26-INT(BO26/local_data_input!$H9)*local_data_input!$H9)*local_data_input!$I9+INT(BO26/local_data_input!$H9)*local_data_input!$H9*local_data_input!$J9,(BO26-INT(-BO26/local_data_input!$H9)*-local_data_input!$H9)*local_data_input!$I9+INT(-BO26/local_data_input!$H9)*-local_data_input!$H9*local_data_input!$J9)</f>
        <v>0</v>
      </c>
      <c r="BR26" s="1554"/>
      <c r="BS26" s="1932"/>
      <c r="BT26" s="771">
        <f t="shared" si="10"/>
        <v>0</v>
      </c>
      <c r="BU26" s="1072">
        <f>BT26*local_data_input!$C9</f>
        <v>0</v>
      </c>
      <c r="BV26" s="1935">
        <f>IF(BT26&gt;0,(BT26-INT(BT26/local_data_input!$H9)*local_data_input!$H9)*local_data_input!$I9+INT(BT26/local_data_input!$H9)*local_data_input!$H9*local_data_input!$J9,(BT26-INT(-BT26/local_data_input!$H9)*-local_data_input!$H9)*local_data_input!$I9+INT(-BT26/local_data_input!$H9)*-local_data_input!$H9*local_data_input!$J9)</f>
        <v>0</v>
      </c>
      <c r="BW26" s="1079"/>
      <c r="BX26" s="1932">
        <f>IR_in_AS!D45</f>
        <v>0.05</v>
      </c>
      <c r="BY26" s="771">
        <f t="shared" si="11"/>
        <v>367.23772290556371</v>
      </c>
      <c r="BZ26" s="1072">
        <f>BY26*local_data_input!$C9</f>
        <v>55085.658435834557</v>
      </c>
      <c r="CA26" s="1935">
        <f>IF(BY26&gt;0,(BY26-INT(BY26/local_data_input!$H9)*local_data_input!$H9)*local_data_input!$I9+INT(BY26/local_data_input!$H9)*local_data_input!$H9*local_data_input!$J9,(BY26-INT(-BY26/local_data_input!$H9)*-local_data_input!$H9)*local_data_input!$I9+INT(-BY26/local_data_input!$H9)*-local_data_input!$H9*local_data_input!$J9)</f>
        <v>6146.7579850469101</v>
      </c>
      <c r="CB26" s="1554"/>
      <c r="CC26" s="1932">
        <f>IR_in_ED!D45</f>
        <v>0</v>
      </c>
      <c r="CD26" s="771">
        <f t="shared" si="12"/>
        <v>0</v>
      </c>
      <c r="CE26" s="1072">
        <f>CD26*local_data_input!$C9</f>
        <v>0</v>
      </c>
      <c r="CF26" s="1935">
        <f>IF(CD26&gt;0,(CD26-INT(CD26/local_data_input!$H9)*local_data_input!$H9)*local_data_input!$I9+INT(CD26/local_data_input!$H9)*local_data_input!$H9*local_data_input!$J9,(CD26-INT(-CD26/local_data_input!$H9)*-local_data_input!$H9)*local_data_input!$I9+INT(-CD26/local_data_input!$H9)*-local_data_input!$H9*local_data_input!$J9)</f>
        <v>0</v>
      </c>
      <c r="CG26" s="1554"/>
      <c r="CH26" s="1932">
        <f>IR_in_CH!F44</f>
        <v>0.02</v>
      </c>
      <c r="CI26" s="771">
        <f t="shared" si="13"/>
        <v>88.51679052870341</v>
      </c>
      <c r="CJ26" s="1072">
        <f>CI26*local_data_input!$C9</f>
        <v>13277.518579305512</v>
      </c>
      <c r="CK26" s="1935">
        <f>IF(CI26&gt;0,(CI26-INT(CI26/local_data_input!$H9)*local_data_input!$H9)*local_data_input!$I9+INT(CI26/local_data_input!$H9)*local_data_input!$H9*local_data_input!$J9,(CI26-INT(-CI26/local_data_input!$H9)*-local_data_input!$H9)*local_data_input!$I9+INT(-CI26/local_data_input!$H9)*-local_data_input!$H9*local_data_input!$J9)</f>
        <v>1481.5778855402257</v>
      </c>
      <c r="CL26" s="1554"/>
      <c r="CM26" s="1932"/>
      <c r="CN26" s="771">
        <f t="shared" si="14"/>
        <v>0</v>
      </c>
      <c r="CO26" s="1072">
        <f>CN26*local_data_input!$C9</f>
        <v>0</v>
      </c>
      <c r="CP26" s="1935">
        <f>IF(CN26&gt;0,(CN26-INT(CN26/local_data_input!$H9)*local_data_input!$H9)*local_data_input!$I9+INT(CN26/local_data_input!$H9)*local_data_input!$H9*local_data_input!$J9,(CN26-INT(-CN26/local_data_input!$H9)*-local_data_input!$H9)*local_data_input!$I9+INT(-CN26/local_data_input!$H9)*-local_data_input!$H9*local_data_input!$J9)</f>
        <v>0</v>
      </c>
      <c r="CQ26" s="1554"/>
      <c r="CR26" s="1932"/>
      <c r="CS26" s="1927">
        <f t="shared" si="23"/>
        <v>0</v>
      </c>
      <c r="CT26" s="1072">
        <f>CS26*local_data_input!$C9</f>
        <v>0</v>
      </c>
      <c r="CU26" s="1935">
        <f>IF(CS26&gt;0,(CS26-INT(CS26/local_data_input!$H9)*local_data_input!$H9)*local_data_input!$I9+INT(CS26/local_data_input!$H9)*local_data_input!$H9*local_data_input!$J9,(CS26-INT(-CS26/local_data_input!$H9)*-local_data_input!$H9)*local_data_input!$I9+INT(-CS26/local_data_input!$H9)*-local_data_input!$H9*local_data_input!$J9)</f>
        <v>0</v>
      </c>
      <c r="CV26" s="1554"/>
      <c r="CW26" s="1932"/>
      <c r="CX26" s="771">
        <f t="shared" si="15"/>
        <v>0</v>
      </c>
      <c r="CY26" s="1072">
        <f>CX26*local_data_input!$C9</f>
        <v>0</v>
      </c>
      <c r="CZ26" s="1935">
        <f>IF(CX26&gt;0,(CX26-INT(CX26/local_data_input!$H9)*local_data_input!$H9)*local_data_input!$I9+INT(CX26/local_data_input!$H9)*local_data_input!$H9*local_data_input!$J9,(CX26-INT(-CX26/local_data_input!$H9)*-local_data_input!$H9)*local_data_input!$I9+INT(-CX26/local_data_input!$H9)*-local_data_input!$H9*local_data_input!$J9)</f>
        <v>0</v>
      </c>
      <c r="DA26" s="1554"/>
      <c r="DB26" s="1932"/>
      <c r="DC26" s="771">
        <f t="shared" si="16"/>
        <v>0</v>
      </c>
      <c r="DD26" s="1072">
        <f>DC26*local_data_input!$C9</f>
        <v>0</v>
      </c>
      <c r="DE26" s="1935">
        <f>IF(DC26&gt;0,(DC26-INT(DC26/local_data_input!$H9)*local_data_input!$H9)*local_data_input!$I9+INT(DC26/local_data_input!$H9)*local_data_input!$H9*local_data_input!$J9,(DC26-INT(-DC26/local_data_input!$H9)*-local_data_input!$H9)*local_data_input!$I9+INT(-DC26/local_data_input!$H9)*-local_data_input!$H9*local_data_input!$J9)</f>
        <v>0</v>
      </c>
      <c r="DF26" s="1554"/>
      <c r="DG26" s="1932">
        <f>CHE!F60</f>
        <v>1</v>
      </c>
      <c r="DH26" s="771">
        <f t="shared" si="17"/>
        <v>4838.9178822357862</v>
      </c>
      <c r="DI26" s="1072">
        <f>DH26*local_data_input!$C9</f>
        <v>725837.68233536789</v>
      </c>
      <c r="DJ26" s="1935">
        <f>IF(DH26&gt;0,(DH26-INT(DH26/local_data_input!$H9)*local_data_input!$H9)*local_data_input!$I9+INT(DH26/local_data_input!$H9)*local_data_input!$H9*local_data_input!$J9,(DH26-INT(-DH26/local_data_input!$H9)*-local_data_input!$H9)*local_data_input!$I9+INT(-DH26/local_data_input!$H9)*-local_data_input!$H9*local_data_input!$J9)</f>
        <v>80992.924409532337</v>
      </c>
      <c r="DK26" s="1554"/>
      <c r="DL26" s="1932">
        <f>EWS_in_CH!F63</f>
        <v>-0.5</v>
      </c>
      <c r="DM26" s="771">
        <f t="shared" si="18"/>
        <v>-94.638312414870697</v>
      </c>
      <c r="DN26" s="1072">
        <f>DM26*local_data_input!$C9</f>
        <v>-14195.746862230604</v>
      </c>
      <c r="DO26" s="1935">
        <f>IF(DM26&gt;0,(DM26-INT(DM26/local_data_input!$H9)*local_data_input!$H9)*local_data_input!$I9+INT(DM26/local_data_input!$H9)*local_data_input!$H9*local_data_input!$J9,(DM26-INT(-DM26/local_data_input!$H9)*-local_data_input!$H9)*local_data_input!$I9+INT(-DM26/local_data_input!$H9)*-local_data_input!$H9*local_data_input!$J9)</f>
        <v>-1584.0388016921163</v>
      </c>
      <c r="DP26" s="1554"/>
    </row>
    <row r="27" spans="2:120" s="1119" customFormat="1">
      <c r="B27" s="1613"/>
      <c r="C27" s="1613" t="s">
        <v>50</v>
      </c>
      <c r="D27" s="1120"/>
      <c r="E27" s="771">
        <f t="shared" si="0"/>
        <v>35640.089376857075</v>
      </c>
      <c r="F27" s="1927">
        <f>E27-SIGN(E27)*INT(ABS(E27)/local_data_input!H10)*local_data_input!H10</f>
        <v>7290.089376857075</v>
      </c>
      <c r="G27" s="1935">
        <f>E27*local_data_input!$C10</f>
        <v>249480.62563799953</v>
      </c>
      <c r="H27" s="1072">
        <f t="shared" si="1"/>
        <v>12498.979344463758</v>
      </c>
      <c r="I27" s="1935">
        <f>IF(E27&gt;0,(E27-INT(E27/local_data_input!$H10)*local_data_input!$H10)*local_data_input!$I10+INT(E27/local_data_input!$H10)*local_data_input!$H10*local_data_input!$J10,(E27-INT(-E27/local_data_input!$H10)*-local_data_input!$H10)*local_data_input!$I10+INT(-E27/local_data_input!$H10)*-local_data_input!$H10*local_data_input!$J10)</f>
        <v>12498.979344463758</v>
      </c>
      <c r="J27" s="1554"/>
      <c r="K27" s="1932"/>
      <c r="L27" s="771">
        <f t="shared" si="2"/>
        <v>0</v>
      </c>
      <c r="M27" s="1935">
        <f>L27*local_data_input!$C10</f>
        <v>0</v>
      </c>
      <c r="N27" s="1935">
        <f>IF(L27&gt;0,(L27-INT(L27/local_data_input!$H10)*local_data_input!$H10)*local_data_input!$I10+INT(L27/local_data_input!$H10)*local_data_input!$H10*local_data_input!$J10,(L27-INT(-L27/local_data_input!$H10)*-local_data_input!$H10)*local_data_input!$I10+INT(-L27/local_data_input!$H10)*-local_data_input!$H10*local_data_input!$J10)</f>
        <v>0</v>
      </c>
      <c r="O27" s="1554"/>
      <c r="P27" s="1934"/>
      <c r="Q27" s="771">
        <f t="shared" si="3"/>
        <v>0</v>
      </c>
      <c r="R27" s="1072">
        <f>Q27*local_data_input!$C10</f>
        <v>0</v>
      </c>
      <c r="S27" s="1935">
        <f>IF(Q27&gt;0,(Q27-INT(Q27/local_data_input!$H10)*local_data_input!$H10)*local_data_input!$I10+INT(Q27/local_data_input!$H10)*local_data_input!$H10*local_data_input!$J10,(Q27-INT(-Q27/local_data_input!$H10)*-local_data_input!$H10)*local_data_input!$I10+INT(-Q27/local_data_input!$H10)*-local_data_input!$H10*local_data_input!$J10)</f>
        <v>0</v>
      </c>
      <c r="T27" s="1554"/>
      <c r="U27" s="1932"/>
      <c r="V27" s="771">
        <f t="shared" si="19"/>
        <v>0</v>
      </c>
      <c r="W27" s="1072">
        <f>V27*local_data_input!$C10</f>
        <v>0</v>
      </c>
      <c r="X27" s="1935">
        <f>IF(V27&gt;0,(V27-INT(V27/local_data_input!$H10)*local_data_input!$H10)*local_data_input!$I10+INT(V27/local_data_input!$H10)*local_data_input!$H10*local_data_input!$J10,(V27-INT(-V27/local_data_input!$H10)*-local_data_input!$H10)*local_data_input!$I10+INT(-V27/local_data_input!$H10)*-local_data_input!$H10*local_data_input!$J10)</f>
        <v>0</v>
      </c>
      <c r="Y27" s="1554"/>
      <c r="Z27" s="659">
        <f>Integration_of_hubs!L35</f>
        <v>28686</v>
      </c>
      <c r="AA27" s="771">
        <f t="shared" si="20"/>
        <v>34811.804169949137</v>
      </c>
      <c r="AB27" s="1072">
        <f>AA27*local_data_input!$C10</f>
        <v>243682.62918964395</v>
      </c>
      <c r="AC27" s="1935">
        <f>IF(AA27&gt;0,(AA27-INT(AA27/local_data_input!$H10)*local_data_input!$H10)*local_data_input!$I10+INT(AA27/local_data_input!$H10)*local_data_input!$H10*local_data_input!$J10,(AA27-INT(-AA27/local_data_input!$H10)*-local_data_input!$H10)*local_data_input!$I10+INT(-AA27/local_data_input!$H10)*-local_data_input!$H10*local_data_input!$J10)</f>
        <v>12208.499722401144</v>
      </c>
      <c r="AD27" s="1554"/>
      <c r="AE27" s="1932"/>
      <c r="AF27" s="771">
        <f t="shared" si="4"/>
        <v>0</v>
      </c>
      <c r="AG27" s="1072">
        <f>AF27*local_data_input!$C10</f>
        <v>0</v>
      </c>
      <c r="AH27" s="1935">
        <f>IF(AF27&gt;0,(AF27-INT(AF27/local_data_input!$H10)*local_data_input!$H10)*local_data_input!$I10+INT(AF27/local_data_input!$H10)*local_data_input!$H10*local_data_input!$J10,(AF27-INT(-AF27/local_data_input!$H10)*-local_data_input!$H10)*local_data_input!$I10+INT(-AF27/local_data_input!$H10)*-local_data_input!$H10*local_data_input!$J10)</f>
        <v>0</v>
      </c>
      <c r="AI27" s="1554"/>
      <c r="AJ27" s="1932"/>
      <c r="AK27" s="771">
        <f t="shared" si="21"/>
        <v>0</v>
      </c>
      <c r="AL27" s="1072">
        <f>AK27*local_data_input!$C10</f>
        <v>0</v>
      </c>
      <c r="AM27" s="1935">
        <f>IF(AK27&gt;0,(AK27-INT(AK27/local_data_input!$H10)*local_data_input!$H10)*local_data_input!$I10+INT(AK27/local_data_input!$H10)*local_data_input!$H10*local_data_input!$J10,(AK27-INT(-AK27/local_data_input!$H10)*-local_data_input!$H10)*local_data_input!$I10+INT(-AK27/local_data_input!$H10)*-local_data_input!$H10*local_data_input!$J10)</f>
        <v>0</v>
      </c>
      <c r="AN27" s="1554"/>
      <c r="AO27" s="1932"/>
      <c r="AP27" s="771">
        <f t="shared" si="5"/>
        <v>0</v>
      </c>
      <c r="AQ27" s="1072">
        <f>AP27*local_data_input!$C10</f>
        <v>0</v>
      </c>
      <c r="AR27" s="1935">
        <f>IF(AP27&gt;0,(AP27-INT(AP27/local_data_input!$H10)*local_data_input!$H10)*local_data_input!$I10+INT(AP27/local_data_input!$H10)*local_data_input!$H10*local_data_input!$J10,(AP27-INT(-AP27/local_data_input!$H10)*-local_data_input!$H10)*local_data_input!$I10+INT(-AP27/local_data_input!$H10)*-local_data_input!$H10*local_data_input!$J10)</f>
        <v>0</v>
      </c>
      <c r="AS27" s="1554"/>
      <c r="AT27" s="1932">
        <f>Enhanced_UCS!F66</f>
        <v>0.13333333333333333</v>
      </c>
      <c r="AU27" s="771">
        <f t="shared" si="6"/>
        <v>0</v>
      </c>
      <c r="AV27" s="1072">
        <f>AU27*local_data_input!$C10</f>
        <v>0</v>
      </c>
      <c r="AW27" s="1935">
        <f>IF(AU27&gt;0,(AU27-INT(AU27/local_data_input!$H10)*local_data_input!$H10)*local_data_input!$I10+INT(AU27/local_data_input!$H10)*local_data_input!$H10*local_data_input!$J10,(AU27-INT(-AU27/local_data_input!$H10)*-local_data_input!$H10)*local_data_input!$I10+INT(-AU27/local_data_input!$H10)*-local_data_input!$H10*local_data_input!$J10)</f>
        <v>0</v>
      </c>
      <c r="AX27" s="1554"/>
      <c r="AY27" s="1932"/>
      <c r="AZ27" s="771">
        <f t="shared" si="7"/>
        <v>0</v>
      </c>
      <c r="BA27" s="1072">
        <f>AZ27*local_data_input!$C10</f>
        <v>0</v>
      </c>
      <c r="BB27" s="1935">
        <f>IF(AZ27&gt;0,(AZ27-INT(AZ27/local_data_input!$H10)*local_data_input!$H10)*local_data_input!$I10+INT(AZ27/local_data_input!$H10)*local_data_input!$H10*local_data_input!$J10,(AZ27-INT(-AZ27/local_data_input!$H10)*-local_data_input!$H10)*local_data_input!$I10+INT(-AZ27/local_data_input!$H10)*-local_data_input!$H10*local_data_input!$J10)</f>
        <v>0</v>
      </c>
      <c r="BC27" s="1554"/>
      <c r="BD27" s="1932"/>
      <c r="BE27" s="771">
        <f t="shared" si="8"/>
        <v>0</v>
      </c>
      <c r="BF27" s="1072">
        <f>BE27*local_data_input!$C10</f>
        <v>0</v>
      </c>
      <c r="BG27" s="1935">
        <f>IF(BE27&gt;0,(BE27-INT(BE27/local_data_input!$H10)*local_data_input!$H10)*local_data_input!$I10+INT(BE27/local_data_input!$H10)*local_data_input!$H10*local_data_input!$J10,(BE27-INT(-BE27/local_data_input!$H10)*-local_data_input!$H10)*local_data_input!$I10+INT(-BE27/local_data_input!$H10)*-local_data_input!$H10*local_data_input!$J10)</f>
        <v>0</v>
      </c>
      <c r="BH27" s="1554"/>
      <c r="BI27" s="1932"/>
      <c r="BJ27" s="771">
        <f t="shared" si="22"/>
        <v>0</v>
      </c>
      <c r="BK27" s="1072">
        <f>BJ27*local_data_input!$C10</f>
        <v>0</v>
      </c>
      <c r="BL27" s="1935">
        <f>IF(BJ27&gt;0,(BJ27-INT(BJ27/local_data_input!$H10)*local_data_input!$H10)*local_data_input!$I10+INT(BJ27/local_data_input!$H10)*local_data_input!$H10*local_data_input!$J10,(BJ27-INT(-BJ27/local_data_input!$H10)*-local_data_input!$H10)*local_data_input!$I10+INT(-BJ27/local_data_input!$H10)*-local_data_input!$H10*local_data_input!$J10)</f>
        <v>0</v>
      </c>
      <c r="BM27" s="1554"/>
      <c r="BN27" s="1932"/>
      <c r="BO27" s="771">
        <f t="shared" si="9"/>
        <v>0</v>
      </c>
      <c r="BP27" s="1072">
        <f>BO27*local_data_input!$C10</f>
        <v>0</v>
      </c>
      <c r="BQ27" s="1935">
        <f>IF(BO27&gt;0,(BO27-INT(BO27/local_data_input!$H10)*local_data_input!$H10)*local_data_input!$I10+INT(BO27/local_data_input!$H10)*local_data_input!$H10*local_data_input!$J10,(BO27-INT(-BO27/local_data_input!$H10)*-local_data_input!$H10)*local_data_input!$I10+INT(-BO27/local_data_input!$H10)*-local_data_input!$H10*local_data_input!$J10)</f>
        <v>0</v>
      </c>
      <c r="BR27" s="1554"/>
      <c r="BS27" s="1932"/>
      <c r="BT27" s="771">
        <f t="shared" si="10"/>
        <v>0</v>
      </c>
      <c r="BU27" s="1072">
        <f>BT27*local_data_input!$C10</f>
        <v>0</v>
      </c>
      <c r="BV27" s="1935">
        <f>IF(BT27&gt;0,(BT27-INT(BT27/local_data_input!$H10)*local_data_input!$H10)*local_data_input!$I10+INT(BT27/local_data_input!$H10)*local_data_input!$H10*local_data_input!$J10,(BT27-INT(-BT27/local_data_input!$H10)*-local_data_input!$H10)*local_data_input!$I10+INT(-BT27/local_data_input!$H10)*-local_data_input!$H10*local_data_input!$J10)</f>
        <v>0</v>
      </c>
      <c r="BW27" s="1079"/>
      <c r="BX27" s="1932">
        <f>IR_in_AS!D46</f>
        <v>0</v>
      </c>
      <c r="BY27" s="771">
        <f t="shared" si="11"/>
        <v>0</v>
      </c>
      <c r="BZ27" s="1072">
        <f>BY27*local_data_input!$C10</f>
        <v>0</v>
      </c>
      <c r="CA27" s="1935">
        <f>IF(BY27&gt;0,(BY27-INT(BY27/local_data_input!$H10)*local_data_input!$H10)*local_data_input!$I10+INT(BY27/local_data_input!$H10)*local_data_input!$H10*local_data_input!$J10,(BY27-INT(-BY27/local_data_input!$H10)*-local_data_input!$H10)*local_data_input!$I10+INT(-BY27/local_data_input!$H10)*-local_data_input!$H10*local_data_input!$J10)</f>
        <v>0</v>
      </c>
      <c r="CB27" s="1554"/>
      <c r="CC27" s="1932">
        <f>IR_in_ED!D46</f>
        <v>0</v>
      </c>
      <c r="CD27" s="771">
        <f t="shared" si="12"/>
        <v>0</v>
      </c>
      <c r="CE27" s="1072">
        <f>CD27*local_data_input!$C10</f>
        <v>0</v>
      </c>
      <c r="CF27" s="1935">
        <f>IF(CD27&gt;0,(CD27-INT(CD27/local_data_input!$H10)*local_data_input!$H10)*local_data_input!$I10+INT(CD27/local_data_input!$H10)*local_data_input!$H10*local_data_input!$J10,(CD27-INT(-CD27/local_data_input!$H10)*-local_data_input!$H10)*local_data_input!$I10+INT(-CD27/local_data_input!$H10)*-local_data_input!$H10*local_data_input!$J10)</f>
        <v>0</v>
      </c>
      <c r="CG27" s="1554"/>
      <c r="CH27" s="1932">
        <f>IR_in_CH!F45</f>
        <v>0</v>
      </c>
      <c r="CI27" s="771">
        <f t="shared" si="13"/>
        <v>0</v>
      </c>
      <c r="CJ27" s="1072">
        <f>CI27*local_data_input!$C10</f>
        <v>0</v>
      </c>
      <c r="CK27" s="1935">
        <f>IF(CI27&gt;0,(CI27-INT(CI27/local_data_input!$H10)*local_data_input!$H10)*local_data_input!$I10+INT(CI27/local_data_input!$H10)*local_data_input!$H10*local_data_input!$J10,(CI27-INT(-CI27/local_data_input!$H10)*-local_data_input!$H10)*local_data_input!$I10+INT(-CI27/local_data_input!$H10)*-local_data_input!$H10*local_data_input!$J10)</f>
        <v>0</v>
      </c>
      <c r="CL27" s="1554"/>
      <c r="CM27" s="1932"/>
      <c r="CN27" s="771">
        <f t="shared" si="14"/>
        <v>0</v>
      </c>
      <c r="CO27" s="1072">
        <f>CN27*local_data_input!$C10</f>
        <v>0</v>
      </c>
      <c r="CP27" s="1935">
        <f>IF(CN27&gt;0,(CN27-INT(CN27/local_data_input!$H10)*local_data_input!$H10)*local_data_input!$I10+INT(CN27/local_data_input!$H10)*local_data_input!$H10*local_data_input!$J10,(CN27-INT(-CN27/local_data_input!$H10)*-local_data_input!$H10)*local_data_input!$I10+INT(-CN27/local_data_input!$H10)*-local_data_input!$H10*local_data_input!$J10)</f>
        <v>0</v>
      </c>
      <c r="CQ27" s="1554"/>
      <c r="CR27" s="1932"/>
      <c r="CS27" s="1927">
        <f t="shared" si="23"/>
        <v>0</v>
      </c>
      <c r="CT27" s="1072">
        <f>CS27*local_data_input!$C10</f>
        <v>0</v>
      </c>
      <c r="CU27" s="1935">
        <f>IF(CS27&gt;0,(CS27-INT(CS27/local_data_input!$H10)*local_data_input!$H10)*local_data_input!$I10+INT(CS27/local_data_input!$H10)*local_data_input!$H10*local_data_input!$J10,(CS27-INT(-CS27/local_data_input!$H10)*-local_data_input!$H10)*local_data_input!$I10+INT(-CS27/local_data_input!$H10)*-local_data_input!$H10*local_data_input!$J10)</f>
        <v>0</v>
      </c>
      <c r="CV27" s="1554"/>
      <c r="CW27" s="1932"/>
      <c r="CX27" s="771">
        <f t="shared" si="15"/>
        <v>0</v>
      </c>
      <c r="CY27" s="1072">
        <f>CX27*local_data_input!$C10</f>
        <v>0</v>
      </c>
      <c r="CZ27" s="1935">
        <f>IF(CX27&gt;0,(CX27-INT(CX27/local_data_input!$H10)*local_data_input!$H10)*local_data_input!$I10+INT(CX27/local_data_input!$H10)*local_data_input!$H10*local_data_input!$J10,(CX27-INT(-CX27/local_data_input!$H10)*-local_data_input!$H10)*local_data_input!$I10+INT(-CX27/local_data_input!$H10)*-local_data_input!$H10*local_data_input!$J10)</f>
        <v>0</v>
      </c>
      <c r="DA27" s="1554"/>
      <c r="DB27" s="1932">
        <f>Falls!F81</f>
        <v>2.9460128000000005</v>
      </c>
      <c r="DC27" s="771">
        <f t="shared" si="16"/>
        <v>828.28520690793982</v>
      </c>
      <c r="DD27" s="1072">
        <f>DC27*local_data_input!$C10</f>
        <v>5797.9964483555787</v>
      </c>
      <c r="DE27" s="1935">
        <f>IF(DC27&gt;0,(DC27-INT(DC27/local_data_input!$H10)*local_data_input!$H10)*local_data_input!$I10+INT(DC27/local_data_input!$H10)*local_data_input!$H10*local_data_input!$J10,(DC27-INT(-DC27/local_data_input!$H10)*-local_data_input!$H10)*local_data_input!$I10+INT(-DC27/local_data_input!$H10)*-local_data_input!$H10*local_data_input!$J10)</f>
        <v>290.47962206261406</v>
      </c>
      <c r="DF27" s="1554"/>
      <c r="DG27" s="1932"/>
      <c r="DH27" s="771">
        <f t="shared" si="17"/>
        <v>0</v>
      </c>
      <c r="DI27" s="1072">
        <f>DH27*local_data_input!$C10</f>
        <v>0</v>
      </c>
      <c r="DJ27" s="1935">
        <f>IF(DH27&gt;0,(DH27-INT(DH27/local_data_input!$H10)*local_data_input!$H10)*local_data_input!$I10+INT(DH27/local_data_input!$H10)*local_data_input!$H10*local_data_input!$J10,(DH27-INT(-DH27/local_data_input!$H10)*-local_data_input!$H10)*local_data_input!$I10+INT(-DH27/local_data_input!$H10)*-local_data_input!$H10*local_data_input!$J10)</f>
        <v>0</v>
      </c>
      <c r="DK27" s="1554"/>
      <c r="DL27" s="1932"/>
      <c r="DM27" s="771">
        <f t="shared" si="18"/>
        <v>0</v>
      </c>
      <c r="DN27" s="1072">
        <f>DM27*local_data_input!$C10</f>
        <v>0</v>
      </c>
      <c r="DO27" s="1935">
        <f>IF(DM27&gt;0,(DM27-INT(DM27/local_data_input!$H10)*local_data_input!$H10)*local_data_input!$I10+INT(DM27/local_data_input!$H10)*local_data_input!$H10*local_data_input!$J10,(DM27-INT(-DM27/local_data_input!$H10)*-local_data_input!$H10)*local_data_input!$I10+INT(-DM27/local_data_input!$H10)*-local_data_input!$H10*local_data_input!$J10)</f>
        <v>0</v>
      </c>
      <c r="DP27" s="1554"/>
    </row>
    <row r="28" spans="2:120" s="1119" customFormat="1">
      <c r="B28" s="1613"/>
      <c r="C28" s="1613" t="s">
        <v>51</v>
      </c>
      <c r="D28" s="1120"/>
      <c r="E28" s="771">
        <f t="shared" si="0"/>
        <v>-48767.732072017345</v>
      </c>
      <c r="F28" s="1927">
        <f>E28-SIGN(E28)*INT(ABS(E28)/local_data_input!H11)*local_data_input!H11</f>
        <v>-1517.7320720173448</v>
      </c>
      <c r="G28" s="1935">
        <f>E28*local_data_input!$C11</f>
        <v>-975354.64144034684</v>
      </c>
      <c r="H28" s="1072">
        <f t="shared" si="1"/>
        <v>-48865.2675361613</v>
      </c>
      <c r="I28" s="1935">
        <f>IF(E28&gt;0,(E28-INT(E28/local_data_input!$H11)*local_data_input!$H11)*local_data_input!$I11+INT(E28/local_data_input!$H11)*local_data_input!$H11*local_data_input!$J11,(E28-INT(-E28/local_data_input!$H11)*-local_data_input!$H11)*local_data_input!$I11+INT(-E28/local_data_input!$H11)*-local_data_input!$H11*local_data_input!$J11)</f>
        <v>-48865.267536161307</v>
      </c>
      <c r="J28" s="1554"/>
      <c r="K28" s="1932"/>
      <c r="L28" s="771">
        <f t="shared" si="2"/>
        <v>0</v>
      </c>
      <c r="M28" s="1935">
        <f>L28*local_data_input!$C11</f>
        <v>0</v>
      </c>
      <c r="N28" s="1935">
        <f>IF(L28&gt;0,(L28-INT(L28/local_data_input!$H11)*local_data_input!$H11)*local_data_input!$I11+INT(L28/local_data_input!$H11)*local_data_input!$H11*local_data_input!$J11,(L28-INT(-L28/local_data_input!$H11)*-local_data_input!$H11)*local_data_input!$I11+INT(-L28/local_data_input!$H11)*-local_data_input!$H11*local_data_input!$J11)</f>
        <v>0</v>
      </c>
      <c r="O28" s="1554"/>
      <c r="P28" s="1934"/>
      <c r="Q28" s="771">
        <f t="shared" si="3"/>
        <v>0</v>
      </c>
      <c r="R28" s="1072">
        <f>Q28*local_data_input!$C11</f>
        <v>0</v>
      </c>
      <c r="S28" s="1935">
        <f>IF(Q28&gt;0,(Q28-INT(Q28/local_data_input!$H11)*local_data_input!$H11)*local_data_input!$I11+INT(Q28/local_data_input!$H11)*local_data_input!$H11*local_data_input!$J11,(Q28-INT(-Q28/local_data_input!$H11)*-local_data_input!$H11)*local_data_input!$I11+INT(-Q28/local_data_input!$H11)*-local_data_input!$H11*local_data_input!$J11)</f>
        <v>0</v>
      </c>
      <c r="T28" s="1554"/>
      <c r="U28" s="1932"/>
      <c r="V28" s="771">
        <f t="shared" si="19"/>
        <v>0</v>
      </c>
      <c r="W28" s="1072">
        <f>V28*local_data_input!$C11</f>
        <v>0</v>
      </c>
      <c r="X28" s="1935">
        <f>IF(V28&gt;0,(V28-INT(V28/local_data_input!$H11)*local_data_input!$H11)*local_data_input!$I11+INT(V28/local_data_input!$H11)*local_data_input!$H11*local_data_input!$J11,(V28-INT(-V28/local_data_input!$H11)*-local_data_input!$H11)*local_data_input!$I11+INT(-V28/local_data_input!$H11)*-local_data_input!$H11*local_data_input!$J11)</f>
        <v>0</v>
      </c>
      <c r="Y28" s="1554"/>
      <c r="Z28" s="1932"/>
      <c r="AA28" s="771">
        <f t="shared" si="20"/>
        <v>0</v>
      </c>
      <c r="AB28" s="1072">
        <f>AA28*local_data_input!$C11</f>
        <v>0</v>
      </c>
      <c r="AC28" s="1935">
        <f>IF(AA28&gt;0,(AA28-INT(AA28/local_data_input!$H11)*local_data_input!$H11)*local_data_input!$I11+INT(AA28/local_data_input!$H11)*local_data_input!$H11*local_data_input!$J11,(AA28-INT(-AA28/local_data_input!$H11)*-local_data_input!$H11)*local_data_input!$I11+INT(-AA28/local_data_input!$H11)*-local_data_input!$H11*local_data_input!$J11)</f>
        <v>0</v>
      </c>
      <c r="AD28" s="1554"/>
      <c r="AE28" s="1932"/>
      <c r="AF28" s="771">
        <f t="shared" si="4"/>
        <v>0</v>
      </c>
      <c r="AG28" s="1072">
        <f>AF28*local_data_input!$C11</f>
        <v>0</v>
      </c>
      <c r="AH28" s="1935">
        <f>IF(AF28&gt;0,(AF28-INT(AF28/local_data_input!$H11)*local_data_input!$H11)*local_data_input!$I11+INT(AF28/local_data_input!$H11)*local_data_input!$H11*local_data_input!$J11,(AF28-INT(-AF28/local_data_input!$H11)*-local_data_input!$H11)*local_data_input!$I11+INT(-AF28/local_data_input!$H11)*-local_data_input!$H11*local_data_input!$J11)</f>
        <v>0</v>
      </c>
      <c r="AI28" s="1554"/>
      <c r="AJ28" s="1932"/>
      <c r="AK28" s="771">
        <f t="shared" si="21"/>
        <v>0</v>
      </c>
      <c r="AL28" s="1072">
        <f>AK28*local_data_input!$C11</f>
        <v>0</v>
      </c>
      <c r="AM28" s="1935">
        <f>IF(AK28&gt;0,(AK28-INT(AK28/local_data_input!$H11)*local_data_input!$H11)*local_data_input!$I11+INT(AK28/local_data_input!$H11)*local_data_input!$H11*local_data_input!$J11,(AK28-INT(-AK28/local_data_input!$H11)*-local_data_input!$H11)*local_data_input!$I11+INT(-AK28/local_data_input!$H11)*-local_data_input!$H11*local_data_input!$J11)</f>
        <v>0</v>
      </c>
      <c r="AN28" s="1554"/>
      <c r="AO28" s="1932"/>
      <c r="AP28" s="771">
        <f t="shared" si="5"/>
        <v>0</v>
      </c>
      <c r="AQ28" s="1072">
        <f>AP28*local_data_input!$C11</f>
        <v>0</v>
      </c>
      <c r="AR28" s="1935">
        <f>IF(AP28&gt;0,(AP28-INT(AP28/local_data_input!$H11)*local_data_input!$H11)*local_data_input!$I11+INT(AP28/local_data_input!$H11)*local_data_input!$H11*local_data_input!$J11,(AP28-INT(-AP28/local_data_input!$H11)*-local_data_input!$H11)*local_data_input!$I11+INT(-AP28/local_data_input!$H11)*-local_data_input!$H11*local_data_input!$J11)</f>
        <v>0</v>
      </c>
      <c r="AS28" s="1554"/>
      <c r="AT28" s="1932"/>
      <c r="AU28" s="771">
        <f t="shared" si="6"/>
        <v>0</v>
      </c>
      <c r="AV28" s="1072">
        <f>AU28*local_data_input!$C11</f>
        <v>0</v>
      </c>
      <c r="AW28" s="1935">
        <f>IF(AU28&gt;0,(AU28-INT(AU28/local_data_input!$H11)*local_data_input!$H11)*local_data_input!$I11+INT(AU28/local_data_input!$H11)*local_data_input!$H11*local_data_input!$J11,(AU28-INT(-AU28/local_data_input!$H11)*-local_data_input!$H11)*local_data_input!$I11+INT(-AU28/local_data_input!$H11)*-local_data_input!$H11*local_data_input!$J11)</f>
        <v>0</v>
      </c>
      <c r="AX28" s="1554"/>
      <c r="AY28" s="1932"/>
      <c r="AZ28" s="771">
        <f t="shared" si="7"/>
        <v>0</v>
      </c>
      <c r="BA28" s="1072">
        <f>AZ28*local_data_input!$C11</f>
        <v>0</v>
      </c>
      <c r="BB28" s="1935">
        <f>IF(AZ28&gt;0,(AZ28-INT(AZ28/local_data_input!$H11)*local_data_input!$H11)*local_data_input!$I11+INT(AZ28/local_data_input!$H11)*local_data_input!$H11*local_data_input!$J11,(AZ28-INT(-AZ28/local_data_input!$H11)*-local_data_input!$H11)*local_data_input!$I11+INT(-AZ28/local_data_input!$H11)*-local_data_input!$H11*local_data_input!$J11)</f>
        <v>0</v>
      </c>
      <c r="BC28" s="1554"/>
      <c r="BD28" s="1932"/>
      <c r="BE28" s="771">
        <f t="shared" si="8"/>
        <v>0</v>
      </c>
      <c r="BF28" s="1072">
        <f>BE28*local_data_input!$C11</f>
        <v>0</v>
      </c>
      <c r="BG28" s="1935">
        <f>IF(BE28&gt;0,(BE28-INT(BE28/local_data_input!$H11)*local_data_input!$H11)*local_data_input!$I11+INT(BE28/local_data_input!$H11)*local_data_input!$H11*local_data_input!$J11,(BE28-INT(-BE28/local_data_input!$H11)*-local_data_input!$H11)*local_data_input!$I11+INT(-BE28/local_data_input!$H11)*-local_data_input!$H11*local_data_input!$J11)</f>
        <v>0</v>
      </c>
      <c r="BH28" s="1554"/>
      <c r="BI28" s="1932"/>
      <c r="BJ28" s="771">
        <f t="shared" si="22"/>
        <v>0</v>
      </c>
      <c r="BK28" s="1072">
        <f>BJ28*local_data_input!$C11</f>
        <v>0</v>
      </c>
      <c r="BL28" s="1935">
        <f>IF(BJ28&gt;0,(BJ28-INT(BJ28/local_data_input!$H11)*local_data_input!$H11)*local_data_input!$I11+INT(BJ28/local_data_input!$H11)*local_data_input!$H11*local_data_input!$J11,(BJ28-INT(-BJ28/local_data_input!$H11)*-local_data_input!$H11)*local_data_input!$I11+INT(-BJ28/local_data_input!$H11)*-local_data_input!$H11*local_data_input!$J11)</f>
        <v>0</v>
      </c>
      <c r="BM28" s="1554"/>
      <c r="BN28" s="1932"/>
      <c r="BO28" s="771">
        <f t="shared" si="9"/>
        <v>0</v>
      </c>
      <c r="BP28" s="1072">
        <f>BO28*local_data_input!$C11</f>
        <v>0</v>
      </c>
      <c r="BQ28" s="1935">
        <f>IF(BO28&gt;0,(BO28-INT(BO28/local_data_input!$H11)*local_data_input!$H11)*local_data_input!$I11+INT(BO28/local_data_input!$H11)*local_data_input!$H11*local_data_input!$J11,(BO28-INT(-BO28/local_data_input!$H11)*-local_data_input!$H11)*local_data_input!$I11+INT(-BO28/local_data_input!$H11)*-local_data_input!$H11*local_data_input!$J11)</f>
        <v>0</v>
      </c>
      <c r="BR28" s="1554"/>
      <c r="BS28" s="1932"/>
      <c r="BT28" s="771">
        <f t="shared" si="10"/>
        <v>0</v>
      </c>
      <c r="BU28" s="1072">
        <f>BT28*local_data_input!$C11</f>
        <v>0</v>
      </c>
      <c r="BV28" s="1935">
        <f>IF(BT28&gt;0,(BT28-INT(BT28/local_data_input!$H11)*local_data_input!$H11)*local_data_input!$I11+INT(BT28/local_data_input!$H11)*local_data_input!$H11*local_data_input!$J11,(BT28-INT(-BT28/local_data_input!$H11)*-local_data_input!$H11)*local_data_input!$I11+INT(-BT28/local_data_input!$H11)*-local_data_input!$H11*local_data_input!$J11)</f>
        <v>0</v>
      </c>
      <c r="BW28" s="1079"/>
      <c r="BX28" s="1932">
        <f>IR_in_AS!D47</f>
        <v>0</v>
      </c>
      <c r="BY28" s="771">
        <f t="shared" si="11"/>
        <v>0</v>
      </c>
      <c r="BZ28" s="1072">
        <f>BY28*local_data_input!$C11</f>
        <v>0</v>
      </c>
      <c r="CA28" s="1935">
        <f>IF(BY28&gt;0,(BY28-INT(BY28/local_data_input!$H11)*local_data_input!$H11)*local_data_input!$I11+INT(BY28/local_data_input!$H11)*local_data_input!$H11*local_data_input!$J11,(BY28-INT(-BY28/local_data_input!$H11)*-local_data_input!$H11)*local_data_input!$I11+INT(-BY28/local_data_input!$H11)*-local_data_input!$H11*local_data_input!$J11)</f>
        <v>0</v>
      </c>
      <c r="CB28" s="1554"/>
      <c r="CC28" s="1932">
        <f>IR_in_ED!D47</f>
        <v>0</v>
      </c>
      <c r="CD28" s="771">
        <f t="shared" si="12"/>
        <v>0</v>
      </c>
      <c r="CE28" s="1072">
        <f>CD28*local_data_input!$C11</f>
        <v>0</v>
      </c>
      <c r="CF28" s="1935">
        <f>IF(CD28&gt;0,(CD28-INT(CD28/local_data_input!$H11)*local_data_input!$H11)*local_data_input!$I11+INT(CD28/local_data_input!$H11)*local_data_input!$H11*local_data_input!$J11,(CD28-INT(-CD28/local_data_input!$H11)*-local_data_input!$H11)*local_data_input!$I11+INT(-CD28/local_data_input!$H11)*-local_data_input!$H11*local_data_input!$J11)</f>
        <v>0</v>
      </c>
      <c r="CG28" s="1554"/>
      <c r="CH28" s="1932">
        <f>IR_in_CH!F46</f>
        <v>0</v>
      </c>
      <c r="CI28" s="771">
        <f t="shared" si="13"/>
        <v>0</v>
      </c>
      <c r="CJ28" s="1072">
        <f>CI28*local_data_input!$C11</f>
        <v>0</v>
      </c>
      <c r="CK28" s="1935">
        <f>IF(CI28&gt;0,(CI28-INT(CI28/local_data_input!$H11)*local_data_input!$H11)*local_data_input!$I11+INT(CI28/local_data_input!$H11)*local_data_input!$H11*local_data_input!$J11,(CI28-INT(-CI28/local_data_input!$H11)*-local_data_input!$H11)*local_data_input!$I11+INT(-CI28/local_data_input!$H11)*-local_data_input!$H11*local_data_input!$J11)</f>
        <v>0</v>
      </c>
      <c r="CL28" s="1554"/>
      <c r="CM28" s="1932"/>
      <c r="CN28" s="771">
        <f t="shared" si="14"/>
        <v>0</v>
      </c>
      <c r="CO28" s="1072">
        <f>CN28*local_data_input!$C11</f>
        <v>0</v>
      </c>
      <c r="CP28" s="1935">
        <f>IF(CN28&gt;0,(CN28-INT(CN28/local_data_input!$H11)*local_data_input!$H11)*local_data_input!$I11+INT(CN28/local_data_input!$H11)*local_data_input!$H11*local_data_input!$J11,(CN28-INT(-CN28/local_data_input!$H11)*-local_data_input!$H11)*local_data_input!$I11+INT(-CN28/local_data_input!$H11)*-local_data_input!$H11*local_data_input!$J11)</f>
        <v>0</v>
      </c>
      <c r="CQ28" s="1554"/>
      <c r="CR28" s="1932"/>
      <c r="CS28" s="1927">
        <f t="shared" si="23"/>
        <v>0</v>
      </c>
      <c r="CT28" s="1072">
        <f>CS28*local_data_input!$C11</f>
        <v>0</v>
      </c>
      <c r="CU28" s="1935">
        <f>IF(CS28&gt;0,(CS28-INT(CS28/local_data_input!$H11)*local_data_input!$H11)*local_data_input!$I11+INT(CS28/local_data_input!$H11)*local_data_input!$H11*local_data_input!$J11,(CS28-INT(-CS28/local_data_input!$H11)*-local_data_input!$H11)*local_data_input!$I11+INT(-CS28/local_data_input!$H11)*-local_data_input!$H11*local_data_input!$J11)</f>
        <v>0</v>
      </c>
      <c r="CV28" s="1554"/>
      <c r="CW28" s="1932"/>
      <c r="CX28" s="771">
        <f t="shared" si="15"/>
        <v>0</v>
      </c>
      <c r="CY28" s="1072">
        <f>CX28*local_data_input!$C11</f>
        <v>0</v>
      </c>
      <c r="CZ28" s="1935">
        <f>IF(CX28&gt;0,(CX28-INT(CX28/local_data_input!$H11)*local_data_input!$H11)*local_data_input!$I11+INT(CX28/local_data_input!$H11)*local_data_input!$H11*local_data_input!$J11,(CX28-INT(-CX28/local_data_input!$H11)*-local_data_input!$H11)*local_data_input!$I11+INT(-CX28/local_data_input!$H11)*-local_data_input!$H11*local_data_input!$J11)</f>
        <v>0</v>
      </c>
      <c r="DA28" s="1554"/>
      <c r="DB28" s="1932"/>
      <c r="DC28" s="771">
        <f t="shared" si="16"/>
        <v>0</v>
      </c>
      <c r="DD28" s="1072">
        <f>DC28*local_data_input!$C11</f>
        <v>0</v>
      </c>
      <c r="DE28" s="1935">
        <f>IF(DC28&gt;0,(DC28-INT(DC28/local_data_input!$H11)*local_data_input!$H11)*local_data_input!$I11+INT(DC28/local_data_input!$H11)*local_data_input!$H11*local_data_input!$J11,(DC28-INT(-DC28/local_data_input!$H11)*-local_data_input!$H11)*local_data_input!$I11+INT(-DC28/local_data_input!$H11)*-local_data_input!$H11*local_data_input!$J11)</f>
        <v>0</v>
      </c>
      <c r="DF28" s="1554"/>
      <c r="DG28" s="1932">
        <f>CHE!F63</f>
        <v>-10</v>
      </c>
      <c r="DH28" s="771">
        <f t="shared" si="17"/>
        <v>-48389.178822357862</v>
      </c>
      <c r="DI28" s="1072">
        <f>DH28*local_data_input!$C11</f>
        <v>-967783.57644715719</v>
      </c>
      <c r="DJ28" s="1935">
        <f>IF(DH28&gt;0,(DH28-INT(DH28/local_data_input!$H11)*local_data_input!$H11)*local_data_input!$I11+INT(DH28/local_data_input!$H11)*local_data_input!$H11*local_data_input!$J11,(DH28-INT(-DH28/local_data_input!$H11)*-local_data_input!$H11)*local_data_input!$I11+INT(-DH28/local_data_input!$H11)*-local_data_input!$H11*local_data_input!$J11)</f>
        <v>-48485.957180002501</v>
      </c>
      <c r="DK28" s="1554"/>
      <c r="DL28" s="1932">
        <f>EWS_in_CH!F66</f>
        <v>-2</v>
      </c>
      <c r="DM28" s="771">
        <f t="shared" si="18"/>
        <v>-378.55324965948279</v>
      </c>
      <c r="DN28" s="1072">
        <f>DM28*local_data_input!$C11</f>
        <v>-7571.064993189656</v>
      </c>
      <c r="DO28" s="1935">
        <f>IF(DM28&gt;0,(DM28-INT(DM28/local_data_input!$H11)*local_data_input!$H11)*local_data_input!$I11+INT(DM28/local_data_input!$H11)*local_data_input!$H11*local_data_input!$J11,(DM28-INT(-DM28/local_data_input!$H11)*-local_data_input!$H11)*local_data_input!$I11+INT(-DM28/local_data_input!$H11)*-local_data_input!$H11*local_data_input!$J11)</f>
        <v>-379.31035615880114</v>
      </c>
      <c r="DP28" s="1554"/>
    </row>
    <row r="29" spans="2:120" s="1119" customFormat="1">
      <c r="B29" s="1613"/>
      <c r="C29" s="1613" t="s">
        <v>41</v>
      </c>
      <c r="D29" s="1120"/>
      <c r="E29" s="771">
        <f t="shared" si="0"/>
        <v>-119.60506758625777</v>
      </c>
      <c r="F29" s="1927">
        <f>E29-SIGN(E29)*INT(ABS(E29)/local_data_input!H12)*local_data_input!H12</f>
        <v>-0.60506758625777479</v>
      </c>
      <c r="G29" s="1935">
        <f>E29*local_data_input!$C12</f>
        <v>-1674.4709462076089</v>
      </c>
      <c r="H29" s="1072">
        <f t="shared" si="1"/>
        <v>-1674.4709462076089</v>
      </c>
      <c r="I29" s="1935">
        <f>IF(E29&gt;0,(E29-INT(E29/local_data_input!$H12)*local_data_input!$H12)*local_data_input!$I12+INT(E29/local_data_input!$H12)*local_data_input!$H12*local_data_input!$J12,(E29-INT(-E29/local_data_input!$H12)*-local_data_input!$H12)*local_data_input!$I12+INT(-E29/local_data_input!$H12)*-local_data_input!$H12*local_data_input!$J12)</f>
        <v>-1674.4709462076089</v>
      </c>
      <c r="J29" s="1554"/>
      <c r="K29" s="1932"/>
      <c r="L29" s="771">
        <f t="shared" si="2"/>
        <v>0</v>
      </c>
      <c r="M29" s="1935">
        <f>L29*local_data_input!$C12</f>
        <v>0</v>
      </c>
      <c r="N29" s="1935">
        <f>IF(L29&gt;0,(L29-INT(L29/local_data_input!$H12)*local_data_input!$H12)*local_data_input!$I12+INT(L29/local_data_input!$H12)*local_data_input!$H12*local_data_input!$J12,(L29-INT(-L29/local_data_input!$H12)*-local_data_input!$H12)*local_data_input!$I12+INT(-L29/local_data_input!$H12)*-local_data_input!$H12*local_data_input!$J12)</f>
        <v>0</v>
      </c>
      <c r="O29" s="1554"/>
      <c r="P29" s="1934"/>
      <c r="Q29" s="771">
        <f t="shared" si="3"/>
        <v>0</v>
      </c>
      <c r="R29" s="1072">
        <f>Q29*local_data_input!$C12</f>
        <v>0</v>
      </c>
      <c r="S29" s="1935">
        <f>IF(Q29&gt;0,(Q29-INT(Q29/local_data_input!$H12)*local_data_input!$H12)*local_data_input!$I12+INT(Q29/local_data_input!$H12)*local_data_input!$H12*local_data_input!$J12,(Q29-INT(-Q29/local_data_input!$H12)*-local_data_input!$H12)*local_data_input!$I12+INT(-Q29/local_data_input!$H12)*-local_data_input!$H12*local_data_input!$J12)</f>
        <v>0</v>
      </c>
      <c r="T29" s="1554"/>
      <c r="U29" s="1932"/>
      <c r="V29" s="771">
        <f t="shared" si="19"/>
        <v>0</v>
      </c>
      <c r="W29" s="1072">
        <f>V29*local_data_input!$C12</f>
        <v>0</v>
      </c>
      <c r="X29" s="1935">
        <f>IF(V29&gt;0,(V29-INT(V29/local_data_input!$H12)*local_data_input!$H12)*local_data_input!$I12+INT(V29/local_data_input!$H12)*local_data_input!$H12*local_data_input!$J12,(V29-INT(-V29/local_data_input!$H12)*-local_data_input!$H12)*local_data_input!$I12+INT(-V29/local_data_input!$H12)*-local_data_input!$H12*local_data_input!$J12)</f>
        <v>0</v>
      </c>
      <c r="Y29" s="1554"/>
      <c r="Z29" s="1932"/>
      <c r="AA29" s="771">
        <f t="shared" si="20"/>
        <v>0</v>
      </c>
      <c r="AB29" s="1072">
        <f>AA29*local_data_input!$C12</f>
        <v>0</v>
      </c>
      <c r="AC29" s="1935">
        <f>IF(AA29&gt;0,(AA29-INT(AA29/local_data_input!$H12)*local_data_input!$H12)*local_data_input!$I12+INT(AA29/local_data_input!$H12)*local_data_input!$H12*local_data_input!$J12,(AA29-INT(-AA29/local_data_input!$H12)*-local_data_input!$H12)*local_data_input!$I12+INT(-AA29/local_data_input!$H12)*-local_data_input!$H12*local_data_input!$J12)</f>
        <v>0</v>
      </c>
      <c r="AD29" s="1554"/>
      <c r="AE29" s="1932"/>
      <c r="AF29" s="771">
        <f t="shared" si="4"/>
        <v>0</v>
      </c>
      <c r="AG29" s="1072">
        <f>AF29*local_data_input!$C12</f>
        <v>0</v>
      </c>
      <c r="AH29" s="1935">
        <f>IF(AF29&gt;0,(AF29-INT(AF29/local_data_input!$H12)*local_data_input!$H12)*local_data_input!$I12+INT(AF29/local_data_input!$H12)*local_data_input!$H12*local_data_input!$J12,(AF29-INT(-AF29/local_data_input!$H12)*-local_data_input!$H12)*local_data_input!$I12+INT(-AF29/local_data_input!$H12)*-local_data_input!$H12*local_data_input!$J12)</f>
        <v>0</v>
      </c>
      <c r="AI29" s="1554"/>
      <c r="AJ29" s="1932"/>
      <c r="AK29" s="771">
        <f t="shared" si="21"/>
        <v>0</v>
      </c>
      <c r="AL29" s="1072">
        <f>AK29*local_data_input!$C12</f>
        <v>0</v>
      </c>
      <c r="AM29" s="1935">
        <f>IF(AK29&gt;0,(AK29-INT(AK29/local_data_input!$H12)*local_data_input!$H12)*local_data_input!$I12+INT(AK29/local_data_input!$H12)*local_data_input!$H12*local_data_input!$J12,(AK29-INT(-AK29/local_data_input!$H12)*-local_data_input!$H12)*local_data_input!$I12+INT(-AK29/local_data_input!$H12)*-local_data_input!$H12*local_data_input!$J12)</f>
        <v>0</v>
      </c>
      <c r="AN29" s="1554"/>
      <c r="AO29" s="1932"/>
      <c r="AP29" s="771">
        <f t="shared" si="5"/>
        <v>0</v>
      </c>
      <c r="AQ29" s="1072">
        <f>AP29*local_data_input!$C12</f>
        <v>0</v>
      </c>
      <c r="AR29" s="1935">
        <f>IF(AP29&gt;0,(AP29-INT(AP29/local_data_input!$H12)*local_data_input!$H12)*local_data_input!$I12+INT(AP29/local_data_input!$H12)*local_data_input!$H12*local_data_input!$J12,(AP29-INT(-AP29/local_data_input!$H12)*-local_data_input!$H12)*local_data_input!$I12+INT(-AP29/local_data_input!$H12)*-local_data_input!$H12*local_data_input!$J12)</f>
        <v>0</v>
      </c>
      <c r="AS29" s="1554"/>
      <c r="AT29" s="1932">
        <f>Enhanced_UCS!F67</f>
        <v>0.11764705882352941</v>
      </c>
      <c r="AU29" s="771">
        <f t="shared" si="6"/>
        <v>0</v>
      </c>
      <c r="AV29" s="1072">
        <f>AU29*local_data_input!$C12</f>
        <v>0</v>
      </c>
      <c r="AW29" s="1935">
        <f>IF(AU29&gt;0,(AU29-INT(AU29/local_data_input!$H12)*local_data_input!$H12)*local_data_input!$I12+INT(AU29/local_data_input!$H12)*local_data_input!$H12*local_data_input!$J12,(AU29-INT(-AU29/local_data_input!$H12)*-local_data_input!$H12)*local_data_input!$I12+INT(-AU29/local_data_input!$H12)*-local_data_input!$H12*local_data_input!$J12)</f>
        <v>0</v>
      </c>
      <c r="AX29" s="1554"/>
      <c r="AY29" s="1932"/>
      <c r="AZ29" s="771">
        <f t="shared" si="7"/>
        <v>0</v>
      </c>
      <c r="BA29" s="1072">
        <f>AZ29*local_data_input!$C12</f>
        <v>0</v>
      </c>
      <c r="BB29" s="1935">
        <f>IF(AZ29&gt;0,(AZ29-INT(AZ29/local_data_input!$H12)*local_data_input!$H12)*local_data_input!$I12+INT(AZ29/local_data_input!$H12)*local_data_input!$H12*local_data_input!$J12,(AZ29-INT(-AZ29/local_data_input!$H12)*-local_data_input!$H12)*local_data_input!$I12+INT(-AZ29/local_data_input!$H12)*-local_data_input!$H12*local_data_input!$J12)</f>
        <v>0</v>
      </c>
      <c r="BC29" s="1554"/>
      <c r="BD29" s="1932"/>
      <c r="BE29" s="771">
        <f t="shared" si="8"/>
        <v>0</v>
      </c>
      <c r="BF29" s="1072">
        <f>BE29*local_data_input!$C12</f>
        <v>0</v>
      </c>
      <c r="BG29" s="1935">
        <f>IF(BE29&gt;0,(BE29-INT(BE29/local_data_input!$H12)*local_data_input!$H12)*local_data_input!$I12+INT(BE29/local_data_input!$H12)*local_data_input!$H12*local_data_input!$J12,(BE29-INT(-BE29/local_data_input!$H12)*-local_data_input!$H12)*local_data_input!$I12+INT(-BE29/local_data_input!$H12)*-local_data_input!$H12*local_data_input!$J12)</f>
        <v>0</v>
      </c>
      <c r="BH29" s="1554"/>
      <c r="BI29" s="1932"/>
      <c r="BJ29" s="771">
        <f t="shared" si="22"/>
        <v>0</v>
      </c>
      <c r="BK29" s="1072">
        <f>BJ29*local_data_input!$C12</f>
        <v>0</v>
      </c>
      <c r="BL29" s="1935">
        <f>IF(BJ29&gt;0,(BJ29-INT(BJ29/local_data_input!$H12)*local_data_input!$H12)*local_data_input!$I12+INT(BJ29/local_data_input!$H12)*local_data_input!$H12*local_data_input!$J12,(BJ29-INT(-BJ29/local_data_input!$H12)*-local_data_input!$H12)*local_data_input!$I12+INT(-BJ29/local_data_input!$H12)*-local_data_input!$H12*local_data_input!$J12)</f>
        <v>0</v>
      </c>
      <c r="BM29" s="1554"/>
      <c r="BN29" s="1932"/>
      <c r="BO29" s="771">
        <f t="shared" si="9"/>
        <v>0</v>
      </c>
      <c r="BP29" s="1072">
        <f>BO29*local_data_input!$C12</f>
        <v>0</v>
      </c>
      <c r="BQ29" s="1935">
        <f>IF(BO29&gt;0,(BO29-INT(BO29/local_data_input!$H12)*local_data_input!$H12)*local_data_input!$I12+INT(BO29/local_data_input!$H12)*local_data_input!$H12*local_data_input!$J12,(BO29-INT(-BO29/local_data_input!$H12)*-local_data_input!$H12)*local_data_input!$I12+INT(-BO29/local_data_input!$H12)*-local_data_input!$H12*local_data_input!$J12)</f>
        <v>0</v>
      </c>
      <c r="BR29" s="1554"/>
      <c r="BS29" s="1932"/>
      <c r="BT29" s="771">
        <f t="shared" si="10"/>
        <v>0</v>
      </c>
      <c r="BU29" s="1072">
        <f>BT29*local_data_input!$C12</f>
        <v>0</v>
      </c>
      <c r="BV29" s="1935">
        <f>IF(BT29&gt;0,(BT29-INT(BT29/local_data_input!$H12)*local_data_input!$H12)*local_data_input!$I12+INT(BT29/local_data_input!$H12)*local_data_input!$H12*local_data_input!$J12,(BT29-INT(-BT29/local_data_input!$H12)*-local_data_input!$H12)*local_data_input!$I12+INT(-BT29/local_data_input!$H12)*-local_data_input!$H12*local_data_input!$J12)</f>
        <v>0</v>
      </c>
      <c r="BW29" s="1079"/>
      <c r="BX29" s="1932">
        <f>IR_in_AS!D48</f>
        <v>0</v>
      </c>
      <c r="BY29" s="771">
        <f t="shared" si="11"/>
        <v>0</v>
      </c>
      <c r="BZ29" s="1072">
        <f>BY29*local_data_input!$C12</f>
        <v>0</v>
      </c>
      <c r="CA29" s="1935">
        <f>IF(BY29&gt;0,(BY29-INT(BY29/local_data_input!$H12)*local_data_input!$H12)*local_data_input!$I12+INT(BY29/local_data_input!$H12)*local_data_input!$H12*local_data_input!$J12,(BY29-INT(-BY29/local_data_input!$H12)*-local_data_input!$H12)*local_data_input!$I12+INT(-BY29/local_data_input!$H12)*-local_data_input!$H12*local_data_input!$J12)</f>
        <v>0</v>
      </c>
      <c r="CB29" s="1554"/>
      <c r="CC29" s="1932">
        <f>IR_in_ED!D48</f>
        <v>-0.01</v>
      </c>
      <c r="CD29" s="771">
        <f t="shared" si="12"/>
        <v>-119.60506758625777</v>
      </c>
      <c r="CE29" s="1072">
        <f>CD29*local_data_input!$C12</f>
        <v>-1674.4709462076089</v>
      </c>
      <c r="CF29" s="1935">
        <f>IF(CD29&gt;0,(CD29-INT(CD29/local_data_input!$H12)*local_data_input!$H12)*local_data_input!$I12+INT(CD29/local_data_input!$H12)*local_data_input!$H12*local_data_input!$J12,(CD29-INT(-CD29/local_data_input!$H12)*-local_data_input!$H12)*local_data_input!$I12+INT(-CD29/local_data_input!$H12)*-local_data_input!$H12*local_data_input!$J12)</f>
        <v>-1674.4709462076089</v>
      </c>
      <c r="CG29" s="1554"/>
      <c r="CH29" s="1932">
        <f>IR_in_CH!F47</f>
        <v>0</v>
      </c>
      <c r="CI29" s="771">
        <f t="shared" si="13"/>
        <v>0</v>
      </c>
      <c r="CJ29" s="1072">
        <f>CI29*local_data_input!$C12</f>
        <v>0</v>
      </c>
      <c r="CK29" s="1935">
        <f>IF(CI29&gt;0,(CI29-INT(CI29/local_data_input!$H12)*local_data_input!$H12)*local_data_input!$I12+INT(CI29/local_data_input!$H12)*local_data_input!$H12*local_data_input!$J12,(CI29-INT(-CI29/local_data_input!$H12)*-local_data_input!$H12)*local_data_input!$I12+INT(-CI29/local_data_input!$H12)*-local_data_input!$H12*local_data_input!$J12)</f>
        <v>0</v>
      </c>
      <c r="CL29" s="1554"/>
      <c r="CM29" s="1932"/>
      <c r="CN29" s="771">
        <f t="shared" si="14"/>
        <v>0</v>
      </c>
      <c r="CO29" s="1072">
        <f>CN29*local_data_input!$C12</f>
        <v>0</v>
      </c>
      <c r="CP29" s="1935">
        <f>IF(CN29&gt;0,(CN29-INT(CN29/local_data_input!$H12)*local_data_input!$H12)*local_data_input!$I12+INT(CN29/local_data_input!$H12)*local_data_input!$H12*local_data_input!$J12,(CN29-INT(-CN29/local_data_input!$H12)*-local_data_input!$H12)*local_data_input!$I12+INT(-CN29/local_data_input!$H12)*-local_data_input!$H12*local_data_input!$J12)</f>
        <v>0</v>
      </c>
      <c r="CQ29" s="1554"/>
      <c r="CR29" s="1932"/>
      <c r="CS29" s="1927">
        <f t="shared" si="23"/>
        <v>0</v>
      </c>
      <c r="CT29" s="1072">
        <f>CS29*local_data_input!$C12</f>
        <v>0</v>
      </c>
      <c r="CU29" s="1935">
        <f>IF(CS29&gt;0,(CS29-INT(CS29/local_data_input!$H12)*local_data_input!$H12)*local_data_input!$I12+INT(CS29/local_data_input!$H12)*local_data_input!$H12*local_data_input!$J12,(CS29-INT(-CS29/local_data_input!$H12)*-local_data_input!$H12)*local_data_input!$I12+INT(-CS29/local_data_input!$H12)*-local_data_input!$H12*local_data_input!$J12)</f>
        <v>0</v>
      </c>
      <c r="CV29" s="1554"/>
      <c r="CW29" s="1932"/>
      <c r="CX29" s="771">
        <f t="shared" si="15"/>
        <v>0</v>
      </c>
      <c r="CY29" s="1072">
        <f>CX29*local_data_input!$C12</f>
        <v>0</v>
      </c>
      <c r="CZ29" s="1935">
        <f>IF(CX29&gt;0,(CX29-INT(CX29/local_data_input!$H12)*local_data_input!$H12)*local_data_input!$I12+INT(CX29/local_data_input!$H12)*local_data_input!$H12*local_data_input!$J12,(CX29-INT(-CX29/local_data_input!$H12)*-local_data_input!$H12)*local_data_input!$I12+INT(-CX29/local_data_input!$H12)*-local_data_input!$H12*local_data_input!$J12)</f>
        <v>0</v>
      </c>
      <c r="DA29" s="1554"/>
      <c r="DB29" s="1932"/>
      <c r="DC29" s="771">
        <f t="shared" si="16"/>
        <v>0</v>
      </c>
      <c r="DD29" s="1072">
        <f>DC29*local_data_input!$C12</f>
        <v>0</v>
      </c>
      <c r="DE29" s="1935">
        <f>IF(DC29&gt;0,(DC29-INT(DC29/local_data_input!$H12)*local_data_input!$H12)*local_data_input!$I12+INT(DC29/local_data_input!$H12)*local_data_input!$H12*local_data_input!$J12,(DC29-INT(-DC29/local_data_input!$H12)*-local_data_input!$H12)*local_data_input!$I12+INT(-DC29/local_data_input!$H12)*-local_data_input!$H12*local_data_input!$J12)</f>
        <v>0</v>
      </c>
      <c r="DF29" s="1554"/>
      <c r="DG29" s="1932"/>
      <c r="DH29" s="771">
        <f t="shared" si="17"/>
        <v>0</v>
      </c>
      <c r="DI29" s="1072">
        <f>DH29*local_data_input!$C12</f>
        <v>0</v>
      </c>
      <c r="DJ29" s="1935">
        <f>IF(DH29&gt;0,(DH29-INT(DH29/local_data_input!$H12)*local_data_input!$H12)*local_data_input!$I12+INT(DH29/local_data_input!$H12)*local_data_input!$H12*local_data_input!$J12,(DH29-INT(-DH29/local_data_input!$H12)*-local_data_input!$H12)*local_data_input!$I12+INT(-DH29/local_data_input!$H12)*-local_data_input!$H12*local_data_input!$J12)</f>
        <v>0</v>
      </c>
      <c r="DK29" s="1554"/>
      <c r="DL29" s="1932"/>
      <c r="DM29" s="771">
        <f t="shared" si="18"/>
        <v>0</v>
      </c>
      <c r="DN29" s="1072">
        <f>DM29*local_data_input!$C12</f>
        <v>0</v>
      </c>
      <c r="DO29" s="1935">
        <f>IF(DM29&gt;0,(DM29-INT(DM29/local_data_input!$H12)*local_data_input!$H12)*local_data_input!$I12+INT(DM29/local_data_input!$H12)*local_data_input!$H12*local_data_input!$J12,(DM29-INT(-DM29/local_data_input!$H12)*-local_data_input!$H12)*local_data_input!$I12+INT(-DM29/local_data_input!$H12)*-local_data_input!$H12*local_data_input!$J12)</f>
        <v>0</v>
      </c>
      <c r="DP29" s="1554"/>
    </row>
    <row r="30" spans="2:120" s="1119" customFormat="1">
      <c r="B30" s="1613"/>
      <c r="C30" s="1613" t="s">
        <v>602</v>
      </c>
      <c r="D30" s="1120"/>
      <c r="E30" s="771">
        <f t="shared" si="0"/>
        <v>0</v>
      </c>
      <c r="F30" s="1927">
        <f>E30-SIGN(E30)*INT(ABS(E30)/local_data_input!H13)*local_data_input!H13</f>
        <v>0</v>
      </c>
      <c r="G30" s="1935">
        <f>E30*local_data_input!$C13</f>
        <v>0</v>
      </c>
      <c r="H30" s="1072">
        <f t="shared" si="1"/>
        <v>0</v>
      </c>
      <c r="I30" s="1935">
        <f>IF(E30&gt;0,(E30-INT(E30/local_data_input!$H13)*local_data_input!$H13)*local_data_input!$I13+INT(E30/local_data_input!$H13)*local_data_input!$H13*local_data_input!$J13,(E30-INT(-E30/local_data_input!$H13)*-local_data_input!$H13)*local_data_input!$I13+INT(-E30/local_data_input!$H13)*-local_data_input!$H13*local_data_input!$J13)</f>
        <v>0</v>
      </c>
      <c r="J30" s="1554"/>
      <c r="K30" s="1932"/>
      <c r="L30" s="771">
        <f t="shared" si="2"/>
        <v>0</v>
      </c>
      <c r="M30" s="1935">
        <f>L30*local_data_input!$C13</f>
        <v>0</v>
      </c>
      <c r="N30" s="1935">
        <f>IF(L30&gt;0,(L30-INT(L30/local_data_input!$H13)*local_data_input!$H13)*local_data_input!$I13+INT(L30/local_data_input!$H13)*local_data_input!$H13*local_data_input!$J13,(L30-INT(-L30/local_data_input!$H13)*-local_data_input!$H13)*local_data_input!$I13+INT(-L30/local_data_input!$H13)*-local_data_input!$H13*local_data_input!$J13)</f>
        <v>0</v>
      </c>
      <c r="O30" s="1554"/>
      <c r="P30" s="1934"/>
      <c r="Q30" s="771">
        <f t="shared" si="3"/>
        <v>0</v>
      </c>
      <c r="R30" s="1072">
        <f>Q30*local_data_input!$C13</f>
        <v>0</v>
      </c>
      <c r="S30" s="1935">
        <f>IF(Q30&gt;0,(Q30-INT(Q30/local_data_input!$H13)*local_data_input!$H13)*local_data_input!$I13+INT(Q30/local_data_input!$H13)*local_data_input!$H13*local_data_input!$J13,(Q30-INT(-Q30/local_data_input!$H13)*-local_data_input!$H13)*local_data_input!$I13+INT(-Q30/local_data_input!$H13)*-local_data_input!$H13*local_data_input!$J13)</f>
        <v>0</v>
      </c>
      <c r="T30" s="1554"/>
      <c r="U30" s="1932"/>
      <c r="V30" s="771">
        <f t="shared" si="19"/>
        <v>0</v>
      </c>
      <c r="W30" s="1072">
        <f>V30*local_data_input!$C13</f>
        <v>0</v>
      </c>
      <c r="X30" s="1935">
        <f>IF(V30&gt;0,(V30-INT(V30/local_data_input!$H13)*local_data_input!$H13)*local_data_input!$I13+INT(V30/local_data_input!$H13)*local_data_input!$H13*local_data_input!$J13,(V30-INT(-V30/local_data_input!$H13)*-local_data_input!$H13)*local_data_input!$I13+INT(-V30/local_data_input!$H13)*-local_data_input!$H13*local_data_input!$J13)</f>
        <v>0</v>
      </c>
      <c r="Y30" s="1554"/>
      <c r="Z30" s="1932"/>
      <c r="AA30" s="771">
        <f t="shared" si="20"/>
        <v>0</v>
      </c>
      <c r="AB30" s="1072">
        <f>AA30*local_data_input!$C13</f>
        <v>0</v>
      </c>
      <c r="AC30" s="1935">
        <f>IF(AA30&gt;0,(AA30-INT(AA30/local_data_input!$H13)*local_data_input!$H13)*local_data_input!$I13+INT(AA30/local_data_input!$H13)*local_data_input!$H13*local_data_input!$J13,(AA30-INT(-AA30/local_data_input!$H13)*-local_data_input!$H13)*local_data_input!$I13+INT(-AA30/local_data_input!$H13)*-local_data_input!$H13*local_data_input!$J13)</f>
        <v>0</v>
      </c>
      <c r="AD30" s="1554"/>
      <c r="AE30" s="1932"/>
      <c r="AF30" s="771">
        <f t="shared" si="4"/>
        <v>0</v>
      </c>
      <c r="AG30" s="1072">
        <f>AF30*local_data_input!$C13</f>
        <v>0</v>
      </c>
      <c r="AH30" s="1935">
        <f>IF(AF30&gt;0,(AF30-INT(AF30/local_data_input!$H13)*local_data_input!$H13)*local_data_input!$I13+INT(AF30/local_data_input!$H13)*local_data_input!$H13*local_data_input!$J13,(AF30-INT(-AF30/local_data_input!$H13)*-local_data_input!$H13)*local_data_input!$I13+INT(-AF30/local_data_input!$H13)*-local_data_input!$H13*local_data_input!$J13)</f>
        <v>0</v>
      </c>
      <c r="AI30" s="1554"/>
      <c r="AJ30" s="1932"/>
      <c r="AK30" s="771">
        <f t="shared" si="21"/>
        <v>0</v>
      </c>
      <c r="AL30" s="1072">
        <f>AK30*local_data_input!$C13</f>
        <v>0</v>
      </c>
      <c r="AM30" s="1935">
        <f>IF(AK30&gt;0,(AK30-INT(AK30/local_data_input!$H13)*local_data_input!$H13)*local_data_input!$I13+INT(AK30/local_data_input!$H13)*local_data_input!$H13*local_data_input!$J13,(AK30-INT(-AK30/local_data_input!$H13)*-local_data_input!$H13)*local_data_input!$I13+INT(-AK30/local_data_input!$H13)*-local_data_input!$H13*local_data_input!$J13)</f>
        <v>0</v>
      </c>
      <c r="AN30" s="1554"/>
      <c r="AO30" s="1932"/>
      <c r="AP30" s="771">
        <f t="shared" si="5"/>
        <v>0</v>
      </c>
      <c r="AQ30" s="1072">
        <f>AP30*local_data_input!$C13</f>
        <v>0</v>
      </c>
      <c r="AR30" s="1935">
        <f>IF(AP30&gt;0,(AP30-INT(AP30/local_data_input!$H13)*local_data_input!$H13)*local_data_input!$I13+INT(AP30/local_data_input!$H13)*local_data_input!$H13*local_data_input!$J13,(AP30-INT(-AP30/local_data_input!$H13)*-local_data_input!$H13)*local_data_input!$I13+INT(-AP30/local_data_input!$H13)*-local_data_input!$H13*local_data_input!$J13)</f>
        <v>0</v>
      </c>
      <c r="AS30" s="1554"/>
      <c r="AT30" s="1932"/>
      <c r="AU30" s="771">
        <f t="shared" si="6"/>
        <v>0</v>
      </c>
      <c r="AV30" s="1072">
        <f>AU30*local_data_input!$C13</f>
        <v>0</v>
      </c>
      <c r="AW30" s="1935">
        <f>IF(AU30&gt;0,(AU30-INT(AU30/local_data_input!$H13)*local_data_input!$H13)*local_data_input!$I13+INT(AU30/local_data_input!$H13)*local_data_input!$H13*local_data_input!$J13,(AU30-INT(-AU30/local_data_input!$H13)*-local_data_input!$H13)*local_data_input!$I13+INT(-AU30/local_data_input!$H13)*-local_data_input!$H13*local_data_input!$J13)</f>
        <v>0</v>
      </c>
      <c r="AX30" s="1554"/>
      <c r="AY30" s="1932"/>
      <c r="AZ30" s="771">
        <f t="shared" si="7"/>
        <v>0</v>
      </c>
      <c r="BA30" s="1072">
        <f>AZ30*local_data_input!$C13</f>
        <v>0</v>
      </c>
      <c r="BB30" s="1935">
        <f>IF(AZ30&gt;0,(AZ30-INT(AZ30/local_data_input!$H13)*local_data_input!$H13)*local_data_input!$I13+INT(AZ30/local_data_input!$H13)*local_data_input!$H13*local_data_input!$J13,(AZ30-INT(-AZ30/local_data_input!$H13)*-local_data_input!$H13)*local_data_input!$I13+INT(-AZ30/local_data_input!$H13)*-local_data_input!$H13*local_data_input!$J13)</f>
        <v>0</v>
      </c>
      <c r="BC30" s="1554"/>
      <c r="BD30" s="1932"/>
      <c r="BE30" s="771">
        <f t="shared" si="8"/>
        <v>0</v>
      </c>
      <c r="BF30" s="1072">
        <f>BE30*local_data_input!$C13</f>
        <v>0</v>
      </c>
      <c r="BG30" s="1935">
        <f>IF(BE30&gt;0,(BE30-INT(BE30/local_data_input!$H13)*local_data_input!$H13)*local_data_input!$I13+INT(BE30/local_data_input!$H13)*local_data_input!$H13*local_data_input!$J13,(BE30-INT(-BE30/local_data_input!$H13)*-local_data_input!$H13)*local_data_input!$I13+INT(-BE30/local_data_input!$H13)*-local_data_input!$H13*local_data_input!$J13)</f>
        <v>0</v>
      </c>
      <c r="BH30" s="1554"/>
      <c r="BI30" s="1932"/>
      <c r="BJ30" s="771">
        <f t="shared" si="22"/>
        <v>0</v>
      </c>
      <c r="BK30" s="1072">
        <f>BJ30*local_data_input!$C13</f>
        <v>0</v>
      </c>
      <c r="BL30" s="1935">
        <f>IF(BJ30&gt;0,(BJ30-INT(BJ30/local_data_input!$H13)*local_data_input!$H13)*local_data_input!$I13+INT(BJ30/local_data_input!$H13)*local_data_input!$H13*local_data_input!$J13,(BJ30-INT(-BJ30/local_data_input!$H13)*-local_data_input!$H13)*local_data_input!$I13+INT(-BJ30/local_data_input!$H13)*-local_data_input!$H13*local_data_input!$J13)</f>
        <v>0</v>
      </c>
      <c r="BM30" s="1554"/>
      <c r="BN30" s="1932"/>
      <c r="BO30" s="771">
        <f t="shared" si="9"/>
        <v>0</v>
      </c>
      <c r="BP30" s="1072">
        <f>BO30*local_data_input!$C13</f>
        <v>0</v>
      </c>
      <c r="BQ30" s="1935">
        <f>IF(BO30&gt;0,(BO30-INT(BO30/local_data_input!$H13)*local_data_input!$H13)*local_data_input!$I13+INT(BO30/local_data_input!$H13)*local_data_input!$H13*local_data_input!$J13,(BO30-INT(-BO30/local_data_input!$H13)*-local_data_input!$H13)*local_data_input!$I13+INT(-BO30/local_data_input!$H13)*-local_data_input!$H13*local_data_input!$J13)</f>
        <v>0</v>
      </c>
      <c r="BR30" s="1554"/>
      <c r="BS30" s="1932"/>
      <c r="BT30" s="771">
        <f t="shared" si="10"/>
        <v>0</v>
      </c>
      <c r="BU30" s="1072">
        <f>BT30*local_data_input!$C13</f>
        <v>0</v>
      </c>
      <c r="BV30" s="1935">
        <f>IF(BT30&gt;0,(BT30-INT(BT30/local_data_input!$H13)*local_data_input!$H13)*local_data_input!$I13+INT(BT30/local_data_input!$H13)*local_data_input!$H13*local_data_input!$J13,(BT30-INT(-BT30/local_data_input!$H13)*-local_data_input!$H13)*local_data_input!$I13+INT(-BT30/local_data_input!$H13)*-local_data_input!$H13*local_data_input!$J13)</f>
        <v>0</v>
      </c>
      <c r="BW30" s="1079"/>
      <c r="BX30" s="1932"/>
      <c r="BY30" s="771">
        <f t="shared" si="11"/>
        <v>0</v>
      </c>
      <c r="BZ30" s="1072">
        <f>BY30*local_data_input!$C13</f>
        <v>0</v>
      </c>
      <c r="CA30" s="1935">
        <f>IF(BY30&gt;0,(BY30-INT(BY30/local_data_input!$H13)*local_data_input!$H13)*local_data_input!$I13+INT(BY30/local_data_input!$H13)*local_data_input!$H13*local_data_input!$J13,(BY30-INT(-BY30/local_data_input!$H13)*-local_data_input!$H13)*local_data_input!$I13+INT(-BY30/local_data_input!$H13)*-local_data_input!$H13*local_data_input!$J13)</f>
        <v>0</v>
      </c>
      <c r="CB30" s="1554"/>
      <c r="CC30" s="1932"/>
      <c r="CD30" s="771">
        <f t="shared" si="12"/>
        <v>0</v>
      </c>
      <c r="CE30" s="1072">
        <f>CD30*local_data_input!$C13</f>
        <v>0</v>
      </c>
      <c r="CF30" s="1935">
        <f>IF(CD30&gt;0,(CD30-INT(CD30/local_data_input!$H13)*local_data_input!$H13)*local_data_input!$I13+INT(CD30/local_data_input!$H13)*local_data_input!$H13*local_data_input!$J13,(CD30-INT(-CD30/local_data_input!$H13)*-local_data_input!$H13)*local_data_input!$I13+INT(-CD30/local_data_input!$H13)*-local_data_input!$H13*local_data_input!$J13)</f>
        <v>0</v>
      </c>
      <c r="CG30" s="1554"/>
      <c r="CH30" s="1932"/>
      <c r="CI30" s="771">
        <f t="shared" si="13"/>
        <v>0</v>
      </c>
      <c r="CJ30" s="1072">
        <f>CI30*local_data_input!$C13</f>
        <v>0</v>
      </c>
      <c r="CK30" s="1935">
        <f>IF(CI30&gt;0,(CI30-INT(CI30/local_data_input!$H13)*local_data_input!$H13)*local_data_input!$I13+INT(CI30/local_data_input!$H13)*local_data_input!$H13*local_data_input!$J13,(CI30-INT(-CI30/local_data_input!$H13)*-local_data_input!$H13)*local_data_input!$I13+INT(-CI30/local_data_input!$H13)*-local_data_input!$H13*local_data_input!$J13)</f>
        <v>0</v>
      </c>
      <c r="CL30" s="1554"/>
      <c r="CM30" s="1932"/>
      <c r="CN30" s="771">
        <f t="shared" si="14"/>
        <v>0</v>
      </c>
      <c r="CO30" s="1072">
        <f>CN30*local_data_input!$C13</f>
        <v>0</v>
      </c>
      <c r="CP30" s="1935">
        <f>IF(CN30&gt;0,(CN30-INT(CN30/local_data_input!$H13)*local_data_input!$H13)*local_data_input!$I13+INT(CN30/local_data_input!$H13)*local_data_input!$H13*local_data_input!$J13,(CN30-INT(-CN30/local_data_input!$H13)*-local_data_input!$H13)*local_data_input!$I13+INT(-CN30/local_data_input!$H13)*-local_data_input!$H13*local_data_input!$J13)</f>
        <v>0</v>
      </c>
      <c r="CQ30" s="1554"/>
      <c r="CR30" s="1932"/>
      <c r="CS30" s="1927"/>
      <c r="CT30" s="1072">
        <f>CS30*local_data_input!$C13</f>
        <v>0</v>
      </c>
      <c r="CU30" s="1935">
        <f>IF(CS30&gt;0,(CS30-INT(CS30/local_data_input!$H13)*local_data_input!$H13)*local_data_input!$I13+INT(CS30/local_data_input!$H13)*local_data_input!$H13*local_data_input!$J13,(CS30-INT(-CS30/local_data_input!$H13)*-local_data_input!$H13)*local_data_input!$I13+INT(-CS30/local_data_input!$H13)*-local_data_input!$H13*local_data_input!$J13)</f>
        <v>0</v>
      </c>
      <c r="CV30" s="1554"/>
      <c r="CW30" s="1932"/>
      <c r="CX30" s="771">
        <f t="shared" si="15"/>
        <v>0</v>
      </c>
      <c r="CY30" s="1072">
        <f>CX30*local_data_input!$C13</f>
        <v>0</v>
      </c>
      <c r="CZ30" s="1935">
        <f>IF(CX30&gt;0,(CX30-INT(CX30/local_data_input!$H13)*local_data_input!$H13)*local_data_input!$I13+INT(CX30/local_data_input!$H13)*local_data_input!$H13*local_data_input!$J13,(CX30-INT(-CX30/local_data_input!$H13)*-local_data_input!$H13)*local_data_input!$I13+INT(-CX30/local_data_input!$H13)*-local_data_input!$H13*local_data_input!$J13)</f>
        <v>0</v>
      </c>
      <c r="DA30" s="1554"/>
      <c r="DB30" s="1932"/>
      <c r="DC30" s="771">
        <f t="shared" si="16"/>
        <v>0</v>
      </c>
      <c r="DD30" s="1072">
        <f>DC30*local_data_input!$C13</f>
        <v>0</v>
      </c>
      <c r="DE30" s="1935">
        <f>IF(DC30&gt;0,(DC30-INT(DC30/local_data_input!$H13)*local_data_input!$H13)*local_data_input!$I13+INT(DC30/local_data_input!$H13)*local_data_input!$H13*local_data_input!$J13,(DC30-INT(-DC30/local_data_input!$H13)*-local_data_input!$H13)*local_data_input!$I13+INT(-DC30/local_data_input!$H13)*-local_data_input!$H13*local_data_input!$J13)</f>
        <v>0</v>
      </c>
      <c r="DF30" s="1554"/>
      <c r="DG30" s="1932"/>
      <c r="DH30" s="771">
        <f t="shared" si="17"/>
        <v>0</v>
      </c>
      <c r="DI30" s="1072">
        <f>DH30*local_data_input!$C13</f>
        <v>0</v>
      </c>
      <c r="DJ30" s="1935">
        <f>IF(DH30&gt;0,(DH30-INT(DH30/local_data_input!$H13)*local_data_input!$H13)*local_data_input!$I13+INT(DH30/local_data_input!$H13)*local_data_input!$H13*local_data_input!$J13,(DH30-INT(-DH30/local_data_input!$H13)*-local_data_input!$H13)*local_data_input!$I13+INT(-DH30/local_data_input!$H13)*-local_data_input!$H13*local_data_input!$J13)</f>
        <v>0</v>
      </c>
      <c r="DK30" s="1554"/>
      <c r="DL30" s="1932"/>
      <c r="DM30" s="771">
        <f t="shared" si="18"/>
        <v>0</v>
      </c>
      <c r="DN30" s="1072">
        <f>DM30*local_data_input!$C13</f>
        <v>0</v>
      </c>
      <c r="DO30" s="1935">
        <f>IF(DM30&gt;0,(DM30-INT(DM30/local_data_input!$H13)*local_data_input!$H13)*local_data_input!$I13+INT(DM30/local_data_input!$H13)*local_data_input!$H13*local_data_input!$J13,(DM30-INT(-DM30/local_data_input!$H13)*-local_data_input!$H13)*local_data_input!$I13+INT(-DM30/local_data_input!$H13)*-local_data_input!$H13*local_data_input!$J13)</f>
        <v>0</v>
      </c>
      <c r="DP30" s="1554"/>
    </row>
    <row r="31" spans="2:120" s="1119" customFormat="1">
      <c r="B31" s="1613"/>
      <c r="C31" s="1613" t="s">
        <v>76</v>
      </c>
      <c r="D31" s="1120"/>
      <c r="E31" s="771">
        <f t="shared" si="0"/>
        <v>-866.04357425156422</v>
      </c>
      <c r="F31" s="1927">
        <f>E31-SIGN(E31)*INT(ABS(E31)/local_data_input!H14)*local_data_input!H14</f>
        <v>-866.04357425156422</v>
      </c>
      <c r="G31" s="1935">
        <f>E31*local_data_input!$C14</f>
        <v>-155742.01614019342</v>
      </c>
      <c r="H31" s="1072">
        <f t="shared" si="1"/>
        <v>-13989.634876672651</v>
      </c>
      <c r="I31" s="1935">
        <f>IF(E31&gt;0,(E31-INT(E31/local_data_input!$H14)*local_data_input!$H14)*local_data_input!$I14+INT(E31/local_data_input!$H14)*local_data_input!$H14*local_data_input!$J14,(E31-INT(-E31/local_data_input!$H14)*-local_data_input!$H14)*local_data_input!$I14+INT(-E31/local_data_input!$H14)*-local_data_input!$H14*local_data_input!$J14)</f>
        <v>-13989.634876672641</v>
      </c>
      <c r="J31" s="1554"/>
      <c r="K31" s="1932">
        <f>hear_and_treat!F57</f>
        <v>0.1</v>
      </c>
      <c r="L31" s="771">
        <f t="shared" si="2"/>
        <v>917.44139832955284</v>
      </c>
      <c r="M31" s="1935">
        <f>L31*local_data_input!$C14</f>
        <v>164984.96994196106</v>
      </c>
      <c r="N31" s="1935">
        <f>IF(L31&gt;0,(L31-INT(L31/local_data_input!$H14)*local_data_input!$H14)*local_data_input!$I14+INT(L31/local_data_input!$H14)*local_data_input!$H14*local_data_input!$J14,(L31-INT(-L31/local_data_input!$H14)*-local_data_input!$H14)*local_data_input!$I14+INT(-L31/local_data_input!$H14)*-local_data_input!$H14*local_data_input!$J14)</f>
        <v>14819.889627916429</v>
      </c>
      <c r="O31" s="1554"/>
      <c r="P31" s="1934"/>
      <c r="Q31" s="771">
        <f t="shared" si="3"/>
        <v>0</v>
      </c>
      <c r="R31" s="1072">
        <f>Q31*local_data_input!$C14</f>
        <v>0</v>
      </c>
      <c r="S31" s="1935">
        <f>IF(Q31&gt;0,(Q31-INT(Q31/local_data_input!$H14)*local_data_input!$H14)*local_data_input!$I14+INT(Q31/local_data_input!$H14)*local_data_input!$H14*local_data_input!$J14,(Q31-INT(-Q31/local_data_input!$H14)*-local_data_input!$H14)*local_data_input!$I14+INT(-Q31/local_data_input!$H14)*-local_data_input!$H14*local_data_input!$J14)</f>
        <v>0</v>
      </c>
      <c r="T31" s="1554"/>
      <c r="U31" s="1932">
        <f>Clinical_advisor_consultations!F54</f>
        <v>0.04</v>
      </c>
      <c r="V31" s="771">
        <f t="shared" si="19"/>
        <v>1140.2485950667299</v>
      </c>
      <c r="W31" s="1072">
        <f>V31*local_data_input!$C14</f>
        <v>205052.74835643731</v>
      </c>
      <c r="X31" s="1935">
        <f>IF(V31&gt;0,(V31-INT(V31/local_data_input!$H14)*local_data_input!$H14)*local_data_input!$I14+INT(V31/local_data_input!$H14)*local_data_input!$H14*local_data_input!$J14,(V31-INT(-V31/local_data_input!$H14)*-local_data_input!$H14)*local_data_input!$I14+INT(-V31/local_data_input!$H14)*-local_data_input!$H14*local_data_input!$J14)</f>
        <v>18419.005680410417</v>
      </c>
      <c r="Y31" s="1554"/>
      <c r="Z31" s="1932"/>
      <c r="AA31" s="771">
        <f t="shared" si="20"/>
        <v>0</v>
      </c>
      <c r="AB31" s="1072">
        <f>AA31*local_data_input!$C14</f>
        <v>0</v>
      </c>
      <c r="AC31" s="1935">
        <f>IF(AA31&gt;0,(AA31-INT(AA31/local_data_input!$H14)*local_data_input!$H14)*local_data_input!$I14+INT(AA31/local_data_input!$H14)*local_data_input!$H14*local_data_input!$J14,(AA31-INT(-AA31/local_data_input!$H14)*-local_data_input!$H14)*local_data_input!$I14+INT(-AA31/local_data_input!$H14)*-local_data_input!$H14*local_data_input!$J14)</f>
        <v>0</v>
      </c>
      <c r="AD31" s="1554"/>
      <c r="AE31" s="1932"/>
      <c r="AF31" s="771">
        <f t="shared" si="4"/>
        <v>0</v>
      </c>
      <c r="AG31" s="1072">
        <f>AF31*local_data_input!$C14</f>
        <v>0</v>
      </c>
      <c r="AH31" s="1935">
        <f>IF(AF31&gt;0,(AF31-INT(AF31/local_data_input!$H14)*local_data_input!$H14)*local_data_input!$I14+INT(AF31/local_data_input!$H14)*local_data_input!$H14*local_data_input!$J14,(AF31-INT(-AF31/local_data_input!$H14)*-local_data_input!$H14)*local_data_input!$I14+INT(-AF31/local_data_input!$H14)*-local_data_input!$H14*local_data_input!$J14)</f>
        <v>0</v>
      </c>
      <c r="AI31" s="1554"/>
      <c r="AJ31" s="1932"/>
      <c r="AK31" s="771">
        <f t="shared" si="21"/>
        <v>0</v>
      </c>
      <c r="AL31" s="1072">
        <f>AK31*local_data_input!$C14</f>
        <v>0</v>
      </c>
      <c r="AM31" s="1935">
        <f>IF(AK31&gt;0,(AK31-INT(AK31/local_data_input!$H14)*local_data_input!$H14)*local_data_input!$I14+INT(AK31/local_data_input!$H14)*local_data_input!$H14*local_data_input!$J14,(AK31-INT(-AK31/local_data_input!$H14)*-local_data_input!$H14)*local_data_input!$I14+INT(-AK31/local_data_input!$H14)*-local_data_input!$H14*local_data_input!$J14)</f>
        <v>0</v>
      </c>
      <c r="AN31" s="1554"/>
      <c r="AO31" s="1932"/>
      <c r="AP31" s="771">
        <f t="shared" si="5"/>
        <v>0</v>
      </c>
      <c r="AQ31" s="1072">
        <f>AP31*local_data_input!$C14</f>
        <v>0</v>
      </c>
      <c r="AR31" s="1935">
        <f>IF(AP31&gt;0,(AP31-INT(AP31/local_data_input!$H14)*local_data_input!$H14)*local_data_input!$I14+INT(AP31/local_data_input!$H14)*local_data_input!$H14*local_data_input!$J14,(AP31-INT(-AP31/local_data_input!$H14)*-local_data_input!$H14)*local_data_input!$I14+INT(-AP31/local_data_input!$H14)*-local_data_input!$H14*local_data_input!$J14)</f>
        <v>0</v>
      </c>
      <c r="AS31" s="1554"/>
      <c r="AT31" s="1932"/>
      <c r="AU31" s="771">
        <f t="shared" si="6"/>
        <v>0</v>
      </c>
      <c r="AV31" s="1072">
        <f>AU31*local_data_input!$C14</f>
        <v>0</v>
      </c>
      <c r="AW31" s="1935">
        <f>IF(AU31&gt;0,(AU31-INT(AU31/local_data_input!$H14)*local_data_input!$H14)*local_data_input!$I14+INT(AU31/local_data_input!$H14)*local_data_input!$H14*local_data_input!$J14,(AU31-INT(-AU31/local_data_input!$H14)*-local_data_input!$H14)*local_data_input!$I14+INT(-AU31/local_data_input!$H14)*-local_data_input!$H14*local_data_input!$J14)</f>
        <v>0</v>
      </c>
      <c r="AX31" s="1554"/>
      <c r="AY31" s="1932"/>
      <c r="AZ31" s="771">
        <f t="shared" si="7"/>
        <v>0</v>
      </c>
      <c r="BA31" s="1072">
        <f>AZ31*local_data_input!$C14</f>
        <v>0</v>
      </c>
      <c r="BB31" s="1935">
        <f>IF(AZ31&gt;0,(AZ31-INT(AZ31/local_data_input!$H14)*local_data_input!$H14)*local_data_input!$I14+INT(AZ31/local_data_input!$H14)*local_data_input!$H14*local_data_input!$J14,(AZ31-INT(-AZ31/local_data_input!$H14)*-local_data_input!$H14)*local_data_input!$I14+INT(-AZ31/local_data_input!$H14)*-local_data_input!$H14*local_data_input!$J14)</f>
        <v>0</v>
      </c>
      <c r="BC31" s="1554"/>
      <c r="BD31" s="1932"/>
      <c r="BE31" s="771">
        <f t="shared" si="8"/>
        <v>0</v>
      </c>
      <c r="BF31" s="1072">
        <f>BE31*local_data_input!$C14</f>
        <v>0</v>
      </c>
      <c r="BG31" s="1935">
        <f>IF(BE31&gt;0,(BE31-INT(BE31/local_data_input!$H14)*local_data_input!$H14)*local_data_input!$I14+INT(BE31/local_data_input!$H14)*local_data_input!$H14*local_data_input!$J14,(BE31-INT(-BE31/local_data_input!$H14)*-local_data_input!$H14)*local_data_input!$I14+INT(-BE31/local_data_input!$H14)*-local_data_input!$H14*local_data_input!$J14)</f>
        <v>0</v>
      </c>
      <c r="BH31" s="1554"/>
      <c r="BI31" s="1932"/>
      <c r="BJ31" s="771">
        <f t="shared" si="22"/>
        <v>0</v>
      </c>
      <c r="BK31" s="1072">
        <f>BJ31*local_data_input!$C14</f>
        <v>0</v>
      </c>
      <c r="BL31" s="1935">
        <f>IF(BJ31&gt;0,(BJ31-INT(BJ31/local_data_input!$H14)*local_data_input!$H14)*local_data_input!$I14+INT(BJ31/local_data_input!$H14)*local_data_input!$H14*local_data_input!$J14,(BJ31-INT(-BJ31/local_data_input!$H14)*-local_data_input!$H14)*local_data_input!$I14+INT(-BJ31/local_data_input!$H14)*-local_data_input!$H14*local_data_input!$J14)</f>
        <v>0</v>
      </c>
      <c r="BM31" s="1554"/>
      <c r="BN31" s="1932"/>
      <c r="BO31" s="771">
        <f t="shared" si="9"/>
        <v>0</v>
      </c>
      <c r="BP31" s="1072">
        <f>BO31*local_data_input!$C14</f>
        <v>0</v>
      </c>
      <c r="BQ31" s="1935">
        <f>IF(BO31&gt;0,(BO31-INT(BO31/local_data_input!$H14)*local_data_input!$H14)*local_data_input!$I14+INT(BO31/local_data_input!$H14)*local_data_input!$H14*local_data_input!$J14,(BO31-INT(-BO31/local_data_input!$H14)*-local_data_input!$H14)*local_data_input!$I14+INT(-BO31/local_data_input!$H14)*-local_data_input!$H14*local_data_input!$J14)</f>
        <v>0</v>
      </c>
      <c r="BR31" s="1554"/>
      <c r="BS31" s="1932"/>
      <c r="BT31" s="771">
        <f t="shared" si="10"/>
        <v>0</v>
      </c>
      <c r="BU31" s="1072">
        <f>BT31*local_data_input!$C14</f>
        <v>0</v>
      </c>
      <c r="BV31" s="1935">
        <f>IF(BT31&gt;0,(BT31-INT(BT31/local_data_input!$H14)*local_data_input!$H14)*local_data_input!$I14+INT(BT31/local_data_input!$H14)*local_data_input!$H14*local_data_input!$J14,(BT31-INT(-BT31/local_data_input!$H14)*-local_data_input!$H14)*local_data_input!$I14+INT(-BT31/local_data_input!$H14)*-local_data_input!$H14*local_data_input!$J14)</f>
        <v>0</v>
      </c>
      <c r="BW31" s="1079"/>
      <c r="BX31" s="1932">
        <f>IR_in_AS!D49</f>
        <v>-0.7</v>
      </c>
      <c r="BY31" s="771">
        <f t="shared" ref="BY31:BY37" si="24">IF(ISERROR(BX31*BX$13),"",(BX31*BX$13))</f>
        <v>-5141.3281206778911</v>
      </c>
      <c r="BZ31" s="1072">
        <f>BY31*local_data_input!$C14</f>
        <v>-924573.34822284221</v>
      </c>
      <c r="CA31" s="1935">
        <f>IF(BY31&gt;0,(BY31-INT(BY31/local_data_input!$H14)*local_data_input!$H14)*local_data_input!$I14+INT(BY31/local_data_input!$H14)*local_data_input!$H14*local_data_input!$J14,(BY31-INT(-BY31/local_data_input!$H14)*-local_data_input!$H14)*local_data_input!$I14+INT(-BY31/local_data_input!$H14)*-local_data_input!$H14*local_data_input!$J14)</f>
        <v>-83050.443797370302</v>
      </c>
      <c r="CB31" s="1554"/>
      <c r="CC31" s="1932">
        <f>IR_in_ED!D49</f>
        <v>0</v>
      </c>
      <c r="CD31" s="771">
        <f t="shared" ref="CD31:CD37" si="25">IF(ISERROR(CC31*CC$13),"",(CC31*CC$13))</f>
        <v>0</v>
      </c>
      <c r="CE31" s="1072">
        <f>CD31*local_data_input!$C14</f>
        <v>0</v>
      </c>
      <c r="CF31" s="1935">
        <f>IF(CD31&gt;0,(CD31-INT(CD31/local_data_input!$H14)*local_data_input!$H14)*local_data_input!$I14+INT(CD31/local_data_input!$H14)*local_data_input!$H14*local_data_input!$J14,(CD31-INT(-CD31/local_data_input!$H14)*-local_data_input!$H14)*local_data_input!$I14+INT(-CD31/local_data_input!$H14)*-local_data_input!$H14*local_data_input!$J14)</f>
        <v>0</v>
      </c>
      <c r="CG31" s="1554"/>
      <c r="CH31" s="1932">
        <f>IR_in_CH!F48</f>
        <v>0.01</v>
      </c>
      <c r="CI31" s="771">
        <f>IF(ISERROR(CH31*CH$13),"",(CH31*CH$13))</f>
        <v>44.258395264351705</v>
      </c>
      <c r="CJ31" s="1072">
        <f>CI31*local_data_input!$C14</f>
        <v>7959.0587754854805</v>
      </c>
      <c r="CK31" s="1935">
        <f>IF(CI31&gt;0,(CI31-INT(CI31/local_data_input!$H14)*local_data_input!$H14)*local_data_input!$I14+INT(CI31/local_data_input!$H14)*local_data_input!$H14*local_data_input!$J14,(CI31-INT(-CI31/local_data_input!$H14)*-local_data_input!$H14)*local_data_input!$I14+INT(-CI31/local_data_input!$H14)*-local_data_input!$H14*local_data_input!$J14)</f>
        <v>714.92798790270513</v>
      </c>
      <c r="CL31" s="1554"/>
      <c r="CM31" s="1932"/>
      <c r="CN31" s="771">
        <f t="shared" ref="CN31:CN37" si="26">IF(ISERROR(CM31*CM$13),"",(CM31*CM$13))</f>
        <v>0</v>
      </c>
      <c r="CO31" s="1072">
        <f>CN31*local_data_input!$C14</f>
        <v>0</v>
      </c>
      <c r="CP31" s="1935">
        <f>IF(CN31&gt;0,(CN31-INT(CN31/local_data_input!$H14)*local_data_input!$H14)*local_data_input!$I14+INT(CN31/local_data_input!$H14)*local_data_input!$H14*local_data_input!$J14,(CN31-INT(-CN31/local_data_input!$H14)*-local_data_input!$H14)*local_data_input!$I14+INT(-CN31/local_data_input!$H14)*-local_data_input!$H14*local_data_input!$J14)</f>
        <v>0</v>
      </c>
      <c r="CQ31" s="1554"/>
      <c r="CR31" s="1932"/>
      <c r="CS31" s="1927"/>
      <c r="CT31" s="1072">
        <f>CS31*local_data_input!$C14</f>
        <v>0</v>
      </c>
      <c r="CU31" s="1935">
        <f>IF(CS31&gt;0,(CS31-INT(CS31/local_data_input!$H14)*local_data_input!$H14)*local_data_input!$I14+INT(CS31/local_data_input!$H14)*local_data_input!$H14*local_data_input!$J14,(CS31-INT(-CS31/local_data_input!$H14)*-local_data_input!$H14)*local_data_input!$I14+INT(-CS31/local_data_input!$H14)*-local_data_input!$H14*local_data_input!$J14)</f>
        <v>0</v>
      </c>
      <c r="CV31" s="1554"/>
      <c r="CW31" s="1932"/>
      <c r="CX31" s="771">
        <f t="shared" ref="CX31:CX37" si="27">IF(ISERROR(CW31*CW$13),"",(CW31*CW$13))</f>
        <v>0</v>
      </c>
      <c r="CY31" s="1072">
        <f>CX31*local_data_input!$C14</f>
        <v>0</v>
      </c>
      <c r="CZ31" s="1935">
        <f>IF(CX31&gt;0,(CX31-INT(CX31/local_data_input!$H14)*local_data_input!$H14)*local_data_input!$I14+INT(CX31/local_data_input!$H14)*local_data_input!$H14*local_data_input!$J14,(CX31-INT(-CX31/local_data_input!$H14)*-local_data_input!$H14)*local_data_input!$I14+INT(-CX31/local_data_input!$H14)*-local_data_input!$H14*local_data_input!$J14)</f>
        <v>0</v>
      </c>
      <c r="DA31" s="1554"/>
      <c r="DB31" s="1932">
        <f>Falls!F80</f>
        <v>-0.87540000000000007</v>
      </c>
      <c r="DC31" s="771">
        <f t="shared" ref="DC31:DC37" si="28">IF(ISERROR(DB31*DB$13),"",(DB31*DB$13))</f>
        <v>-246.12278335220077</v>
      </c>
      <c r="DD31" s="1072">
        <f>DC31*local_data_input!$C14</f>
        <v>-44260.65805110793</v>
      </c>
      <c r="DE31" s="1935">
        <f>IF(DC31&gt;0,(DC31-INT(DC31/local_data_input!$H14)*local_data_input!$H14)*local_data_input!$I14+INT(DC31/local_data_input!$H14)*local_data_input!$H14*local_data_input!$J14,(DC31-INT(-DC31/local_data_input!$H14)*-local_data_input!$H14)*local_data_input!$I14+INT(-DC31/local_data_input!$H14)*-local_data_input!$H14*local_data_input!$J14)</f>
        <v>-3975.7443808797743</v>
      </c>
      <c r="DF31" s="1554"/>
      <c r="DG31" s="1932">
        <f>CHE!F58</f>
        <v>0.5</v>
      </c>
      <c r="DH31" s="771">
        <f t="shared" ref="DH31:DH37" si="29">IF(ISERROR(DG31*DG$13),"",(DG31*DG$13))</f>
        <v>2419.4589411178931</v>
      </c>
      <c r="DI31" s="1072">
        <f>DH31*local_data_input!$C14</f>
        <v>435095.21305987291</v>
      </c>
      <c r="DJ31" s="1935">
        <f>IF(DH31&gt;0,(DH31-INT(DH31/local_data_input!$H14)*local_data_input!$H14)*local_data_input!$I14+INT(DH31/local_data_input!$H14)*local_data_input!$H14*local_data_input!$J14,(DH31-INT(-DH31/local_data_input!$H14)*-local_data_input!$H14)*local_data_input!$I14+INT(-DH31/local_data_input!$H14)*-local_data_input!$H14*local_data_input!$J14)</f>
        <v>39082.730005347883</v>
      </c>
      <c r="DK31" s="1554"/>
      <c r="DL31" s="1932"/>
      <c r="DM31" s="771">
        <f t="shared" ref="DM31:DM37" si="30">IF(ISERROR(DL31*DL$13),"",(DL31*DL$13))</f>
        <v>0</v>
      </c>
      <c r="DN31" s="1072">
        <f>DM31*local_data_input!$C14</f>
        <v>0</v>
      </c>
      <c r="DO31" s="1935">
        <f>IF(DM31&gt;0,(DM31-INT(DM31/local_data_input!$H14)*local_data_input!$H14)*local_data_input!$I14+INT(DM31/local_data_input!$H14)*local_data_input!$H14*local_data_input!$J14,(DM31-INT(-DM31/local_data_input!$H14)*-local_data_input!$H14)*local_data_input!$I14+INT(-DM31/local_data_input!$H14)*-local_data_input!$H14*local_data_input!$J14)</f>
        <v>0</v>
      </c>
      <c r="DP31" s="1554"/>
    </row>
    <row r="32" spans="2:120" s="1119" customFormat="1">
      <c r="B32" s="1613"/>
      <c r="C32" s="1613" t="s">
        <v>46</v>
      </c>
      <c r="D32" s="1120"/>
      <c r="E32" s="771">
        <f t="shared" si="0"/>
        <v>9551.0577833522875</v>
      </c>
      <c r="F32" s="1927">
        <f>E32-SIGN(E32)*INT(ABS(E32)/local_data_input!H15)*local_data_input!H15</f>
        <v>101.05778335228752</v>
      </c>
      <c r="G32" s="1935">
        <f>E32*local_data_input!$C15</f>
        <v>2225587.4912399561</v>
      </c>
      <c r="H32" s="1072">
        <f t="shared" si="1"/>
        <v>245917.77048841972</v>
      </c>
      <c r="I32" s="1935">
        <f>IF(E32&gt;0,(E32-INT(E32/local_data_input!$H15)*local_data_input!$H15)*local_data_input!$I15+INT(E32/local_data_input!$H15)*local_data_input!$H15*local_data_input!$J15,(E32-INT(-E32/local_data_input!$H15)*-local_data_input!$H15)*local_data_input!$I15+INT(-E32/local_data_input!$H15)*-local_data_input!$H15*local_data_input!$J15)</f>
        <v>245917.77048841969</v>
      </c>
      <c r="J32" s="1554"/>
      <c r="K32" s="1932">
        <f>hear_and_treat!F58</f>
        <v>0.1</v>
      </c>
      <c r="L32" s="771">
        <f t="shared" si="2"/>
        <v>917.44139832955284</v>
      </c>
      <c r="M32" s="1935">
        <f>L32*local_data_input!$C15</f>
        <v>213782.19526919114</v>
      </c>
      <c r="N32" s="1935">
        <f>IF(L32&gt;0,(L32-INT(L32/local_data_input!$H15)*local_data_input!$H15)*local_data_input!$I15+INT(L32/local_data_input!$H15)*local_data_input!$H15*local_data_input!$J15,(L32-INT(-L32/local_data_input!$H15)*-local_data_input!$H15)*local_data_input!$I15+INT(-L32/local_data_input!$H15)*-local_data_input!$H15*local_data_input!$J15)</f>
        <v>23622.005891769826</v>
      </c>
      <c r="O32" s="1554"/>
      <c r="P32" s="1934">
        <f>see_and_treat!F60</f>
        <v>0.25</v>
      </c>
      <c r="Q32" s="771">
        <f t="shared" si="3"/>
        <v>891.95691504262072</v>
      </c>
      <c r="R32" s="1072">
        <f>Q32*local_data_input!$C15</f>
        <v>207843.80095615803</v>
      </c>
      <c r="S32" s="1935">
        <f>IF(Q32&gt;0,(Q32-INT(Q32/local_data_input!$H15)*local_data_input!$H15)*local_data_input!$I15+INT(Q32/local_data_input!$H15)*local_data_input!$H15*local_data_input!$J15,(Q32-INT(-Q32/local_data_input!$H15)*-local_data_input!$H15)*local_data_input!$I15+INT(-Q32/local_data_input!$H15)*-local_data_input!$H15*local_data_input!$J15)</f>
        <v>22965.839061442883</v>
      </c>
      <c r="T32" s="1554"/>
      <c r="U32" s="1932">
        <f>Clinical_advisor_consultations!F55</f>
        <v>0.02</v>
      </c>
      <c r="V32" s="771">
        <f t="shared" si="19"/>
        <v>570.12429753336494</v>
      </c>
      <c r="W32" s="1072">
        <f>V32*local_data_input!$C15</f>
        <v>132850.36420299736</v>
      </c>
      <c r="X32" s="1935">
        <f>IF(V32&gt;0,(V32-INT(V32/local_data_input!$H15)*local_data_input!$H15)*local_data_input!$I15+INT(V32/local_data_input!$H15)*local_data_input!$H15*local_data_input!$J15,(V32-INT(-V32/local_data_input!$H15)*-local_data_input!$H15)*local_data_input!$I15+INT(-V32/local_data_input!$H15)*-local_data_input!$H15*local_data_input!$J15)</f>
        <v>14679.38937559982</v>
      </c>
      <c r="Y32" s="1554"/>
      <c r="Z32" s="1932"/>
      <c r="AA32" s="771">
        <f t="shared" si="20"/>
        <v>0</v>
      </c>
      <c r="AB32" s="1072">
        <f>AA32*local_data_input!$C15</f>
        <v>0</v>
      </c>
      <c r="AC32" s="1935">
        <f>IF(AA32&gt;0,(AA32-INT(AA32/local_data_input!$H15)*local_data_input!$H15)*local_data_input!$I15+INT(AA32/local_data_input!$H15)*local_data_input!$H15*local_data_input!$J15,(AA32-INT(-AA32/local_data_input!$H15)*-local_data_input!$H15)*local_data_input!$I15+INT(-AA32/local_data_input!$H15)*-local_data_input!$H15*local_data_input!$J15)</f>
        <v>0</v>
      </c>
      <c r="AD32" s="1554"/>
      <c r="AE32" s="1932"/>
      <c r="AF32" s="771">
        <f t="shared" si="4"/>
        <v>0</v>
      </c>
      <c r="AG32" s="1072">
        <f>AF32*local_data_input!$C15</f>
        <v>0</v>
      </c>
      <c r="AH32" s="1935">
        <f>IF(AF32&gt;0,(AF32-INT(AF32/local_data_input!$H15)*local_data_input!$H15)*local_data_input!$I15+INT(AF32/local_data_input!$H15)*local_data_input!$H15*local_data_input!$J15,(AF32-INT(-AF32/local_data_input!$H15)*-local_data_input!$H15)*local_data_input!$I15+INT(-AF32/local_data_input!$H15)*-local_data_input!$H15*local_data_input!$J15)</f>
        <v>0</v>
      </c>
      <c r="AI32" s="1554"/>
      <c r="AJ32" s="1932">
        <f>Care_planning!F54</f>
        <v>0.125</v>
      </c>
      <c r="AK32" s="771">
        <f t="shared" si="21"/>
        <v>235.98386919151926</v>
      </c>
      <c r="AL32" s="1072">
        <f>AK32*local_data_input!$C15</f>
        <v>54988.961361168993</v>
      </c>
      <c r="AM32" s="1935">
        <f>IF(AK32&gt;0,(AK32-INT(AK32/local_data_input!$H15)*local_data_input!$H15)*local_data_input!$I15+INT(AK32/local_data_input!$H15)*local_data_input!$H15*local_data_input!$J15,(AK32-INT(-AK32/local_data_input!$H15)*-local_data_input!$H15)*local_data_input!$I15+INT(-AK32/local_data_input!$H15)*-local_data_input!$H15*local_data_input!$J15)</f>
        <v>6076.0418687824804</v>
      </c>
      <c r="AN32" s="1554"/>
      <c r="AO32" s="1932"/>
      <c r="AP32" s="771">
        <f t="shared" si="5"/>
        <v>0</v>
      </c>
      <c r="AQ32" s="1072">
        <f>AP32*local_data_input!$C15</f>
        <v>0</v>
      </c>
      <c r="AR32" s="1935">
        <f>IF(AP32&gt;0,(AP32-INT(AP32/local_data_input!$H15)*local_data_input!$H15)*local_data_input!$I15+INT(AP32/local_data_input!$H15)*local_data_input!$H15*local_data_input!$J15,(AP32-INT(-AP32/local_data_input!$H15)*-local_data_input!$H15)*local_data_input!$I15+INT(-AP32/local_data_input!$H15)*-local_data_input!$H15*local_data_input!$J15)</f>
        <v>0</v>
      </c>
      <c r="AS32" s="1554"/>
      <c r="AT32" s="1932"/>
      <c r="AU32" s="771">
        <f t="shared" si="6"/>
        <v>0</v>
      </c>
      <c r="AV32" s="1072">
        <f>AU32*local_data_input!$C15</f>
        <v>0</v>
      </c>
      <c r="AW32" s="1935">
        <f>IF(AU32&gt;0,(AU32-INT(AU32/local_data_input!$H15)*local_data_input!$H15)*local_data_input!$I15+INT(AU32/local_data_input!$H15)*local_data_input!$H15*local_data_input!$J15,(AU32-INT(-AU32/local_data_input!$H15)*-local_data_input!$H15)*local_data_input!$I15+INT(-AU32/local_data_input!$H15)*-local_data_input!$H15*local_data_input!$J15)</f>
        <v>0</v>
      </c>
      <c r="AX32" s="1554"/>
      <c r="AY32" s="1932"/>
      <c r="AZ32" s="771">
        <f t="shared" si="7"/>
        <v>0</v>
      </c>
      <c r="BA32" s="1072">
        <f>AZ32*local_data_input!$C15</f>
        <v>0</v>
      </c>
      <c r="BB32" s="1935">
        <f>IF(AZ32&gt;0,(AZ32-INT(AZ32/local_data_input!$H15)*local_data_input!$H15)*local_data_input!$I15+INT(AZ32/local_data_input!$H15)*local_data_input!$H15*local_data_input!$J15,(AZ32-INT(-AZ32/local_data_input!$H15)*-local_data_input!$H15)*local_data_input!$I15+INT(-AZ32/local_data_input!$H15)*-local_data_input!$H15*local_data_input!$J15)</f>
        <v>0</v>
      </c>
      <c r="BC32" s="1554"/>
      <c r="BD32" s="1932"/>
      <c r="BE32" s="771">
        <f t="shared" si="8"/>
        <v>0</v>
      </c>
      <c r="BF32" s="1072">
        <f>BE32*local_data_input!$C15</f>
        <v>0</v>
      </c>
      <c r="BG32" s="1935">
        <f>IF(BE32&gt;0,(BE32-INT(BE32/local_data_input!$H15)*local_data_input!$H15)*local_data_input!$I15+INT(BE32/local_data_input!$H15)*local_data_input!$H15*local_data_input!$J15,(BE32-INT(-BE32/local_data_input!$H15)*-local_data_input!$H15)*local_data_input!$I15+INT(-BE32/local_data_input!$H15)*-local_data_input!$H15*local_data_input!$J15)</f>
        <v>0</v>
      </c>
      <c r="BH32" s="1554"/>
      <c r="BI32" s="1932"/>
      <c r="BJ32" s="771">
        <f t="shared" si="22"/>
        <v>0</v>
      </c>
      <c r="BK32" s="1072">
        <f>BJ32*local_data_input!$C15</f>
        <v>0</v>
      </c>
      <c r="BL32" s="1935">
        <f>IF(BJ32&gt;0,(BJ32-INT(BJ32/local_data_input!$H15)*local_data_input!$H15)*local_data_input!$I15+INT(BJ32/local_data_input!$H15)*local_data_input!$H15*local_data_input!$J15,(BJ32-INT(-BJ32/local_data_input!$H15)*-local_data_input!$H15)*local_data_input!$I15+INT(-BJ32/local_data_input!$H15)*-local_data_input!$H15*local_data_input!$J15)</f>
        <v>0</v>
      </c>
      <c r="BM32" s="1554"/>
      <c r="BN32" s="1932"/>
      <c r="BO32" s="771">
        <f t="shared" si="9"/>
        <v>0</v>
      </c>
      <c r="BP32" s="1072">
        <f>BO32*local_data_input!$C15</f>
        <v>0</v>
      </c>
      <c r="BQ32" s="1935">
        <f>IF(BO32&gt;0,(BO32-INT(BO32/local_data_input!$H15)*local_data_input!$H15)*local_data_input!$I15+INT(BO32/local_data_input!$H15)*local_data_input!$H15*local_data_input!$J15,(BO32-INT(-BO32/local_data_input!$H15)*-local_data_input!$H15)*local_data_input!$I15+INT(-BO32/local_data_input!$H15)*-local_data_input!$H15*local_data_input!$J15)</f>
        <v>0</v>
      </c>
      <c r="BR32" s="1554"/>
      <c r="BS32" s="1932"/>
      <c r="BT32" s="771">
        <f t="shared" si="10"/>
        <v>0</v>
      </c>
      <c r="BU32" s="1072">
        <f>BT32*local_data_input!$C15</f>
        <v>0</v>
      </c>
      <c r="BV32" s="1935">
        <f>IF(BT32&gt;0,(BT32-INT(BT32/local_data_input!$H15)*local_data_input!$H15)*local_data_input!$I15+INT(BT32/local_data_input!$H15)*local_data_input!$H15*local_data_input!$J15,(BT32-INT(-BT32/local_data_input!$H15)*-local_data_input!$H15)*local_data_input!$I15+INT(-BT32/local_data_input!$H15)*-local_data_input!$H15*local_data_input!$J15)</f>
        <v>0</v>
      </c>
      <c r="BW32" s="1079"/>
      <c r="BX32" s="1932">
        <f>IR_in_AS!D50</f>
        <v>0.7</v>
      </c>
      <c r="BY32" s="771">
        <f t="shared" si="24"/>
        <v>5141.3281206778911</v>
      </c>
      <c r="BZ32" s="1072">
        <f>BY32*local_data_input!$C15</f>
        <v>1198032.2822133317</v>
      </c>
      <c r="CA32" s="1935">
        <f>IF(BY32&gt;0,(BY32-INT(BY32/local_data_input!$H15)*local_data_input!$H15)*local_data_input!$I15+INT(BY32/local_data_input!$H15)*local_data_input!$H15*local_data_input!$J15,(BY32-INT(-BY32/local_data_input!$H15)*-local_data_input!$H15)*local_data_input!$I15+INT(-BY32/local_data_input!$H15)*-local_data_input!$H15*local_data_input!$J15)</f>
        <v>132377.37405277812</v>
      </c>
      <c r="CB32" s="1554"/>
      <c r="CC32" s="1932">
        <f>IR_in_ED!D50</f>
        <v>0</v>
      </c>
      <c r="CD32" s="771">
        <f t="shared" si="25"/>
        <v>0</v>
      </c>
      <c r="CE32" s="1072">
        <f>CD32*local_data_input!$C15</f>
        <v>0</v>
      </c>
      <c r="CF32" s="1935">
        <f>IF(CD32&gt;0,(CD32-INT(CD32/local_data_input!$H15)*local_data_input!$H15)*local_data_input!$I15+INT(CD32/local_data_input!$H15)*local_data_input!$H15*local_data_input!$J15,(CD32-INT(-CD32/local_data_input!$H15)*-local_data_input!$H15)*local_data_input!$I15+INT(-CD32/local_data_input!$H15)*-local_data_input!$H15*local_data_input!$J15)</f>
        <v>0</v>
      </c>
      <c r="CG32" s="1554"/>
      <c r="CH32" s="1932">
        <f>IR_in_CH!F49</f>
        <v>0.04</v>
      </c>
      <c r="CI32" s="771">
        <f t="shared" ref="CI32:CI37" si="31">IF(ISERROR(CH32*CH$13),"",(CH32*CH$13))</f>
        <v>177.03358105740682</v>
      </c>
      <c r="CJ32" s="1072">
        <f>CI32*local_data_input!$C15</f>
        <v>41252.365179649205</v>
      </c>
      <c r="CK32" s="1935">
        <f>IF(CI32&gt;0,(CI32-INT(CI32/local_data_input!$H15)*local_data_input!$H15)*local_data_input!$I15+INT(CI32/local_data_input!$H15)*local_data_input!$H15*local_data_input!$J15,(CI32-INT(-CI32/local_data_input!$H15)*-local_data_input!$H15)*local_data_input!$I15+INT(-CI32/local_data_input!$H15)*-local_data_input!$H15*local_data_input!$J15)</f>
        <v>4558.2075349917932</v>
      </c>
      <c r="CL32" s="1554"/>
      <c r="CM32" s="1932"/>
      <c r="CN32" s="771">
        <f t="shared" si="26"/>
        <v>0</v>
      </c>
      <c r="CO32" s="1072">
        <f>CN32*local_data_input!$C15</f>
        <v>0</v>
      </c>
      <c r="CP32" s="1935">
        <f>IF(CN32&gt;0,(CN32-INT(CN32/local_data_input!$H15)*local_data_input!$H15)*local_data_input!$I15+INT(CN32/local_data_input!$H15)*local_data_input!$H15*local_data_input!$J15,(CN32-INT(-CN32/local_data_input!$H15)*-local_data_input!$H15)*local_data_input!$I15+INT(-CN32/local_data_input!$H15)*-local_data_input!$H15*local_data_input!$J15)</f>
        <v>0</v>
      </c>
      <c r="CQ32" s="1554"/>
      <c r="CR32" s="1932"/>
      <c r="CS32" s="1927">
        <f t="shared" ref="CS32:CS37" si="32">IF(ISERROR(CR32*CR$13),"",(CR32*CR$13))</f>
        <v>0</v>
      </c>
      <c r="CT32" s="1072">
        <f>CS32*local_data_input!$C15</f>
        <v>0</v>
      </c>
      <c r="CU32" s="1935">
        <f>IF(CS32&gt;0,(CS32-INT(CS32/local_data_input!$H15)*local_data_input!$H15)*local_data_input!$I15+INT(CS32/local_data_input!$H15)*local_data_input!$H15*local_data_input!$J15,(CS32-INT(-CS32/local_data_input!$H15)*-local_data_input!$H15)*local_data_input!$I15+INT(-CS32/local_data_input!$H15)*-local_data_input!$H15*local_data_input!$J15)</f>
        <v>0</v>
      </c>
      <c r="CV32" s="1554"/>
      <c r="CW32" s="1932">
        <f>Rapid_Response!F77</f>
        <v>0.95</v>
      </c>
      <c r="CX32" s="771">
        <f t="shared" si="27"/>
        <v>697.89840511441207</v>
      </c>
      <c r="CY32" s="1072">
        <f>CX32*local_data_input!$C15</f>
        <v>162624.28683933555</v>
      </c>
      <c r="CZ32" s="1935">
        <f>IF(CX32&gt;0,(CX32-INT(CX32/local_data_input!$H15)*local_data_input!$H15)*local_data_input!$I15+INT(CX32/local_data_input!$H15)*local_data_input!$H15*local_data_input!$J15,(CX32-INT(-CX32/local_data_input!$H15)*-local_data_input!$H15)*local_data_input!$I15+INT(-CX32/local_data_input!$H15)*-local_data_input!$H15*local_data_input!$J15)</f>
        <v>17969.278765364346</v>
      </c>
      <c r="DA32" s="1554"/>
      <c r="DB32" s="1932">
        <f>Falls!F79</f>
        <v>0.87540000000000007</v>
      </c>
      <c r="DC32" s="771">
        <f t="shared" si="28"/>
        <v>246.12278335220077</v>
      </c>
      <c r="DD32" s="1072">
        <f>DC32*local_data_input!$C15</f>
        <v>57351.531145858156</v>
      </c>
      <c r="DE32" s="1935">
        <f>IF(DC32&gt;0,(DC32-INT(DC32/local_data_input!$H15)*local_data_input!$H15)*local_data_input!$I15+INT(DC32/local_data_input!$H15)*local_data_input!$H15*local_data_input!$J15,(DC32-INT(-DC32/local_data_input!$H15)*-local_data_input!$H15)*local_data_input!$I15+INT(-DC32/local_data_input!$H15)*-local_data_input!$H15*local_data_input!$J15)</f>
        <v>6337.0955889174593</v>
      </c>
      <c r="DF32" s="1554"/>
      <c r="DG32" s="1932">
        <f>CHE!F59</f>
        <v>0.1</v>
      </c>
      <c r="DH32" s="771">
        <f t="shared" si="29"/>
        <v>483.89178822357866</v>
      </c>
      <c r="DI32" s="1072">
        <f>DH32*local_data_input!$C15</f>
        <v>112756.4648243745</v>
      </c>
      <c r="DJ32" s="1935">
        <f>IF(DH32&gt;0,(DH32-INT(DH32/local_data_input!$H15)*local_data_input!$H15)*local_data_input!$I15+INT(DH32/local_data_input!$H15)*local_data_input!$H15*local_data_input!$J15,(DH32-INT(-DH32/local_data_input!$H15)*-local_data_input!$H15)*local_data_input!$I15+INT(-DH32/local_data_input!$H15)*-local_data_input!$H15*local_data_input!$J15)</f>
        <v>12459.100595644235</v>
      </c>
      <c r="DK32" s="1554"/>
      <c r="DL32" s="1932">
        <f>EWS_in_CH!F62</f>
        <v>1</v>
      </c>
      <c r="DM32" s="771">
        <f t="shared" si="30"/>
        <v>189.27662482974139</v>
      </c>
      <c r="DN32" s="1072">
        <f>DM32*local_data_input!$C15</f>
        <v>44105.239247891666</v>
      </c>
      <c r="DO32" s="1935">
        <f>IF(DM32&gt;0,(DM32-INT(DM32/local_data_input!$H15)*local_data_input!$H15)*local_data_input!$I15+INT(DM32/local_data_input!$H15)*local_data_input!$H15*local_data_input!$J15,(DM32-INT(-DM32/local_data_input!$H15)*-local_data_input!$H15)*local_data_input!$I15+INT(-DM32/local_data_input!$H15)*-local_data_input!$H15*local_data_input!$J15)</f>
        <v>4873.4377531287319</v>
      </c>
      <c r="DP32" s="1554"/>
    </row>
    <row r="33" spans="2:120" s="1119" customFormat="1">
      <c r="B33" s="1613"/>
      <c r="C33" s="1613" t="s">
        <v>30</v>
      </c>
      <c r="D33" s="1116"/>
      <c r="E33" s="771">
        <f t="shared" si="0"/>
        <v>-6635.5322782813219</v>
      </c>
      <c r="F33" s="1927">
        <f>E33-SIGN(E33)*INT(ABS(E33)/local_data_input!H16)*local_data_input!H16</f>
        <v>-335.53227828132185</v>
      </c>
      <c r="G33" s="1935">
        <f>E33*local_data_input!$C16</f>
        <v>-247269.46848399242</v>
      </c>
      <c r="H33" s="1072">
        <f t="shared" si="1"/>
        <v>-25406.872484208619</v>
      </c>
      <c r="I33" s="1935">
        <f>IF(E33&gt;0,(E33-INT(E33/local_data_input!$H16)*local_data_input!$H16)*local_data_input!$I16+INT(E33/local_data_input!$H16)*local_data_input!$H16*local_data_input!$J16,(E33-INT(-E33/local_data_input!$H16)*-local_data_input!$H16)*local_data_input!$I16+INT(-E33/local_data_input!$H16)*-local_data_input!$H16*local_data_input!$J16)</f>
        <v>-25406.872484208623</v>
      </c>
      <c r="J33" s="1554"/>
      <c r="K33" s="1932"/>
      <c r="L33" s="771">
        <f t="shared" si="2"/>
        <v>0</v>
      </c>
      <c r="M33" s="1935">
        <f>L33*local_data_input!$C16</f>
        <v>0</v>
      </c>
      <c r="N33" s="1935">
        <f>IF(L33&gt;0,(L33-INT(L33/local_data_input!$H16)*local_data_input!$H16)*local_data_input!$I16+INT(L33/local_data_input!$H16)*local_data_input!$H16*local_data_input!$J16,(L33-INT(-L33/local_data_input!$H16)*-local_data_input!$H16)*local_data_input!$I16+INT(-L33/local_data_input!$H16)*-local_data_input!$H16*local_data_input!$J16)</f>
        <v>0</v>
      </c>
      <c r="O33" s="1554"/>
      <c r="P33" s="1934"/>
      <c r="Q33" s="771">
        <f t="shared" si="3"/>
        <v>0</v>
      </c>
      <c r="R33" s="1072">
        <f>Q33*local_data_input!$C16</f>
        <v>0</v>
      </c>
      <c r="S33" s="1935">
        <f>IF(Q33&gt;0,(Q33-INT(Q33/local_data_input!$H16)*local_data_input!$H16)*local_data_input!$I16+INT(Q33/local_data_input!$H16)*local_data_input!$H16*local_data_input!$J16,(Q33-INT(-Q33/local_data_input!$H16)*-local_data_input!$H16)*local_data_input!$I16+INT(-Q33/local_data_input!$H16)*-local_data_input!$H16*local_data_input!$J16)</f>
        <v>0</v>
      </c>
      <c r="T33" s="1554"/>
      <c r="U33" s="1932">
        <f>Clinical_advisor_consultations!F61</f>
        <v>0</v>
      </c>
      <c r="V33" s="771">
        <f t="shared" si="19"/>
        <v>0</v>
      </c>
      <c r="W33" s="1072">
        <f>V33*local_data_input!$C16</f>
        <v>0</v>
      </c>
      <c r="X33" s="1935">
        <f>IF(V33&gt;0,(V33-INT(V33/local_data_input!$H16)*local_data_input!$H16)*local_data_input!$I16+INT(V33/local_data_input!$H16)*local_data_input!$H16*local_data_input!$J16,(V33-INT(-V33/local_data_input!$H16)*-local_data_input!$H16)*local_data_input!$I16+INT(-V33/local_data_input!$H16)*-local_data_input!$H16*local_data_input!$J16)</f>
        <v>0</v>
      </c>
      <c r="Y33" s="1554"/>
      <c r="Z33" s="1932"/>
      <c r="AA33" s="771">
        <f t="shared" si="20"/>
        <v>0</v>
      </c>
      <c r="AB33" s="1072">
        <f>AA33*local_data_input!$C16</f>
        <v>0</v>
      </c>
      <c r="AC33" s="1935">
        <f>IF(AA33&gt;0,(AA33-INT(AA33/local_data_input!$H16)*local_data_input!$H16)*local_data_input!$I16+INT(AA33/local_data_input!$H16)*local_data_input!$H16*local_data_input!$J16,(AA33-INT(-AA33/local_data_input!$H16)*-local_data_input!$H16)*local_data_input!$I16+INT(-AA33/local_data_input!$H16)*-local_data_input!$H16*local_data_input!$J16)</f>
        <v>0</v>
      </c>
      <c r="AD33" s="1554"/>
      <c r="AE33" s="1932">
        <f>-AEC!K72</f>
        <v>-0.8</v>
      </c>
      <c r="AF33" s="771">
        <f t="shared" si="4"/>
        <v>-6142.5</v>
      </c>
      <c r="AG33" s="1072">
        <f>AF33*local_data_input!$C16</f>
        <v>-228896.89123120706</v>
      </c>
      <c r="AH33" s="1935">
        <f>IF(AF33&gt;0,(AF33-INT(AF33/local_data_input!$H16)*local_data_input!$H16)*local_data_input!$I16+INT(AF33/local_data_input!$H16)*local_data_input!$H16*local_data_input!$J16,(AF33-INT(-AF33/local_data_input!$H16)*-local_data_input!$H16)*local_data_input!$I16+INT(-AF33/local_data_input!$H16)*-local_data_input!$H16*local_data_input!$J16)</f>
        <v>-23519.095031012828</v>
      </c>
      <c r="AI33" s="1554"/>
      <c r="AJ33" s="1932">
        <f>-Care_planning!F59</f>
        <v>-0.1</v>
      </c>
      <c r="AK33" s="771">
        <f t="shared" si="21"/>
        <v>-188.78709535321542</v>
      </c>
      <c r="AL33" s="1072">
        <f>AK33*local_data_input!$C16</f>
        <v>-7035.0474938413454</v>
      </c>
      <c r="AM33" s="1935">
        <f>IF(AK33&gt;0,(AK33-INT(AK33/local_data_input!$H16)*local_data_input!$H16)*local_data_input!$I16+INT(AK33/local_data_input!$H16)*local_data_input!$H16*local_data_input!$J16,(AK33-INT(-AK33/local_data_input!$H16)*-local_data_input!$H16)*local_data_input!$I16+INT(-AK33/local_data_input!$H16)*-local_data_input!$H16*local_data_input!$J16)</f>
        <v>-722.84926922932902</v>
      </c>
      <c r="AN33" s="1554"/>
      <c r="AO33" s="1932"/>
      <c r="AP33" s="771">
        <f t="shared" si="5"/>
        <v>0</v>
      </c>
      <c r="AQ33" s="1072">
        <f>AP33*local_data_input!$C16</f>
        <v>0</v>
      </c>
      <c r="AR33" s="1935">
        <f>IF(AP33&gt;0,(AP33-INT(AP33/local_data_input!$H16)*local_data_input!$H16)*local_data_input!$I16+INT(AP33/local_data_input!$H16)*local_data_input!$H16*local_data_input!$J16,(AP33-INT(-AP33/local_data_input!$H16)*-local_data_input!$H16)*local_data_input!$I16+INT(-AP33/local_data_input!$H16)*-local_data_input!$H16*local_data_input!$J16)</f>
        <v>0</v>
      </c>
      <c r="AS33" s="1554"/>
      <c r="AT33" s="1932"/>
      <c r="AU33" s="771">
        <f t="shared" si="6"/>
        <v>0</v>
      </c>
      <c r="AV33" s="1072">
        <f>AU33*local_data_input!$C16</f>
        <v>0</v>
      </c>
      <c r="AW33" s="1935">
        <f>IF(AU33&gt;0,(AU33-INT(AU33/local_data_input!$H16)*local_data_input!$H16)*local_data_input!$I16+INT(AU33/local_data_input!$H16)*local_data_input!$H16*local_data_input!$J16,(AU33-INT(-AU33/local_data_input!$H16)*-local_data_input!$H16)*local_data_input!$I16+INT(-AU33/local_data_input!$H16)*-local_data_input!$H16*local_data_input!$J16)</f>
        <v>0</v>
      </c>
      <c r="AX33" s="1554"/>
      <c r="AY33" s="1932"/>
      <c r="AZ33" s="771">
        <f t="shared" si="7"/>
        <v>0</v>
      </c>
      <c r="BA33" s="1072">
        <f>AZ33*local_data_input!$C16</f>
        <v>0</v>
      </c>
      <c r="BB33" s="1935">
        <f>IF(AZ33&gt;0,(AZ33-INT(AZ33/local_data_input!$H16)*local_data_input!$H16)*local_data_input!$I16+INT(AZ33/local_data_input!$H16)*local_data_input!$H16*local_data_input!$J16,(AZ33-INT(-AZ33/local_data_input!$H16)*-local_data_input!$H16)*local_data_input!$I16+INT(-AZ33/local_data_input!$H16)*-local_data_input!$H16*local_data_input!$J16)</f>
        <v>0</v>
      </c>
      <c r="BC33" s="1554"/>
      <c r="BD33" s="1932"/>
      <c r="BE33" s="771">
        <f t="shared" si="8"/>
        <v>0</v>
      </c>
      <c r="BF33" s="1072">
        <f>BE33*local_data_input!$C16</f>
        <v>0</v>
      </c>
      <c r="BG33" s="1935">
        <f>IF(BE33&gt;0,(BE33-INT(BE33/local_data_input!$H16)*local_data_input!$H16)*local_data_input!$I16+INT(BE33/local_data_input!$H16)*local_data_input!$H16*local_data_input!$J16,(BE33-INT(-BE33/local_data_input!$H16)*-local_data_input!$H16)*local_data_input!$I16+INT(-BE33/local_data_input!$H16)*-local_data_input!$H16*local_data_input!$J16)</f>
        <v>0</v>
      </c>
      <c r="BH33" s="1554"/>
      <c r="BI33" s="1932"/>
      <c r="BJ33" s="771">
        <f t="shared" si="22"/>
        <v>0</v>
      </c>
      <c r="BK33" s="1072">
        <f>BJ33*local_data_input!$C16</f>
        <v>0</v>
      </c>
      <c r="BL33" s="1935">
        <f>IF(BJ33&gt;0,(BJ33-INT(BJ33/local_data_input!$H16)*local_data_input!$H16)*local_data_input!$I16+INT(BJ33/local_data_input!$H16)*local_data_input!$H16*local_data_input!$J16,(BJ33-INT(-BJ33/local_data_input!$H16)*-local_data_input!$H16)*local_data_input!$I16+INT(-BJ33/local_data_input!$H16)*-local_data_input!$H16*local_data_input!$J16)</f>
        <v>0</v>
      </c>
      <c r="BM33" s="1554"/>
      <c r="BN33" s="1932"/>
      <c r="BO33" s="771">
        <f t="shared" si="9"/>
        <v>0</v>
      </c>
      <c r="BP33" s="1072">
        <f>BO33*local_data_input!$C16</f>
        <v>0</v>
      </c>
      <c r="BQ33" s="1935">
        <f>IF(BO33&gt;0,(BO33-INT(BO33/local_data_input!$H16)*local_data_input!$H16)*local_data_input!$I16+INT(BO33/local_data_input!$H16)*local_data_input!$H16*local_data_input!$J16,(BO33-INT(-BO33/local_data_input!$H16)*-local_data_input!$H16)*local_data_input!$I16+INT(-BO33/local_data_input!$H16)*-local_data_input!$H16*local_data_input!$J16)</f>
        <v>0</v>
      </c>
      <c r="BR33" s="1554"/>
      <c r="BS33" s="1932"/>
      <c r="BT33" s="771">
        <f t="shared" si="10"/>
        <v>0</v>
      </c>
      <c r="BU33" s="1072">
        <f>BT33*local_data_input!$C16</f>
        <v>0</v>
      </c>
      <c r="BV33" s="1935">
        <f>IF(BT33&gt;0,(BT33-INT(BT33/local_data_input!$H16)*local_data_input!$H16)*local_data_input!$I16+INT(BT33/local_data_input!$H16)*local_data_input!$H16*local_data_input!$J16,(BT33-INT(-BT33/local_data_input!$H16)*-local_data_input!$H16)*local_data_input!$I16+INT(-BT33/local_data_input!$H16)*-local_data_input!$H16*local_data_input!$J16)</f>
        <v>0</v>
      </c>
      <c r="BW33" s="1079"/>
      <c r="BX33" s="1932">
        <f>IR_in_AS!D51</f>
        <v>0.2</v>
      </c>
      <c r="BY33" s="771">
        <f t="shared" si="24"/>
        <v>1468.9508916222549</v>
      </c>
      <c r="BZ33" s="1072">
        <f>BY33*local_data_input!$C16</f>
        <v>54739.648752729983</v>
      </c>
      <c r="CA33" s="1935">
        <f>IF(BY33&gt;0,(BY33-INT(BY33/local_data_input!$H16)*local_data_input!$H16)*local_data_input!$I16+INT(BY33/local_data_input!$H16)*local_data_input!$H16*local_data_input!$J16,(BY33-INT(-BY33/local_data_input!$H16)*-local_data_input!$H16)*local_data_input!$I16+INT(-BY33/local_data_input!$H16)*-local_data_input!$H16*local_data_input!$J16)</f>
        <v>5624.4844307618778</v>
      </c>
      <c r="CB33" s="1554"/>
      <c r="CC33" s="1932">
        <f>IR_in_ED!D51</f>
        <v>-0.5</v>
      </c>
      <c r="CD33" s="771">
        <f t="shared" si="25"/>
        <v>-5980.2533793128887</v>
      </c>
      <c r="CE33" s="1072">
        <f>CD33*local_data_input!$C16</f>
        <v>-222850.85995924147</v>
      </c>
      <c r="CF33" s="1935">
        <f>IF(CD33&gt;0,(CD33-INT(CD33/local_data_input!$H16)*local_data_input!$H16)*local_data_input!$I16+INT(CD33/local_data_input!$H16)*local_data_input!$H16*local_data_input!$J16,(CD33-INT(-CD33/local_data_input!$H16)*-local_data_input!$H16)*local_data_input!$I16+INT(-CD33/local_data_input!$H16)*-local_data_input!$H16*local_data_input!$J16)</f>
        <v>-22897.866916987456</v>
      </c>
      <c r="CG33" s="1554"/>
      <c r="CH33" s="1932">
        <f>IR_in_CH!F50</f>
        <v>-0.1</v>
      </c>
      <c r="CI33" s="771">
        <f t="shared" si="31"/>
        <v>-442.58395264351702</v>
      </c>
      <c r="CJ33" s="1072">
        <f>CI33*local_data_input!$C16</f>
        <v>-16492.648086108395</v>
      </c>
      <c r="CK33" s="1935">
        <f>IF(CI33&gt;0,(CI33-INT(CI33/local_data_input!$H16)*local_data_input!$H16)*local_data_input!$I16+INT(CI33/local_data_input!$H16)*local_data_input!$H16*local_data_input!$J16,(CI33-INT(-CI33/local_data_input!$H16)*-local_data_input!$H16)*local_data_input!$I16+INT(-CI33/local_data_input!$H16)*-local_data_input!$H16*local_data_input!$J16)</f>
        <v>-1694.6152285590813</v>
      </c>
      <c r="CL33" s="1554"/>
      <c r="CM33" s="1932"/>
      <c r="CN33" s="771">
        <f t="shared" si="26"/>
        <v>0</v>
      </c>
      <c r="CO33" s="1072">
        <f>CN33*local_data_input!$C16</f>
        <v>0</v>
      </c>
      <c r="CP33" s="1935">
        <f>IF(CN33&gt;0,(CN33-INT(CN33/local_data_input!$H16)*local_data_input!$H16)*local_data_input!$I16+INT(CN33/local_data_input!$H16)*local_data_input!$H16*local_data_input!$J16,(CN33-INT(-CN33/local_data_input!$H16)*-local_data_input!$H16)*local_data_input!$I16+INT(-CN33/local_data_input!$H16)*-local_data_input!$H16*local_data_input!$J16)</f>
        <v>0</v>
      </c>
      <c r="CQ33" s="1554"/>
      <c r="CR33" s="1932"/>
      <c r="CS33" s="1927">
        <f t="shared" si="32"/>
        <v>0</v>
      </c>
      <c r="CT33" s="1072">
        <f>CS33*local_data_input!$C16</f>
        <v>0</v>
      </c>
      <c r="CU33" s="1935">
        <f>IF(CS33&gt;0,(CS33-INT(CS33/local_data_input!$H16)*local_data_input!$H16)*local_data_input!$I16+INT(CS33/local_data_input!$H16)*local_data_input!$H16*local_data_input!$J16,(CS33-INT(-CS33/local_data_input!$H16)*-local_data_input!$H16)*local_data_input!$I16+INT(-CS33/local_data_input!$H16)*-local_data_input!$H16*local_data_input!$J16)</f>
        <v>0</v>
      </c>
      <c r="CV33" s="1554"/>
      <c r="CW33" s="1932"/>
      <c r="CX33" s="771">
        <f t="shared" si="27"/>
        <v>0</v>
      </c>
      <c r="CY33" s="1072">
        <f>CX33*local_data_input!$C16</f>
        <v>0</v>
      </c>
      <c r="CZ33" s="1935">
        <f>IF(CX33&gt;0,(CX33-INT(CX33/local_data_input!$H16)*local_data_input!$H16)*local_data_input!$I16+INT(CX33/local_data_input!$H16)*local_data_input!$H16*local_data_input!$J16,(CX33-INT(-CX33/local_data_input!$H16)*-local_data_input!$H16)*local_data_input!$I16+INT(-CX33/local_data_input!$H16)*-local_data_input!$H16*local_data_input!$J16)</f>
        <v>0</v>
      </c>
      <c r="DA33" s="1554"/>
      <c r="DB33" s="1932"/>
      <c r="DC33" s="771">
        <f t="shared" si="28"/>
        <v>0</v>
      </c>
      <c r="DD33" s="1072">
        <f>DC33*local_data_input!$C16</f>
        <v>0</v>
      </c>
      <c r="DE33" s="1935">
        <f>IF(DC33&gt;0,(DC33-INT(DC33/local_data_input!$H16)*local_data_input!$H16)*local_data_input!$I16+INT(DC33/local_data_input!$H16)*local_data_input!$H16*local_data_input!$J16,(DC33-INT(-DC33/local_data_input!$H16)*-local_data_input!$H16)*local_data_input!$I16+INT(-DC33/local_data_input!$H16)*-local_data_input!$H16*local_data_input!$J16)</f>
        <v>0</v>
      </c>
      <c r="DF33" s="1554"/>
      <c r="DG33" s="1932">
        <f>CHE!F62</f>
        <v>1</v>
      </c>
      <c r="DH33" s="771">
        <f t="shared" si="29"/>
        <v>4838.9178822357862</v>
      </c>
      <c r="DI33" s="1072">
        <f>DH33*local_data_input!$C16</f>
        <v>180319.61907478512</v>
      </c>
      <c r="DJ33" s="1935">
        <f>IF(DH33&gt;0,(DH33-INT(DH33/local_data_input!$H16)*local_data_input!$H16)*local_data_input!$I16+INT(DH33/local_data_input!$H16)*local_data_input!$H16*local_data_input!$J16,(DH33-INT(-DH33/local_data_input!$H16)*-local_data_input!$H16)*local_data_input!$I16+INT(-DH33/local_data_input!$H16)*-local_data_input!$H16*local_data_input!$J16)</f>
        <v>18527.793165579293</v>
      </c>
      <c r="DK33" s="1554"/>
      <c r="DL33" s="1932">
        <f>EWS_in_CH!F65</f>
        <v>-1</v>
      </c>
      <c r="DM33" s="771">
        <f t="shared" si="30"/>
        <v>-189.27662482974139</v>
      </c>
      <c r="DN33" s="1072">
        <f>DM33*local_data_input!$C16</f>
        <v>-7053.2895411092068</v>
      </c>
      <c r="DO33" s="1935">
        <f>IF(DM33&gt;0,(DM33-INT(DM33/local_data_input!$H16)*local_data_input!$H16)*local_data_input!$I16+INT(DM33/local_data_input!$H16)*local_data_input!$H16*local_data_input!$J16,(DM33-INT(-DM33/local_data_input!$H16)*-local_data_input!$H16)*local_data_input!$I16+INT(-DM33/local_data_input!$H16)*-local_data_input!$H16*local_data_input!$J16)</f>
        <v>-724.72363476109888</v>
      </c>
      <c r="DP33" s="1554"/>
    </row>
    <row r="34" spans="2:120" s="1119" customFormat="1">
      <c r="B34" s="1613"/>
      <c r="C34" s="1613" t="s">
        <v>48</v>
      </c>
      <c r="D34" s="1120"/>
      <c r="E34" s="771">
        <f t="shared" si="0"/>
        <v>88.15558801445205</v>
      </c>
      <c r="F34" s="1927">
        <f>E34-SIGN(E34)*INT(ABS(E34)/local_data_input!H17)*local_data_input!H17</f>
        <v>88.15558801445205</v>
      </c>
      <c r="G34" s="1935">
        <f>E34*local_data_input!$C17</f>
        <v>24883.010837550399</v>
      </c>
      <c r="H34" s="1072">
        <f t="shared" si="1"/>
        <v>1928.8001879427532</v>
      </c>
      <c r="I34" s="1935">
        <f>IF(E34&gt;0,(E34-INT(E34/local_data_input!$H17)*local_data_input!$H17)*local_data_input!$I17+INT(E34/local_data_input!$H17)*local_data_input!$H17*local_data_input!$J17,(E34-INT(-E34/local_data_input!$H17)*-local_data_input!$H17)*local_data_input!$I17+INT(-E34/local_data_input!$H17)*-local_data_input!$H17*local_data_input!$J17)</f>
        <v>1928.8001879427532</v>
      </c>
      <c r="J34" s="1554"/>
      <c r="K34" s="1932"/>
      <c r="L34" s="771">
        <f t="shared" si="2"/>
        <v>0</v>
      </c>
      <c r="M34" s="1935">
        <f>L34*local_data_input!$C17</f>
        <v>0</v>
      </c>
      <c r="N34" s="1935">
        <f>IF(L34&gt;0,(L34-INT(L34/local_data_input!$H17)*local_data_input!$H17)*local_data_input!$I17+INT(L34/local_data_input!$H17)*local_data_input!$H17*local_data_input!$J17,(L34-INT(-L34/local_data_input!$H17)*-local_data_input!$H17)*local_data_input!$I17+INT(-L34/local_data_input!$H17)*-local_data_input!$H17*local_data_input!$J17)</f>
        <v>0</v>
      </c>
      <c r="O34" s="1554"/>
      <c r="P34" s="1934"/>
      <c r="Q34" s="771">
        <f t="shared" si="3"/>
        <v>0</v>
      </c>
      <c r="R34" s="1072">
        <f>Q34*local_data_input!$C17</f>
        <v>0</v>
      </c>
      <c r="S34" s="1935">
        <f>IF(Q34&gt;0,(Q34-INT(Q34/local_data_input!$H17)*local_data_input!$H17)*local_data_input!$I17+INT(Q34/local_data_input!$H17)*local_data_input!$H17*local_data_input!$J17,(Q34-INT(-Q34/local_data_input!$H17)*-local_data_input!$H17)*local_data_input!$I17+INT(-Q34/local_data_input!$H17)*-local_data_input!$H17*local_data_input!$J17)</f>
        <v>0</v>
      </c>
      <c r="T34" s="1554"/>
      <c r="U34" s="1932"/>
      <c r="V34" s="771">
        <f t="shared" si="19"/>
        <v>0</v>
      </c>
      <c r="W34" s="1072">
        <f>V34*local_data_input!$C17</f>
        <v>0</v>
      </c>
      <c r="X34" s="1935">
        <f>IF(V34&gt;0,(V34-INT(V34/local_data_input!$H17)*local_data_input!$H17)*local_data_input!$I17+INT(V34/local_data_input!$H17)*local_data_input!$H17*local_data_input!$J17,(V34-INT(-V34/local_data_input!$H17)*-local_data_input!$H17)*local_data_input!$I17+INT(-V34/local_data_input!$H17)*-local_data_input!$H17*local_data_input!$J17)</f>
        <v>0</v>
      </c>
      <c r="Y34" s="1554"/>
      <c r="Z34" s="1932"/>
      <c r="AA34" s="771">
        <f t="shared" si="20"/>
        <v>0</v>
      </c>
      <c r="AB34" s="1072">
        <f>AA34*local_data_input!$C17</f>
        <v>0</v>
      </c>
      <c r="AC34" s="1935">
        <f>IF(AA34&gt;0,(AA34-INT(AA34/local_data_input!$H17)*local_data_input!$H17)*local_data_input!$I17+INT(AA34/local_data_input!$H17)*local_data_input!$H17*local_data_input!$J17,(AA34-INT(-AA34/local_data_input!$H17)*-local_data_input!$H17)*local_data_input!$I17+INT(-AA34/local_data_input!$H17)*-local_data_input!$H17*local_data_input!$J17)</f>
        <v>0</v>
      </c>
      <c r="AD34" s="1554"/>
      <c r="AE34" s="1932"/>
      <c r="AF34" s="771">
        <f t="shared" si="4"/>
        <v>0</v>
      </c>
      <c r="AG34" s="1072">
        <f>AF34*local_data_input!$C17</f>
        <v>0</v>
      </c>
      <c r="AH34" s="1935">
        <f>IF(AF34&gt;0,(AF34-INT(AF34/local_data_input!$H17)*local_data_input!$H17)*local_data_input!$I17+INT(AF34/local_data_input!$H17)*local_data_input!$H17*local_data_input!$J17,(AF34-INT(-AF34/local_data_input!$H17)*-local_data_input!$H17)*local_data_input!$I17+INT(-AF34/local_data_input!$H17)*-local_data_input!$H17*local_data_input!$J17)</f>
        <v>0</v>
      </c>
      <c r="AI34" s="1554"/>
      <c r="AJ34" s="1932"/>
      <c r="AK34" s="771">
        <f t="shared" si="21"/>
        <v>0</v>
      </c>
      <c r="AL34" s="1072">
        <f>AK34*local_data_input!$C17</f>
        <v>0</v>
      </c>
      <c r="AM34" s="1935">
        <f>IF(AK34&gt;0,(AK34-INT(AK34/local_data_input!$H17)*local_data_input!$H17)*local_data_input!$I17+INT(AK34/local_data_input!$H17)*local_data_input!$H17*local_data_input!$J17,(AK34-INT(-AK34/local_data_input!$H17)*-local_data_input!$H17)*local_data_input!$I17+INT(-AK34/local_data_input!$H17)*-local_data_input!$H17*local_data_input!$J17)</f>
        <v>0</v>
      </c>
      <c r="AN34" s="1554"/>
      <c r="AO34" s="1932"/>
      <c r="AP34" s="771">
        <f t="shared" si="5"/>
        <v>0</v>
      </c>
      <c r="AQ34" s="1072">
        <f>AP34*local_data_input!$C17</f>
        <v>0</v>
      </c>
      <c r="AR34" s="1935">
        <f>IF(AP34&gt;0,(AP34-INT(AP34/local_data_input!$H17)*local_data_input!$H17)*local_data_input!$I17+INT(AP34/local_data_input!$H17)*local_data_input!$H17*local_data_input!$J17,(AP34-INT(-AP34/local_data_input!$H17)*-local_data_input!$H17)*local_data_input!$I17+INT(-AP34/local_data_input!$H17)*-local_data_input!$H17*local_data_input!$J17)</f>
        <v>0</v>
      </c>
      <c r="AS34" s="1554"/>
      <c r="AT34" s="1932"/>
      <c r="AU34" s="771">
        <f t="shared" si="6"/>
        <v>0</v>
      </c>
      <c r="AV34" s="1072">
        <f>AU34*local_data_input!$C17</f>
        <v>0</v>
      </c>
      <c r="AW34" s="1935">
        <f>IF(AU34&gt;0,(AU34-INT(AU34/local_data_input!$H17)*local_data_input!$H17)*local_data_input!$I17+INT(AU34/local_data_input!$H17)*local_data_input!$H17*local_data_input!$J17,(AU34-INT(-AU34/local_data_input!$H17)*-local_data_input!$H17)*local_data_input!$I17+INT(-AU34/local_data_input!$H17)*-local_data_input!$H17*local_data_input!$J17)</f>
        <v>0</v>
      </c>
      <c r="AX34" s="1554"/>
      <c r="AY34" s="1932"/>
      <c r="AZ34" s="771">
        <f t="shared" si="7"/>
        <v>0</v>
      </c>
      <c r="BA34" s="1072">
        <f>AZ34*local_data_input!$C17</f>
        <v>0</v>
      </c>
      <c r="BB34" s="1935">
        <f>IF(AZ34&gt;0,(AZ34-INT(AZ34/local_data_input!$H17)*local_data_input!$H17)*local_data_input!$I17+INT(AZ34/local_data_input!$H17)*local_data_input!$H17*local_data_input!$J17,(AZ34-INT(-AZ34/local_data_input!$H17)*-local_data_input!$H17)*local_data_input!$I17+INT(-AZ34/local_data_input!$H17)*-local_data_input!$H17*local_data_input!$J17)</f>
        <v>0</v>
      </c>
      <c r="BC34" s="1554"/>
      <c r="BD34" s="1932"/>
      <c r="BE34" s="771">
        <f t="shared" si="8"/>
        <v>0</v>
      </c>
      <c r="BF34" s="1072">
        <f>BE34*local_data_input!$C17</f>
        <v>0</v>
      </c>
      <c r="BG34" s="1935">
        <f>IF(BE34&gt;0,(BE34-INT(BE34/local_data_input!$H17)*local_data_input!$H17)*local_data_input!$I17+INT(BE34/local_data_input!$H17)*local_data_input!$H17*local_data_input!$J17,(BE34-INT(-BE34/local_data_input!$H17)*-local_data_input!$H17)*local_data_input!$I17+INT(-BE34/local_data_input!$H17)*-local_data_input!$H17*local_data_input!$J17)</f>
        <v>0</v>
      </c>
      <c r="BH34" s="1554"/>
      <c r="BI34" s="1932"/>
      <c r="BJ34" s="771">
        <f t="shared" si="22"/>
        <v>0</v>
      </c>
      <c r="BK34" s="1072">
        <f>BJ34*local_data_input!$C17</f>
        <v>0</v>
      </c>
      <c r="BL34" s="1935">
        <f>IF(BJ34&gt;0,(BJ34-INT(BJ34/local_data_input!$H17)*local_data_input!$H17)*local_data_input!$I17+INT(BJ34/local_data_input!$H17)*local_data_input!$H17*local_data_input!$J17,(BJ34-INT(-BJ34/local_data_input!$H17)*-local_data_input!$H17)*local_data_input!$I17+INT(-BJ34/local_data_input!$H17)*-local_data_input!$H17*local_data_input!$J17)</f>
        <v>0</v>
      </c>
      <c r="BM34" s="1554"/>
      <c r="BN34" s="1932"/>
      <c r="BO34" s="771">
        <f t="shared" si="9"/>
        <v>0</v>
      </c>
      <c r="BP34" s="1072">
        <f>BO34*local_data_input!$C17</f>
        <v>0</v>
      </c>
      <c r="BQ34" s="1935">
        <f>IF(BO34&gt;0,(BO34-INT(BO34/local_data_input!$H17)*local_data_input!$H17)*local_data_input!$I17+INT(BO34/local_data_input!$H17)*local_data_input!$H17*local_data_input!$J17,(BO34-INT(-BO34/local_data_input!$H17)*-local_data_input!$H17)*local_data_input!$I17+INT(-BO34/local_data_input!$H17)*-local_data_input!$H17*local_data_input!$J17)</f>
        <v>0</v>
      </c>
      <c r="BR34" s="1554"/>
      <c r="BS34" s="1932"/>
      <c r="BT34" s="771">
        <f t="shared" si="10"/>
        <v>0</v>
      </c>
      <c r="BU34" s="1072">
        <f>BT34*local_data_input!$C17</f>
        <v>0</v>
      </c>
      <c r="BV34" s="1935">
        <f>IF(BT34&gt;0,(BT34-INT(BT34/local_data_input!$H17)*local_data_input!$H17)*local_data_input!$I17+INT(BT34/local_data_input!$H17)*local_data_input!$H17*local_data_input!$J17,(BT34-INT(-BT34/local_data_input!$H17)*-local_data_input!$H17)*local_data_input!$I17+INT(-BT34/local_data_input!$H17)*-local_data_input!$H17*local_data_input!$J17)</f>
        <v>0</v>
      </c>
      <c r="BW34" s="1079"/>
      <c r="BX34" s="1932">
        <f>IR_in_AS!D52</f>
        <v>0</v>
      </c>
      <c r="BY34" s="771">
        <f t="shared" si="24"/>
        <v>0</v>
      </c>
      <c r="BZ34" s="1072">
        <f>BY34*local_data_input!$C17</f>
        <v>0</v>
      </c>
      <c r="CA34" s="1935">
        <f>IF(BY34&gt;0,(BY34-INT(BY34/local_data_input!$H17)*local_data_input!$H17)*local_data_input!$I17+INT(BY34/local_data_input!$H17)*local_data_input!$H17*local_data_input!$J17,(BY34-INT(-BY34/local_data_input!$H17)*-local_data_input!$H17)*local_data_input!$I17+INT(-BY34/local_data_input!$H17)*-local_data_input!$H17*local_data_input!$J17)</f>
        <v>0</v>
      </c>
      <c r="CB34" s="1554"/>
      <c r="CC34" s="1932">
        <f>IR_in_ED!D52</f>
        <v>0</v>
      </c>
      <c r="CD34" s="771">
        <f t="shared" si="25"/>
        <v>0</v>
      </c>
      <c r="CE34" s="1072">
        <f>CD34*local_data_input!$C17</f>
        <v>0</v>
      </c>
      <c r="CF34" s="1935">
        <f>IF(CD34&gt;0,(CD34-INT(CD34/local_data_input!$H17)*local_data_input!$H17)*local_data_input!$I17+INT(CD34/local_data_input!$H17)*local_data_input!$H17*local_data_input!$J17,(CD34-INT(-CD34/local_data_input!$H17)*-local_data_input!$H17)*local_data_input!$I17+INT(-CD34/local_data_input!$H17)*-local_data_input!$H17*local_data_input!$J17)</f>
        <v>0</v>
      </c>
      <c r="CG34" s="1554"/>
      <c r="CH34" s="1932">
        <f>IR_in_CH!F51</f>
        <v>0</v>
      </c>
      <c r="CI34" s="771">
        <f t="shared" si="31"/>
        <v>0</v>
      </c>
      <c r="CJ34" s="1072">
        <f>CI34*local_data_input!$C17</f>
        <v>0</v>
      </c>
      <c r="CK34" s="1935">
        <f>IF(CI34&gt;0,(CI34-INT(CI34/local_data_input!$H17)*local_data_input!$H17)*local_data_input!$I17+INT(CI34/local_data_input!$H17)*local_data_input!$H17*local_data_input!$J17,(CI34-INT(-CI34/local_data_input!$H17)*-local_data_input!$H17)*local_data_input!$I17+INT(-CI34/local_data_input!$H17)*-local_data_input!$H17*local_data_input!$J17)</f>
        <v>0</v>
      </c>
      <c r="CL34" s="1554"/>
      <c r="CM34" s="1932"/>
      <c r="CN34" s="771">
        <f t="shared" si="26"/>
        <v>0</v>
      </c>
      <c r="CO34" s="1072">
        <f>CN34*local_data_input!$C17</f>
        <v>0</v>
      </c>
      <c r="CP34" s="1935">
        <f>IF(CN34&gt;0,(CN34-INT(CN34/local_data_input!$H17)*local_data_input!$H17)*local_data_input!$I17+INT(CN34/local_data_input!$H17)*local_data_input!$H17*local_data_input!$J17,(CN34-INT(-CN34/local_data_input!$H17)*-local_data_input!$H17)*local_data_input!$I17+INT(-CN34/local_data_input!$H17)*-local_data_input!$H17*local_data_input!$J17)</f>
        <v>0</v>
      </c>
      <c r="CQ34" s="1554"/>
      <c r="CR34" s="1932"/>
      <c r="CS34" s="1927">
        <f t="shared" si="32"/>
        <v>0</v>
      </c>
      <c r="CT34" s="1072">
        <f>CS34*local_data_input!$C17</f>
        <v>0</v>
      </c>
      <c r="CU34" s="1935">
        <f>IF(CS34&gt;0,(CS34-INT(CS34/local_data_input!$H17)*local_data_input!$H17)*local_data_input!$I17+INT(CS34/local_data_input!$H17)*local_data_input!$H17*local_data_input!$J17,(CS34-INT(-CS34/local_data_input!$H17)*-local_data_input!$H17)*local_data_input!$I17+INT(-CS34/local_data_input!$H17)*-local_data_input!$H17*local_data_input!$J17)</f>
        <v>0</v>
      </c>
      <c r="CV34" s="1554"/>
      <c r="CW34" s="1932">
        <f>Rapid_Response!F78</f>
        <v>0.12</v>
      </c>
      <c r="CX34" s="771">
        <f t="shared" si="27"/>
        <v>88.15558801445205</v>
      </c>
      <c r="CY34" s="1072">
        <f>CX34*local_data_input!$C17</f>
        <v>24883.010837550399</v>
      </c>
      <c r="CZ34" s="1935">
        <f>IF(CX34&gt;0,(CX34-INT(CX34/local_data_input!$H17)*local_data_input!$H17)*local_data_input!$I17+INT(CX34/local_data_input!$H17)*local_data_input!$H17*local_data_input!$J17,(CX34-INT(-CX34/local_data_input!$H17)*-local_data_input!$H17)*local_data_input!$I17+INT(-CX34/local_data_input!$H17)*-local_data_input!$H17*local_data_input!$J17)</f>
        <v>1928.8001879427532</v>
      </c>
      <c r="DA34" s="1554"/>
      <c r="DB34" s="1932"/>
      <c r="DC34" s="771">
        <f t="shared" si="28"/>
        <v>0</v>
      </c>
      <c r="DD34" s="1072">
        <f>DC34*local_data_input!$C17</f>
        <v>0</v>
      </c>
      <c r="DE34" s="1935">
        <f>IF(DC34&gt;0,(DC34-INT(DC34/local_data_input!$H17)*local_data_input!$H17)*local_data_input!$I17+INT(DC34/local_data_input!$H17)*local_data_input!$H17*local_data_input!$J17,(DC34-INT(-DC34/local_data_input!$H17)*-local_data_input!$H17)*local_data_input!$I17+INT(-DC34/local_data_input!$H17)*-local_data_input!$H17*local_data_input!$J17)</f>
        <v>0</v>
      </c>
      <c r="DF34" s="1554"/>
      <c r="DG34" s="1932"/>
      <c r="DH34" s="771">
        <f t="shared" si="29"/>
        <v>0</v>
      </c>
      <c r="DI34" s="1072">
        <f>DH34*local_data_input!$C17</f>
        <v>0</v>
      </c>
      <c r="DJ34" s="1935">
        <f>IF(DH34&gt;0,(DH34-INT(DH34/local_data_input!$H17)*local_data_input!$H17)*local_data_input!$I17+INT(DH34/local_data_input!$H17)*local_data_input!$H17*local_data_input!$J17,(DH34-INT(-DH34/local_data_input!$H17)*-local_data_input!$H17)*local_data_input!$I17+INT(-DH34/local_data_input!$H17)*-local_data_input!$H17*local_data_input!$J17)</f>
        <v>0</v>
      </c>
      <c r="DK34" s="1554"/>
      <c r="DL34" s="1932"/>
      <c r="DM34" s="771">
        <f t="shared" si="30"/>
        <v>0</v>
      </c>
      <c r="DN34" s="1072">
        <f>DM34*local_data_input!$C17</f>
        <v>0</v>
      </c>
      <c r="DO34" s="1935">
        <f>IF(DM34&gt;0,(DM34-INT(DM34/local_data_input!$H17)*local_data_input!$H17)*local_data_input!$I17+INT(DM34/local_data_input!$H17)*local_data_input!$H17*local_data_input!$J17,(DM34-INT(-DM34/local_data_input!$H17)*-local_data_input!$H17)*local_data_input!$I17+INT(-DM34/local_data_input!$H17)*-local_data_input!$H17*local_data_input!$J17)</f>
        <v>0</v>
      </c>
      <c r="DP34" s="1554"/>
    </row>
    <row r="35" spans="2:120" s="1119" customFormat="1">
      <c r="B35" s="1613"/>
      <c r="C35" s="1613" t="s">
        <v>225</v>
      </c>
      <c r="D35" s="1120"/>
      <c r="E35" s="771">
        <f t="shared" si="0"/>
        <v>-94.39354767660771</v>
      </c>
      <c r="F35" s="1927">
        <f>E35-SIGN(E35)*INT(ABS(E35)/local_data_input!H18)*local_data_input!H18</f>
        <v>-94.39354767660771</v>
      </c>
      <c r="G35" s="1935">
        <f>E35*local_data_input!$C18</f>
        <v>-2265.4451442385853</v>
      </c>
      <c r="H35" s="1072">
        <f t="shared" si="1"/>
        <v>-258.16045329618896</v>
      </c>
      <c r="I35" s="1935">
        <f>IF(E35&gt;0,(E35-INT(E35/local_data_input!$H18)*local_data_input!$H18)*local_data_input!$I18+INT(E35/local_data_input!$H18)*local_data_input!$H18*local_data_input!$J18,(E35-INT(-E35/local_data_input!$H18)*-local_data_input!$H18)*local_data_input!$I18+INT(-E35/local_data_input!$H18)*-local_data_input!$H18*local_data_input!$J18)</f>
        <v>-258.16045329618896</v>
      </c>
      <c r="J35" s="1554"/>
      <c r="K35" s="1932"/>
      <c r="L35" s="771">
        <f t="shared" si="2"/>
        <v>0</v>
      </c>
      <c r="M35" s="1935">
        <f>L35*local_data_input!$C18</f>
        <v>0</v>
      </c>
      <c r="N35" s="1935">
        <f>IF(L35&gt;0,(L35-INT(L35/local_data_input!$H18)*local_data_input!$H18)*local_data_input!$I18+INT(L35/local_data_input!$H18)*local_data_input!$H18*local_data_input!$J18,(L35-INT(-L35/local_data_input!$H18)*-local_data_input!$H18)*local_data_input!$I18+INT(-L35/local_data_input!$H18)*-local_data_input!$H18*local_data_input!$J18)</f>
        <v>0</v>
      </c>
      <c r="O35" s="1554"/>
      <c r="P35" s="1934"/>
      <c r="Q35" s="771">
        <f t="shared" si="3"/>
        <v>0</v>
      </c>
      <c r="R35" s="1072">
        <f>Q35*local_data_input!$C18</f>
        <v>0</v>
      </c>
      <c r="S35" s="1935">
        <f>IF(Q35&gt;0,(Q35-INT(Q35/local_data_input!$H18)*local_data_input!$H18)*local_data_input!$I18+INT(Q35/local_data_input!$H18)*local_data_input!$H18*local_data_input!$J18,(Q35-INT(-Q35/local_data_input!$H18)*-local_data_input!$H18)*local_data_input!$I18+INT(-Q35/local_data_input!$H18)*-local_data_input!$H18*local_data_input!$J18)</f>
        <v>0</v>
      </c>
      <c r="T35" s="1554"/>
      <c r="U35" s="1932"/>
      <c r="V35" s="771">
        <f t="shared" si="19"/>
        <v>0</v>
      </c>
      <c r="W35" s="1072">
        <f>V35*local_data_input!$C18</f>
        <v>0</v>
      </c>
      <c r="X35" s="1935">
        <f>IF(V35&gt;0,(V35-INT(V35/local_data_input!$H18)*local_data_input!$H18)*local_data_input!$I18+INT(V35/local_data_input!$H18)*local_data_input!$H18*local_data_input!$J18,(V35-INT(-V35/local_data_input!$H18)*-local_data_input!$H18)*local_data_input!$I18+INT(-V35/local_data_input!$H18)*-local_data_input!$H18*local_data_input!$J18)</f>
        <v>0</v>
      </c>
      <c r="Y35" s="1554"/>
      <c r="Z35" s="1932"/>
      <c r="AA35" s="771">
        <f t="shared" si="20"/>
        <v>0</v>
      </c>
      <c r="AB35" s="1072">
        <f>AA35*local_data_input!$C18</f>
        <v>0</v>
      </c>
      <c r="AC35" s="1935">
        <f>IF(AA35&gt;0,(AA35-INT(AA35/local_data_input!$H18)*local_data_input!$H18)*local_data_input!$I18+INT(AA35/local_data_input!$H18)*local_data_input!$H18*local_data_input!$J18,(AA35-INT(-AA35/local_data_input!$H18)*-local_data_input!$H18)*local_data_input!$I18+INT(-AA35/local_data_input!$H18)*-local_data_input!$H18*local_data_input!$J18)</f>
        <v>0</v>
      </c>
      <c r="AD35" s="1554"/>
      <c r="AE35" s="1932"/>
      <c r="AF35" s="771">
        <f t="shared" si="4"/>
        <v>0</v>
      </c>
      <c r="AG35" s="1072">
        <f>AF35*local_data_input!$C18</f>
        <v>0</v>
      </c>
      <c r="AH35" s="1935">
        <f>IF(AF35&gt;0,(AF35-INT(AF35/local_data_input!$H18)*local_data_input!$H18)*local_data_input!$I18+INT(AF35/local_data_input!$H18)*local_data_input!$H18*local_data_input!$J18,(AF35-INT(-AF35/local_data_input!$H18)*-local_data_input!$H18)*local_data_input!$I18+INT(-AF35/local_data_input!$H18)*-local_data_input!$H18*local_data_input!$J18)</f>
        <v>0</v>
      </c>
      <c r="AI35" s="1554"/>
      <c r="AJ35" s="1932">
        <f>-Care_planning!F60</f>
        <v>-0.05</v>
      </c>
      <c r="AK35" s="771">
        <f t="shared" si="21"/>
        <v>-94.39354767660771</v>
      </c>
      <c r="AL35" s="1072">
        <f>AK35*local_data_input!$C18</f>
        <v>-2265.4451442385853</v>
      </c>
      <c r="AM35" s="1935">
        <f>IF(AK35&gt;0,(AK35-INT(AK35/local_data_input!$H18)*local_data_input!$H18)*local_data_input!$I18+INT(AK35/local_data_input!$H18)*local_data_input!$H18*local_data_input!$J18,(AK35-INT(-AK35/local_data_input!$H18)*-local_data_input!$H18)*local_data_input!$I18+INT(-AK35/local_data_input!$H18)*-local_data_input!$H18*local_data_input!$J18)</f>
        <v>-258.16045329618896</v>
      </c>
      <c r="AN35" s="1554"/>
      <c r="AO35" s="1932"/>
      <c r="AP35" s="771">
        <f t="shared" si="5"/>
        <v>0</v>
      </c>
      <c r="AQ35" s="1072">
        <f>AP35*local_data_input!$C18</f>
        <v>0</v>
      </c>
      <c r="AR35" s="1935">
        <f>IF(AP35&gt;0,(AP35-INT(AP35/local_data_input!$H18)*local_data_input!$H18)*local_data_input!$I18+INT(AP35/local_data_input!$H18)*local_data_input!$H18*local_data_input!$J18,(AP35-INT(-AP35/local_data_input!$H18)*-local_data_input!$H18)*local_data_input!$I18+INT(-AP35/local_data_input!$H18)*-local_data_input!$H18*local_data_input!$J18)</f>
        <v>0</v>
      </c>
      <c r="AS35" s="1554"/>
      <c r="AT35" s="1932"/>
      <c r="AU35" s="771">
        <f t="shared" si="6"/>
        <v>0</v>
      </c>
      <c r="AV35" s="1072">
        <f>AU35*local_data_input!$C18</f>
        <v>0</v>
      </c>
      <c r="AW35" s="1935">
        <f>IF(AU35&gt;0,(AU35-INT(AU35/local_data_input!$H18)*local_data_input!$H18)*local_data_input!$I18+INT(AU35/local_data_input!$H18)*local_data_input!$H18*local_data_input!$J18,(AU35-INT(-AU35/local_data_input!$H18)*-local_data_input!$H18)*local_data_input!$I18+INT(-AU35/local_data_input!$H18)*-local_data_input!$H18*local_data_input!$J18)</f>
        <v>0</v>
      </c>
      <c r="AX35" s="1554"/>
      <c r="AY35" s="1932"/>
      <c r="AZ35" s="771">
        <f t="shared" si="7"/>
        <v>0</v>
      </c>
      <c r="BA35" s="1072">
        <f>AZ35*local_data_input!$C18</f>
        <v>0</v>
      </c>
      <c r="BB35" s="1935">
        <f>IF(AZ35&gt;0,(AZ35-INT(AZ35/local_data_input!$H18)*local_data_input!$H18)*local_data_input!$I18+INT(AZ35/local_data_input!$H18)*local_data_input!$H18*local_data_input!$J18,(AZ35-INT(-AZ35/local_data_input!$H18)*-local_data_input!$H18)*local_data_input!$I18+INT(-AZ35/local_data_input!$H18)*-local_data_input!$H18*local_data_input!$J18)</f>
        <v>0</v>
      </c>
      <c r="BC35" s="1554"/>
      <c r="BD35" s="1932"/>
      <c r="BE35" s="771">
        <f t="shared" si="8"/>
        <v>0</v>
      </c>
      <c r="BF35" s="1072">
        <f>BE35*local_data_input!$C18</f>
        <v>0</v>
      </c>
      <c r="BG35" s="1935">
        <f>IF(BE35&gt;0,(BE35-INT(BE35/local_data_input!$H18)*local_data_input!$H18)*local_data_input!$I18+INT(BE35/local_data_input!$H18)*local_data_input!$H18*local_data_input!$J18,(BE35-INT(-BE35/local_data_input!$H18)*-local_data_input!$H18)*local_data_input!$I18+INT(-BE35/local_data_input!$H18)*-local_data_input!$H18*local_data_input!$J18)</f>
        <v>0</v>
      </c>
      <c r="BH35" s="1554"/>
      <c r="BI35" s="1932"/>
      <c r="BJ35" s="771">
        <f t="shared" si="22"/>
        <v>0</v>
      </c>
      <c r="BK35" s="1072">
        <f>BJ35*local_data_input!$C18</f>
        <v>0</v>
      </c>
      <c r="BL35" s="1935">
        <f>IF(BJ35&gt;0,(BJ35-INT(BJ35/local_data_input!$H18)*local_data_input!$H18)*local_data_input!$I18+INT(BJ35/local_data_input!$H18)*local_data_input!$H18*local_data_input!$J18,(BJ35-INT(-BJ35/local_data_input!$H18)*-local_data_input!$H18)*local_data_input!$I18+INT(-BJ35/local_data_input!$H18)*-local_data_input!$H18*local_data_input!$J18)</f>
        <v>0</v>
      </c>
      <c r="BM35" s="1554"/>
      <c r="BN35" s="1932"/>
      <c r="BO35" s="771">
        <f t="shared" si="9"/>
        <v>0</v>
      </c>
      <c r="BP35" s="1072">
        <f>BO35*local_data_input!$C18</f>
        <v>0</v>
      </c>
      <c r="BQ35" s="1935">
        <f>IF(BO35&gt;0,(BO35-INT(BO35/local_data_input!$H18)*local_data_input!$H18)*local_data_input!$I18+INT(BO35/local_data_input!$H18)*local_data_input!$H18*local_data_input!$J18,(BO35-INT(-BO35/local_data_input!$H18)*-local_data_input!$H18)*local_data_input!$I18+INT(-BO35/local_data_input!$H18)*-local_data_input!$H18*local_data_input!$J18)</f>
        <v>0</v>
      </c>
      <c r="BR35" s="1554"/>
      <c r="BS35" s="1932"/>
      <c r="BT35" s="771">
        <f t="shared" si="10"/>
        <v>0</v>
      </c>
      <c r="BU35" s="1072">
        <f>BT35*local_data_input!$C18</f>
        <v>0</v>
      </c>
      <c r="BV35" s="1935">
        <f>IF(BT35&gt;0,(BT35-INT(BT35/local_data_input!$H18)*local_data_input!$H18)*local_data_input!$I18+INT(BT35/local_data_input!$H18)*local_data_input!$H18*local_data_input!$J18,(BT35-INT(-BT35/local_data_input!$H18)*-local_data_input!$H18)*local_data_input!$I18+INT(-BT35/local_data_input!$H18)*-local_data_input!$H18*local_data_input!$J18)</f>
        <v>0</v>
      </c>
      <c r="BW35" s="1079"/>
      <c r="BX35" s="1932">
        <f>IR_in_AS!D53</f>
        <v>0</v>
      </c>
      <c r="BY35" s="771">
        <f t="shared" si="24"/>
        <v>0</v>
      </c>
      <c r="BZ35" s="1072">
        <f>BY35*local_data_input!$C18</f>
        <v>0</v>
      </c>
      <c r="CA35" s="1935">
        <f>IF(BY35&gt;0,(BY35-INT(BY35/local_data_input!$H18)*local_data_input!$H18)*local_data_input!$I18+INT(BY35/local_data_input!$H18)*local_data_input!$H18*local_data_input!$J18,(BY35-INT(-BY35/local_data_input!$H18)*-local_data_input!$H18)*local_data_input!$I18+INT(-BY35/local_data_input!$H18)*-local_data_input!$H18*local_data_input!$J18)</f>
        <v>0</v>
      </c>
      <c r="CB35" s="1554"/>
      <c r="CC35" s="1932">
        <f>IR_in_ED!D53</f>
        <v>0</v>
      </c>
      <c r="CD35" s="771">
        <f t="shared" si="25"/>
        <v>0</v>
      </c>
      <c r="CE35" s="1072">
        <f>CD35*local_data_input!$C18</f>
        <v>0</v>
      </c>
      <c r="CF35" s="1935">
        <f>IF(CD35&gt;0,(CD35-INT(CD35/local_data_input!$H18)*local_data_input!$H18)*local_data_input!$I18+INT(CD35/local_data_input!$H18)*local_data_input!$H18*local_data_input!$J18,(CD35-INT(-CD35/local_data_input!$H18)*-local_data_input!$H18)*local_data_input!$I18+INT(-CD35/local_data_input!$H18)*-local_data_input!$H18*local_data_input!$J18)</f>
        <v>0</v>
      </c>
      <c r="CG35" s="1554"/>
      <c r="CH35" s="1932">
        <f>IR_in_CH!F52</f>
        <v>0</v>
      </c>
      <c r="CI35" s="771">
        <f t="shared" si="31"/>
        <v>0</v>
      </c>
      <c r="CJ35" s="1072">
        <f>CI35*local_data_input!$C18</f>
        <v>0</v>
      </c>
      <c r="CK35" s="1935">
        <f>IF(CI35&gt;0,(CI35-INT(CI35/local_data_input!$H18)*local_data_input!$H18)*local_data_input!$I18+INT(CI35/local_data_input!$H18)*local_data_input!$H18*local_data_input!$J18,(CI35-INT(-CI35/local_data_input!$H18)*-local_data_input!$H18)*local_data_input!$I18+INT(-CI35/local_data_input!$H18)*-local_data_input!$H18*local_data_input!$J18)</f>
        <v>0</v>
      </c>
      <c r="CL35" s="1554"/>
      <c r="CM35" s="1932"/>
      <c r="CN35" s="771">
        <f t="shared" si="26"/>
        <v>0</v>
      </c>
      <c r="CO35" s="1072">
        <f>CN35*local_data_input!$C18</f>
        <v>0</v>
      </c>
      <c r="CP35" s="1935">
        <f>IF(CN35&gt;0,(CN35-INT(CN35/local_data_input!$H18)*local_data_input!$H18)*local_data_input!$I18+INT(CN35/local_data_input!$H18)*local_data_input!$H18*local_data_input!$J18,(CN35-INT(-CN35/local_data_input!$H18)*-local_data_input!$H18)*local_data_input!$I18+INT(-CN35/local_data_input!$H18)*-local_data_input!$H18*local_data_input!$J18)</f>
        <v>0</v>
      </c>
      <c r="CQ35" s="1554"/>
      <c r="CR35" s="1932"/>
      <c r="CS35" s="1927">
        <f t="shared" si="32"/>
        <v>0</v>
      </c>
      <c r="CT35" s="1072">
        <f>CS35*local_data_input!$C18</f>
        <v>0</v>
      </c>
      <c r="CU35" s="1935">
        <f>IF(CS35&gt;0,(CS35-INT(CS35/local_data_input!$H18)*local_data_input!$H18)*local_data_input!$I18+INT(CS35/local_data_input!$H18)*local_data_input!$H18*local_data_input!$J18,(CS35-INT(-CS35/local_data_input!$H18)*-local_data_input!$H18)*local_data_input!$I18+INT(-CS35/local_data_input!$H18)*-local_data_input!$H18*local_data_input!$J18)</f>
        <v>0</v>
      </c>
      <c r="CV35" s="1554"/>
      <c r="CW35" s="1932"/>
      <c r="CX35" s="771">
        <f t="shared" si="27"/>
        <v>0</v>
      </c>
      <c r="CY35" s="1072">
        <f>CX35*local_data_input!$C18</f>
        <v>0</v>
      </c>
      <c r="CZ35" s="1935">
        <f>IF(CX35&gt;0,(CX35-INT(CX35/local_data_input!$H18)*local_data_input!$H18)*local_data_input!$I18+INT(CX35/local_data_input!$H18)*local_data_input!$H18*local_data_input!$J18,(CX35-INT(-CX35/local_data_input!$H18)*-local_data_input!$H18)*local_data_input!$I18+INT(-CX35/local_data_input!$H18)*-local_data_input!$H18*local_data_input!$J18)</f>
        <v>0</v>
      </c>
      <c r="DA35" s="1554"/>
      <c r="DB35" s="1932"/>
      <c r="DC35" s="771">
        <f t="shared" si="28"/>
        <v>0</v>
      </c>
      <c r="DD35" s="1072">
        <f>DC35*local_data_input!$C18</f>
        <v>0</v>
      </c>
      <c r="DE35" s="1935">
        <f>IF(DC35&gt;0,(DC35-INT(DC35/local_data_input!$H18)*local_data_input!$H18)*local_data_input!$I18+INT(DC35/local_data_input!$H18)*local_data_input!$H18*local_data_input!$J18,(DC35-INT(-DC35/local_data_input!$H18)*-local_data_input!$H18)*local_data_input!$I18+INT(-DC35/local_data_input!$H18)*-local_data_input!$H18*local_data_input!$J18)</f>
        <v>0</v>
      </c>
      <c r="DF35" s="1554"/>
      <c r="DG35" s="1932"/>
      <c r="DH35" s="771">
        <f t="shared" si="29"/>
        <v>0</v>
      </c>
      <c r="DI35" s="1072">
        <f>DH35*local_data_input!$C18</f>
        <v>0</v>
      </c>
      <c r="DJ35" s="1935">
        <f>IF(DH35&gt;0,(DH35-INT(DH35/local_data_input!$H18)*local_data_input!$H18)*local_data_input!$I18+INT(DH35/local_data_input!$H18)*local_data_input!$H18*local_data_input!$J18,(DH35-INT(-DH35/local_data_input!$H18)*-local_data_input!$H18)*local_data_input!$I18+INT(-DH35/local_data_input!$H18)*-local_data_input!$H18*local_data_input!$J18)</f>
        <v>0</v>
      </c>
      <c r="DK35" s="1554"/>
      <c r="DL35" s="1932"/>
      <c r="DM35" s="771">
        <f t="shared" si="30"/>
        <v>0</v>
      </c>
      <c r="DN35" s="1072">
        <f>DM35*local_data_input!$C18</f>
        <v>0</v>
      </c>
      <c r="DO35" s="1935">
        <f>IF(DM35&gt;0,(DM35-INT(DM35/local_data_input!$H18)*local_data_input!$H18)*local_data_input!$I18+INT(DM35/local_data_input!$H18)*local_data_input!$H18*local_data_input!$J18,(DM35-INT(-DM35/local_data_input!$H18)*-local_data_input!$H18)*local_data_input!$I18+INT(-DM35/local_data_input!$H18)*-local_data_input!$H18*local_data_input!$J18)</f>
        <v>0</v>
      </c>
      <c r="DP35" s="1554"/>
    </row>
    <row r="36" spans="2:120" s="1119" customFormat="1">
      <c r="B36" s="1613"/>
      <c r="C36" s="1613" t="s">
        <v>32</v>
      </c>
      <c r="D36" s="1120"/>
      <c r="E36" s="771">
        <f t="shared" si="0"/>
        <v>13317.912978983313</v>
      </c>
      <c r="F36" s="1927">
        <f>E36-SIGN(E36)*INT(ABS(E36)/local_data_input!H19)*local_data_input!H19</f>
        <v>0.91297898331322358</v>
      </c>
      <c r="G36" s="1935">
        <f>E36*local_data_input!$C19</f>
        <v>492762.78022238257</v>
      </c>
      <c r="H36" s="1072">
        <f t="shared" si="1"/>
        <v>55363.962633938114</v>
      </c>
      <c r="I36" s="1935">
        <f>IF(E36&gt;0,(E36-INT(E36/local_data_input!$H19)*local_data_input!$H19)*local_data_input!$I19+INT(E36/local_data_input!$H19)*local_data_input!$H19*local_data_input!$J19,(E36-INT(-E36/local_data_input!$H19)*-local_data_input!$H19)*local_data_input!$I19+INT(-E36/local_data_input!$H19)*-local_data_input!$H19*local_data_input!$J19)</f>
        <v>55363.962633938121</v>
      </c>
      <c r="J36" s="1554"/>
      <c r="K36" s="1932">
        <f>-hear_and_treat!F65</f>
        <v>-0.1</v>
      </c>
      <c r="L36" s="771">
        <f t="shared" si="2"/>
        <v>-917.44139832955284</v>
      </c>
      <c r="M36" s="1935">
        <f>L36*local_data_input!$C19</f>
        <v>-33945.331738193454</v>
      </c>
      <c r="N36" s="1935">
        <f>IF(L36&gt;0,(L36-INT(L36/local_data_input!$H19)*local_data_input!$H19)*local_data_input!$I19+INT(L36/local_data_input!$H19)*local_data_input!$H19*local_data_input!$J19,(L36-INT(-L36/local_data_input!$H19)*-local_data_input!$H19)*local_data_input!$I19+INT(-L36/local_data_input!$H19)*-local_data_input!$H19*local_data_input!$J19)</f>
        <v>-3813.9002241643152</v>
      </c>
      <c r="O36" s="1554"/>
      <c r="P36" s="1934"/>
      <c r="Q36" s="771">
        <f t="shared" si="3"/>
        <v>0</v>
      </c>
      <c r="R36" s="1072">
        <f>Q36*local_data_input!$C19</f>
        <v>0</v>
      </c>
      <c r="S36" s="1935">
        <f>IF(Q36&gt;0,(Q36-INT(Q36/local_data_input!$H19)*local_data_input!$H19)*local_data_input!$I19+INT(Q36/local_data_input!$H19)*local_data_input!$H19*local_data_input!$J19,(Q36-INT(-Q36/local_data_input!$H19)*-local_data_input!$H19)*local_data_input!$I19+INT(-Q36/local_data_input!$H19)*-local_data_input!$H19*local_data_input!$J19)</f>
        <v>0</v>
      </c>
      <c r="T36" s="1554"/>
      <c r="U36" s="1932">
        <f>Clinical_advisor_consultations!F60</f>
        <v>0.21</v>
      </c>
      <c r="V36" s="771">
        <f t="shared" si="19"/>
        <v>5986.3051241003313</v>
      </c>
      <c r="W36" s="1072">
        <f>V36*local_data_input!$C19</f>
        <v>221493.28959171227</v>
      </c>
      <c r="X36" s="1935">
        <f>IF(V36&gt;0,(V36-INT(V36/local_data_input!$H19)*local_data_input!$H19)*local_data_input!$I19+INT(V36/local_data_input!$H19)*local_data_input!$H19*local_data_input!$J19,(V36-INT(-V36/local_data_input!$H19)*-local_data_input!$H19)*local_data_input!$I19+INT(-V36/local_data_input!$H19)*-local_data_input!$H19*local_data_input!$J19)</f>
        <v>24885.698962672152</v>
      </c>
      <c r="Y36" s="1554"/>
      <c r="Z36" s="1932"/>
      <c r="AA36" s="771">
        <f t="shared" si="20"/>
        <v>0</v>
      </c>
      <c r="AB36" s="1072">
        <f>AA36*local_data_input!$C19</f>
        <v>0</v>
      </c>
      <c r="AC36" s="1935">
        <f>IF(AA36&gt;0,(AA36-INT(AA36/local_data_input!$H19)*local_data_input!$H19)*local_data_input!$I19+INT(AA36/local_data_input!$H19)*local_data_input!$H19*local_data_input!$J19,(AA36-INT(-AA36/local_data_input!$H19)*-local_data_input!$H19)*local_data_input!$I19+INT(-AA36/local_data_input!$H19)*-local_data_input!$H19*local_data_input!$J19)</f>
        <v>0</v>
      </c>
      <c r="AD36" s="1554"/>
      <c r="AE36" s="1932"/>
      <c r="AF36" s="771">
        <f t="shared" si="4"/>
        <v>0</v>
      </c>
      <c r="AG36" s="1072">
        <f>AF36*local_data_input!$C19</f>
        <v>0</v>
      </c>
      <c r="AH36" s="1935">
        <f>IF(AF36&gt;0,(AF36-INT(AF36/local_data_input!$H19)*local_data_input!$H19)*local_data_input!$I19+INT(AF36/local_data_input!$H19)*local_data_input!$H19*local_data_input!$J19,(AF36-INT(-AF36/local_data_input!$H19)*-local_data_input!$H19)*local_data_input!$I19+INT(-AF36/local_data_input!$H19)*-local_data_input!$H19*local_data_input!$J19)</f>
        <v>0</v>
      </c>
      <c r="AI36" s="1554"/>
      <c r="AJ36" s="1932">
        <f>-Care_planning!F58</f>
        <v>-1</v>
      </c>
      <c r="AK36" s="771">
        <f t="shared" si="21"/>
        <v>-1887.8709535321541</v>
      </c>
      <c r="AL36" s="1072">
        <f>AK36*local_data_input!$C19</f>
        <v>-69851.225280689701</v>
      </c>
      <c r="AM36" s="1935">
        <f>IF(AK36&gt;0,(AK36-INT(AK36/local_data_input!$H19)*local_data_input!$H19)*local_data_input!$I19+INT(AK36/local_data_input!$H19)*local_data_input!$H19*local_data_input!$J19,(AK36-INT(-AK36/local_data_input!$H19)*-local_data_input!$H19)*local_data_input!$I19+INT(-AK36/local_data_input!$H19)*-local_data_input!$H19*local_data_input!$J19)</f>
        <v>-7848.0777802041439</v>
      </c>
      <c r="AN36" s="1554"/>
      <c r="AO36" s="1932">
        <f>Colocate_UTC!F66</f>
        <v>0</v>
      </c>
      <c r="AP36" s="771">
        <f t="shared" si="5"/>
        <v>0</v>
      </c>
      <c r="AQ36" s="1072">
        <f>AP36*local_data_input!$C19</f>
        <v>0</v>
      </c>
      <c r="AR36" s="1935">
        <f>IF(AP36&gt;0,(AP36-INT(AP36/local_data_input!$H19)*local_data_input!$H19)*local_data_input!$I19+INT(AP36/local_data_input!$H19)*local_data_input!$H19*local_data_input!$J19,(AP36-INT(-AP36/local_data_input!$H19)*-local_data_input!$H19)*local_data_input!$I19+INT(-AP36/local_data_input!$H19)*-local_data_input!$H19*local_data_input!$J19)</f>
        <v>0</v>
      </c>
      <c r="AS36" s="1554"/>
      <c r="AT36" s="1932">
        <f>Enhanced_UCS!F69</f>
        <v>0.01</v>
      </c>
      <c r="AU36" s="771">
        <f t="shared" si="6"/>
        <v>0</v>
      </c>
      <c r="AV36" s="1072">
        <f>AU36*local_data_input!$C19</f>
        <v>0</v>
      </c>
      <c r="AW36" s="1935">
        <f>IF(AU36&gt;0,(AU36-INT(AU36/local_data_input!$H19)*local_data_input!$H19)*local_data_input!$I19+INT(AU36/local_data_input!$H19)*local_data_input!$H19*local_data_input!$J19,(AU36-INT(-AU36/local_data_input!$H19)*-local_data_input!$H19)*local_data_input!$I19+INT(-AU36/local_data_input!$H19)*-local_data_input!$H19*local_data_input!$J19)</f>
        <v>0</v>
      </c>
      <c r="AX36" s="1554"/>
      <c r="AY36" s="1932">
        <f>GP_Hours!F77</f>
        <v>0.01</v>
      </c>
      <c r="AZ36" s="771">
        <f t="shared" si="7"/>
        <v>141.6818454987388</v>
      </c>
      <c r="BA36" s="1072">
        <f>AZ36*local_data_input!$C19</f>
        <v>5242.2282834533353</v>
      </c>
      <c r="BB36" s="1935">
        <f>IF(AZ36&gt;0,(AZ36-INT(AZ36/local_data_input!$H19)*local_data_input!$H19)*local_data_input!$I19+INT(AZ36/local_data_input!$H19)*local_data_input!$H19*local_data_input!$J19,(AZ36-INT(-AZ36/local_data_input!$H19)*-local_data_input!$H19)*local_data_input!$I19+INT(-AZ36/local_data_input!$H19)*-local_data_input!$H19*local_data_input!$J19)</f>
        <v>588.98630832609501</v>
      </c>
      <c r="BC36" s="1554"/>
      <c r="BD36" s="1932">
        <f>PGD_Minor_ailments!F40</f>
        <v>0.75</v>
      </c>
      <c r="BE36" s="771">
        <f t="shared" si="8"/>
        <v>8860.564253858447</v>
      </c>
      <c r="BF36" s="1072">
        <f>BE36*local_data_input!$C19</f>
        <v>327840.87739276252</v>
      </c>
      <c r="BG36" s="1935">
        <f>IF(BE36&gt;0,(BE36-INT(BE36/local_data_input!$H19)*local_data_input!$H19)*local_data_input!$I19+INT(BE36/local_data_input!$H19)*local_data_input!$H19*local_data_input!$J19,(BE36-INT(-BE36/local_data_input!$H19)*-local_data_input!$H19)*local_data_input!$I19+INT(-BE36/local_data_input!$H19)*-local_data_input!$H19*local_data_input!$J19)</f>
        <v>36834.295962164768</v>
      </c>
      <c r="BH36" s="1554"/>
      <c r="BI36" s="1932">
        <f>Emergency_medication_supply!F34</f>
        <v>0.17899999999999999</v>
      </c>
      <c r="BJ36" s="771">
        <f t="shared" si="22"/>
        <v>2467.1748911299187</v>
      </c>
      <c r="BK36" s="1072">
        <f>BJ36*local_data_input!$C19</f>
        <v>91285.470971806993</v>
      </c>
      <c r="BL36" s="1935">
        <f>IF(BJ36&gt;0,(BJ36-INT(BJ36/local_data_input!$H19)*local_data_input!$H19)*local_data_input!$I19+INT(BJ36/local_data_input!$H19)*local_data_input!$H19*local_data_input!$J19,(BJ36-INT(-BJ36/local_data_input!$H19)*-local_data_input!$H19)*local_data_input!$I19+INT(-BJ36/local_data_input!$H19)*-local_data_input!$H19*local_data_input!$J19)</f>
        <v>10256.305075687213</v>
      </c>
      <c r="BM36" s="1554"/>
      <c r="BN36" s="1932"/>
      <c r="BO36" s="771">
        <f t="shared" si="9"/>
        <v>0</v>
      </c>
      <c r="BP36" s="1072">
        <f>BO36*local_data_input!$C19</f>
        <v>0</v>
      </c>
      <c r="BQ36" s="1935">
        <f>IF(BO36&gt;0,(BO36-INT(BO36/local_data_input!$H19)*local_data_input!$H19)*local_data_input!$I19+INT(BO36/local_data_input!$H19)*local_data_input!$H19*local_data_input!$J19,(BO36-INT(-BO36/local_data_input!$H19)*-local_data_input!$H19)*local_data_input!$I19+INT(-BO36/local_data_input!$H19)*-local_data_input!$H19*local_data_input!$J19)</f>
        <v>0</v>
      </c>
      <c r="BR36" s="1554"/>
      <c r="BS36" s="1932"/>
      <c r="BT36" s="771">
        <f t="shared" si="10"/>
        <v>0</v>
      </c>
      <c r="BU36" s="1072">
        <f>BT36*local_data_input!$C19</f>
        <v>0</v>
      </c>
      <c r="BV36" s="1935">
        <f>IF(BT36&gt;0,(BT36-INT(BT36/local_data_input!$H19)*local_data_input!$H19)*local_data_input!$I19+INT(BT36/local_data_input!$H19)*local_data_input!$H19*local_data_input!$J19,(BT36-INT(-BT36/local_data_input!$H19)*-local_data_input!$H19)*local_data_input!$I19+INT(-BT36/local_data_input!$H19)*-local_data_input!$H19*local_data_input!$J19)</f>
        <v>0</v>
      </c>
      <c r="BW36" s="1079"/>
      <c r="BX36" s="1932">
        <f>IR_in_AS!D54</f>
        <v>-0.1</v>
      </c>
      <c r="BY36" s="771">
        <f t="shared" si="24"/>
        <v>-734.47544581112743</v>
      </c>
      <c r="BZ36" s="1072">
        <f>BY36*local_data_input!$C19</f>
        <v>-27175.591495011715</v>
      </c>
      <c r="CA36" s="1935">
        <f>IF(BY36&gt;0,(BY36-INT(BY36/local_data_input!$H19)*local_data_input!$H19)*local_data_input!$I19+INT(BY36/local_data_input!$H19)*local_data_input!$H19*local_data_input!$J19,(BY36-INT(-BY36/local_data_input!$H19)*-local_data_input!$H19)*local_data_input!$I19+INT(-BY36/local_data_input!$H19)*-local_data_input!$H19*local_data_input!$J19)</f>
        <v>-3053.2915481278765</v>
      </c>
      <c r="CB36" s="1554"/>
      <c r="CC36" s="1932">
        <f>IR_in_ED!D54</f>
        <v>-0.05</v>
      </c>
      <c r="CD36" s="771">
        <f t="shared" si="25"/>
        <v>-598.02533793128885</v>
      </c>
      <c r="CE36" s="1072">
        <f>CD36*local_data_input!$C19</f>
        <v>-22126.937503457688</v>
      </c>
      <c r="CF36" s="1935">
        <f>IF(CD36&gt;0,(CD36-INT(CD36/local_data_input!$H19)*local_data_input!$H19)*local_data_input!$I19+INT(CD36/local_data_input!$H19)*local_data_input!$H19*local_data_input!$J19,(CD36-INT(-CD36/local_data_input!$H19)*-local_data_input!$H19)*local_data_input!$I19+INT(-CD36/local_data_input!$H19)*-local_data_input!$H19*local_data_input!$J19)</f>
        <v>-2486.0541224157805</v>
      </c>
      <c r="CG36" s="1554"/>
      <c r="CH36" s="1932">
        <f>IR_in_CH!F53</f>
        <v>0</v>
      </c>
      <c r="CI36" s="771">
        <f t="shared" si="31"/>
        <v>0</v>
      </c>
      <c r="CJ36" s="1072">
        <f>CI36*local_data_input!$C19</f>
        <v>0</v>
      </c>
      <c r="CK36" s="1935">
        <f>IF(CI36&gt;0,(CI36-INT(CI36/local_data_input!$H19)*local_data_input!$H19)*local_data_input!$I19+INT(CI36/local_data_input!$H19)*local_data_input!$H19*local_data_input!$J19,(CI36-INT(-CI36/local_data_input!$H19)*-local_data_input!$H19)*local_data_input!$I19+INT(-CI36/local_data_input!$H19)*-local_data_input!$H19*local_data_input!$J19)</f>
        <v>0</v>
      </c>
      <c r="CL36" s="1554"/>
      <c r="CM36" s="1932"/>
      <c r="CN36" s="771">
        <f t="shared" si="26"/>
        <v>0</v>
      </c>
      <c r="CO36" s="1072">
        <f>CN36*local_data_input!$C19</f>
        <v>0</v>
      </c>
      <c r="CP36" s="1935">
        <f>IF(CN36&gt;0,(CN36-INT(CN36/local_data_input!$H19)*local_data_input!$H19)*local_data_input!$I19+INT(CN36/local_data_input!$H19)*local_data_input!$H19*local_data_input!$J19,(CN36-INT(-CN36/local_data_input!$H19)*-local_data_input!$H19)*local_data_input!$I19+INT(-CN36/local_data_input!$H19)*-local_data_input!$H19*local_data_input!$J19)</f>
        <v>0</v>
      </c>
      <c r="CQ36" s="1554"/>
      <c r="CR36" s="1932"/>
      <c r="CS36" s="1927">
        <f t="shared" si="32"/>
        <v>0</v>
      </c>
      <c r="CT36" s="1072">
        <f>CS36*local_data_input!$C19</f>
        <v>0</v>
      </c>
      <c r="CU36" s="1935">
        <f>IF(CS36&gt;0,(CS36-INT(CS36/local_data_input!$H19)*local_data_input!$H19)*local_data_input!$I19+INT(CS36/local_data_input!$H19)*local_data_input!$H19*local_data_input!$J19,(CS36-INT(-CS36/local_data_input!$H19)*-local_data_input!$H19)*local_data_input!$I19+INT(-CS36/local_data_input!$H19)*-local_data_input!$H19*local_data_input!$J19)</f>
        <v>0</v>
      </c>
      <c r="CV36" s="1554"/>
      <c r="CW36" s="1932"/>
      <c r="CX36" s="771">
        <f t="shared" si="27"/>
        <v>0</v>
      </c>
      <c r="CY36" s="1072">
        <f>CX36*local_data_input!$C19</f>
        <v>0</v>
      </c>
      <c r="CZ36" s="1935">
        <f>IF(CX36&gt;0,(CX36-INT(CX36/local_data_input!$H19)*local_data_input!$H19)*local_data_input!$I19+INT(CX36/local_data_input!$H19)*local_data_input!$H19*local_data_input!$J19,(CX36-INT(-CX36/local_data_input!$H19)*-local_data_input!$H19)*local_data_input!$I19+INT(-CX36/local_data_input!$H19)*-local_data_input!$H19*local_data_input!$J19)</f>
        <v>0</v>
      </c>
      <c r="DA36" s="1554"/>
      <c r="DB36" s="1932"/>
      <c r="DC36" s="771">
        <f t="shared" si="28"/>
        <v>0</v>
      </c>
      <c r="DD36" s="1072">
        <f>DC36*local_data_input!$C19</f>
        <v>0</v>
      </c>
      <c r="DE36" s="1935">
        <f>IF(DC36&gt;0,(DC36-INT(DC36/local_data_input!$H19)*local_data_input!$H19)*local_data_input!$I19+INT(DC36/local_data_input!$H19)*local_data_input!$H19*local_data_input!$J19,(DC36-INT(-DC36/local_data_input!$H19)*-local_data_input!$H19)*local_data_input!$I19+INT(-DC36/local_data_input!$H19)*-local_data_input!$H19*local_data_input!$J19)</f>
        <v>0</v>
      </c>
      <c r="DF36" s="1554"/>
      <c r="DG36" s="1932"/>
      <c r="DH36" s="771">
        <f t="shared" si="29"/>
        <v>0</v>
      </c>
      <c r="DI36" s="1072">
        <f>DH36*local_data_input!$C19</f>
        <v>0</v>
      </c>
      <c r="DJ36" s="1935">
        <f>IF(DH36&gt;0,(DH36-INT(DH36/local_data_input!$H19)*local_data_input!$H19)*local_data_input!$I19+INT(DH36/local_data_input!$H19)*local_data_input!$H19*local_data_input!$J19,(DH36-INT(-DH36/local_data_input!$H19)*-local_data_input!$H19)*local_data_input!$I19+INT(-DH36/local_data_input!$H19)*-local_data_input!$H19*local_data_input!$J19)</f>
        <v>0</v>
      </c>
      <c r="DK36" s="1554"/>
      <c r="DL36" s="1932"/>
      <c r="DM36" s="771">
        <f t="shared" si="30"/>
        <v>0</v>
      </c>
      <c r="DN36" s="1072">
        <f>DM36*local_data_input!$C19</f>
        <v>0</v>
      </c>
      <c r="DO36" s="1935">
        <f>IF(DM36&gt;0,(DM36-INT(DM36/local_data_input!$H19)*local_data_input!$H19)*local_data_input!$I19+INT(DM36/local_data_input!$H19)*local_data_input!$H19*local_data_input!$J19,(DM36-INT(-DM36/local_data_input!$H19)*-local_data_input!$H19)*local_data_input!$I19+INT(-DM36/local_data_input!$H19)*-local_data_input!$H19*local_data_input!$J19)</f>
        <v>0</v>
      </c>
      <c r="DP36" s="1554"/>
    </row>
    <row r="37" spans="2:120" s="1119" customFormat="1">
      <c r="B37" s="1613"/>
      <c r="C37" s="1613" t="s">
        <v>34</v>
      </c>
      <c r="D37" s="1116"/>
      <c r="E37" s="771">
        <f t="shared" si="0"/>
        <v>3738.1322305375106</v>
      </c>
      <c r="F37" s="1927">
        <f>E37-SIGN(E37)*INT(ABS(E37)/local_data_input!H20)*local_data_input!H20</f>
        <v>0.13223053751062253</v>
      </c>
      <c r="G37" s="1935">
        <f>E37*local_data_input!$C20</f>
        <v>228026.06606278816</v>
      </c>
      <c r="H37" s="1072">
        <f t="shared" si="1"/>
        <v>24945.481561852306</v>
      </c>
      <c r="I37" s="1935">
        <f>IF(E37&gt;0,(E37-INT(E37/local_data_input!$H20)*local_data_input!$H20)*local_data_input!$I20+INT(E37/local_data_input!$H20)*local_data_input!$H20*local_data_input!$J20,(E37-INT(-E37/local_data_input!$H20)*-local_data_input!$H20)*local_data_input!$I20+INT(-E37/local_data_input!$H20)*-local_data_input!$H20*local_data_input!$J20)</f>
        <v>24945.48156185231</v>
      </c>
      <c r="J37" s="1554"/>
      <c r="K37" s="1932"/>
      <c r="L37" s="771">
        <f t="shared" si="2"/>
        <v>0</v>
      </c>
      <c r="M37" s="1935">
        <f>L37*local_data_input!$C20</f>
        <v>0</v>
      </c>
      <c r="N37" s="1935">
        <f>IF(L37&gt;0,(L37-INT(L37/local_data_input!$H20)*local_data_input!$H20)*local_data_input!$I20+INT(L37/local_data_input!$H20)*local_data_input!$H20*local_data_input!$J20,(L37-INT(-L37/local_data_input!$H20)*-local_data_input!$H20)*local_data_input!$I20+INT(-L37/local_data_input!$H20)*-local_data_input!$H20*local_data_input!$J20)</f>
        <v>0</v>
      </c>
      <c r="O37" s="1554"/>
      <c r="P37" s="1934"/>
      <c r="Q37" s="771">
        <f t="shared" si="3"/>
        <v>0</v>
      </c>
      <c r="R37" s="1072">
        <f>Q37*local_data_input!$C20</f>
        <v>0</v>
      </c>
      <c r="S37" s="1935">
        <f>IF(Q37&gt;0,(Q37-INT(Q37/local_data_input!$H20)*local_data_input!$H20)*local_data_input!$I20+INT(Q37/local_data_input!$H20)*local_data_input!$H20*local_data_input!$J20,(Q37-INT(-Q37/local_data_input!$H20)*-local_data_input!$H20)*local_data_input!$I20+INT(-Q37/local_data_input!$H20)*-local_data_input!$H20*local_data_input!$J20)</f>
        <v>0</v>
      </c>
      <c r="T37" s="1554"/>
      <c r="U37" s="1932"/>
      <c r="V37" s="771">
        <f t="shared" si="19"/>
        <v>0</v>
      </c>
      <c r="W37" s="1072">
        <f>V37*local_data_input!$C20</f>
        <v>0</v>
      </c>
      <c r="X37" s="1935">
        <f>IF(V37&gt;0,(V37-INT(V37/local_data_input!$H20)*local_data_input!$H20)*local_data_input!$I20+INT(V37/local_data_input!$H20)*local_data_input!$H20*local_data_input!$J20,(V37-INT(-V37/local_data_input!$H20)*-local_data_input!$H20)*local_data_input!$I20+INT(-V37/local_data_input!$H20)*-local_data_input!$H20*local_data_input!$J20)</f>
        <v>0</v>
      </c>
      <c r="Y37" s="1554"/>
      <c r="Z37" s="1932"/>
      <c r="AA37" s="771">
        <f t="shared" si="20"/>
        <v>0</v>
      </c>
      <c r="AB37" s="1072">
        <f>AA37*local_data_input!$C20</f>
        <v>0</v>
      </c>
      <c r="AC37" s="1935">
        <f>IF(AA37&gt;0,(AA37-INT(AA37/local_data_input!$H20)*local_data_input!$H20)*local_data_input!$I20+INT(AA37/local_data_input!$H20)*local_data_input!$H20*local_data_input!$J20,(AA37-INT(-AA37/local_data_input!$H20)*-local_data_input!$H20)*local_data_input!$I20+INT(-AA37/local_data_input!$H20)*-local_data_input!$H20*local_data_input!$J20)</f>
        <v>0</v>
      </c>
      <c r="AD37" s="1554"/>
      <c r="AE37" s="1932"/>
      <c r="AF37" s="771">
        <f t="shared" si="4"/>
        <v>0</v>
      </c>
      <c r="AG37" s="1072">
        <f>AF37*local_data_input!$C20</f>
        <v>0</v>
      </c>
      <c r="AH37" s="1935">
        <f>IF(AF37&gt;0,(AF37-INT(AF37/local_data_input!$H20)*local_data_input!$H20)*local_data_input!$I20+INT(AF37/local_data_input!$H20)*local_data_input!$H20*local_data_input!$J20,(AF37-INT(-AF37/local_data_input!$H20)*-local_data_input!$H20)*local_data_input!$I20+INT(-AF37/local_data_input!$H20)*-local_data_input!$H20*local_data_input!$J20)</f>
        <v>0</v>
      </c>
      <c r="AI37" s="1554"/>
      <c r="AJ37" s="1932"/>
      <c r="AK37" s="771">
        <f t="shared" si="21"/>
        <v>0</v>
      </c>
      <c r="AL37" s="1072">
        <f>AK37*local_data_input!$C20</f>
        <v>0</v>
      </c>
      <c r="AM37" s="1935">
        <f>IF(AK37&gt;0,(AK37-INT(AK37/local_data_input!$H20)*local_data_input!$H20)*local_data_input!$I20+INT(AK37/local_data_input!$H20)*local_data_input!$H20*local_data_input!$J20,(AK37-INT(-AK37/local_data_input!$H20)*-local_data_input!$H20)*local_data_input!$I20+INT(-AK37/local_data_input!$H20)*-local_data_input!$H20*local_data_input!$J20)</f>
        <v>0</v>
      </c>
      <c r="AN37" s="1554"/>
      <c r="AO37" s="1932"/>
      <c r="AP37" s="771">
        <f t="shared" si="5"/>
        <v>0</v>
      </c>
      <c r="AQ37" s="1072">
        <f>AP37*local_data_input!$C20</f>
        <v>0</v>
      </c>
      <c r="AR37" s="1935">
        <f>IF(AP37&gt;0,(AP37-INT(AP37/local_data_input!$H20)*local_data_input!$H20)*local_data_input!$I20+INT(AP37/local_data_input!$H20)*local_data_input!$H20*local_data_input!$J20,(AP37-INT(-AP37/local_data_input!$H20)*-local_data_input!$H20)*local_data_input!$I20+INT(-AP37/local_data_input!$H20)*-local_data_input!$H20*local_data_input!$J20)</f>
        <v>0</v>
      </c>
      <c r="AS37" s="1554"/>
      <c r="AT37" s="1932"/>
      <c r="AU37" s="771">
        <f t="shared" si="6"/>
        <v>0</v>
      </c>
      <c r="AV37" s="1072">
        <f>AU37*local_data_input!$C20</f>
        <v>0</v>
      </c>
      <c r="AW37" s="1935">
        <f>IF(AU37&gt;0,(AU37-INT(AU37/local_data_input!$H20)*local_data_input!$H20)*local_data_input!$I20+INT(AU37/local_data_input!$H20)*local_data_input!$H20*local_data_input!$J20,(AU37-INT(-AU37/local_data_input!$H20)*-local_data_input!$H20)*local_data_input!$I20+INT(-AU37/local_data_input!$H20)*-local_data_input!$H20*local_data_input!$J20)</f>
        <v>0</v>
      </c>
      <c r="AX37" s="1554"/>
      <c r="AY37" s="1932"/>
      <c r="AZ37" s="771">
        <f t="shared" si="7"/>
        <v>0</v>
      </c>
      <c r="BA37" s="1072">
        <f>AZ37*local_data_input!$C20</f>
        <v>0</v>
      </c>
      <c r="BB37" s="1935">
        <f>IF(AZ37&gt;0,(AZ37-INT(AZ37/local_data_input!$H20)*local_data_input!$H20)*local_data_input!$I20+INT(AZ37/local_data_input!$H20)*local_data_input!$H20*local_data_input!$J20,(AZ37-INT(-AZ37/local_data_input!$H20)*-local_data_input!$H20)*local_data_input!$I20+INT(-AZ37/local_data_input!$H20)*-local_data_input!$H20*local_data_input!$J20)</f>
        <v>0</v>
      </c>
      <c r="BC37" s="1554"/>
      <c r="BD37" s="1932"/>
      <c r="BE37" s="771">
        <f t="shared" si="8"/>
        <v>0</v>
      </c>
      <c r="BF37" s="1072">
        <f>BE37*local_data_input!$C20</f>
        <v>0</v>
      </c>
      <c r="BG37" s="1935">
        <f>IF(BE37&gt;0,(BE37-INT(BE37/local_data_input!$H20)*local_data_input!$H20)*local_data_input!$I20+INT(BE37/local_data_input!$H20)*local_data_input!$H20*local_data_input!$J20,(BE37-INT(-BE37/local_data_input!$H20)*-local_data_input!$H20)*local_data_input!$I20+INT(-BE37/local_data_input!$H20)*-local_data_input!$H20*local_data_input!$J20)</f>
        <v>0</v>
      </c>
      <c r="BH37" s="1554"/>
      <c r="BI37" s="1932"/>
      <c r="BJ37" s="771">
        <f t="shared" si="22"/>
        <v>0</v>
      </c>
      <c r="BK37" s="1072">
        <f>BJ37*local_data_input!$C20</f>
        <v>0</v>
      </c>
      <c r="BL37" s="1935">
        <f>IF(BJ37&gt;0,(BJ37-INT(BJ37/local_data_input!$H20)*local_data_input!$H20)*local_data_input!$I20+INT(BJ37/local_data_input!$H20)*local_data_input!$H20*local_data_input!$J20,(BJ37-INT(-BJ37/local_data_input!$H20)*-local_data_input!$H20)*local_data_input!$I20+INT(-BJ37/local_data_input!$H20)*-local_data_input!$H20*local_data_input!$J20)</f>
        <v>0</v>
      </c>
      <c r="BM37" s="1554"/>
      <c r="BN37" s="1932"/>
      <c r="BO37" s="771">
        <f t="shared" si="9"/>
        <v>0</v>
      </c>
      <c r="BP37" s="1072">
        <f>BO37*local_data_input!$C20</f>
        <v>0</v>
      </c>
      <c r="BQ37" s="1935">
        <f>IF(BO37&gt;0,(BO37-INT(BO37/local_data_input!$H20)*local_data_input!$H20)*local_data_input!$I20+INT(BO37/local_data_input!$H20)*local_data_input!$H20*local_data_input!$J20,(BO37-INT(-BO37/local_data_input!$H20)*-local_data_input!$H20)*local_data_input!$I20+INT(-BO37/local_data_input!$H20)*-local_data_input!$H20*local_data_input!$J20)</f>
        <v>0</v>
      </c>
      <c r="BR37" s="1554"/>
      <c r="BS37" s="1932"/>
      <c r="BT37" s="771">
        <f t="shared" si="10"/>
        <v>0</v>
      </c>
      <c r="BU37" s="1072">
        <f>BT37*local_data_input!$C20</f>
        <v>0</v>
      </c>
      <c r="BV37" s="1935">
        <f>IF(BT37&gt;0,(BT37-INT(BT37/local_data_input!$H20)*local_data_input!$H20)*local_data_input!$I20+INT(BT37/local_data_input!$H20)*local_data_input!$H20*local_data_input!$J20,(BT37-INT(-BT37/local_data_input!$H20)*-local_data_input!$H20)*local_data_input!$I20+INT(-BT37/local_data_input!$H20)*-local_data_input!$H20*local_data_input!$J20)</f>
        <v>0</v>
      </c>
      <c r="BW37" s="1079"/>
      <c r="BX37" s="1932">
        <f>IR_in_AS!D55</f>
        <v>-0.1</v>
      </c>
      <c r="BY37" s="771">
        <f t="shared" si="24"/>
        <v>-734.47544581112743</v>
      </c>
      <c r="BZ37" s="1072">
        <f>BY37*local_data_input!$C20</f>
        <v>-44803.002194478773</v>
      </c>
      <c r="CA37" s="1935">
        <f>IF(BY37&gt;0,(BY37-INT(BY37/local_data_input!$H20)*local_data_input!$H20)*local_data_input!$I20+INT(BY37/local_data_input!$H20)*local_data_input!$H20*local_data_input!$J20,(BY37-INT(-BY37/local_data_input!$H20)*-local_data_input!$H20)*local_data_input!$I20+INT(-BY37/local_data_input!$H20)*-local_data_input!$H20*local_data_input!$J20)</f>
        <v>-4901.336432521065</v>
      </c>
      <c r="CB37" s="1554"/>
      <c r="CC37" s="1932">
        <f>IR_in_ED!D55</f>
        <v>0</v>
      </c>
      <c r="CD37" s="771">
        <f t="shared" si="25"/>
        <v>0</v>
      </c>
      <c r="CE37" s="1072">
        <f>CD37*local_data_input!$C20</f>
        <v>0</v>
      </c>
      <c r="CF37" s="1935">
        <f>IF(CD37&gt;0,(CD37-INT(CD37/local_data_input!$H20)*local_data_input!$H20)*local_data_input!$I20+INT(CD37/local_data_input!$H20)*local_data_input!$H20*local_data_input!$J20,(CD37-INT(-CD37/local_data_input!$H20)*-local_data_input!$H20)*local_data_input!$I20+INT(-CD37/local_data_input!$H20)*-local_data_input!$H20*local_data_input!$J20)</f>
        <v>0</v>
      </c>
      <c r="CG37" s="1554"/>
      <c r="CH37" s="1932">
        <f>IR_in_CH!F54</f>
        <v>-0.04</v>
      </c>
      <c r="CI37" s="771">
        <f t="shared" si="31"/>
        <v>-177.03358105740682</v>
      </c>
      <c r="CJ37" s="1072">
        <f>CI37*local_data_input!$C20</f>
        <v>-10799.048444501816</v>
      </c>
      <c r="CK37" s="1935">
        <f>IF(CI37&gt;0,(CI37-INT(CI37/local_data_input!$H20)*local_data_input!$H20)*local_data_input!$I20+INT(CI37/local_data_input!$H20)*local_data_input!$H20*local_data_input!$J20,(CI37-INT(-CI37/local_data_input!$H20)*-local_data_input!$H20)*local_data_input!$I20+INT(-CI37/local_data_input!$H20)*-local_data_input!$H20*local_data_input!$J20)</f>
        <v>-1181.388902195474</v>
      </c>
      <c r="CL37" s="1554"/>
      <c r="CM37" s="1932"/>
      <c r="CN37" s="771">
        <f t="shared" si="26"/>
        <v>0</v>
      </c>
      <c r="CO37" s="1072">
        <f>CN37*local_data_input!$C20</f>
        <v>0</v>
      </c>
      <c r="CP37" s="1935">
        <f>IF(CN37&gt;0,(CN37-INT(CN37/local_data_input!$H20)*local_data_input!$H20)*local_data_input!$I20+INT(CN37/local_data_input!$H20)*local_data_input!$H20*local_data_input!$J20,(CN37-INT(-CN37/local_data_input!$H20)*-local_data_input!$H20)*local_data_input!$I20+INT(-CN37/local_data_input!$H20)*-local_data_input!$H20*local_data_input!$J20)</f>
        <v>0</v>
      </c>
      <c r="CQ37" s="1554"/>
      <c r="CR37" s="1932"/>
      <c r="CS37" s="1927">
        <f t="shared" si="32"/>
        <v>0</v>
      </c>
      <c r="CT37" s="1072">
        <f>CS37*local_data_input!$C20</f>
        <v>0</v>
      </c>
      <c r="CU37" s="1935">
        <f>IF(CS37&gt;0,(CS37-INT(CS37/local_data_input!$H20)*local_data_input!$H20)*local_data_input!$I20+INT(CS37/local_data_input!$H20)*local_data_input!$H20*local_data_input!$J20,(CS37-INT(-CS37/local_data_input!$H20)*-local_data_input!$H20)*local_data_input!$I20+INT(-CS37/local_data_input!$H20)*-local_data_input!$H20*local_data_input!$J20)</f>
        <v>0</v>
      </c>
      <c r="CV37" s="1554"/>
      <c r="CW37" s="1932"/>
      <c r="CX37" s="771">
        <f t="shared" si="27"/>
        <v>0</v>
      </c>
      <c r="CY37" s="1072">
        <f>CX37*local_data_input!$C20</f>
        <v>0</v>
      </c>
      <c r="CZ37" s="1935">
        <f>IF(CX37&gt;0,(CX37-INT(CX37/local_data_input!$H20)*local_data_input!$H20)*local_data_input!$I20+INT(CX37/local_data_input!$H20)*local_data_input!$H20*local_data_input!$J20,(CX37-INT(-CX37/local_data_input!$H20)*-local_data_input!$H20)*local_data_input!$I20+INT(-CX37/local_data_input!$H20)*-local_data_input!$H20*local_data_input!$J20)</f>
        <v>0</v>
      </c>
      <c r="DA37" s="1554"/>
      <c r="DB37" s="1932"/>
      <c r="DC37" s="771">
        <f t="shared" si="28"/>
        <v>0</v>
      </c>
      <c r="DD37" s="1072">
        <f>DC37*local_data_input!$C20</f>
        <v>0</v>
      </c>
      <c r="DE37" s="1935">
        <f>IF(DC37&gt;0,(DC37-INT(DC37/local_data_input!$H20)*local_data_input!$H20)*local_data_input!$I20+INT(DC37/local_data_input!$H20)*local_data_input!$H20*local_data_input!$J20,(DC37-INT(-DC37/local_data_input!$H20)*-local_data_input!$H20)*local_data_input!$I20+INT(-DC37/local_data_input!$H20)*-local_data_input!$H20*local_data_input!$J20)</f>
        <v>0</v>
      </c>
      <c r="DF37" s="1554"/>
      <c r="DG37" s="1932">
        <f>CHE!F61</f>
        <v>1</v>
      </c>
      <c r="DH37" s="771">
        <f t="shared" si="29"/>
        <v>4838.9178822357862</v>
      </c>
      <c r="DI37" s="1072">
        <f>DH37*local_data_input!$C20</f>
        <v>295173.99081638298</v>
      </c>
      <c r="DJ37" s="1935">
        <f>IF(DH37&gt;0,(DH37-INT(DH37/local_data_input!$H20)*local_data_input!$H20)*local_data_input!$I20+INT(DH37/local_data_input!$H20)*local_data_input!$H20*local_data_input!$J20,(DH37-INT(-DH37/local_data_input!$H20)*-local_data_input!$H20)*local_data_input!$I20+INT(-DH37/local_data_input!$H20)*-local_data_input!$H20*local_data_input!$J20)</f>
        <v>32291.296660009619</v>
      </c>
      <c r="DK37" s="1554"/>
      <c r="DL37" s="1932">
        <f>EWS_in_CH!F64</f>
        <v>-1</v>
      </c>
      <c r="DM37" s="771">
        <f t="shared" si="30"/>
        <v>-189.27662482974139</v>
      </c>
      <c r="DN37" s="1072">
        <f>DM37*local_data_input!$C20</f>
        <v>-11545.874114614226</v>
      </c>
      <c r="DO37" s="1935">
        <f>IF(DM37&gt;0,(DM37-INT(DM37/local_data_input!$H20)*local_data_input!$H20)*local_data_input!$I20+INT(DM37/local_data_input!$H20)*local_data_input!$H20*local_data_input!$J20,(DM37-INT(-DM37/local_data_input!$H20)*-local_data_input!$H20)*local_data_input!$I20+INT(-DM37/local_data_input!$H20)*-local_data_input!$H20*local_data_input!$J20)</f>
        <v>-1263.0897634407722</v>
      </c>
      <c r="DP37" s="1554"/>
    </row>
    <row r="38" spans="2:120" s="1119" customFormat="1">
      <c r="B38" s="1120"/>
      <c r="C38" s="1120"/>
      <c r="D38" s="1120"/>
      <c r="E38" s="1614"/>
      <c r="F38" s="1615"/>
      <c r="G38" s="1615"/>
      <c r="H38" s="1615"/>
      <c r="I38" s="1615"/>
      <c r="J38" s="1554"/>
      <c r="K38" s="1614"/>
      <c r="L38" s="1615"/>
      <c r="M38" s="1936"/>
      <c r="N38" s="1923"/>
      <c r="O38" s="1922"/>
      <c r="P38" s="1615"/>
      <c r="Q38" s="1615"/>
      <c r="R38" s="1923"/>
      <c r="S38" s="1923"/>
      <c r="T38" s="1922"/>
      <c r="U38" s="1614"/>
      <c r="V38" s="1615"/>
      <c r="W38" s="1923"/>
      <c r="X38" s="1936"/>
      <c r="Y38" s="1922"/>
      <c r="Z38" s="1614"/>
      <c r="AA38" s="1615"/>
      <c r="AB38" s="1923"/>
      <c r="AC38" s="1936"/>
      <c r="AD38" s="1922"/>
      <c r="AE38" s="1933"/>
      <c r="AF38" s="1615"/>
      <c r="AG38" s="1923"/>
      <c r="AH38" s="1923"/>
      <c r="AI38" s="1922"/>
      <c r="AJ38" s="1614"/>
      <c r="AK38" s="1615"/>
      <c r="AL38" s="1923"/>
      <c r="AM38" s="1923"/>
      <c r="AN38" s="1922"/>
      <c r="AO38" s="1614"/>
      <c r="AP38" s="1615"/>
      <c r="AQ38" s="1923"/>
      <c r="AR38" s="1924"/>
      <c r="AS38" s="1922"/>
      <c r="AT38" s="1614"/>
      <c r="AU38" s="1615"/>
      <c r="AV38" s="1923"/>
      <c r="AW38" s="1924"/>
      <c r="AX38" s="1554"/>
      <c r="AY38" s="1614"/>
      <c r="AZ38" s="1615"/>
      <c r="BA38" s="1923"/>
      <c r="BB38" s="1924"/>
      <c r="BC38" s="1554"/>
      <c r="BD38" s="1614"/>
      <c r="BE38" s="1615"/>
      <c r="BF38" s="1923"/>
      <c r="BG38" s="1924"/>
      <c r="BH38" s="1554"/>
      <c r="BI38" s="1614"/>
      <c r="BJ38" s="1615"/>
      <c r="BK38" s="1923"/>
      <c r="BL38" s="1924"/>
      <c r="BM38" s="1554"/>
      <c r="BN38" s="1614"/>
      <c r="BO38" s="1615"/>
      <c r="BP38" s="1923"/>
      <c r="BQ38" s="1924"/>
      <c r="BR38" s="1554"/>
      <c r="BS38" s="1933"/>
      <c r="BT38" s="1615"/>
      <c r="BU38" s="1923"/>
      <c r="BV38" s="1924"/>
      <c r="BW38" s="1079"/>
      <c r="BX38" s="1614"/>
      <c r="BY38" s="1615"/>
      <c r="BZ38" s="1923"/>
      <c r="CA38" s="1924"/>
      <c r="CB38" s="1554"/>
      <c r="CC38" s="1614"/>
      <c r="CD38" s="1615"/>
      <c r="CE38" s="1923"/>
      <c r="CF38" s="1924"/>
      <c r="CG38" s="1554"/>
      <c r="CH38" s="1614"/>
      <c r="CI38" s="1615"/>
      <c r="CJ38" s="1923"/>
      <c r="CK38" s="1924"/>
      <c r="CL38" s="1554"/>
      <c r="CM38" s="1614"/>
      <c r="CN38" s="1615"/>
      <c r="CO38" s="1923"/>
      <c r="CP38" s="1924"/>
      <c r="CQ38" s="1554"/>
      <c r="CR38" s="1614"/>
      <c r="CS38" s="1615"/>
      <c r="CT38" s="1923"/>
      <c r="CU38" s="1924"/>
      <c r="CV38" s="1554"/>
      <c r="CW38" s="1614"/>
      <c r="CX38" s="1615"/>
      <c r="CY38" s="1923"/>
      <c r="CZ38" s="1924"/>
      <c r="DA38" s="1554"/>
      <c r="DB38" s="1614"/>
      <c r="DC38" s="1615"/>
      <c r="DD38" s="1923"/>
      <c r="DE38" s="1924"/>
      <c r="DF38" s="1554"/>
      <c r="DG38" s="1614"/>
      <c r="DH38" s="1615"/>
      <c r="DI38" s="1923"/>
      <c r="DJ38" s="1924"/>
      <c r="DK38" s="1554"/>
      <c r="DL38" s="1614"/>
      <c r="DM38" s="1615"/>
      <c r="DN38" s="1923"/>
      <c r="DO38" s="1924"/>
      <c r="DP38" s="1554"/>
    </row>
    <row r="39" spans="2:120" s="1119" customFormat="1">
      <c r="B39" s="1120"/>
      <c r="C39" s="1616" t="s">
        <v>70</v>
      </c>
      <c r="D39" s="1120"/>
      <c r="E39" s="1617"/>
      <c r="F39" s="1618"/>
      <c r="G39" s="1072">
        <f>SUM(G21:G37)</f>
        <v>36329498.81162633</v>
      </c>
      <c r="H39" s="1072">
        <f>SUM(H21:H37)</f>
        <v>5444498.9990447862</v>
      </c>
      <c r="I39" s="1072">
        <f>SUM(I21:I37)</f>
        <v>5444498.9990447871</v>
      </c>
      <c r="J39" s="1554"/>
      <c r="K39" s="1617"/>
      <c r="L39" s="1618"/>
      <c r="M39" s="1935">
        <f>SUM(M21:M37)</f>
        <v>512796.05782088678</v>
      </c>
      <c r="N39" s="1072">
        <f>SUM(N21:N37)</f>
        <v>47476.466329801777</v>
      </c>
      <c r="O39" s="1554"/>
      <c r="P39" s="1618"/>
      <c r="Q39" s="1618"/>
      <c r="R39" s="1072">
        <f>SUM(R21:R37)</f>
        <v>1523077.4874885648</v>
      </c>
      <c r="S39" s="1072">
        <f>SUM(S21:S37)</f>
        <v>225348.28663302641</v>
      </c>
      <c r="T39" s="1554"/>
      <c r="U39" s="1617"/>
      <c r="V39" s="1618"/>
      <c r="W39" s="1072">
        <f>SUM(W21:W37)</f>
        <v>986457.24419684324</v>
      </c>
      <c r="X39" s="1935">
        <f>SUM(X21:X37)</f>
        <v>95280.97995195158</v>
      </c>
      <c r="Y39" s="1554"/>
      <c r="Z39" s="1617"/>
      <c r="AA39" s="1618"/>
      <c r="AB39" s="1072">
        <f>SUM(AB21:AB37)</f>
        <v>243682.62918964395</v>
      </c>
      <c r="AC39" s="1935">
        <f>SUM(AC21:AC37)</f>
        <v>12208.499722401144</v>
      </c>
      <c r="AD39" s="1554"/>
      <c r="AE39" s="1617"/>
      <c r="AF39" s="1618"/>
      <c r="AG39" s="1072">
        <f>SUM(AG21:AG37)</f>
        <v>4707855.3860762361</v>
      </c>
      <c r="AH39" s="1072">
        <f>SUM(AH21:AH37)</f>
        <v>730250.07051802066</v>
      </c>
      <c r="AI39" s="1554"/>
      <c r="AJ39" s="1617"/>
      <c r="AK39" s="1618"/>
      <c r="AL39" s="1072">
        <f>SUM(AL21:AL37)</f>
        <v>1681414.7503344945</v>
      </c>
      <c r="AM39" s="1072">
        <f>SUM(AM21:AM37)</f>
        <v>270711.75430596125</v>
      </c>
      <c r="AN39" s="1554"/>
      <c r="AO39" s="1617"/>
      <c r="AP39" s="1618"/>
      <c r="AQ39" s="1072">
        <f>SUM(AQ21:AQ37)</f>
        <v>3370183.9571977179</v>
      </c>
      <c r="AR39" s="1072">
        <f>SUM(AR21:AR37)</f>
        <v>410650.34517656348</v>
      </c>
      <c r="AS39" s="1554"/>
      <c r="AT39" s="1617"/>
      <c r="AU39" s="1618"/>
      <c r="AV39" s="1072">
        <f>SUM(AV21:AV37)</f>
        <v>0</v>
      </c>
      <c r="AW39" s="1072">
        <f>SUM(AW21:AW37)</f>
        <v>0</v>
      </c>
      <c r="AX39" s="1554"/>
      <c r="AY39" s="1617"/>
      <c r="AZ39" s="1618"/>
      <c r="BA39" s="1072">
        <f>SUM(BA21:BA37)</f>
        <v>527089.39259568288</v>
      </c>
      <c r="BB39" s="1072">
        <f>SUM(BB21:BB37)</f>
        <v>55563.987817124864</v>
      </c>
      <c r="BC39" s="1554"/>
      <c r="BD39" s="1617"/>
      <c r="BE39" s="1618"/>
      <c r="BF39" s="1072">
        <f>SUM(BF21:BF37)</f>
        <v>509041.33046595316</v>
      </c>
      <c r="BG39" s="1072">
        <f>SUM(BG21:BG37)</f>
        <v>57116.427923475065</v>
      </c>
      <c r="BH39" s="1554"/>
      <c r="BI39" s="1617"/>
      <c r="BJ39" s="1618"/>
      <c r="BK39" s="1072">
        <f>SUM(BK21:BK37)</f>
        <v>642953.9503565639</v>
      </c>
      <c r="BL39" s="1072">
        <f>SUM(BL21:BL37)</f>
        <v>71909.906594256012</v>
      </c>
      <c r="BM39" s="1554"/>
      <c r="BN39" s="1617"/>
      <c r="BO39" s="1925">
        <f>SUM(BO21:BO37)</f>
        <v>4411.0867280137218</v>
      </c>
      <c r="BP39" s="1072">
        <f>SUM(BP21:BP37)</f>
        <v>2080069.2396680955</v>
      </c>
      <c r="BQ39" s="1072">
        <f>SUM(BQ21:BQ37)</f>
        <v>336953.24249594501</v>
      </c>
      <c r="BR39" s="1554"/>
      <c r="BS39" s="1926">
        <f>SUM(BS21:BS37)</f>
        <v>3.9481481481481479E-2</v>
      </c>
      <c r="BT39" s="1618"/>
      <c r="BU39" s="1072">
        <f>SUM(BU21:BU37)</f>
        <v>274662.92697710748</v>
      </c>
      <c r="BV39" s="1072">
        <f>SUM(BV21:BV37)</f>
        <v>44493.020748256808</v>
      </c>
      <c r="BW39" s="1079"/>
      <c r="BX39" s="1926">
        <f>SUM(BX21:BX37)</f>
        <v>0.95999999999999985</v>
      </c>
      <c r="BY39" s="1618"/>
      <c r="BZ39" s="1072">
        <f>SUM(BZ21:BZ37)</f>
        <v>889989.44161446264</v>
      </c>
      <c r="CA39" s="1072">
        <f>SUM(CA21:CA37)</f>
        <v>121247.64621723238</v>
      </c>
      <c r="CB39" s="1554"/>
      <c r="CC39" s="1926">
        <f>SUM(CC21:CC37)</f>
        <v>-0.45999999999999996</v>
      </c>
      <c r="CD39" s="1618"/>
      <c r="CE39" s="1072">
        <f>SUM(CE21:CE37)</f>
        <v>317351.20133612159</v>
      </c>
      <c r="CF39" s="1072">
        <f>SUM(CF21:CF37)</f>
        <v>64305.296436547156</v>
      </c>
      <c r="CG39" s="1554"/>
      <c r="CH39" s="1926">
        <f>SUM(CH21:CH37)</f>
        <v>3.0000000000000034E-2</v>
      </c>
      <c r="CI39" s="1618"/>
      <c r="CJ39" s="1072">
        <f>SUM(CJ21:CJ37)</f>
        <v>256822.81741602067</v>
      </c>
      <c r="CK39" s="1072">
        <f>SUM(CK21:CK37)</f>
        <v>39322.110209503771</v>
      </c>
      <c r="CL39" s="1554"/>
      <c r="CM39" s="1926">
        <f>SUM(CM21:CM37)</f>
        <v>0.88</v>
      </c>
      <c r="CN39" s="1618"/>
      <c r="CO39" s="1072">
        <f>SUM(CO21:CO37)</f>
        <v>1890455.9714527314</v>
      </c>
      <c r="CP39" s="1072">
        <f>SUM(CP21:CP37)</f>
        <v>306237.53153450851</v>
      </c>
      <c r="CQ39" s="1554"/>
      <c r="CR39" s="1926">
        <f>SUM(CR21:CR37)</f>
        <v>35</v>
      </c>
      <c r="CS39" s="1618"/>
      <c r="CT39" s="1072">
        <f>SUM(CT21:CT37)</f>
        <v>10864194.603236256</v>
      </c>
      <c r="CU39" s="1072">
        <f>SUM(CU21:CU37)</f>
        <v>1759905.645857983</v>
      </c>
      <c r="CV39" s="1554"/>
      <c r="CW39" s="1926">
        <f>SUM(CW21:CW37)</f>
        <v>4.0200000000000005</v>
      </c>
      <c r="CX39" s="1618"/>
      <c r="CY39" s="1072">
        <f>SUM(CY21:CY37)</f>
        <v>987956.24730053882</v>
      </c>
      <c r="CZ39" s="1072">
        <f>SUM(CZ21:CZ37)</f>
        <v>141212.14483577613</v>
      </c>
      <c r="DA39" s="1554"/>
      <c r="DB39" s="1926">
        <f>SUM(DB21:DB37)</f>
        <v>7.3230128000000008</v>
      </c>
      <c r="DC39" s="1618"/>
      <c r="DD39" s="1072">
        <f>SUM(DD21:DD37)</f>
        <v>521081.30212190124</v>
      </c>
      <c r="DE39" s="1072">
        <f>SUM(DE21:DE37)</f>
        <v>81057.315102601046</v>
      </c>
      <c r="DF39" s="1554"/>
      <c r="DG39" s="1926">
        <f>SUM(DG21:DG37)</f>
        <v>-5.3000000000000007</v>
      </c>
      <c r="DH39" s="1618"/>
      <c r="DI39" s="1072">
        <f>SUM(DI21:DI37)</f>
        <v>3137828.14162305</v>
      </c>
      <c r="DJ39" s="1072">
        <f>SUM(DJ21:DJ37)</f>
        <v>510798.25153987162</v>
      </c>
      <c r="DK39" s="1554"/>
      <c r="DL39" s="1926">
        <f>SUM(DL21:DL37)</f>
        <v>2</v>
      </c>
      <c r="DM39" s="1618"/>
      <c r="DN39" s="1072">
        <f>SUM(DN21:DN37)</f>
        <v>404534.73315745685</v>
      </c>
      <c r="DO39" s="1072">
        <f>SUM(DO21:DO37)</f>
        <v>62450.069093979015</v>
      </c>
      <c r="DP39" s="1554"/>
    </row>
    <row r="40" spans="2:120" s="1119" customFormat="1">
      <c r="B40" s="1120"/>
      <c r="C40" s="1120"/>
      <c r="D40" s="1120"/>
      <c r="E40" s="1600"/>
      <c r="F40" s="1601"/>
      <c r="G40" s="1596"/>
      <c r="H40" s="1596"/>
      <c r="I40" s="1596"/>
      <c r="J40" s="1554"/>
      <c r="K40" s="1600"/>
      <c r="L40" s="1596"/>
      <c r="M40" s="1596"/>
      <c r="N40" s="1596"/>
      <c r="O40" s="1554"/>
      <c r="P40" s="1601"/>
      <c r="Q40" s="1596"/>
      <c r="R40" s="1596"/>
      <c r="S40" s="1619"/>
      <c r="T40" s="1554"/>
      <c r="U40" s="1600"/>
      <c r="V40" s="1596"/>
      <c r="W40" s="1596"/>
      <c r="X40" s="1619"/>
      <c r="Y40" s="1554"/>
      <c r="Z40" s="1600"/>
      <c r="AA40" s="1596"/>
      <c r="AB40" s="1596"/>
      <c r="AC40" s="1619"/>
      <c r="AD40" s="1554"/>
      <c r="AE40" s="1600"/>
      <c r="AF40" s="1596"/>
      <c r="AG40" s="1596"/>
      <c r="AH40" s="1619"/>
      <c r="AI40" s="1554"/>
      <c r="AJ40" s="1600"/>
      <c r="AK40" s="1596"/>
      <c r="AL40" s="1596"/>
      <c r="AM40" s="1619"/>
      <c r="AN40" s="1554"/>
      <c r="AO40" s="1600"/>
      <c r="AP40" s="1596"/>
      <c r="AQ40" s="1596"/>
      <c r="AR40" s="1619"/>
      <c r="AS40" s="1554"/>
      <c r="AT40" s="1600"/>
      <c r="AU40" s="1596"/>
      <c r="AV40" s="1596"/>
      <c r="AW40" s="1619"/>
      <c r="AX40" s="1554"/>
      <c r="AY40" s="1600"/>
      <c r="AZ40" s="1596"/>
      <c r="BA40" s="1596"/>
      <c r="BB40" s="1619"/>
      <c r="BC40" s="1554"/>
      <c r="BD40" s="1600"/>
      <c r="BE40" s="1596"/>
      <c r="BF40" s="1596"/>
      <c r="BG40" s="1619"/>
      <c r="BH40" s="1554"/>
      <c r="BI40" s="1600"/>
      <c r="BJ40" s="1596"/>
      <c r="BK40" s="1596"/>
      <c r="BL40" s="1619"/>
      <c r="BM40" s="1554"/>
      <c r="BN40" s="1600"/>
      <c r="BO40" s="1596"/>
      <c r="BP40" s="1596"/>
      <c r="BQ40" s="1619"/>
      <c r="BR40" s="1554"/>
      <c r="BS40" s="1600"/>
      <c r="BT40" s="1596"/>
      <c r="BU40" s="1596"/>
      <c r="BV40" s="1619"/>
      <c r="BW40" s="1079"/>
      <c r="BX40" s="1600"/>
      <c r="BY40" s="1596"/>
      <c r="BZ40" s="1596"/>
      <c r="CA40" s="1619"/>
      <c r="CB40" s="1554"/>
      <c r="CC40" s="1600"/>
      <c r="CD40" s="1596"/>
      <c r="CE40" s="1596"/>
      <c r="CF40" s="1619"/>
      <c r="CG40" s="1554"/>
      <c r="CH40" s="1600"/>
      <c r="CI40" s="1596"/>
      <c r="CJ40" s="1596"/>
      <c r="CK40" s="1619"/>
      <c r="CL40" s="1554"/>
      <c r="CM40" s="1600"/>
      <c r="CN40" s="1596"/>
      <c r="CO40" s="1596"/>
      <c r="CP40" s="1619"/>
      <c r="CQ40" s="1554"/>
      <c r="CR40" s="1600"/>
      <c r="CS40" s="1596"/>
      <c r="CT40" s="1596"/>
      <c r="CU40" s="1619"/>
      <c r="CV40" s="1554"/>
      <c r="CW40" s="1600"/>
      <c r="CX40" s="1596"/>
      <c r="CY40" s="1596"/>
      <c r="CZ40" s="1619"/>
      <c r="DA40" s="1554"/>
      <c r="DB40" s="1600"/>
      <c r="DC40" s="1596"/>
      <c r="DD40" s="1596"/>
      <c r="DE40" s="1619"/>
      <c r="DF40" s="1554"/>
      <c r="DG40" s="1600"/>
      <c r="DH40" s="1596"/>
      <c r="DI40" s="1596"/>
      <c r="DJ40" s="1619"/>
      <c r="DK40" s="1554"/>
      <c r="DL40" s="1600"/>
      <c r="DM40" s="1596"/>
      <c r="DN40" s="1596"/>
      <c r="DO40" s="1619"/>
      <c r="DP40" s="1554"/>
    </row>
    <row r="41" spans="2:120" s="1119" customFormat="1">
      <c r="B41" s="1602"/>
      <c r="C41" s="1602"/>
      <c r="D41" s="1602"/>
      <c r="E41" s="1620"/>
      <c r="F41" s="1621"/>
      <c r="G41" s="1621"/>
      <c r="H41" s="1621"/>
      <c r="I41" s="1621"/>
      <c r="J41" s="1554"/>
      <c r="K41" s="1620"/>
      <c r="L41" s="1621"/>
      <c r="M41" s="1621"/>
      <c r="N41" s="1621"/>
      <c r="O41" s="1554"/>
      <c r="P41" s="1621"/>
      <c r="Q41" s="1621"/>
      <c r="R41" s="1621"/>
      <c r="S41" s="1622"/>
      <c r="T41" s="1554"/>
      <c r="U41" s="1620"/>
      <c r="V41" s="1621"/>
      <c r="W41" s="1621"/>
      <c r="X41" s="1622"/>
      <c r="Y41" s="1554"/>
      <c r="Z41" s="1620"/>
      <c r="AA41" s="1621"/>
      <c r="AB41" s="1621"/>
      <c r="AC41" s="1622"/>
      <c r="AD41" s="1554"/>
      <c r="AE41" s="1620"/>
      <c r="AF41" s="1621"/>
      <c r="AG41" s="1621"/>
      <c r="AH41" s="1622"/>
      <c r="AI41" s="1554"/>
      <c r="AJ41" s="1620"/>
      <c r="AK41" s="1621"/>
      <c r="AL41" s="1621"/>
      <c r="AM41" s="1622"/>
      <c r="AN41" s="1554"/>
      <c r="AO41" s="1620"/>
      <c r="AP41" s="1621"/>
      <c r="AQ41" s="1621"/>
      <c r="AR41" s="1622"/>
      <c r="AS41" s="1554"/>
      <c r="AT41" s="1620"/>
      <c r="AU41" s="1621"/>
      <c r="AV41" s="1621"/>
      <c r="AW41" s="1622"/>
      <c r="AX41" s="1554"/>
      <c r="AY41" s="1620"/>
      <c r="AZ41" s="1621"/>
      <c r="BA41" s="1621"/>
      <c r="BB41" s="1622"/>
      <c r="BC41" s="1554"/>
      <c r="BD41" s="1620"/>
      <c r="BE41" s="1621"/>
      <c r="BF41" s="1621"/>
      <c r="BG41" s="1622"/>
      <c r="BH41" s="1554"/>
      <c r="BI41" s="1620"/>
      <c r="BJ41" s="1621"/>
      <c r="BK41" s="1621"/>
      <c r="BL41" s="1622"/>
      <c r="BM41" s="1554"/>
      <c r="BN41" s="1620"/>
      <c r="BO41" s="1621"/>
      <c r="BP41" s="1621"/>
      <c r="BQ41" s="1622"/>
      <c r="BR41" s="1554"/>
      <c r="BS41" s="1620"/>
      <c r="BT41" s="1621"/>
      <c r="BU41" s="1621"/>
      <c r="BV41" s="1622"/>
      <c r="BW41" s="1079"/>
      <c r="BX41" s="1620"/>
      <c r="BY41" s="1621"/>
      <c r="BZ41" s="1621"/>
      <c r="CA41" s="1622"/>
      <c r="CB41" s="1554"/>
      <c r="CC41" s="1620"/>
      <c r="CD41" s="1621"/>
      <c r="CE41" s="1621"/>
      <c r="CF41" s="1622"/>
      <c r="CG41" s="1554"/>
      <c r="CH41" s="1620"/>
      <c r="CI41" s="1621"/>
      <c r="CJ41" s="1621"/>
      <c r="CK41" s="1622"/>
      <c r="CL41" s="1554"/>
      <c r="CM41" s="1620"/>
      <c r="CN41" s="1621"/>
      <c r="CO41" s="1621"/>
      <c r="CP41" s="1622"/>
      <c r="CQ41" s="1554"/>
      <c r="CR41" s="1620"/>
      <c r="CS41" s="1621"/>
      <c r="CT41" s="1621"/>
      <c r="CU41" s="1622"/>
      <c r="CV41" s="1554"/>
      <c r="CW41" s="1620"/>
      <c r="CX41" s="1621"/>
      <c r="CY41" s="1621"/>
      <c r="CZ41" s="1622"/>
      <c r="DA41" s="1554"/>
      <c r="DB41" s="1620"/>
      <c r="DC41" s="1621"/>
      <c r="DD41" s="1621"/>
      <c r="DE41" s="1622"/>
      <c r="DF41" s="1554"/>
      <c r="DG41" s="1620"/>
      <c r="DH41" s="1621"/>
      <c r="DI41" s="1621"/>
      <c r="DJ41" s="1622"/>
      <c r="DK41" s="1554"/>
      <c r="DL41" s="1620"/>
      <c r="DM41" s="1621"/>
      <c r="DN41" s="1621"/>
      <c r="DO41" s="1622"/>
      <c r="DP41" s="1554"/>
    </row>
    <row r="42" spans="2:120" s="1119" customFormat="1">
      <c r="E42" s="1600"/>
      <c r="F42" s="1601"/>
      <c r="G42" s="1601"/>
      <c r="H42" s="1601"/>
      <c r="I42" s="1601"/>
      <c r="J42" s="1554"/>
      <c r="K42" s="1600"/>
      <c r="L42" s="1601"/>
      <c r="M42" s="1601"/>
      <c r="N42" s="1601"/>
      <c r="O42" s="1554"/>
      <c r="P42" s="1601"/>
      <c r="Q42" s="1601"/>
      <c r="R42" s="1601"/>
      <c r="S42" s="1623"/>
      <c r="T42" s="1554"/>
      <c r="U42" s="1600"/>
      <c r="V42" s="1601"/>
      <c r="W42" s="1601"/>
      <c r="X42" s="1623"/>
      <c r="Y42" s="1554"/>
      <c r="Z42" s="1600"/>
      <c r="AA42" s="1601"/>
      <c r="AB42" s="1601"/>
      <c r="AC42" s="1623"/>
      <c r="AD42" s="1554"/>
      <c r="AE42" s="1600"/>
      <c r="AF42" s="1601"/>
      <c r="AG42" s="1601"/>
      <c r="AH42" s="1623"/>
      <c r="AI42" s="1554"/>
      <c r="AJ42" s="1600"/>
      <c r="AK42" s="1601"/>
      <c r="AL42" s="1601"/>
      <c r="AM42" s="1623"/>
      <c r="AN42" s="1554"/>
      <c r="AO42" s="1600"/>
      <c r="AP42" s="1601"/>
      <c r="AQ42" s="1601"/>
      <c r="AR42" s="1623"/>
      <c r="AS42" s="1554"/>
      <c r="AT42" s="1600"/>
      <c r="AU42" s="1601"/>
      <c r="AV42" s="1601"/>
      <c r="AW42" s="1623"/>
      <c r="AX42" s="1554"/>
      <c r="AY42" s="1600"/>
      <c r="AZ42" s="1601"/>
      <c r="BA42" s="1601"/>
      <c r="BB42" s="1623"/>
      <c r="BC42" s="1554"/>
      <c r="BD42" s="1600"/>
      <c r="BE42" s="1601"/>
      <c r="BF42" s="1601"/>
      <c r="BG42" s="1623"/>
      <c r="BH42" s="1554"/>
      <c r="BI42" s="1600"/>
      <c r="BJ42" s="1601"/>
      <c r="BK42" s="1601"/>
      <c r="BL42" s="1623"/>
      <c r="BM42" s="1554"/>
      <c r="BN42" s="1600"/>
      <c r="BO42" s="1601"/>
      <c r="BP42" s="1601"/>
      <c r="BQ42" s="1623"/>
      <c r="BR42" s="1554"/>
      <c r="BS42" s="1600"/>
      <c r="BT42" s="1601"/>
      <c r="BU42" s="1601"/>
      <c r="BV42" s="1623"/>
      <c r="BW42" s="1079"/>
      <c r="BX42" s="1600"/>
      <c r="BY42" s="1601"/>
      <c r="BZ42" s="1601"/>
      <c r="CA42" s="1623"/>
      <c r="CB42" s="1554"/>
      <c r="CC42" s="1600"/>
      <c r="CD42" s="1601"/>
      <c r="CE42" s="1601"/>
      <c r="CF42" s="1623"/>
      <c r="CG42" s="1554"/>
      <c r="CH42" s="1600"/>
      <c r="CI42" s="1601"/>
      <c r="CJ42" s="1601"/>
      <c r="CK42" s="1623"/>
      <c r="CL42" s="1554"/>
      <c r="CM42" s="1600"/>
      <c r="CN42" s="1601"/>
      <c r="CO42" s="1601"/>
      <c r="CP42" s="1623"/>
      <c r="CQ42" s="1554"/>
      <c r="CR42" s="1600"/>
      <c r="CS42" s="1601"/>
      <c r="CT42" s="1601"/>
      <c r="CU42" s="1623"/>
      <c r="CV42" s="1554"/>
      <c r="CW42" s="1600"/>
      <c r="CX42" s="1601"/>
      <c r="CY42" s="1601"/>
      <c r="CZ42" s="1623"/>
      <c r="DA42" s="1554"/>
      <c r="DB42" s="1600"/>
      <c r="DC42" s="1601"/>
      <c r="DD42" s="1601"/>
      <c r="DE42" s="1623"/>
      <c r="DF42" s="1554"/>
      <c r="DG42" s="1600"/>
      <c r="DH42" s="1601"/>
      <c r="DI42" s="1601"/>
      <c r="DJ42" s="1623"/>
      <c r="DK42" s="1554"/>
      <c r="DL42" s="1600"/>
      <c r="DM42" s="1601"/>
      <c r="DN42" s="1601"/>
      <c r="DO42" s="1623"/>
      <c r="DP42" s="1554"/>
    </row>
    <row r="43" spans="2:120" s="1119" customFormat="1" ht="75">
      <c r="C43" s="1447" t="s">
        <v>1283</v>
      </c>
      <c r="E43" s="1624" t="s">
        <v>1135</v>
      </c>
      <c r="F43" s="1601"/>
      <c r="G43" s="1601"/>
      <c r="H43" s="1601"/>
      <c r="I43" s="1601"/>
      <c r="J43" s="1554"/>
      <c r="K43" s="1600"/>
      <c r="L43" s="1601"/>
      <c r="M43" s="1601"/>
      <c r="N43" s="1601"/>
      <c r="O43" s="1554"/>
      <c r="P43" s="1601"/>
      <c r="Q43" s="1601"/>
      <c r="R43" s="1601"/>
      <c r="S43" s="1623"/>
      <c r="T43" s="1554"/>
      <c r="U43" s="1600"/>
      <c r="V43" s="1601"/>
      <c r="W43" s="1601"/>
      <c r="X43" s="1623"/>
      <c r="Y43" s="1554"/>
      <c r="Z43" s="1600"/>
      <c r="AA43" s="1601"/>
      <c r="AB43" s="1601"/>
      <c r="AC43" s="1623"/>
      <c r="AD43" s="1554"/>
      <c r="AE43" s="1600"/>
      <c r="AF43" s="1601"/>
      <c r="AG43" s="1601"/>
      <c r="AH43" s="1623"/>
      <c r="AI43" s="1554"/>
      <c r="AJ43" s="1600"/>
      <c r="AK43" s="1601"/>
      <c r="AL43" s="1601"/>
      <c r="AM43" s="1623"/>
      <c r="AN43" s="1554"/>
      <c r="AO43" s="1600"/>
      <c r="AP43" s="1601"/>
      <c r="AQ43" s="1601"/>
      <c r="AR43" s="1623"/>
      <c r="AS43" s="1554"/>
      <c r="AT43" s="1600"/>
      <c r="AU43" s="1601"/>
      <c r="AV43" s="1601"/>
      <c r="AW43" s="1623"/>
      <c r="AX43" s="1554"/>
      <c r="AY43" s="1600"/>
      <c r="AZ43" s="1601"/>
      <c r="BA43" s="1601"/>
      <c r="BB43" s="1623"/>
      <c r="BC43" s="1554"/>
      <c r="BD43" s="1600"/>
      <c r="BE43" s="1601"/>
      <c r="BF43" s="1601"/>
      <c r="BG43" s="1623"/>
      <c r="BH43" s="1554"/>
      <c r="BI43" s="1600"/>
      <c r="BJ43" s="1601"/>
      <c r="BK43" s="1601"/>
      <c r="BL43" s="1623"/>
      <c r="BM43" s="1554"/>
      <c r="BN43" s="1600"/>
      <c r="BO43" s="1601"/>
      <c r="BP43" s="1601"/>
      <c r="BQ43" s="1623"/>
      <c r="BR43" s="1554"/>
      <c r="BS43" s="1600"/>
      <c r="BT43" s="1601"/>
      <c r="BU43" s="1601"/>
      <c r="BV43" s="1623"/>
      <c r="BW43" s="1079"/>
      <c r="BX43" s="1600"/>
      <c r="BY43" s="1601"/>
      <c r="BZ43" s="1601"/>
      <c r="CA43" s="1623"/>
      <c r="CB43" s="1554"/>
      <c r="CC43" s="1600"/>
      <c r="CD43" s="1601"/>
      <c r="CE43" s="1601"/>
      <c r="CF43" s="1623"/>
      <c r="CG43" s="1554"/>
      <c r="CH43" s="1600"/>
      <c r="CI43" s="1601"/>
      <c r="CJ43" s="1601"/>
      <c r="CK43" s="1623"/>
      <c r="CL43" s="1554"/>
      <c r="CM43" s="1600"/>
      <c r="CN43" s="1601"/>
      <c r="CO43" s="1601"/>
      <c r="CP43" s="1623"/>
      <c r="CQ43" s="1554"/>
      <c r="CR43" s="1600"/>
      <c r="CS43" s="1601"/>
      <c r="CT43" s="1601"/>
      <c r="CU43" s="1623"/>
      <c r="CV43" s="1554"/>
      <c r="CW43" s="1600"/>
      <c r="CX43" s="1601"/>
      <c r="CY43" s="1601"/>
      <c r="CZ43" s="1623"/>
      <c r="DA43" s="1554"/>
      <c r="DB43" s="1600"/>
      <c r="DC43" s="1601"/>
      <c r="DD43" s="1601"/>
      <c r="DE43" s="1623"/>
      <c r="DF43" s="1554"/>
      <c r="DG43" s="1600"/>
      <c r="DH43" s="1601"/>
      <c r="DI43" s="1601"/>
      <c r="DJ43" s="1623"/>
      <c r="DK43" s="1554"/>
      <c r="DL43" s="1600"/>
      <c r="DM43" s="1601"/>
      <c r="DN43" s="1601"/>
      <c r="DO43" s="1623"/>
      <c r="DP43" s="1554"/>
    </row>
    <row r="44" spans="2:120" s="1119" customFormat="1">
      <c r="C44" s="1613" t="s">
        <v>69</v>
      </c>
      <c r="E44" s="1337">
        <f>L44+Q44+V44+AA44+AF44+AK44+AP44+AU44+AZ44+BE44+BJ44+BO44+BT44+BY44+CD44+CI44+CN44+CS44+CX44++DC44+DH44+DM44</f>
        <v>7678.125</v>
      </c>
      <c r="F44" s="1600"/>
      <c r="G44" s="1601"/>
      <c r="H44" s="1601"/>
      <c r="I44" s="1601"/>
      <c r="J44" s="1625"/>
      <c r="K44" s="1600"/>
      <c r="L44" s="1337"/>
      <c r="M44" s="1601"/>
      <c r="N44" s="1601"/>
      <c r="O44" s="1625"/>
      <c r="P44" s="1601"/>
      <c r="Q44" s="1337"/>
      <c r="R44" s="1601"/>
      <c r="S44" s="1623"/>
      <c r="T44" s="1625"/>
      <c r="U44" s="1600"/>
      <c r="V44" s="1337"/>
      <c r="W44" s="1601"/>
      <c r="X44" s="1623"/>
      <c r="Y44" s="1625"/>
      <c r="Z44" s="1600"/>
      <c r="AA44" s="1337"/>
      <c r="AB44" s="1601"/>
      <c r="AC44" s="1623"/>
      <c r="AD44" s="1625"/>
      <c r="AE44" s="1600"/>
      <c r="AF44" s="1337">
        <f>AE13</f>
        <v>7678.125</v>
      </c>
      <c r="AG44" s="1601"/>
      <c r="AH44" s="1623"/>
      <c r="AI44" s="1625"/>
      <c r="AJ44" s="1600"/>
      <c r="AK44" s="1337"/>
      <c r="AL44" s="1601"/>
      <c r="AM44" s="1623"/>
      <c r="AN44" s="1625"/>
      <c r="AO44" s="1600"/>
      <c r="AP44" s="1337"/>
      <c r="AQ44" s="1601"/>
      <c r="AR44" s="1623"/>
      <c r="AS44" s="1625"/>
      <c r="AT44" s="1600"/>
      <c r="AU44" s="1337"/>
      <c r="AV44" s="1601"/>
      <c r="AW44" s="1623"/>
      <c r="AX44" s="1625"/>
      <c r="AY44" s="1600"/>
      <c r="AZ44" s="1337"/>
      <c r="BA44" s="1601"/>
      <c r="BB44" s="1623"/>
      <c r="BC44" s="1625"/>
      <c r="BD44" s="1600"/>
      <c r="BE44" s="1337"/>
      <c r="BF44" s="1601"/>
      <c r="BG44" s="1623"/>
      <c r="BH44" s="1625"/>
      <c r="BI44" s="1600"/>
      <c r="BJ44" s="1337"/>
      <c r="BK44" s="1601"/>
      <c r="BL44" s="1623"/>
      <c r="BM44" s="1625"/>
      <c r="BN44" s="1600"/>
      <c r="BO44" s="1337"/>
      <c r="BP44" s="1601"/>
      <c r="BQ44" s="1623"/>
      <c r="BR44" s="1625"/>
      <c r="BS44" s="1600"/>
      <c r="BT44" s="1337"/>
      <c r="BU44" s="1601"/>
      <c r="BV44" s="1623"/>
      <c r="BW44" s="1079"/>
      <c r="BX44" s="1600"/>
      <c r="BY44" s="1337"/>
      <c r="BZ44" s="1601"/>
      <c r="CA44" s="1623"/>
      <c r="CB44" s="1625"/>
      <c r="CC44" s="1600"/>
      <c r="CD44" s="1337"/>
      <c r="CE44" s="1601"/>
      <c r="CF44" s="1623"/>
      <c r="CG44" s="1625"/>
      <c r="CH44" s="1600"/>
      <c r="CI44" s="1337"/>
      <c r="CJ44" s="1601"/>
      <c r="CK44" s="1623"/>
      <c r="CL44" s="1625"/>
      <c r="CM44" s="1600"/>
      <c r="CN44" s="1337"/>
      <c r="CO44" s="1601"/>
      <c r="CP44" s="1623"/>
      <c r="CQ44" s="1625"/>
      <c r="CR44" s="1600"/>
      <c r="CS44" s="1337"/>
      <c r="CT44" s="1601"/>
      <c r="CU44" s="1623"/>
      <c r="CV44" s="1625"/>
      <c r="CW44" s="1600"/>
      <c r="CX44" s="1337"/>
      <c r="CY44" s="1601"/>
      <c r="CZ44" s="1623"/>
      <c r="DA44" s="1625"/>
      <c r="DB44" s="1600"/>
      <c r="DC44" s="1337"/>
      <c r="DD44" s="1601"/>
      <c r="DE44" s="1623"/>
      <c r="DF44" s="1625"/>
      <c r="DG44" s="1600"/>
      <c r="DH44" s="1337"/>
      <c r="DI44" s="1601"/>
      <c r="DJ44" s="1623"/>
      <c r="DK44" s="1625"/>
      <c r="DL44" s="1600"/>
      <c r="DM44" s="1337"/>
      <c r="DN44" s="1601"/>
      <c r="DO44" s="1623"/>
      <c r="DP44" s="1625"/>
    </row>
    <row r="45" spans="2:120" s="1119" customFormat="1">
      <c r="C45" s="1613" t="s">
        <v>43</v>
      </c>
      <c r="E45" s="771">
        <f t="shared" ref="E45:E60" si="33">L45+Q45+V45+AA45+AF45+AK45+AP45+AU45+AZ45+BE45+BJ45+BO45+BT45+BY45+CD45+CI45+CN45+CS45+CX45++DC45+DH45+DM45</f>
        <v>0</v>
      </c>
      <c r="F45" s="1600"/>
      <c r="G45" s="1601"/>
      <c r="H45" s="1601"/>
      <c r="I45" s="1601"/>
      <c r="J45" s="1625"/>
      <c r="K45" s="1600"/>
      <c r="L45" s="771"/>
      <c r="M45" s="1601"/>
      <c r="N45" s="1601"/>
      <c r="O45" s="1625"/>
      <c r="P45" s="1601"/>
      <c r="Q45" s="771"/>
      <c r="R45" s="1601"/>
      <c r="S45" s="1623"/>
      <c r="T45" s="1625"/>
      <c r="U45" s="1600"/>
      <c r="V45" s="771"/>
      <c r="W45" s="1601"/>
      <c r="X45" s="1623"/>
      <c r="Y45" s="1625"/>
      <c r="Z45" s="1600"/>
      <c r="AA45" s="771"/>
      <c r="AB45" s="1601"/>
      <c r="AC45" s="1623"/>
      <c r="AD45" s="1625"/>
      <c r="AE45" s="1600"/>
      <c r="AF45" s="771"/>
      <c r="AG45" s="1601"/>
      <c r="AH45" s="1623"/>
      <c r="AI45" s="1625"/>
      <c r="AJ45" s="1600"/>
      <c r="AK45" s="771"/>
      <c r="AL45" s="1601"/>
      <c r="AM45" s="1623"/>
      <c r="AN45" s="1625"/>
      <c r="AO45" s="1600"/>
      <c r="AP45" s="771"/>
      <c r="AQ45" s="1601"/>
      <c r="AR45" s="1623"/>
      <c r="AS45" s="1625"/>
      <c r="AT45" s="1600"/>
      <c r="AU45" s="771"/>
      <c r="AV45" s="1601"/>
      <c r="AW45" s="1623"/>
      <c r="AX45" s="1625"/>
      <c r="AY45" s="1600"/>
      <c r="AZ45" s="771"/>
      <c r="BA45" s="1601"/>
      <c r="BB45" s="1623"/>
      <c r="BC45" s="1625"/>
      <c r="BD45" s="1600"/>
      <c r="BE45" s="771"/>
      <c r="BF45" s="1601"/>
      <c r="BG45" s="1623"/>
      <c r="BH45" s="1625"/>
      <c r="BI45" s="1600"/>
      <c r="BJ45" s="771"/>
      <c r="BK45" s="1601"/>
      <c r="BL45" s="1623"/>
      <c r="BM45" s="1625"/>
      <c r="BN45" s="1600"/>
      <c r="BO45" s="771"/>
      <c r="BP45" s="1601"/>
      <c r="BQ45" s="1623"/>
      <c r="BR45" s="1625"/>
      <c r="BS45" s="1600"/>
      <c r="BT45" s="771"/>
      <c r="BU45" s="1601"/>
      <c r="BV45" s="1623"/>
      <c r="BW45" s="1079"/>
      <c r="BX45" s="1600"/>
      <c r="BY45" s="771"/>
      <c r="BZ45" s="1601"/>
      <c r="CA45" s="1623"/>
      <c r="CB45" s="1625"/>
      <c r="CC45" s="1600"/>
      <c r="CD45" s="771"/>
      <c r="CE45" s="1601"/>
      <c r="CF45" s="1623"/>
      <c r="CG45" s="1625"/>
      <c r="CH45" s="1600"/>
      <c r="CI45" s="771"/>
      <c r="CJ45" s="1601"/>
      <c r="CK45" s="1623"/>
      <c r="CL45" s="1625"/>
      <c r="CM45" s="1600"/>
      <c r="CN45" s="771"/>
      <c r="CO45" s="1601"/>
      <c r="CP45" s="1623"/>
      <c r="CQ45" s="1625"/>
      <c r="CR45" s="1600"/>
      <c r="CS45" s="771"/>
      <c r="CT45" s="1601"/>
      <c r="CU45" s="1623"/>
      <c r="CV45" s="1625"/>
      <c r="CW45" s="1600"/>
      <c r="CX45" s="771"/>
      <c r="CY45" s="1601"/>
      <c r="CZ45" s="1623"/>
      <c r="DA45" s="1625"/>
      <c r="DB45" s="1600"/>
      <c r="DC45" s="771"/>
      <c r="DD45" s="1601"/>
      <c r="DE45" s="1623"/>
      <c r="DF45" s="1625"/>
      <c r="DG45" s="1600"/>
      <c r="DH45" s="771"/>
      <c r="DI45" s="1601"/>
      <c r="DJ45" s="1623"/>
      <c r="DK45" s="1625"/>
      <c r="DL45" s="1600"/>
      <c r="DM45" s="771"/>
      <c r="DN45" s="1601"/>
      <c r="DO45" s="1623"/>
      <c r="DP45" s="1625"/>
    </row>
    <row r="46" spans="2:120" s="1119" customFormat="1">
      <c r="C46" s="1613" t="s">
        <v>49</v>
      </c>
      <c r="E46" s="771">
        <f t="shared" si="33"/>
        <v>0</v>
      </c>
      <c r="F46" s="1600"/>
      <c r="G46" s="1601"/>
      <c r="H46" s="1601"/>
      <c r="I46" s="1601"/>
      <c r="J46" s="1625"/>
      <c r="K46" s="1600"/>
      <c r="L46" s="771"/>
      <c r="M46" s="1601"/>
      <c r="N46" s="1601"/>
      <c r="O46" s="1625"/>
      <c r="P46" s="1601"/>
      <c r="Q46" s="771"/>
      <c r="R46" s="1601"/>
      <c r="S46" s="1623"/>
      <c r="T46" s="1625"/>
      <c r="U46" s="1600"/>
      <c r="V46" s="771"/>
      <c r="W46" s="1601"/>
      <c r="X46" s="1623"/>
      <c r="Y46" s="1625"/>
      <c r="Z46" s="1600"/>
      <c r="AA46" s="771"/>
      <c r="AB46" s="1601"/>
      <c r="AC46" s="1623"/>
      <c r="AD46" s="1625"/>
      <c r="AE46" s="1600"/>
      <c r="AF46" s="771"/>
      <c r="AG46" s="1601"/>
      <c r="AH46" s="1623"/>
      <c r="AI46" s="1625"/>
      <c r="AJ46" s="1600"/>
      <c r="AK46" s="771"/>
      <c r="AL46" s="1601"/>
      <c r="AM46" s="1623"/>
      <c r="AN46" s="1625"/>
      <c r="AO46" s="1600"/>
      <c r="AP46" s="771"/>
      <c r="AQ46" s="1601"/>
      <c r="AR46" s="1623"/>
      <c r="AS46" s="1625"/>
      <c r="AT46" s="1600"/>
      <c r="AU46" s="771"/>
      <c r="AV46" s="1601"/>
      <c r="AW46" s="1623"/>
      <c r="AX46" s="1625"/>
      <c r="AY46" s="1600"/>
      <c r="AZ46" s="771"/>
      <c r="BA46" s="1601"/>
      <c r="BB46" s="1623"/>
      <c r="BC46" s="1625"/>
      <c r="BD46" s="1600"/>
      <c r="BE46" s="771"/>
      <c r="BF46" s="1601"/>
      <c r="BG46" s="1623"/>
      <c r="BH46" s="1625"/>
      <c r="BI46" s="1600"/>
      <c r="BJ46" s="771"/>
      <c r="BK46" s="1601"/>
      <c r="BL46" s="1623"/>
      <c r="BM46" s="1625"/>
      <c r="BN46" s="1600"/>
      <c r="BO46" s="771"/>
      <c r="BP46" s="1601"/>
      <c r="BQ46" s="1623"/>
      <c r="BR46" s="1625"/>
      <c r="BS46" s="1600"/>
      <c r="BT46" s="771"/>
      <c r="BU46" s="1601"/>
      <c r="BV46" s="1623"/>
      <c r="BW46" s="1079"/>
      <c r="BX46" s="1600"/>
      <c r="BY46" s="771"/>
      <c r="BZ46" s="1601"/>
      <c r="CA46" s="1623"/>
      <c r="CB46" s="1625"/>
      <c r="CC46" s="1600"/>
      <c r="CD46" s="771"/>
      <c r="CE46" s="1601"/>
      <c r="CF46" s="1623"/>
      <c r="CG46" s="1625"/>
      <c r="CH46" s="1600"/>
      <c r="CI46" s="771"/>
      <c r="CJ46" s="1601"/>
      <c r="CK46" s="1623"/>
      <c r="CL46" s="1625"/>
      <c r="CM46" s="1600"/>
      <c r="CN46" s="771"/>
      <c r="CO46" s="1601"/>
      <c r="CP46" s="1623"/>
      <c r="CQ46" s="1625"/>
      <c r="CR46" s="1600"/>
      <c r="CS46" s="771"/>
      <c r="CT46" s="1601"/>
      <c r="CU46" s="1623"/>
      <c r="CV46" s="1625"/>
      <c r="CW46" s="1600"/>
      <c r="CX46" s="771"/>
      <c r="CY46" s="1601"/>
      <c r="CZ46" s="1623"/>
      <c r="DA46" s="1625"/>
      <c r="DB46" s="1600"/>
      <c r="DC46" s="771"/>
      <c r="DD46" s="1601"/>
      <c r="DE46" s="1623"/>
      <c r="DF46" s="1625"/>
      <c r="DG46" s="1600"/>
      <c r="DH46" s="771"/>
      <c r="DI46" s="1601"/>
      <c r="DJ46" s="1623"/>
      <c r="DK46" s="1625"/>
      <c r="DL46" s="1600"/>
      <c r="DM46" s="771"/>
      <c r="DN46" s="1601"/>
      <c r="DO46" s="1623"/>
      <c r="DP46" s="1625"/>
    </row>
    <row r="47" spans="2:120" s="1119" customFormat="1">
      <c r="C47" s="1613" t="s">
        <v>67</v>
      </c>
      <c r="E47" s="771">
        <f t="shared" si="33"/>
        <v>41824.183524812361</v>
      </c>
      <c r="F47" s="1600"/>
      <c r="G47" s="1601"/>
      <c r="H47" s="1601"/>
      <c r="I47" s="1601"/>
      <c r="J47" s="1625"/>
      <c r="K47" s="1600"/>
      <c r="L47" s="771"/>
      <c r="M47" s="1601"/>
      <c r="N47" s="1601"/>
      <c r="O47" s="1625"/>
      <c r="P47" s="1601"/>
      <c r="Q47" s="771"/>
      <c r="R47" s="1601"/>
      <c r="S47" s="1623"/>
      <c r="T47" s="1625"/>
      <c r="U47" s="1600"/>
      <c r="V47" s="771"/>
      <c r="W47" s="1601"/>
      <c r="X47" s="1623"/>
      <c r="Y47" s="1625"/>
      <c r="Z47" s="1600"/>
      <c r="AA47" s="771"/>
      <c r="AB47" s="1601"/>
      <c r="AC47" s="1623"/>
      <c r="AD47" s="1625"/>
      <c r="AE47" s="1600"/>
      <c r="AF47" s="771"/>
      <c r="AG47" s="1601"/>
      <c r="AH47" s="1623"/>
      <c r="AI47" s="1625"/>
      <c r="AJ47" s="1600"/>
      <c r="AK47" s="771"/>
      <c r="AL47" s="1601"/>
      <c r="AM47" s="1623"/>
      <c r="AN47" s="1625"/>
      <c r="AO47" s="1600"/>
      <c r="AP47" s="771">
        <f>AO13</f>
        <v>41824.183524812361</v>
      </c>
      <c r="AQ47" s="1601"/>
      <c r="AR47" s="1623"/>
      <c r="AS47" s="1625"/>
      <c r="AT47" s="1600"/>
      <c r="AU47" s="771">
        <f>AT13</f>
        <v>0</v>
      </c>
      <c r="AV47" s="1601"/>
      <c r="AW47" s="1623"/>
      <c r="AX47" s="1625"/>
      <c r="AY47" s="1600"/>
      <c r="AZ47" s="771"/>
      <c r="BA47" s="1601"/>
      <c r="BB47" s="1623"/>
      <c r="BC47" s="1625"/>
      <c r="BD47" s="1600"/>
      <c r="BE47" s="771"/>
      <c r="BF47" s="1601"/>
      <c r="BG47" s="1623"/>
      <c r="BH47" s="1625"/>
      <c r="BI47" s="1600"/>
      <c r="BJ47" s="771"/>
      <c r="BK47" s="1601"/>
      <c r="BL47" s="1623"/>
      <c r="BM47" s="1625"/>
      <c r="BN47" s="1600"/>
      <c r="BO47" s="771"/>
      <c r="BP47" s="1601"/>
      <c r="BQ47" s="1623"/>
      <c r="BR47" s="1625"/>
      <c r="BS47" s="1600"/>
      <c r="BT47" s="771"/>
      <c r="BU47" s="1601"/>
      <c r="BV47" s="1623"/>
      <c r="BW47" s="1079"/>
      <c r="BX47" s="1600"/>
      <c r="BY47" s="771"/>
      <c r="BZ47" s="1601"/>
      <c r="CA47" s="1623"/>
      <c r="CB47" s="1625"/>
      <c r="CC47" s="1600"/>
      <c r="CD47" s="771"/>
      <c r="CE47" s="1601"/>
      <c r="CF47" s="1623"/>
      <c r="CG47" s="1625"/>
      <c r="CH47" s="1600"/>
      <c r="CI47" s="771"/>
      <c r="CJ47" s="1601"/>
      <c r="CK47" s="1623"/>
      <c r="CL47" s="1625"/>
      <c r="CM47" s="1600"/>
      <c r="CN47" s="771"/>
      <c r="CO47" s="1601"/>
      <c r="CP47" s="1623"/>
      <c r="CQ47" s="1625"/>
      <c r="CR47" s="1600"/>
      <c r="CS47" s="771"/>
      <c r="CT47" s="1601"/>
      <c r="CU47" s="1623"/>
      <c r="CV47" s="1625"/>
      <c r="CW47" s="1600"/>
      <c r="CX47" s="771"/>
      <c r="CY47" s="1601"/>
      <c r="CZ47" s="1623"/>
      <c r="DA47" s="1625"/>
      <c r="DB47" s="1600"/>
      <c r="DC47" s="771"/>
      <c r="DD47" s="1601"/>
      <c r="DE47" s="1623"/>
      <c r="DF47" s="1625"/>
      <c r="DG47" s="1600"/>
      <c r="DH47" s="771"/>
      <c r="DI47" s="1601"/>
      <c r="DJ47" s="1623"/>
      <c r="DK47" s="1625"/>
      <c r="DL47" s="1600"/>
      <c r="DM47" s="771"/>
      <c r="DN47" s="1601"/>
      <c r="DO47" s="1623"/>
      <c r="DP47" s="1625"/>
    </row>
    <row r="48" spans="2:120" s="1119" customFormat="1">
      <c r="C48" s="1613" t="s">
        <v>44</v>
      </c>
      <c r="E48" s="771">
        <f t="shared" si="33"/>
        <v>0</v>
      </c>
      <c r="F48" s="1600"/>
      <c r="G48" s="1601"/>
      <c r="H48" s="1601"/>
      <c r="I48" s="1601"/>
      <c r="J48" s="1625"/>
      <c r="K48" s="1600"/>
      <c r="L48" s="771"/>
      <c r="M48" s="1601"/>
      <c r="N48" s="1601"/>
      <c r="O48" s="1625"/>
      <c r="P48" s="1601"/>
      <c r="Q48" s="771"/>
      <c r="R48" s="1601"/>
      <c r="S48" s="1623"/>
      <c r="T48" s="1625"/>
      <c r="U48" s="1600"/>
      <c r="V48" s="771"/>
      <c r="W48" s="1601"/>
      <c r="X48" s="1623"/>
      <c r="Y48" s="1625"/>
      <c r="Z48" s="1600"/>
      <c r="AA48" s="771"/>
      <c r="AB48" s="1601"/>
      <c r="AC48" s="1623"/>
      <c r="AD48" s="1625"/>
      <c r="AE48" s="1600"/>
      <c r="AF48" s="771"/>
      <c r="AG48" s="1601"/>
      <c r="AH48" s="1623"/>
      <c r="AI48" s="1625"/>
      <c r="AJ48" s="1600"/>
      <c r="AK48" s="771"/>
      <c r="AL48" s="1601"/>
      <c r="AM48" s="1623"/>
      <c r="AN48" s="1625"/>
      <c r="AO48" s="1600"/>
      <c r="AP48" s="771"/>
      <c r="AQ48" s="1601"/>
      <c r="AR48" s="1623"/>
      <c r="AS48" s="1625"/>
      <c r="AT48" s="1600"/>
      <c r="AU48" s="771"/>
      <c r="AV48" s="1601"/>
      <c r="AW48" s="1623"/>
      <c r="AX48" s="1625"/>
      <c r="AY48" s="1600"/>
      <c r="AZ48" s="771"/>
      <c r="BA48" s="1601"/>
      <c r="BB48" s="1623"/>
      <c r="BC48" s="1625"/>
      <c r="BD48" s="1600"/>
      <c r="BE48" s="771"/>
      <c r="BF48" s="1601"/>
      <c r="BG48" s="1623"/>
      <c r="BH48" s="1625"/>
      <c r="BI48" s="1600"/>
      <c r="BJ48" s="771"/>
      <c r="BK48" s="1601"/>
      <c r="BL48" s="1623"/>
      <c r="BM48" s="1625"/>
      <c r="BN48" s="1600"/>
      <c r="BO48" s="771"/>
      <c r="BP48" s="1601"/>
      <c r="BQ48" s="1623"/>
      <c r="BR48" s="1625"/>
      <c r="BS48" s="1600"/>
      <c r="BT48" s="771"/>
      <c r="BU48" s="1601"/>
      <c r="BV48" s="1623"/>
      <c r="BW48" s="1079"/>
      <c r="BX48" s="1600"/>
      <c r="BY48" s="771"/>
      <c r="BZ48" s="1601"/>
      <c r="CA48" s="1623"/>
      <c r="CB48" s="1625"/>
      <c r="CC48" s="1600"/>
      <c r="CD48" s="771"/>
      <c r="CE48" s="1601"/>
      <c r="CF48" s="1623"/>
      <c r="CG48" s="1625"/>
      <c r="CH48" s="1600"/>
      <c r="CI48" s="771"/>
      <c r="CJ48" s="1601"/>
      <c r="CK48" s="1623"/>
      <c r="CL48" s="1625"/>
      <c r="CM48" s="1600"/>
      <c r="CN48" s="771"/>
      <c r="CO48" s="1601"/>
      <c r="CP48" s="1623"/>
      <c r="CQ48" s="1625"/>
      <c r="CR48" s="1600"/>
      <c r="CS48" s="771"/>
      <c r="CT48" s="1601"/>
      <c r="CU48" s="1623"/>
      <c r="CV48" s="1625"/>
      <c r="CW48" s="1600"/>
      <c r="CX48" s="771"/>
      <c r="CY48" s="1601"/>
      <c r="CZ48" s="1623"/>
      <c r="DA48" s="1625"/>
      <c r="DB48" s="1600"/>
      <c r="DC48" s="771"/>
      <c r="DD48" s="1601"/>
      <c r="DE48" s="1623"/>
      <c r="DF48" s="1625"/>
      <c r="DG48" s="1600"/>
      <c r="DH48" s="771"/>
      <c r="DI48" s="1601"/>
      <c r="DJ48" s="1623"/>
      <c r="DK48" s="1625"/>
      <c r="DL48" s="1600"/>
      <c r="DM48" s="771"/>
      <c r="DN48" s="1601"/>
      <c r="DO48" s="1623"/>
      <c r="DP48" s="1625"/>
    </row>
    <row r="49" spans="2:120" s="1119" customFormat="1">
      <c r="C49" s="1613" t="s">
        <v>45</v>
      </c>
      <c r="E49" s="771">
        <f t="shared" si="33"/>
        <v>0</v>
      </c>
      <c r="F49" s="1600"/>
      <c r="G49" s="1601"/>
      <c r="H49" s="1601"/>
      <c r="I49" s="1601"/>
      <c r="J49" s="1625"/>
      <c r="K49" s="1600"/>
      <c r="L49" s="771"/>
      <c r="M49" s="1601"/>
      <c r="N49" s="1601"/>
      <c r="O49" s="1625"/>
      <c r="P49" s="1601"/>
      <c r="Q49" s="771"/>
      <c r="R49" s="1601"/>
      <c r="S49" s="1623"/>
      <c r="T49" s="1625"/>
      <c r="U49" s="1600"/>
      <c r="V49" s="771"/>
      <c r="W49" s="1601"/>
      <c r="X49" s="1623"/>
      <c r="Y49" s="1625"/>
      <c r="Z49" s="1600"/>
      <c r="AA49" s="771"/>
      <c r="AB49" s="1601"/>
      <c r="AC49" s="1623"/>
      <c r="AD49" s="1625"/>
      <c r="AE49" s="1600"/>
      <c r="AF49" s="771"/>
      <c r="AG49" s="1601"/>
      <c r="AH49" s="1623"/>
      <c r="AI49" s="1625"/>
      <c r="AJ49" s="1600"/>
      <c r="AK49" s="771"/>
      <c r="AL49" s="1601"/>
      <c r="AM49" s="1623"/>
      <c r="AN49" s="1625"/>
      <c r="AO49" s="1600"/>
      <c r="AP49" s="771"/>
      <c r="AQ49" s="1601"/>
      <c r="AR49" s="1623"/>
      <c r="AS49" s="1625"/>
      <c r="AT49" s="1600"/>
      <c r="AU49" s="771"/>
      <c r="AV49" s="1601"/>
      <c r="AW49" s="1623"/>
      <c r="AX49" s="1625"/>
      <c r="AY49" s="1600"/>
      <c r="AZ49" s="771"/>
      <c r="BA49" s="1601"/>
      <c r="BB49" s="1623"/>
      <c r="BC49" s="1625"/>
      <c r="BD49" s="1600"/>
      <c r="BE49" s="771"/>
      <c r="BF49" s="1601"/>
      <c r="BG49" s="1623"/>
      <c r="BH49" s="1625"/>
      <c r="BI49" s="1600"/>
      <c r="BJ49" s="771"/>
      <c r="BK49" s="1601"/>
      <c r="BL49" s="1623"/>
      <c r="BM49" s="1625"/>
      <c r="BN49" s="1600"/>
      <c r="BO49" s="771"/>
      <c r="BP49" s="1601"/>
      <c r="BQ49" s="1623"/>
      <c r="BR49" s="1625"/>
      <c r="BS49" s="1600"/>
      <c r="BT49" s="771"/>
      <c r="BU49" s="1601"/>
      <c r="BV49" s="1623"/>
      <c r="BW49" s="1079"/>
      <c r="BX49" s="1600"/>
      <c r="BY49" s="771"/>
      <c r="BZ49" s="1601"/>
      <c r="CA49" s="1623"/>
      <c r="CB49" s="1625"/>
      <c r="CC49" s="1600"/>
      <c r="CD49" s="771"/>
      <c r="CE49" s="1601"/>
      <c r="CF49" s="1623"/>
      <c r="CG49" s="1625"/>
      <c r="CH49" s="1600"/>
      <c r="CI49" s="771"/>
      <c r="CJ49" s="1601"/>
      <c r="CK49" s="1623"/>
      <c r="CL49" s="1625"/>
      <c r="CM49" s="1600"/>
      <c r="CN49" s="771"/>
      <c r="CO49" s="1601"/>
      <c r="CP49" s="1623"/>
      <c r="CQ49" s="1625"/>
      <c r="CR49" s="1600"/>
      <c r="CS49" s="771"/>
      <c r="CT49" s="1601"/>
      <c r="CU49" s="1623"/>
      <c r="CV49" s="1625"/>
      <c r="CW49" s="1600"/>
      <c r="CX49" s="771"/>
      <c r="CY49" s="1601"/>
      <c r="CZ49" s="1623"/>
      <c r="DA49" s="1625"/>
      <c r="DB49" s="1600"/>
      <c r="DC49" s="771"/>
      <c r="DD49" s="1601"/>
      <c r="DE49" s="1623"/>
      <c r="DF49" s="1625"/>
      <c r="DG49" s="1600"/>
      <c r="DH49" s="771"/>
      <c r="DI49" s="1601"/>
      <c r="DJ49" s="1623"/>
      <c r="DK49" s="1625"/>
      <c r="DL49" s="1600"/>
      <c r="DM49" s="771"/>
      <c r="DN49" s="1601"/>
      <c r="DO49" s="1623"/>
      <c r="DP49" s="1625"/>
    </row>
    <row r="50" spans="2:120" s="1119" customFormat="1">
      <c r="C50" s="1613" t="s">
        <v>50</v>
      </c>
      <c r="E50" s="771">
        <f t="shared" si="33"/>
        <v>0</v>
      </c>
      <c r="F50" s="1600"/>
      <c r="G50" s="1601"/>
      <c r="H50" s="1601"/>
      <c r="I50" s="1601"/>
      <c r="J50" s="1625"/>
      <c r="K50" s="1600"/>
      <c r="L50" s="771"/>
      <c r="M50" s="1601"/>
      <c r="N50" s="1601"/>
      <c r="O50" s="1625"/>
      <c r="P50" s="1601"/>
      <c r="Q50" s="771"/>
      <c r="R50" s="1601"/>
      <c r="S50" s="1623"/>
      <c r="T50" s="1625"/>
      <c r="U50" s="1600"/>
      <c r="V50" s="771"/>
      <c r="W50" s="1601"/>
      <c r="X50" s="1623"/>
      <c r="Y50" s="1625"/>
      <c r="Z50" s="1600"/>
      <c r="AA50" s="771"/>
      <c r="AB50" s="1601"/>
      <c r="AC50" s="1623"/>
      <c r="AD50" s="1625"/>
      <c r="AE50" s="1600"/>
      <c r="AF50" s="771"/>
      <c r="AG50" s="1601"/>
      <c r="AH50" s="1623"/>
      <c r="AI50" s="1625"/>
      <c r="AJ50" s="1600"/>
      <c r="AK50" s="771"/>
      <c r="AL50" s="1601"/>
      <c r="AM50" s="1623"/>
      <c r="AN50" s="1625"/>
      <c r="AO50" s="1600"/>
      <c r="AP50" s="771"/>
      <c r="AQ50" s="1601"/>
      <c r="AR50" s="1623"/>
      <c r="AS50" s="1625"/>
      <c r="AT50" s="1600"/>
      <c r="AU50" s="771"/>
      <c r="AV50" s="1601"/>
      <c r="AW50" s="1623"/>
      <c r="AX50" s="1625"/>
      <c r="AY50" s="1600"/>
      <c r="AZ50" s="771"/>
      <c r="BA50" s="1601"/>
      <c r="BB50" s="1623"/>
      <c r="BC50" s="1625"/>
      <c r="BD50" s="1600"/>
      <c r="BE50" s="771"/>
      <c r="BF50" s="1601"/>
      <c r="BG50" s="1623"/>
      <c r="BH50" s="1625"/>
      <c r="BI50" s="1600"/>
      <c r="BJ50" s="771"/>
      <c r="BK50" s="1601"/>
      <c r="BL50" s="1623"/>
      <c r="BM50" s="1625"/>
      <c r="BN50" s="1600"/>
      <c r="BO50" s="771"/>
      <c r="BP50" s="1601"/>
      <c r="BQ50" s="1623"/>
      <c r="BR50" s="1625"/>
      <c r="BS50" s="1600"/>
      <c r="BT50" s="771"/>
      <c r="BU50" s="1601"/>
      <c r="BV50" s="1623"/>
      <c r="BW50" s="1079"/>
      <c r="BX50" s="1600"/>
      <c r="BY50" s="771"/>
      <c r="BZ50" s="1601"/>
      <c r="CA50" s="1623"/>
      <c r="CB50" s="1625"/>
      <c r="CC50" s="1600"/>
      <c r="CD50" s="771"/>
      <c r="CE50" s="1601"/>
      <c r="CF50" s="1623"/>
      <c r="CG50" s="1625"/>
      <c r="CH50" s="1600"/>
      <c r="CI50" s="771"/>
      <c r="CJ50" s="1601"/>
      <c r="CK50" s="1623"/>
      <c r="CL50" s="1625"/>
      <c r="CM50" s="1600"/>
      <c r="CN50" s="771"/>
      <c r="CO50" s="1601"/>
      <c r="CP50" s="1623"/>
      <c r="CQ50" s="1625"/>
      <c r="CR50" s="1600"/>
      <c r="CS50" s="771"/>
      <c r="CT50" s="1601"/>
      <c r="CU50" s="1623"/>
      <c r="CV50" s="1625"/>
      <c r="CW50" s="1600"/>
      <c r="CX50" s="771"/>
      <c r="CY50" s="1601"/>
      <c r="CZ50" s="1623"/>
      <c r="DA50" s="1625"/>
      <c r="DB50" s="1600"/>
      <c r="DC50" s="771"/>
      <c r="DD50" s="1601"/>
      <c r="DE50" s="1623"/>
      <c r="DF50" s="1625"/>
      <c r="DG50" s="1600"/>
      <c r="DH50" s="771"/>
      <c r="DI50" s="1601"/>
      <c r="DJ50" s="1623"/>
      <c r="DK50" s="1625"/>
      <c r="DL50" s="1600"/>
      <c r="DM50" s="771"/>
      <c r="DN50" s="1601"/>
      <c r="DO50" s="1623"/>
      <c r="DP50" s="1625"/>
    </row>
    <row r="51" spans="2:120" s="1119" customFormat="1">
      <c r="C51" s="1613" t="s">
        <v>51</v>
      </c>
      <c r="E51" s="771">
        <f t="shared" si="33"/>
        <v>28506.214876668248</v>
      </c>
      <c r="F51" s="1600"/>
      <c r="G51" s="1601"/>
      <c r="H51" s="1601"/>
      <c r="I51" s="1601"/>
      <c r="J51" s="1625"/>
      <c r="K51" s="1600"/>
      <c r="L51" s="771"/>
      <c r="M51" s="1601"/>
      <c r="N51" s="1601"/>
      <c r="O51" s="1625"/>
      <c r="P51" s="1601"/>
      <c r="Q51" s="771"/>
      <c r="R51" s="1601"/>
      <c r="S51" s="1623"/>
      <c r="T51" s="1625"/>
      <c r="U51" s="1600"/>
      <c r="V51" s="771">
        <f>U13</f>
        <v>28506.214876668248</v>
      </c>
      <c r="W51" s="1601"/>
      <c r="X51" s="1623"/>
      <c r="Y51" s="1625"/>
      <c r="Z51" s="1600"/>
      <c r="AA51" s="771"/>
      <c r="AB51" s="1601"/>
      <c r="AC51" s="1623"/>
      <c r="AD51" s="1625"/>
      <c r="AE51" s="1600"/>
      <c r="AF51" s="771"/>
      <c r="AG51" s="1601"/>
      <c r="AH51" s="1623"/>
      <c r="AI51" s="1625"/>
      <c r="AJ51" s="1600"/>
      <c r="AK51" s="771"/>
      <c r="AL51" s="1601"/>
      <c r="AM51" s="1623"/>
      <c r="AN51" s="1625"/>
      <c r="AO51" s="1600"/>
      <c r="AP51" s="771"/>
      <c r="AQ51" s="1601"/>
      <c r="AR51" s="1623"/>
      <c r="AS51" s="1625"/>
      <c r="AT51" s="1600"/>
      <c r="AU51" s="771"/>
      <c r="AV51" s="1601"/>
      <c r="AW51" s="1623"/>
      <c r="AX51" s="1625"/>
      <c r="AY51" s="1600"/>
      <c r="AZ51" s="771"/>
      <c r="BA51" s="1601"/>
      <c r="BB51" s="1623"/>
      <c r="BC51" s="1625"/>
      <c r="BD51" s="1600"/>
      <c r="BE51" s="771"/>
      <c r="BF51" s="1601"/>
      <c r="BG51" s="1623"/>
      <c r="BH51" s="1625"/>
      <c r="BI51" s="1600"/>
      <c r="BJ51" s="771"/>
      <c r="BK51" s="1601"/>
      <c r="BL51" s="1623"/>
      <c r="BM51" s="1625"/>
      <c r="BN51" s="1600"/>
      <c r="BO51" s="771"/>
      <c r="BP51" s="1601"/>
      <c r="BQ51" s="1623"/>
      <c r="BR51" s="1625"/>
      <c r="BS51" s="1600"/>
      <c r="BT51" s="771"/>
      <c r="BU51" s="1601"/>
      <c r="BV51" s="1623"/>
      <c r="BW51" s="1079"/>
      <c r="BX51" s="1600"/>
      <c r="BY51" s="771"/>
      <c r="BZ51" s="1601"/>
      <c r="CA51" s="1623"/>
      <c r="CB51" s="1625"/>
      <c r="CC51" s="1600"/>
      <c r="CD51" s="771"/>
      <c r="CE51" s="1601"/>
      <c r="CF51" s="1623"/>
      <c r="CG51" s="1625"/>
      <c r="CH51" s="1600"/>
      <c r="CI51" s="771"/>
      <c r="CJ51" s="1601"/>
      <c r="CK51" s="1623"/>
      <c r="CL51" s="1625"/>
      <c r="CM51" s="1600"/>
      <c r="CN51" s="771"/>
      <c r="CO51" s="1601"/>
      <c r="CP51" s="1623"/>
      <c r="CQ51" s="1625"/>
      <c r="CR51" s="1600"/>
      <c r="CS51" s="771"/>
      <c r="CT51" s="1601"/>
      <c r="CU51" s="1623"/>
      <c r="CV51" s="1625"/>
      <c r="CW51" s="1600"/>
      <c r="CX51" s="771"/>
      <c r="CY51" s="1601"/>
      <c r="CZ51" s="1623"/>
      <c r="DA51" s="1625"/>
      <c r="DB51" s="1600"/>
      <c r="DC51" s="771"/>
      <c r="DD51" s="1601"/>
      <c r="DE51" s="1623"/>
      <c r="DF51" s="1625"/>
      <c r="DG51" s="1600"/>
      <c r="DH51" s="771"/>
      <c r="DI51" s="1601"/>
      <c r="DJ51" s="1623"/>
      <c r="DK51" s="1625"/>
      <c r="DL51" s="1600"/>
      <c r="DM51" s="771"/>
      <c r="DN51" s="1601"/>
      <c r="DO51" s="1623"/>
      <c r="DP51" s="1625"/>
    </row>
    <row r="52" spans="2:120" s="1119" customFormat="1">
      <c r="C52" s="1613" t="s">
        <v>41</v>
      </c>
      <c r="E52" s="771">
        <f t="shared" si="33"/>
        <v>25597.185622257737</v>
      </c>
      <c r="F52" s="1600"/>
      <c r="G52" s="1601"/>
      <c r="H52" s="1601"/>
      <c r="I52" s="1601"/>
      <c r="J52" s="1625"/>
      <c r="K52" s="1600"/>
      <c r="L52" s="771"/>
      <c r="M52" s="1601"/>
      <c r="N52" s="1601"/>
      <c r="O52" s="1625"/>
      <c r="P52" s="1601"/>
      <c r="Q52" s="771"/>
      <c r="R52" s="1601"/>
      <c r="S52" s="1623"/>
      <c r="T52" s="1625"/>
      <c r="U52" s="1600"/>
      <c r="V52" s="771"/>
      <c r="W52" s="1601"/>
      <c r="X52" s="1623"/>
      <c r="Y52" s="1625"/>
      <c r="Z52" s="1600"/>
      <c r="AA52" s="771"/>
      <c r="AB52" s="1601"/>
      <c r="AC52" s="1623"/>
      <c r="AD52" s="1625"/>
      <c r="AE52" s="1600"/>
      <c r="AF52" s="771"/>
      <c r="AG52" s="1601"/>
      <c r="AH52" s="1623"/>
      <c r="AI52" s="1625"/>
      <c r="AJ52" s="1600"/>
      <c r="AK52" s="771"/>
      <c r="AL52" s="1601"/>
      <c r="AM52" s="1623"/>
      <c r="AN52" s="1625"/>
      <c r="AO52" s="1600"/>
      <c r="AP52" s="771"/>
      <c r="AQ52" s="1601"/>
      <c r="AR52" s="1623"/>
      <c r="AS52" s="1625"/>
      <c r="AT52" s="1600"/>
      <c r="AU52" s="771"/>
      <c r="AV52" s="1601"/>
      <c r="AW52" s="1623"/>
      <c r="AX52" s="1625"/>
      <c r="AY52" s="1600"/>
      <c r="AZ52" s="771"/>
      <c r="BA52" s="1601"/>
      <c r="BB52" s="1623"/>
      <c r="BC52" s="1625"/>
      <c r="BD52" s="1600"/>
      <c r="BE52" s="771">
        <f>BD13</f>
        <v>11814.085671811263</v>
      </c>
      <c r="BF52" s="1601"/>
      <c r="BG52" s="1623"/>
      <c r="BH52" s="1625"/>
      <c r="BI52" s="1600"/>
      <c r="BJ52" s="771">
        <f>BI13</f>
        <v>13783.099950446474</v>
      </c>
      <c r="BK52" s="1601"/>
      <c r="BL52" s="1623"/>
      <c r="BM52" s="1625"/>
      <c r="BN52" s="1600"/>
      <c r="BO52" s="771"/>
      <c r="BP52" s="1601"/>
      <c r="BQ52" s="1623"/>
      <c r="BR52" s="1625"/>
      <c r="BS52" s="1600"/>
      <c r="BT52" s="771"/>
      <c r="BU52" s="1601"/>
      <c r="BV52" s="1623"/>
      <c r="BW52" s="1079"/>
      <c r="BX52" s="1600"/>
      <c r="BY52" s="771"/>
      <c r="BZ52" s="1601"/>
      <c r="CA52" s="1623"/>
      <c r="CB52" s="1625"/>
      <c r="CC52" s="1600"/>
      <c r="CD52" s="771"/>
      <c r="CE52" s="1601"/>
      <c r="CF52" s="1623"/>
      <c r="CG52" s="1625"/>
      <c r="CH52" s="1600"/>
      <c r="CI52" s="771"/>
      <c r="CJ52" s="1601"/>
      <c r="CK52" s="1623"/>
      <c r="CL52" s="1625"/>
      <c r="CM52" s="1600"/>
      <c r="CN52" s="771"/>
      <c r="CO52" s="1601"/>
      <c r="CP52" s="1623"/>
      <c r="CQ52" s="1625"/>
      <c r="CR52" s="1600"/>
      <c r="CS52" s="771"/>
      <c r="CT52" s="1601"/>
      <c r="CU52" s="1623"/>
      <c r="CV52" s="1625"/>
      <c r="CW52" s="1600"/>
      <c r="CX52" s="771"/>
      <c r="CY52" s="1601"/>
      <c r="CZ52" s="1623"/>
      <c r="DA52" s="1625"/>
      <c r="DB52" s="1600"/>
      <c r="DC52" s="771"/>
      <c r="DD52" s="1601"/>
      <c r="DE52" s="1623"/>
      <c r="DF52" s="1625"/>
      <c r="DG52" s="1600"/>
      <c r="DH52" s="771"/>
      <c r="DI52" s="1601"/>
      <c r="DJ52" s="1623"/>
      <c r="DK52" s="1625"/>
      <c r="DL52" s="1600"/>
      <c r="DM52" s="771"/>
      <c r="DN52" s="1601"/>
      <c r="DO52" s="1623"/>
      <c r="DP52" s="1625"/>
    </row>
    <row r="53" spans="2:120" s="1119" customFormat="1">
      <c r="C53" s="1613" t="s">
        <v>567</v>
      </c>
      <c r="E53" s="771">
        <f t="shared" si="33"/>
        <v>1834.8827966591057</v>
      </c>
      <c r="F53" s="1600"/>
      <c r="G53" s="1601"/>
      <c r="H53" s="1601"/>
      <c r="I53" s="1601"/>
      <c r="J53" s="1625"/>
      <c r="K53" s="1600"/>
      <c r="L53" s="771">
        <f>L31+L32</f>
        <v>1834.8827966591057</v>
      </c>
      <c r="M53" s="1601" t="s">
        <v>1136</v>
      </c>
      <c r="N53" s="1601"/>
      <c r="O53" s="1625"/>
      <c r="P53" s="1601"/>
      <c r="Q53" s="771"/>
      <c r="R53" s="1601"/>
      <c r="S53" s="1623"/>
      <c r="T53" s="1625"/>
      <c r="U53" s="1600"/>
      <c r="V53" s="771"/>
      <c r="W53" s="1601"/>
      <c r="X53" s="1623"/>
      <c r="Y53" s="1625"/>
      <c r="Z53" s="1600"/>
      <c r="AA53" s="771"/>
      <c r="AB53" s="1601"/>
      <c r="AC53" s="1623"/>
      <c r="AD53" s="1625"/>
      <c r="AE53" s="1600"/>
      <c r="AF53" s="771"/>
      <c r="AG53" s="1601"/>
      <c r="AH53" s="1623"/>
      <c r="AI53" s="1625"/>
      <c r="AJ53" s="1600"/>
      <c r="AK53" s="771"/>
      <c r="AL53" s="1601"/>
      <c r="AM53" s="1623"/>
      <c r="AN53" s="1625"/>
      <c r="AO53" s="1600"/>
      <c r="AP53" s="771"/>
      <c r="AQ53" s="1601"/>
      <c r="AR53" s="1623"/>
      <c r="AS53" s="1625"/>
      <c r="AT53" s="1600"/>
      <c r="AU53" s="771"/>
      <c r="AV53" s="1601"/>
      <c r="AW53" s="1623"/>
      <c r="AX53" s="1625"/>
      <c r="AY53" s="1600"/>
      <c r="AZ53" s="771"/>
      <c r="BA53" s="1601"/>
      <c r="BB53" s="1623"/>
      <c r="BC53" s="1625"/>
      <c r="BD53" s="1600"/>
      <c r="BE53" s="771"/>
      <c r="BF53" s="1601"/>
      <c r="BG53" s="1623"/>
      <c r="BH53" s="1625"/>
      <c r="BI53" s="1600"/>
      <c r="BJ53" s="771"/>
      <c r="BK53" s="1601"/>
      <c r="BL53" s="1623"/>
      <c r="BM53" s="1625"/>
      <c r="BN53" s="1600"/>
      <c r="BO53" s="771"/>
      <c r="BP53" s="1601"/>
      <c r="BQ53" s="1623"/>
      <c r="BR53" s="1625"/>
      <c r="BS53" s="1600"/>
      <c r="BT53" s="771"/>
      <c r="BU53" s="1601"/>
      <c r="BV53" s="1623"/>
      <c r="BW53" s="1079"/>
      <c r="BX53" s="1600"/>
      <c r="BY53" s="771"/>
      <c r="BZ53" s="1601"/>
      <c r="CA53" s="1623"/>
      <c r="CB53" s="1625"/>
      <c r="CC53" s="1600"/>
      <c r="CD53" s="771"/>
      <c r="CE53" s="1601"/>
      <c r="CF53" s="1623"/>
      <c r="CG53" s="1625"/>
      <c r="CH53" s="1600"/>
      <c r="CI53" s="771"/>
      <c r="CJ53" s="1601"/>
      <c r="CK53" s="1623"/>
      <c r="CL53" s="1625"/>
      <c r="CM53" s="1600"/>
      <c r="CN53" s="771"/>
      <c r="CO53" s="1601"/>
      <c r="CP53" s="1623"/>
      <c r="CQ53" s="1625"/>
      <c r="CR53" s="1600"/>
      <c r="CS53" s="771"/>
      <c r="CT53" s="1601"/>
      <c r="CU53" s="1623"/>
      <c r="CV53" s="1625"/>
      <c r="CW53" s="1600"/>
      <c r="CX53" s="771"/>
      <c r="CY53" s="1601"/>
      <c r="CZ53" s="1623"/>
      <c r="DA53" s="1625"/>
      <c r="DB53" s="1600"/>
      <c r="DC53" s="771"/>
      <c r="DD53" s="1601"/>
      <c r="DE53" s="1623"/>
      <c r="DF53" s="1625"/>
      <c r="DG53" s="1600"/>
      <c r="DH53" s="771"/>
      <c r="DI53" s="1601"/>
      <c r="DJ53" s="1623"/>
      <c r="DK53" s="1625"/>
      <c r="DL53" s="1600"/>
      <c r="DM53" s="771"/>
      <c r="DN53" s="1601"/>
      <c r="DO53" s="1623"/>
      <c r="DP53" s="1625"/>
    </row>
    <row r="54" spans="2:120" s="1119" customFormat="1">
      <c r="C54" s="1613" t="s">
        <v>76</v>
      </c>
      <c r="E54" s="771">
        <f t="shared" si="33"/>
        <v>891.95691504262072</v>
      </c>
      <c r="F54" s="1600"/>
      <c r="G54" s="1601"/>
      <c r="H54" s="1601"/>
      <c r="I54" s="1601"/>
      <c r="J54" s="1625"/>
      <c r="K54" s="1600"/>
      <c r="L54" s="771"/>
      <c r="M54" s="1601"/>
      <c r="N54" s="1601"/>
      <c r="O54" s="1625"/>
      <c r="P54" s="1601"/>
      <c r="Q54" s="771">
        <f>Q32</f>
        <v>891.95691504262072</v>
      </c>
      <c r="R54" s="1601" t="s">
        <v>1137</v>
      </c>
      <c r="S54" s="1623"/>
      <c r="T54" s="1625"/>
      <c r="U54" s="1600"/>
      <c r="V54" s="771"/>
      <c r="W54" s="1601"/>
      <c r="X54" s="1623"/>
      <c r="Y54" s="1625"/>
      <c r="Z54" s="1600"/>
      <c r="AA54" s="771"/>
      <c r="AB54" s="1601"/>
      <c r="AC54" s="1623"/>
      <c r="AD54" s="1625"/>
      <c r="AE54" s="1600"/>
      <c r="AF54" s="771"/>
      <c r="AG54" s="1601"/>
      <c r="AH54" s="1623"/>
      <c r="AI54" s="1625"/>
      <c r="AJ54" s="1600"/>
      <c r="AK54" s="771"/>
      <c r="AL54" s="1601"/>
      <c r="AM54" s="1623"/>
      <c r="AN54" s="1625"/>
      <c r="AO54" s="1600"/>
      <c r="AP54" s="771"/>
      <c r="AQ54" s="1601"/>
      <c r="AR54" s="1623"/>
      <c r="AS54" s="1625"/>
      <c r="AT54" s="1600"/>
      <c r="AU54" s="771"/>
      <c r="AV54" s="1601"/>
      <c r="AW54" s="1623"/>
      <c r="AX54" s="1625"/>
      <c r="AY54" s="1600"/>
      <c r="AZ54" s="771"/>
      <c r="BA54" s="1601"/>
      <c r="BB54" s="1623"/>
      <c r="BC54" s="1625"/>
      <c r="BD54" s="1600"/>
      <c r="BE54" s="771"/>
      <c r="BF54" s="1601"/>
      <c r="BG54" s="1623"/>
      <c r="BH54" s="1625"/>
      <c r="BI54" s="1600"/>
      <c r="BJ54" s="771"/>
      <c r="BK54" s="1601"/>
      <c r="BL54" s="1623"/>
      <c r="BM54" s="1625"/>
      <c r="BN54" s="1600"/>
      <c r="BO54" s="771"/>
      <c r="BP54" s="1601"/>
      <c r="BQ54" s="1623"/>
      <c r="BR54" s="1625"/>
      <c r="BS54" s="1600"/>
      <c r="BT54" s="771"/>
      <c r="BU54" s="1601"/>
      <c r="BV54" s="1623"/>
      <c r="BW54" s="1079"/>
      <c r="BX54" s="1600"/>
      <c r="BY54" s="771"/>
      <c r="BZ54" s="1601"/>
      <c r="CA54" s="1623"/>
      <c r="CB54" s="1625"/>
      <c r="CC54" s="1600"/>
      <c r="CD54" s="771"/>
      <c r="CE54" s="1601"/>
      <c r="CF54" s="1623"/>
      <c r="CG54" s="1625"/>
      <c r="CH54" s="1600"/>
      <c r="CI54" s="771"/>
      <c r="CJ54" s="1601"/>
      <c r="CK54" s="1623"/>
      <c r="CL54" s="1625"/>
      <c r="CM54" s="1600"/>
      <c r="CN54" s="771"/>
      <c r="CO54" s="1601"/>
      <c r="CP54" s="1623"/>
      <c r="CQ54" s="1625"/>
      <c r="CR54" s="1600"/>
      <c r="CS54" s="771"/>
      <c r="CT54" s="1601"/>
      <c r="CU54" s="1623"/>
      <c r="CV54" s="1625"/>
      <c r="CW54" s="1600"/>
      <c r="CX54" s="771"/>
      <c r="CY54" s="1601"/>
      <c r="CZ54" s="1623"/>
      <c r="DA54" s="1625"/>
      <c r="DB54" s="1600"/>
      <c r="DC54" s="771"/>
      <c r="DD54" s="1601"/>
      <c r="DE54" s="1623"/>
      <c r="DF54" s="1625"/>
      <c r="DG54" s="1600"/>
      <c r="DH54" s="771"/>
      <c r="DI54" s="1601"/>
      <c r="DJ54" s="1623"/>
      <c r="DK54" s="1625"/>
      <c r="DL54" s="1600"/>
      <c r="DM54" s="771"/>
      <c r="DN54" s="1601"/>
      <c r="DO54" s="1623"/>
      <c r="DP54" s="1625"/>
    </row>
    <row r="55" spans="2:120" s="1119" customFormat="1">
      <c r="C55" s="1613" t="s">
        <v>46</v>
      </c>
      <c r="E55" s="771">
        <f t="shared" si="33"/>
        <v>0</v>
      </c>
      <c r="F55" s="1600"/>
      <c r="G55" s="1601"/>
      <c r="H55" s="1601"/>
      <c r="I55" s="1601"/>
      <c r="J55" s="1625"/>
      <c r="K55" s="1600"/>
      <c r="L55" s="771"/>
      <c r="M55" s="1601"/>
      <c r="N55" s="1601"/>
      <c r="O55" s="1625"/>
      <c r="P55" s="1601"/>
      <c r="Q55" s="771"/>
      <c r="R55" s="1601"/>
      <c r="S55" s="1623"/>
      <c r="T55" s="1625"/>
      <c r="U55" s="1600"/>
      <c r="V55" s="771"/>
      <c r="W55" s="1601"/>
      <c r="X55" s="1623"/>
      <c r="Y55" s="1625"/>
      <c r="Z55" s="1600"/>
      <c r="AA55" s="771"/>
      <c r="AB55" s="1601"/>
      <c r="AC55" s="1623"/>
      <c r="AD55" s="1625"/>
      <c r="AE55" s="1600"/>
      <c r="AF55" s="771"/>
      <c r="AG55" s="1601"/>
      <c r="AH55" s="1623"/>
      <c r="AI55" s="1625"/>
      <c r="AJ55" s="1600"/>
      <c r="AK55" s="771"/>
      <c r="AL55" s="1601"/>
      <c r="AM55" s="1623"/>
      <c r="AN55" s="1625"/>
      <c r="AO55" s="1600"/>
      <c r="AP55" s="771"/>
      <c r="AQ55" s="1601"/>
      <c r="AR55" s="1623"/>
      <c r="AS55" s="1625"/>
      <c r="AT55" s="1600"/>
      <c r="AU55" s="771"/>
      <c r="AV55" s="1601"/>
      <c r="AW55" s="1623"/>
      <c r="AX55" s="1625"/>
      <c r="AY55" s="1600"/>
      <c r="AZ55" s="771"/>
      <c r="BA55" s="1601"/>
      <c r="BB55" s="1623"/>
      <c r="BC55" s="1625"/>
      <c r="BD55" s="1600"/>
      <c r="BE55" s="771"/>
      <c r="BF55" s="1601"/>
      <c r="BG55" s="1623"/>
      <c r="BH55" s="1625"/>
      <c r="BI55" s="1600"/>
      <c r="BJ55" s="771"/>
      <c r="BK55" s="1601"/>
      <c r="BL55" s="1623"/>
      <c r="BM55" s="1625"/>
      <c r="BN55" s="1600"/>
      <c r="BO55" s="771"/>
      <c r="BP55" s="1601"/>
      <c r="BQ55" s="1623"/>
      <c r="BR55" s="1625"/>
      <c r="BS55" s="1600"/>
      <c r="BT55" s="771"/>
      <c r="BU55" s="1601"/>
      <c r="BV55" s="1623"/>
      <c r="BW55" s="1079"/>
      <c r="BX55" s="1600"/>
      <c r="BY55" s="771"/>
      <c r="BZ55" s="1601"/>
      <c r="CA55" s="1623"/>
      <c r="CB55" s="1625"/>
      <c r="CC55" s="1600"/>
      <c r="CD55" s="771"/>
      <c r="CE55" s="1601"/>
      <c r="CF55" s="1623"/>
      <c r="CG55" s="1625"/>
      <c r="CH55" s="1600"/>
      <c r="CI55" s="771"/>
      <c r="CJ55" s="1601"/>
      <c r="CK55" s="1623"/>
      <c r="CL55" s="1625"/>
      <c r="CM55" s="1600"/>
      <c r="CN55" s="771"/>
      <c r="CO55" s="1601"/>
      <c r="CP55" s="1623"/>
      <c r="CQ55" s="1625"/>
      <c r="CR55" s="1600"/>
      <c r="CS55" s="771"/>
      <c r="CT55" s="1601"/>
      <c r="CU55" s="1623"/>
      <c r="CV55" s="1625"/>
      <c r="CW55" s="1600"/>
      <c r="CX55" s="771"/>
      <c r="CY55" s="1601"/>
      <c r="CZ55" s="1623"/>
      <c r="DA55" s="1625"/>
      <c r="DB55" s="1600"/>
      <c r="DC55" s="771"/>
      <c r="DD55" s="1601"/>
      <c r="DE55" s="1623"/>
      <c r="DF55" s="1625"/>
      <c r="DG55" s="1600"/>
      <c r="DH55" s="771"/>
      <c r="DI55" s="1601"/>
      <c r="DJ55" s="1623"/>
      <c r="DK55" s="1625"/>
      <c r="DL55" s="1600"/>
      <c r="DM55" s="771"/>
      <c r="DN55" s="1601"/>
      <c r="DO55" s="1623"/>
      <c r="DP55" s="1625"/>
    </row>
    <row r="56" spans="2:120" s="1119" customFormat="1">
      <c r="C56" s="1613" t="s">
        <v>30</v>
      </c>
      <c r="E56" s="771">
        <f t="shared" si="33"/>
        <v>8080.9289013247726</v>
      </c>
      <c r="F56" s="1600"/>
      <c r="G56" s="1601"/>
      <c r="H56" s="1601"/>
      <c r="I56" s="1601"/>
      <c r="J56" s="1625"/>
      <c r="K56" s="1600"/>
      <c r="L56" s="771"/>
      <c r="M56" s="1601"/>
      <c r="N56" s="1601"/>
      <c r="O56" s="1625"/>
      <c r="P56" s="1601"/>
      <c r="Q56" s="771"/>
      <c r="R56" s="1601"/>
      <c r="S56" s="1623"/>
      <c r="T56" s="1625"/>
      <c r="U56" s="1600"/>
      <c r="V56" s="771"/>
      <c r="W56" s="1601"/>
      <c r="X56" s="1623"/>
      <c r="Y56" s="1625"/>
      <c r="Z56" s="1600"/>
      <c r="AA56" s="771"/>
      <c r="AB56" s="1601"/>
      <c r="AC56" s="1623"/>
      <c r="AD56" s="1625"/>
      <c r="AE56" s="1600"/>
      <c r="AF56" s="771"/>
      <c r="AG56" s="1601"/>
      <c r="AH56" s="1623"/>
      <c r="AI56" s="1625"/>
      <c r="AJ56" s="1600"/>
      <c r="AK56" s="771"/>
      <c r="AL56" s="1601"/>
      <c r="AM56" s="1623"/>
      <c r="AN56" s="1625"/>
      <c r="AO56" s="1600"/>
      <c r="AP56" s="771"/>
      <c r="AQ56" s="1601"/>
      <c r="AR56" s="1623"/>
      <c r="AS56" s="1625"/>
      <c r="AT56" s="1600"/>
      <c r="AU56" s="771"/>
      <c r="AV56" s="1601"/>
      <c r="AW56" s="1623"/>
      <c r="AX56" s="1625"/>
      <c r="AY56" s="1600"/>
      <c r="AZ56" s="771"/>
      <c r="BA56" s="1601"/>
      <c r="BB56" s="1623"/>
      <c r="BC56" s="1625"/>
      <c r="BD56" s="1600"/>
      <c r="BE56" s="771"/>
      <c r="BF56" s="1601"/>
      <c r="BG56" s="1623"/>
      <c r="BH56" s="1625"/>
      <c r="BI56" s="1600"/>
      <c r="BJ56" s="771"/>
      <c r="BK56" s="1601"/>
      <c r="BL56" s="1623"/>
      <c r="BM56" s="1625"/>
      <c r="BN56" s="1600"/>
      <c r="BO56" s="771"/>
      <c r="BP56" s="1601"/>
      <c r="BQ56" s="1623"/>
      <c r="BR56" s="1625"/>
      <c r="BS56" s="1600"/>
      <c r="BT56" s="771"/>
      <c r="BU56" s="1601"/>
      <c r="BV56" s="1623"/>
      <c r="BW56" s="1079"/>
      <c r="BX56" s="1600"/>
      <c r="BY56" s="771"/>
      <c r="BZ56" s="1601"/>
      <c r="CA56" s="1623"/>
      <c r="CB56" s="1625"/>
      <c r="CC56" s="1600"/>
      <c r="CD56" s="771"/>
      <c r="CE56" s="1601"/>
      <c r="CF56" s="1623"/>
      <c r="CG56" s="1625"/>
      <c r="CH56" s="1600"/>
      <c r="CI56" s="771"/>
      <c r="CJ56" s="1601"/>
      <c r="CK56" s="1623"/>
      <c r="CL56" s="1625"/>
      <c r="CM56" s="1600"/>
      <c r="CN56" s="771"/>
      <c r="CO56" s="1601"/>
      <c r="CP56" s="1623"/>
      <c r="CQ56" s="1625"/>
      <c r="CR56" s="1600"/>
      <c r="CS56" s="771"/>
      <c r="CT56" s="1601"/>
      <c r="CU56" s="1623"/>
      <c r="CV56" s="1625"/>
      <c r="CW56" s="1600"/>
      <c r="CX56" s="771">
        <f>CW13*(1+Rapid_Response!F63)</f>
        <v>8080.9289013247726</v>
      </c>
      <c r="CY56" s="1601"/>
      <c r="CZ56" s="1623"/>
      <c r="DA56" s="1625"/>
      <c r="DB56" s="1600"/>
      <c r="DC56" s="771"/>
      <c r="DD56" s="1601"/>
      <c r="DE56" s="1623"/>
      <c r="DF56" s="1625"/>
      <c r="DG56" s="1600"/>
      <c r="DH56" s="771"/>
      <c r="DI56" s="1601"/>
      <c r="DJ56" s="1623"/>
      <c r="DK56" s="1625"/>
      <c r="DL56" s="1600"/>
      <c r="DM56" s="771"/>
      <c r="DN56" s="1601"/>
      <c r="DO56" s="1623"/>
      <c r="DP56" s="1625"/>
    </row>
    <row r="57" spans="2:120" s="1119" customFormat="1">
      <c r="C57" s="1613" t="s">
        <v>48</v>
      </c>
      <c r="E57" s="771">
        <f t="shared" si="33"/>
        <v>0</v>
      </c>
      <c r="F57" s="1600"/>
      <c r="G57" s="1601"/>
      <c r="H57" s="1601"/>
      <c r="I57" s="1601"/>
      <c r="J57" s="1625"/>
      <c r="K57" s="1600"/>
      <c r="L57" s="771"/>
      <c r="M57" s="1601"/>
      <c r="N57" s="1601"/>
      <c r="O57" s="1625"/>
      <c r="P57" s="1601"/>
      <c r="Q57" s="771"/>
      <c r="R57" s="1601"/>
      <c r="S57" s="1623"/>
      <c r="T57" s="1625"/>
      <c r="U57" s="1600"/>
      <c r="V57" s="771"/>
      <c r="W57" s="1601"/>
      <c r="X57" s="1623"/>
      <c r="Y57" s="1625"/>
      <c r="Z57" s="1600"/>
      <c r="AA57" s="771"/>
      <c r="AB57" s="1601"/>
      <c r="AC57" s="1623"/>
      <c r="AD57" s="1625"/>
      <c r="AE57" s="1600"/>
      <c r="AF57" s="771"/>
      <c r="AG57" s="1601"/>
      <c r="AH57" s="1623"/>
      <c r="AI57" s="1625"/>
      <c r="AJ57" s="1600"/>
      <c r="AK57" s="771"/>
      <c r="AL57" s="1601"/>
      <c r="AM57" s="1623"/>
      <c r="AN57" s="1625"/>
      <c r="AO57" s="1600"/>
      <c r="AP57" s="771"/>
      <c r="AQ57" s="1601"/>
      <c r="AR57" s="1623"/>
      <c r="AS57" s="1625"/>
      <c r="AT57" s="1600"/>
      <c r="AU57" s="771"/>
      <c r="AV57" s="1601"/>
      <c r="AW57" s="1623"/>
      <c r="AX57" s="1625"/>
      <c r="AY57" s="1600"/>
      <c r="AZ57" s="771"/>
      <c r="BA57" s="1601"/>
      <c r="BB57" s="1623"/>
      <c r="BC57" s="1625"/>
      <c r="BD57" s="1600"/>
      <c r="BE57" s="771"/>
      <c r="BF57" s="1601"/>
      <c r="BG57" s="1623"/>
      <c r="BH57" s="1625"/>
      <c r="BI57" s="1600"/>
      <c r="BJ57" s="771"/>
      <c r="BK57" s="1601"/>
      <c r="BL57" s="1623"/>
      <c r="BM57" s="1625"/>
      <c r="BN57" s="1600"/>
      <c r="BO57" s="771"/>
      <c r="BP57" s="1601"/>
      <c r="BQ57" s="1623"/>
      <c r="BR57" s="1625"/>
      <c r="BS57" s="1600"/>
      <c r="BT57" s="771"/>
      <c r="BU57" s="1601"/>
      <c r="BV57" s="1623"/>
      <c r="BW57" s="1079"/>
      <c r="BX57" s="1600"/>
      <c r="BY57" s="771"/>
      <c r="BZ57" s="1601"/>
      <c r="CA57" s="1623"/>
      <c r="CB57" s="1625"/>
      <c r="CC57" s="1600"/>
      <c r="CD57" s="771"/>
      <c r="CE57" s="1601"/>
      <c r="CF57" s="1623"/>
      <c r="CG57" s="1625"/>
      <c r="CH57" s="1600"/>
      <c r="CI57" s="771"/>
      <c r="CJ57" s="1601"/>
      <c r="CK57" s="1623"/>
      <c r="CL57" s="1625"/>
      <c r="CM57" s="1600"/>
      <c r="CN57" s="771"/>
      <c r="CO57" s="1601"/>
      <c r="CP57" s="1623"/>
      <c r="CQ57" s="1625"/>
      <c r="CR57" s="1600"/>
      <c r="CS57" s="771"/>
      <c r="CT57" s="1601"/>
      <c r="CU57" s="1623"/>
      <c r="CV57" s="1625"/>
      <c r="CW57" s="1600"/>
      <c r="CX57" s="771"/>
      <c r="CY57" s="1601"/>
      <c r="CZ57" s="1623"/>
      <c r="DA57" s="1625"/>
      <c r="DB57" s="1600"/>
      <c r="DC57" s="771"/>
      <c r="DD57" s="1601"/>
      <c r="DE57" s="1623"/>
      <c r="DF57" s="1625"/>
      <c r="DG57" s="1600"/>
      <c r="DH57" s="771"/>
      <c r="DI57" s="1601"/>
      <c r="DJ57" s="1623"/>
      <c r="DK57" s="1625"/>
      <c r="DL57" s="1600"/>
      <c r="DM57" s="771"/>
      <c r="DN57" s="1601"/>
      <c r="DO57" s="1623"/>
      <c r="DP57" s="1625"/>
    </row>
    <row r="58" spans="2:120" s="1119" customFormat="1">
      <c r="C58" s="1613" t="s">
        <v>225</v>
      </c>
      <c r="E58" s="771">
        <f t="shared" si="33"/>
        <v>0</v>
      </c>
      <c r="F58" s="1600"/>
      <c r="G58" s="1601"/>
      <c r="H58" s="1601"/>
      <c r="I58" s="1601"/>
      <c r="J58" s="1625"/>
      <c r="K58" s="1600"/>
      <c r="L58" s="771"/>
      <c r="M58" s="1601"/>
      <c r="N58" s="1601"/>
      <c r="O58" s="1625"/>
      <c r="P58" s="1601"/>
      <c r="Q58" s="771"/>
      <c r="R58" s="1601"/>
      <c r="S58" s="1623"/>
      <c r="T58" s="1625"/>
      <c r="U58" s="1600"/>
      <c r="V58" s="771"/>
      <c r="W58" s="1601"/>
      <c r="X58" s="1623"/>
      <c r="Y58" s="1625"/>
      <c r="Z58" s="1600"/>
      <c r="AA58" s="771"/>
      <c r="AB58" s="1601"/>
      <c r="AC58" s="1623"/>
      <c r="AD58" s="1625"/>
      <c r="AE58" s="1600"/>
      <c r="AF58" s="771"/>
      <c r="AG58" s="1601"/>
      <c r="AH58" s="1623"/>
      <c r="AI58" s="1625"/>
      <c r="AJ58" s="1600"/>
      <c r="AK58" s="771"/>
      <c r="AL58" s="1601"/>
      <c r="AM58" s="1623"/>
      <c r="AN58" s="1625"/>
      <c r="AO58" s="1600"/>
      <c r="AP58" s="771"/>
      <c r="AQ58" s="1601"/>
      <c r="AR58" s="1623"/>
      <c r="AS58" s="1625"/>
      <c r="AT58" s="1600"/>
      <c r="AU58" s="771"/>
      <c r="AV58" s="1601"/>
      <c r="AW58" s="1623"/>
      <c r="AX58" s="1625"/>
      <c r="AY58" s="1600"/>
      <c r="AZ58" s="771"/>
      <c r="BA58" s="1601"/>
      <c r="BB58" s="1623"/>
      <c r="BC58" s="1625"/>
      <c r="BD58" s="1600"/>
      <c r="BE58" s="771"/>
      <c r="BF58" s="1601"/>
      <c r="BG58" s="1623"/>
      <c r="BH58" s="1625"/>
      <c r="BI58" s="1600"/>
      <c r="BJ58" s="771"/>
      <c r="BK58" s="1601"/>
      <c r="BL58" s="1623"/>
      <c r="BM58" s="1625"/>
      <c r="BN58" s="1600"/>
      <c r="BO58" s="771"/>
      <c r="BP58" s="1601"/>
      <c r="BQ58" s="1623"/>
      <c r="BR58" s="1625"/>
      <c r="BS58" s="1600"/>
      <c r="BT58" s="771"/>
      <c r="BU58" s="1601"/>
      <c r="BV58" s="1623"/>
      <c r="BW58" s="1079"/>
      <c r="BX58" s="1600"/>
      <c r="BY58" s="771"/>
      <c r="BZ58" s="1601"/>
      <c r="CA58" s="1623"/>
      <c r="CB58" s="1625"/>
      <c r="CC58" s="1600"/>
      <c r="CD58" s="771"/>
      <c r="CE58" s="1601"/>
      <c r="CF58" s="1623"/>
      <c r="CG58" s="1625"/>
      <c r="CH58" s="1600"/>
      <c r="CI58" s="771"/>
      <c r="CJ58" s="1601"/>
      <c r="CK58" s="1623"/>
      <c r="CL58" s="1625"/>
      <c r="CM58" s="1600"/>
      <c r="CN58" s="771"/>
      <c r="CO58" s="1601"/>
      <c r="CP58" s="1623"/>
      <c r="CQ58" s="1625"/>
      <c r="CR58" s="1600"/>
      <c r="CS58" s="771"/>
      <c r="CT58" s="1601"/>
      <c r="CU58" s="1623"/>
      <c r="CV58" s="1625"/>
      <c r="CW58" s="1600"/>
      <c r="CX58" s="771"/>
      <c r="CY58" s="1601"/>
      <c r="CZ58" s="1623"/>
      <c r="DA58" s="1625"/>
      <c r="DB58" s="1600"/>
      <c r="DC58" s="771"/>
      <c r="DD58" s="1601"/>
      <c r="DE58" s="1623"/>
      <c r="DF58" s="1625"/>
      <c r="DG58" s="1600"/>
      <c r="DH58" s="771"/>
      <c r="DI58" s="1601"/>
      <c r="DJ58" s="1623"/>
      <c r="DK58" s="1625"/>
      <c r="DL58" s="1600"/>
      <c r="DM58" s="771"/>
      <c r="DN58" s="1601"/>
      <c r="DO58" s="1623"/>
      <c r="DP58" s="1625"/>
    </row>
    <row r="59" spans="2:120" s="1119" customFormat="1">
      <c r="C59" s="1613" t="s">
        <v>32</v>
      </c>
      <c r="E59" s="771">
        <f t="shared" si="33"/>
        <v>14168.18454987388</v>
      </c>
      <c r="F59" s="1600"/>
      <c r="G59" s="1601"/>
      <c r="H59" s="1601"/>
      <c r="I59" s="1601"/>
      <c r="J59" s="1625"/>
      <c r="K59" s="1600"/>
      <c r="L59" s="771"/>
      <c r="M59" s="1601"/>
      <c r="N59" s="1601"/>
      <c r="O59" s="1625"/>
      <c r="P59" s="1601"/>
      <c r="Q59" s="771"/>
      <c r="R59" s="1601"/>
      <c r="S59" s="1623"/>
      <c r="T59" s="1625"/>
      <c r="U59" s="1600"/>
      <c r="V59" s="771"/>
      <c r="W59" s="1601"/>
      <c r="X59" s="1623"/>
      <c r="Y59" s="1625"/>
      <c r="Z59" s="1600"/>
      <c r="AA59" s="771"/>
      <c r="AB59" s="1601"/>
      <c r="AC59" s="1623"/>
      <c r="AD59" s="1625"/>
      <c r="AE59" s="1600"/>
      <c r="AF59" s="771"/>
      <c r="AG59" s="1601"/>
      <c r="AH59" s="1623"/>
      <c r="AI59" s="1625"/>
      <c r="AJ59" s="1600"/>
      <c r="AK59" s="771"/>
      <c r="AL59" s="1601"/>
      <c r="AM59" s="1623"/>
      <c r="AN59" s="1625"/>
      <c r="AO59" s="1600"/>
      <c r="AP59" s="771"/>
      <c r="AQ59" s="1601"/>
      <c r="AR59" s="1623"/>
      <c r="AS59" s="1625"/>
      <c r="AT59" s="1600"/>
      <c r="AU59" s="771"/>
      <c r="AV59" s="1601"/>
      <c r="AW59" s="1623"/>
      <c r="AX59" s="1625"/>
      <c r="AY59" s="1600"/>
      <c r="AZ59" s="771">
        <f>AY13</f>
        <v>14168.18454987388</v>
      </c>
      <c r="BA59" s="1601"/>
      <c r="BB59" s="1623"/>
      <c r="BC59" s="1625"/>
      <c r="BD59" s="1600"/>
      <c r="BE59" s="771"/>
      <c r="BF59" s="1601"/>
      <c r="BG59" s="1623"/>
      <c r="BH59" s="1625"/>
      <c r="BI59" s="1600"/>
      <c r="BJ59" s="771"/>
      <c r="BK59" s="1601"/>
      <c r="BL59" s="1623"/>
      <c r="BM59" s="1625"/>
      <c r="BN59" s="1600"/>
      <c r="BO59" s="771"/>
      <c r="BP59" s="1601"/>
      <c r="BQ59" s="1623"/>
      <c r="BR59" s="1625"/>
      <c r="BS59" s="1600"/>
      <c r="BT59" s="771"/>
      <c r="BU59" s="1601"/>
      <c r="BV59" s="1623"/>
      <c r="BW59" s="1079"/>
      <c r="BX59" s="1600"/>
      <c r="BY59" s="771"/>
      <c r="BZ59" s="1601"/>
      <c r="CA59" s="1623"/>
      <c r="CB59" s="1625"/>
      <c r="CC59" s="1600"/>
      <c r="CD59" s="771"/>
      <c r="CE59" s="1601"/>
      <c r="CF59" s="1623"/>
      <c r="CG59" s="1625"/>
      <c r="CH59" s="1600"/>
      <c r="CI59" s="771"/>
      <c r="CJ59" s="1601"/>
      <c r="CK59" s="1623"/>
      <c r="CL59" s="1625"/>
      <c r="CM59" s="1600"/>
      <c r="CN59" s="771"/>
      <c r="CO59" s="1601"/>
      <c r="CP59" s="1623"/>
      <c r="CQ59" s="1625"/>
      <c r="CR59" s="1600"/>
      <c r="CS59" s="771"/>
      <c r="CT59" s="1601"/>
      <c r="CU59" s="1623"/>
      <c r="CV59" s="1625"/>
      <c r="CW59" s="1600"/>
      <c r="CX59" s="771"/>
      <c r="CY59" s="1601"/>
      <c r="CZ59" s="1623"/>
      <c r="DA59" s="1625"/>
      <c r="DB59" s="1600"/>
      <c r="DC59" s="771"/>
      <c r="DD59" s="1601"/>
      <c r="DE59" s="1623"/>
      <c r="DF59" s="1625"/>
      <c r="DG59" s="1600"/>
      <c r="DH59" s="771"/>
      <c r="DI59" s="1601"/>
      <c r="DJ59" s="1623"/>
      <c r="DK59" s="1625"/>
      <c r="DL59" s="1600"/>
      <c r="DM59" s="771"/>
      <c r="DN59" s="1601"/>
      <c r="DO59" s="1623"/>
      <c r="DP59" s="1625"/>
    </row>
    <row r="60" spans="2:120" s="1119" customFormat="1">
      <c r="B60" s="1602"/>
      <c r="C60" s="1613" t="s">
        <v>34</v>
      </c>
      <c r="D60" s="1629"/>
      <c r="E60" s="771">
        <f t="shared" si="33"/>
        <v>0</v>
      </c>
      <c r="F60" s="1620"/>
      <c r="G60" s="1621"/>
      <c r="H60" s="1621"/>
      <c r="I60" s="1621"/>
      <c r="J60" s="1625"/>
      <c r="K60" s="1620"/>
      <c r="L60" s="771"/>
      <c r="M60" s="1621"/>
      <c r="N60" s="1621"/>
      <c r="O60" s="1625"/>
      <c r="P60" s="1621"/>
      <c r="Q60" s="771"/>
      <c r="R60" s="1621"/>
      <c r="S60" s="1622"/>
      <c r="T60" s="1625"/>
      <c r="U60" s="1620"/>
      <c r="V60" s="771"/>
      <c r="W60" s="1621"/>
      <c r="X60" s="1622"/>
      <c r="Y60" s="1625"/>
      <c r="Z60" s="1620"/>
      <c r="AA60" s="771"/>
      <c r="AB60" s="1621"/>
      <c r="AC60" s="1622"/>
      <c r="AD60" s="1625"/>
      <c r="AE60" s="1620"/>
      <c r="AF60" s="771"/>
      <c r="AG60" s="1621"/>
      <c r="AH60" s="1622"/>
      <c r="AI60" s="1625"/>
      <c r="AJ60" s="1620"/>
      <c r="AK60" s="771"/>
      <c r="AL60" s="1621"/>
      <c r="AM60" s="1622"/>
      <c r="AN60" s="1625"/>
      <c r="AO60" s="1620"/>
      <c r="AP60" s="771"/>
      <c r="AQ60" s="1621"/>
      <c r="AR60" s="1622"/>
      <c r="AS60" s="1625"/>
      <c r="AT60" s="1620"/>
      <c r="AU60" s="771"/>
      <c r="AV60" s="1621"/>
      <c r="AW60" s="1622"/>
      <c r="AX60" s="1625"/>
      <c r="AY60" s="1620"/>
      <c r="AZ60" s="771"/>
      <c r="BA60" s="1621"/>
      <c r="BB60" s="1622"/>
      <c r="BC60" s="1625"/>
      <c r="BD60" s="1620"/>
      <c r="BE60" s="771"/>
      <c r="BF60" s="1621"/>
      <c r="BG60" s="1622"/>
      <c r="BH60" s="1625"/>
      <c r="BI60" s="1620"/>
      <c r="BJ60" s="771"/>
      <c r="BK60" s="1621"/>
      <c r="BL60" s="1622"/>
      <c r="BM60" s="1625"/>
      <c r="BN60" s="1620"/>
      <c r="BO60" s="771"/>
      <c r="BP60" s="1621"/>
      <c r="BQ60" s="1622"/>
      <c r="BR60" s="1625"/>
      <c r="BS60" s="1620"/>
      <c r="BT60" s="771"/>
      <c r="BU60" s="1621"/>
      <c r="BV60" s="1622"/>
      <c r="BW60" s="1079"/>
      <c r="BX60" s="1620"/>
      <c r="BY60" s="771"/>
      <c r="BZ60" s="1621"/>
      <c r="CA60" s="1622"/>
      <c r="CB60" s="1625"/>
      <c r="CC60" s="1620"/>
      <c r="CD60" s="771"/>
      <c r="CE60" s="1621"/>
      <c r="CF60" s="1622"/>
      <c r="CG60" s="1625"/>
      <c r="CH60" s="1620"/>
      <c r="CI60" s="771"/>
      <c r="CJ60" s="1621"/>
      <c r="CK60" s="1622"/>
      <c r="CL60" s="1625"/>
      <c r="CM60" s="1620"/>
      <c r="CN60" s="771"/>
      <c r="CO60" s="1621"/>
      <c r="CP60" s="1622"/>
      <c r="CQ60" s="1625"/>
      <c r="CR60" s="1620"/>
      <c r="CS60" s="771"/>
      <c r="CT60" s="1621"/>
      <c r="CU60" s="1622"/>
      <c r="CV60" s="1625"/>
      <c r="CW60" s="1620"/>
      <c r="CX60" s="771"/>
      <c r="CY60" s="1621"/>
      <c r="CZ60" s="1622"/>
      <c r="DA60" s="1625"/>
      <c r="DB60" s="1620"/>
      <c r="DC60" s="771"/>
      <c r="DD60" s="1621"/>
      <c r="DE60" s="1622"/>
      <c r="DF60" s="1625"/>
      <c r="DG60" s="1620"/>
      <c r="DH60" s="771"/>
      <c r="DI60" s="1621"/>
      <c r="DJ60" s="1622"/>
      <c r="DK60" s="1625"/>
      <c r="DL60" s="1620"/>
      <c r="DM60" s="771"/>
      <c r="DN60" s="1621"/>
      <c r="DO60" s="1622"/>
      <c r="DP60" s="1625"/>
    </row>
    <row r="61" spans="2:120" s="1119" customFormat="1">
      <c r="E61" s="1600"/>
      <c r="F61" s="1626"/>
      <c r="G61" s="1626"/>
      <c r="H61" s="1626"/>
      <c r="I61" s="1626"/>
      <c r="J61" s="1554"/>
      <c r="K61" s="1600"/>
      <c r="L61" s="1626"/>
      <c r="M61" s="1626"/>
      <c r="N61" s="1626" t="s">
        <v>1239</v>
      </c>
      <c r="O61" s="1554"/>
      <c r="P61" s="1626"/>
      <c r="Q61" s="1626"/>
      <c r="R61" s="1626"/>
      <c r="S61" s="1626"/>
      <c r="T61" s="1554"/>
      <c r="U61" s="1626"/>
      <c r="V61" s="1626"/>
      <c r="W61" s="1626"/>
      <c r="X61" s="1626"/>
      <c r="Y61" s="1554"/>
      <c r="Z61" s="1626"/>
      <c r="AA61" s="1626"/>
      <c r="AB61" s="1626"/>
      <c r="AC61" s="1626"/>
      <c r="AD61" s="1554"/>
      <c r="AE61" s="1626"/>
      <c r="AF61" s="1626"/>
      <c r="AG61" s="1626"/>
      <c r="AH61" s="1626"/>
      <c r="AI61" s="1554"/>
      <c r="AJ61" s="1626"/>
      <c r="AK61" s="1626"/>
      <c r="AL61" s="1626"/>
      <c r="AM61" s="1626"/>
      <c r="AN61" s="1554"/>
      <c r="AO61" s="1626"/>
      <c r="AP61" s="1626"/>
      <c r="AQ61" s="1626"/>
      <c r="AR61" s="1626"/>
      <c r="AS61" s="1554"/>
      <c r="AT61" s="1626"/>
      <c r="AU61" s="1626"/>
      <c r="AV61" s="1626"/>
      <c r="AW61" s="1626"/>
      <c r="AX61" s="1554"/>
      <c r="AY61" s="1626"/>
      <c r="AZ61" s="1626"/>
      <c r="BA61" s="1626"/>
      <c r="BB61" s="1626"/>
      <c r="BC61" s="1554"/>
      <c r="BD61" s="1626"/>
      <c r="BE61" s="1626"/>
      <c r="BF61" s="1626"/>
      <c r="BG61" s="1626"/>
      <c r="BH61" s="1554"/>
      <c r="BI61" s="1626"/>
      <c r="BJ61" s="1626"/>
      <c r="BK61" s="1626"/>
      <c r="BL61" s="1626"/>
      <c r="BM61" s="1554"/>
      <c r="BN61" s="1626"/>
      <c r="BO61" s="1626"/>
      <c r="BP61" s="1626"/>
      <c r="BQ61" s="1626"/>
      <c r="BR61" s="1554"/>
      <c r="BS61" s="1626"/>
      <c r="BT61" s="1626"/>
      <c r="BU61" s="1626"/>
      <c r="BV61" s="1644"/>
      <c r="BW61" s="1079"/>
      <c r="BX61" s="1645"/>
      <c r="BY61" s="1626"/>
      <c r="BZ61" s="1626"/>
      <c r="CA61" s="1626"/>
      <c r="CB61" s="1554"/>
      <c r="CC61" s="1626"/>
      <c r="CD61" s="1626"/>
      <c r="CE61" s="1626"/>
      <c r="CF61" s="1626"/>
      <c r="CG61" s="1554"/>
      <c r="CH61" s="1626"/>
      <c r="CI61" s="1626"/>
      <c r="CJ61" s="1626"/>
      <c r="CK61" s="1626"/>
      <c r="CL61" s="1554"/>
      <c r="CM61" s="1626"/>
      <c r="CN61" s="1626"/>
      <c r="CO61" s="1626"/>
      <c r="CP61" s="1626"/>
      <c r="CQ61" s="1554"/>
      <c r="CR61" s="1626"/>
      <c r="CS61" s="1626"/>
      <c r="CT61" s="1626"/>
      <c r="CU61" s="1626"/>
      <c r="CV61" s="1554"/>
      <c r="CW61" s="1626"/>
      <c r="CX61" s="1626"/>
      <c r="CY61" s="1626"/>
      <c r="CZ61" s="1626"/>
      <c r="DA61" s="1554"/>
      <c r="DB61" s="1626"/>
      <c r="DC61" s="1626"/>
      <c r="DD61" s="1626"/>
      <c r="DE61" s="1626"/>
      <c r="DF61" s="1554"/>
      <c r="DG61" s="1626"/>
      <c r="DH61" s="1626"/>
      <c r="DI61" s="1626"/>
      <c r="DJ61" s="1626"/>
      <c r="DK61" s="1554"/>
      <c r="DL61" s="1626"/>
      <c r="DM61" s="1626"/>
      <c r="DN61" s="1626"/>
      <c r="DO61" s="1626"/>
      <c r="DP61" s="1554"/>
    </row>
    <row r="62" spans="2:120" s="1119" customFormat="1" ht="72.75" customHeight="1">
      <c r="C62" s="1447" t="s">
        <v>1302</v>
      </c>
      <c r="D62" s="1120"/>
      <c r="E62" s="1624" t="s">
        <v>1143</v>
      </c>
      <c r="F62" s="1611" t="s">
        <v>1131</v>
      </c>
      <c r="G62" s="1612" t="s">
        <v>1138</v>
      </c>
      <c r="H62" s="1626"/>
      <c r="I62" s="1626"/>
      <c r="J62" s="1554"/>
      <c r="K62" s="1600"/>
      <c r="L62" s="1642" t="s">
        <v>1143</v>
      </c>
      <c r="M62" s="1639" t="s">
        <v>618</v>
      </c>
      <c r="N62" s="1626"/>
      <c r="O62" s="1554"/>
      <c r="P62" s="1626"/>
      <c r="Q62" s="1642" t="s">
        <v>1143</v>
      </c>
      <c r="R62" s="1639" t="s">
        <v>618</v>
      </c>
      <c r="S62" s="1626"/>
      <c r="T62" s="1554"/>
      <c r="U62" s="1626"/>
      <c r="V62" s="1642" t="s">
        <v>1143</v>
      </c>
      <c r="W62" s="1639" t="s">
        <v>618</v>
      </c>
      <c r="X62" s="1626"/>
      <c r="Y62" s="1554"/>
      <c r="Z62" s="1626"/>
      <c r="AA62" s="1642" t="s">
        <v>1143</v>
      </c>
      <c r="AB62" s="1639" t="s">
        <v>618</v>
      </c>
      <c r="AC62" s="1626"/>
      <c r="AD62" s="1554"/>
      <c r="AE62" s="1626"/>
      <c r="AF62" s="1642" t="s">
        <v>1143</v>
      </c>
      <c r="AG62" s="1639" t="s">
        <v>618</v>
      </c>
      <c r="AH62" s="1626"/>
      <c r="AI62" s="1554"/>
      <c r="AJ62" s="1626"/>
      <c r="AK62" s="1642" t="s">
        <v>1143</v>
      </c>
      <c r="AL62" s="1639" t="s">
        <v>618</v>
      </c>
      <c r="AM62" s="1626"/>
      <c r="AN62" s="1554"/>
      <c r="AO62" s="1626"/>
      <c r="AP62" s="1642" t="s">
        <v>1143</v>
      </c>
      <c r="AQ62" s="1639" t="s">
        <v>618</v>
      </c>
      <c r="AR62" s="1626"/>
      <c r="AS62" s="1554"/>
      <c r="AT62" s="1626"/>
      <c r="AU62" s="1642" t="s">
        <v>1143</v>
      </c>
      <c r="AV62" s="1639" t="s">
        <v>618</v>
      </c>
      <c r="AW62" s="1626"/>
      <c r="AX62" s="1554"/>
      <c r="AY62" s="1626"/>
      <c r="AZ62" s="1642" t="s">
        <v>1143</v>
      </c>
      <c r="BA62" s="1639" t="s">
        <v>618</v>
      </c>
      <c r="BB62" s="1626"/>
      <c r="BC62" s="1554"/>
      <c r="BD62" s="1626"/>
      <c r="BE62" s="1642" t="s">
        <v>1143</v>
      </c>
      <c r="BF62" s="1639" t="s">
        <v>618</v>
      </c>
      <c r="BG62" s="1626"/>
      <c r="BH62" s="1554"/>
      <c r="BI62" s="1626"/>
      <c r="BJ62" s="1642" t="s">
        <v>1143</v>
      </c>
      <c r="BK62" s="1639" t="s">
        <v>618</v>
      </c>
      <c r="BL62" s="1626"/>
      <c r="BM62" s="1554"/>
      <c r="BN62" s="1626"/>
      <c r="BO62" s="1642" t="s">
        <v>1143</v>
      </c>
      <c r="BP62" s="1639" t="s">
        <v>618</v>
      </c>
      <c r="BQ62" s="1626"/>
      <c r="BR62" s="1554"/>
      <c r="BS62" s="1626"/>
      <c r="BT62" s="1642" t="s">
        <v>1143</v>
      </c>
      <c r="BU62" s="1639" t="s">
        <v>618</v>
      </c>
      <c r="BV62" s="1623"/>
      <c r="BW62" s="1079"/>
      <c r="BX62" s="1600"/>
      <c r="BY62" s="1642" t="s">
        <v>1143</v>
      </c>
      <c r="BZ62" s="1639" t="s">
        <v>618</v>
      </c>
      <c r="CA62" s="1626"/>
      <c r="CB62" s="1554"/>
      <c r="CC62" s="1626"/>
      <c r="CD62" s="1642" t="s">
        <v>1143</v>
      </c>
      <c r="CE62" s="1639" t="s">
        <v>618</v>
      </c>
      <c r="CF62" s="1626"/>
      <c r="CG62" s="1554"/>
      <c r="CH62" s="1626"/>
      <c r="CI62" s="1642" t="s">
        <v>1143</v>
      </c>
      <c r="CJ62" s="1639" t="s">
        <v>618</v>
      </c>
      <c r="CK62" s="1626"/>
      <c r="CL62" s="1554"/>
      <c r="CM62" s="1626"/>
      <c r="CN62" s="1642" t="s">
        <v>1143</v>
      </c>
      <c r="CO62" s="1639" t="s">
        <v>618</v>
      </c>
      <c r="CP62" s="1626"/>
      <c r="CQ62" s="1554"/>
      <c r="CR62" s="1626"/>
      <c r="CS62" s="1642" t="s">
        <v>1143</v>
      </c>
      <c r="CT62" s="1639" t="s">
        <v>618</v>
      </c>
      <c r="CU62" s="1626"/>
      <c r="CV62" s="1554"/>
      <c r="CW62" s="1626"/>
      <c r="CX62" s="1642" t="s">
        <v>1143</v>
      </c>
      <c r="CY62" s="1639" t="s">
        <v>618</v>
      </c>
      <c r="CZ62" s="1626"/>
      <c r="DA62" s="1554"/>
      <c r="DB62" s="1626"/>
      <c r="DC62" s="1642" t="s">
        <v>1143</v>
      </c>
      <c r="DD62" s="1639" t="s">
        <v>618</v>
      </c>
      <c r="DE62" s="1626"/>
      <c r="DF62" s="1554"/>
      <c r="DG62" s="1626"/>
      <c r="DH62" s="1642" t="s">
        <v>1143</v>
      </c>
      <c r="DI62" s="1639" t="s">
        <v>618</v>
      </c>
      <c r="DJ62" s="1626"/>
      <c r="DK62" s="1554"/>
      <c r="DL62" s="1626"/>
      <c r="DM62" s="1642" t="s">
        <v>1143</v>
      </c>
      <c r="DN62" s="1639" t="s">
        <v>618</v>
      </c>
      <c r="DO62" s="1626"/>
      <c r="DP62" s="1554"/>
    </row>
    <row r="63" spans="2:120" s="1119" customFormat="1">
      <c r="C63" s="1613" t="s">
        <v>69</v>
      </c>
      <c r="D63" s="1120"/>
      <c r="E63" s="1337">
        <f>E44-E21</f>
        <v>-49376.344468729731</v>
      </c>
      <c r="F63" s="1337">
        <f>IF(E63&lt;=0,(INT(-E63/local_data_input!H4)*local_data_input!H4 +E63),((INT(-E63/local_data_input!H4)*local_data_input!H4 +E63)*-1))</f>
        <v>-1196.3444687297306</v>
      </c>
      <c r="G63" s="1935">
        <f>E63*local_data_input!$C4</f>
        <v>-23283653.582324471</v>
      </c>
      <c r="I63" s="1626"/>
      <c r="J63" s="1554"/>
      <c r="K63" s="1600"/>
      <c r="L63" s="771">
        <f>L44-L21</f>
        <v>0</v>
      </c>
      <c r="M63" s="1935">
        <f>L63*local_data_input!$C4</f>
        <v>0</v>
      </c>
      <c r="N63" s="1626"/>
      <c r="O63" s="1554"/>
      <c r="P63" s="1626"/>
      <c r="Q63" s="771">
        <f>Q44-Q21</f>
        <v>-2497.4793621193385</v>
      </c>
      <c r="R63" s="1935">
        <f>Q63*local_data_input!$C4</f>
        <v>-1177698.4489691884</v>
      </c>
      <c r="S63" s="1626"/>
      <c r="T63" s="1554"/>
      <c r="U63" s="1626"/>
      <c r="V63" s="771">
        <f>V44-V21</f>
        <v>0</v>
      </c>
      <c r="W63" s="1935">
        <f>V63*local_data_input!$C4</f>
        <v>0</v>
      </c>
      <c r="X63" s="1626"/>
      <c r="Y63" s="1554"/>
      <c r="Z63" s="1626"/>
      <c r="AA63" s="771">
        <f>AA44-AA21</f>
        <v>0</v>
      </c>
      <c r="AB63" s="1935">
        <f>AA63*local_data_input!$C4</f>
        <v>0</v>
      </c>
      <c r="AC63" s="1626"/>
      <c r="AD63" s="1554"/>
      <c r="AE63" s="1626"/>
      <c r="AF63" s="771">
        <f>AF44-AF21</f>
        <v>-1535.6250000000018</v>
      </c>
      <c r="AG63" s="1935">
        <f>AF63*local_data_input!$C4</f>
        <v>-724131.38147561415</v>
      </c>
      <c r="AH63" s="1626"/>
      <c r="AI63" s="1554"/>
      <c r="AJ63" s="1626"/>
      <c r="AK63" s="771">
        <f>AK44-AK21</f>
        <v>-3539.7580378727889</v>
      </c>
      <c r="AL63" s="1935">
        <f>AK63*local_data_input!$C4</f>
        <v>-1669189.9897789035</v>
      </c>
      <c r="AM63" s="1626"/>
      <c r="AN63" s="1554"/>
      <c r="AO63" s="1626"/>
      <c r="AP63" s="771">
        <f>AP44-AP21</f>
        <v>0</v>
      </c>
      <c r="AQ63" s="1935">
        <f>AP63*local_data_input!$C4</f>
        <v>0</v>
      </c>
      <c r="AR63" s="1626"/>
      <c r="AS63" s="1554"/>
      <c r="AT63" s="1626"/>
      <c r="AU63" s="771">
        <f>AU44-AU21</f>
        <v>0</v>
      </c>
      <c r="AV63" s="1935">
        <f>AU63*local_data_input!$C4</f>
        <v>0</v>
      </c>
      <c r="AW63" s="1626"/>
      <c r="AX63" s="1554"/>
      <c r="AY63" s="1626"/>
      <c r="AZ63" s="771">
        <f>AZ44-AZ21</f>
        <v>0</v>
      </c>
      <c r="BA63" s="1935">
        <f>AZ63*local_data_input!$C4</f>
        <v>0</v>
      </c>
      <c r="BB63" s="1626"/>
      <c r="BC63" s="1554"/>
      <c r="BD63" s="1626"/>
      <c r="BE63" s="771">
        <f>BE44-BE21</f>
        <v>0</v>
      </c>
      <c r="BF63" s="1935">
        <f>BE63*local_data_input!$C4</f>
        <v>0</v>
      </c>
      <c r="BG63" s="1626"/>
      <c r="BH63" s="1554"/>
      <c r="BI63" s="1626"/>
      <c r="BJ63" s="771">
        <f>BJ44-BJ21</f>
        <v>0</v>
      </c>
      <c r="BK63" s="1935">
        <f>BJ63*local_data_input!$C4</f>
        <v>0</v>
      </c>
      <c r="BL63" s="1626"/>
      <c r="BM63" s="1554"/>
      <c r="BN63" s="1626"/>
      <c r="BO63" s="771">
        <f>BO44-BO21</f>
        <v>-4411.0867280137218</v>
      </c>
      <c r="BP63" s="1935">
        <f>BO63*local_data_input!$C4</f>
        <v>-2080069.2396680955</v>
      </c>
      <c r="BQ63" s="1626"/>
      <c r="BR63" s="1554"/>
      <c r="BS63" s="1626"/>
      <c r="BT63" s="771">
        <f>BT44-BT21</f>
        <v>-582.46233767652984</v>
      </c>
      <c r="BU63" s="1935">
        <f>BT63*local_data_input!$C4</f>
        <v>-274662.92697710748</v>
      </c>
      <c r="BV63" s="1623"/>
      <c r="BW63" s="1079"/>
      <c r="BX63" s="1600"/>
      <c r="BY63" s="771">
        <f>BY44-BY21</f>
        <v>-73.447544581112737</v>
      </c>
      <c r="BZ63" s="1935">
        <f>BY63*local_data_input!$C4</f>
        <v>-34634.544191135763</v>
      </c>
      <c r="CA63" s="1626"/>
      <c r="CB63" s="1554"/>
      <c r="CC63" s="1626"/>
      <c r="CD63" s="771">
        <f>CD44-CD21</f>
        <v>-1196.0506758625777</v>
      </c>
      <c r="CE63" s="1935">
        <f>CD63*local_data_input!$C4</f>
        <v>-564003.46974502841</v>
      </c>
      <c r="CF63" s="1626"/>
      <c r="CG63" s="1554"/>
      <c r="CH63" s="1626"/>
      <c r="CI63" s="771">
        <f>CI44-CI21</f>
        <v>-442.58395264351702</v>
      </c>
      <c r="CJ63" s="1935">
        <f>CI63*local_data_input!$C4</f>
        <v>-208702.59929780211</v>
      </c>
      <c r="CK63" s="1626"/>
      <c r="CL63" s="1554"/>
      <c r="CM63" s="1626"/>
      <c r="CN63" s="771">
        <f>CN44-CN21</f>
        <v>-4008.9844542386631</v>
      </c>
      <c r="CO63" s="1935">
        <f>CN63*local_data_input!$C4</f>
        <v>-1890455.9714527314</v>
      </c>
      <c r="CP63" s="1626"/>
      <c r="CQ63" s="1554"/>
      <c r="CR63" s="1626"/>
      <c r="CS63" s="771">
        <f>CS44-CS21</f>
        <v>-23039.091060517068</v>
      </c>
      <c r="CT63" s="1935">
        <f>CS63*local_data_input!$C4</f>
        <v>-10864194.603236256</v>
      </c>
      <c r="CU63" s="1626"/>
      <c r="CV63" s="1554"/>
      <c r="CW63" s="1626"/>
      <c r="CX63" s="771">
        <f>CX44-CX21</f>
        <v>-1469.2598002408677</v>
      </c>
      <c r="CY63" s="1935">
        <f>CX63*local_data_input!$C4</f>
        <v>-692836.5511729772</v>
      </c>
      <c r="CZ63" s="1626"/>
      <c r="DA63" s="1554"/>
      <c r="DB63" s="1626"/>
      <c r="DC63" s="771">
        <f>DC44-DC21</f>
        <v>-984.49113340880297</v>
      </c>
      <c r="DD63" s="1935">
        <f>DC63*local_data_input!$C4</f>
        <v>-464241.54626670491</v>
      </c>
      <c r="DE63" s="1626"/>
      <c r="DF63" s="1554"/>
      <c r="DG63" s="1626"/>
      <c r="DH63" s="771">
        <f>DH44-DH21</f>
        <v>-4838.9178822357862</v>
      </c>
      <c r="DI63" s="1935">
        <f>DH63*local_data_input!$C4</f>
        <v>-2281815.08565597</v>
      </c>
      <c r="DJ63" s="1626"/>
      <c r="DK63" s="1554"/>
      <c r="DL63" s="1626"/>
      <c r="DM63" s="771">
        <f>DM44-DM21</f>
        <v>-757.10649931896558</v>
      </c>
      <c r="DN63" s="1935">
        <f>DM63*local_data_input!$C4</f>
        <v>-357017.22443696082</v>
      </c>
      <c r="DO63" s="1626"/>
      <c r="DP63" s="1554"/>
    </row>
    <row r="64" spans="2:120" s="1119" customFormat="1">
      <c r="C64" s="1613" t="s">
        <v>43</v>
      </c>
      <c r="D64" s="1120"/>
      <c r="E64" s="771">
        <f t="shared" ref="E64:E79" si="34">E45-E22</f>
        <v>-8602.2307853567527</v>
      </c>
      <c r="F64" s="1337">
        <f>IF(E64&lt;=0,(INT(-E64/local_data_input!H5)*local_data_input!H5 +E64),((INT(-E64/local_data_input!H5)*local_data_input!H5 +E64)*-1))</f>
        <v>-3877.2307853567527</v>
      </c>
      <c r="G64" s="1935">
        <f>E64*local_data_input!$C5</f>
        <v>-1326420.4074040281</v>
      </c>
      <c r="H64" s="1626"/>
      <c r="I64" s="1626"/>
      <c r="J64" s="1554"/>
      <c r="K64" s="1600"/>
      <c r="L64" s="771">
        <f t="shared" ref="L64:L79" si="35">L45-L22</f>
        <v>-1834.8827966591057</v>
      </c>
      <c r="M64" s="1935">
        <f>L64*local_data_input!$C5</f>
        <v>-282929.63155862101</v>
      </c>
      <c r="N64" s="1626"/>
      <c r="O64" s="1554"/>
      <c r="P64" s="1626"/>
      <c r="Q64" s="771">
        <f t="shared" ref="Q64:Q79" si="36">Q45-Q22</f>
        <v>-891.95691504262072</v>
      </c>
      <c r="R64" s="1935">
        <f>Q64*local_data_input!$C5</f>
        <v>-137535.23756321854</v>
      </c>
      <c r="S64" s="1626"/>
      <c r="T64" s="1554"/>
      <c r="U64" s="1626"/>
      <c r="V64" s="771">
        <f t="shared" ref="V64:V79" si="37">V45-V22</f>
        <v>0</v>
      </c>
      <c r="W64" s="1935">
        <f>V64*local_data_input!$C5</f>
        <v>0</v>
      </c>
      <c r="X64" s="1626"/>
      <c r="Y64" s="1554"/>
      <c r="Z64" s="1626"/>
      <c r="AA64" s="771">
        <f t="shared" ref="AA64:AA79" si="38">AA45-AA22</f>
        <v>0</v>
      </c>
      <c r="AB64" s="1935">
        <f>AA64*local_data_input!$C5</f>
        <v>0</v>
      </c>
      <c r="AC64" s="1626"/>
      <c r="AD64" s="1554"/>
      <c r="AE64" s="1626"/>
      <c r="AF64" s="771">
        <f t="shared" ref="AF64:AF79" si="39">AF45-AF22</f>
        <v>-3839.0625</v>
      </c>
      <c r="AG64" s="1935">
        <f>AF64*local_data_input!$C5</f>
        <v>-591963.98845376261</v>
      </c>
      <c r="AH64" s="1626"/>
      <c r="AI64" s="1554"/>
      <c r="AJ64" s="1626"/>
      <c r="AK64" s="771">
        <f t="shared" ref="AK64:AK79" si="40">AK45-AK22</f>
        <v>-235.98386919151926</v>
      </c>
      <c r="AL64" s="1935">
        <f>AK64*local_data_input!$C5</f>
        <v>-36387.51711319176</v>
      </c>
      <c r="AM64" s="1626"/>
      <c r="AN64" s="1554"/>
      <c r="AO64" s="1626"/>
      <c r="AP64" s="771">
        <f t="shared" ref="AP64:AP79" si="41">AP45-AP22</f>
        <v>0</v>
      </c>
      <c r="AQ64" s="1935">
        <f>AP64*local_data_input!$C5</f>
        <v>0</v>
      </c>
      <c r="AR64" s="1626"/>
      <c r="AS64" s="1554"/>
      <c r="AT64" s="1626"/>
      <c r="AU64" s="771">
        <f t="shared" ref="AU64:AU79" si="42">AU45-AU22</f>
        <v>0</v>
      </c>
      <c r="AV64" s="1935">
        <f>AU64*local_data_input!$C5</f>
        <v>0</v>
      </c>
      <c r="AW64" s="1626"/>
      <c r="AX64" s="1554"/>
      <c r="AY64" s="1626"/>
      <c r="AZ64" s="771">
        <f t="shared" ref="AZ64:AZ79" si="43">AZ45-AZ22</f>
        <v>0</v>
      </c>
      <c r="BA64" s="1935">
        <f>AZ64*local_data_input!$C5</f>
        <v>0</v>
      </c>
      <c r="BB64" s="1626"/>
      <c r="BC64" s="1554"/>
      <c r="BD64" s="1626"/>
      <c r="BE64" s="771">
        <f t="shared" ref="BE64:BE79" si="44">BE45-BE22</f>
        <v>0</v>
      </c>
      <c r="BF64" s="1935">
        <f>BE64*local_data_input!$C5</f>
        <v>0</v>
      </c>
      <c r="BG64" s="1626"/>
      <c r="BH64" s="1554"/>
      <c r="BI64" s="1626"/>
      <c r="BJ64" s="771">
        <f t="shared" ref="BJ64:BJ79" si="45">BJ45-BJ22</f>
        <v>0</v>
      </c>
      <c r="BK64" s="1935">
        <f>BJ64*local_data_input!$C5</f>
        <v>0</v>
      </c>
      <c r="BL64" s="1626"/>
      <c r="BM64" s="1554"/>
      <c r="BN64" s="1626"/>
      <c r="BO64" s="771">
        <f t="shared" ref="BO64:BO79" si="46">BO45-BO22</f>
        <v>0</v>
      </c>
      <c r="BP64" s="1935">
        <f>BO64*local_data_input!$C5</f>
        <v>0</v>
      </c>
      <c r="BQ64" s="1626"/>
      <c r="BR64" s="1554"/>
      <c r="BS64" s="1626"/>
      <c r="BT64" s="771">
        <f t="shared" ref="BT64:BT79" si="47">BT45-BT22</f>
        <v>0</v>
      </c>
      <c r="BU64" s="1935">
        <f>BT64*local_data_input!$C5</f>
        <v>0</v>
      </c>
      <c r="BV64" s="1623"/>
      <c r="BW64" s="1079"/>
      <c r="BX64" s="1600"/>
      <c r="BY64" s="771">
        <f t="shared" ref="BY64:BY79" si="48">BY45-BY22</f>
        <v>0</v>
      </c>
      <c r="BZ64" s="1935">
        <f>BY64*local_data_input!$C5</f>
        <v>0</v>
      </c>
      <c r="CA64" s="1626"/>
      <c r="CB64" s="1554"/>
      <c r="CC64" s="1626"/>
      <c r="CD64" s="771">
        <f t="shared" ref="CD64:CD79" si="49">CD45-CD22</f>
        <v>0</v>
      </c>
      <c r="CE64" s="1935">
        <f>CD64*local_data_input!$C5</f>
        <v>0</v>
      </c>
      <c r="CF64" s="1626"/>
      <c r="CG64" s="1554"/>
      <c r="CH64" s="1626"/>
      <c r="CI64" s="771">
        <f t="shared" ref="CI64:CI79" si="50">CI45-CI22</f>
        <v>-88.51679052870341</v>
      </c>
      <c r="CJ64" s="1935">
        <f>CI64*local_data_input!$C5</f>
        <v>-13648.840665265938</v>
      </c>
      <c r="CK64" s="1626"/>
      <c r="CL64" s="1554"/>
      <c r="CM64" s="1626"/>
      <c r="CN64" s="771">
        <f t="shared" ref="CN64:CN79" si="51">CN45-CN22</f>
        <v>0</v>
      </c>
      <c r="CO64" s="1935">
        <f>CN64*local_data_input!$C5</f>
        <v>0</v>
      </c>
      <c r="CP64" s="1626"/>
      <c r="CQ64" s="1554"/>
      <c r="CR64" s="1626"/>
      <c r="CS64" s="771">
        <f t="shared" ref="CS64:CS79" si="52">CS45-CS22</f>
        <v>0</v>
      </c>
      <c r="CT64" s="1935">
        <f>CS64*local_data_input!$C5</f>
        <v>0</v>
      </c>
      <c r="CU64" s="1626"/>
      <c r="CV64" s="1554"/>
      <c r="CW64" s="1626"/>
      <c r="CX64" s="771">
        <f t="shared" ref="CX64:CX79" si="53">CX45-CX22</f>
        <v>-697.89840511441207</v>
      </c>
      <c r="CY64" s="1935">
        <f>CX64*local_data_input!$C5</f>
        <v>-107612.3984506757</v>
      </c>
      <c r="CZ64" s="1626"/>
      <c r="DA64" s="1554"/>
      <c r="DB64" s="1626"/>
      <c r="DC64" s="771">
        <f t="shared" ref="DC64:DC79" si="54">DC45-DC22</f>
        <v>-246.12278335220077</v>
      </c>
      <c r="DD64" s="1935">
        <f>DC64*local_data_input!$C5</f>
        <v>-37950.886312090544</v>
      </c>
      <c r="DE64" s="1626"/>
      <c r="DF64" s="1554"/>
      <c r="DG64" s="1626"/>
      <c r="DH64" s="771">
        <f t="shared" ref="DH64:DH79" si="55">DH45-DH22</f>
        <v>-483.89178822357866</v>
      </c>
      <c r="DI64" s="1935">
        <f>DH64*local_data_input!$C5</f>
        <v>-74613.662303453792</v>
      </c>
      <c r="DJ64" s="1626"/>
      <c r="DK64" s="1554"/>
      <c r="DL64" s="1626"/>
      <c r="DM64" s="771">
        <f t="shared" ref="DM64:DM79" si="56">DM45-DM22</f>
        <v>-283.91493724461208</v>
      </c>
      <c r="DN64" s="1935">
        <f>DM64*local_data_input!$C5</f>
        <v>-43778.24498374806</v>
      </c>
      <c r="DO64" s="1626"/>
      <c r="DP64" s="1554"/>
    </row>
    <row r="65" spans="3:120" s="1119" customFormat="1">
      <c r="C65" s="1613" t="s">
        <v>49</v>
      </c>
      <c r="D65" s="1120"/>
      <c r="E65" s="771">
        <f t="shared" si="34"/>
        <v>-45272.619167813384</v>
      </c>
      <c r="F65" s="1337">
        <f>IF(E65&lt;=0,(INT(-E65/local_data_input!H6)*local_data_input!H6 +E65),((INT(-E65/local_data_input!H6)*local_data_input!H6 +E65)*-1))</f>
        <v>-1172.6191678133837</v>
      </c>
      <c r="G65" s="1935">
        <f>E65*local_data_input!$C6</f>
        <v>-4053397.9775167266</v>
      </c>
      <c r="H65" s="1626"/>
      <c r="I65" s="1626"/>
      <c r="J65" s="1554"/>
      <c r="K65" s="1600"/>
      <c r="L65" s="771">
        <f t="shared" si="35"/>
        <v>0</v>
      </c>
      <c r="M65" s="1935">
        <f>L65*local_data_input!$C6</f>
        <v>0</v>
      </c>
      <c r="N65" s="1626"/>
      <c r="O65" s="1554"/>
      <c r="P65" s="1626"/>
      <c r="Q65" s="771">
        <f t="shared" si="36"/>
        <v>0</v>
      </c>
      <c r="R65" s="1935">
        <f>Q65*local_data_input!$C6</f>
        <v>0</v>
      </c>
      <c r="S65" s="1626"/>
      <c r="T65" s="1554"/>
      <c r="U65" s="1626"/>
      <c r="V65" s="771">
        <f t="shared" si="37"/>
        <v>-1140.2485950667299</v>
      </c>
      <c r="W65" s="1935">
        <f>V65*local_data_input!$C6</f>
        <v>-102089.99245167825</v>
      </c>
      <c r="X65" s="1626"/>
      <c r="Y65" s="1554"/>
      <c r="Z65" s="1626"/>
      <c r="AA65" s="771">
        <f t="shared" si="38"/>
        <v>0</v>
      </c>
      <c r="AB65" s="1935">
        <f>AA65*local_data_input!$C6</f>
        <v>0</v>
      </c>
      <c r="AC65" s="1626"/>
      <c r="AD65" s="1554"/>
      <c r="AE65" s="1626"/>
      <c r="AF65" s="771">
        <f t="shared" si="39"/>
        <v>0</v>
      </c>
      <c r="AG65" s="1935">
        <f>AF65*local_data_input!$C6</f>
        <v>0</v>
      </c>
      <c r="AH65" s="1626"/>
      <c r="AI65" s="1554"/>
      <c r="AJ65" s="1626"/>
      <c r="AK65" s="771">
        <f t="shared" si="40"/>
        <v>0</v>
      </c>
      <c r="AL65" s="1935">
        <f>AK65*local_data_input!$C6</f>
        <v>0</v>
      </c>
      <c r="AM65" s="1626"/>
      <c r="AN65" s="1554"/>
      <c r="AO65" s="1626"/>
      <c r="AP65" s="771">
        <f t="shared" si="41"/>
        <v>-37641.765172331128</v>
      </c>
      <c r="AQ65" s="1935">
        <f>AP65*local_data_input!$C6</f>
        <v>-3370183.9571977179</v>
      </c>
      <c r="AR65" s="1626"/>
      <c r="AS65" s="1554"/>
      <c r="AT65" s="1626"/>
      <c r="AU65" s="771">
        <f t="shared" si="42"/>
        <v>0</v>
      </c>
      <c r="AV65" s="1935">
        <f>AU65*local_data_input!$C6</f>
        <v>0</v>
      </c>
      <c r="AW65" s="1626"/>
      <c r="AX65" s="1554"/>
      <c r="AY65" s="1626"/>
      <c r="AZ65" s="771">
        <f t="shared" si="43"/>
        <v>-566.72738199495518</v>
      </c>
      <c r="BA65" s="1935">
        <f>AZ65*local_data_input!$C6</f>
        <v>-50740.859844373161</v>
      </c>
      <c r="BB65" s="1626"/>
      <c r="BC65" s="1554"/>
      <c r="BD65" s="1626"/>
      <c r="BE65" s="771">
        <f t="shared" si="44"/>
        <v>-236.28171343622526</v>
      </c>
      <c r="BF65" s="1935">
        <f>BE65*local_data_input!$C6</f>
        <v>-21155.034477163434</v>
      </c>
      <c r="BG65" s="1626"/>
      <c r="BH65" s="1554"/>
      <c r="BI65" s="1626"/>
      <c r="BJ65" s="771">
        <f t="shared" si="45"/>
        <v>-413.49299851339424</v>
      </c>
      <c r="BK65" s="1935">
        <f>BJ65*local_data_input!$C6</f>
        <v>-37021.310335036011</v>
      </c>
      <c r="BL65" s="1626"/>
      <c r="BM65" s="1554"/>
      <c r="BN65" s="1626"/>
      <c r="BO65" s="771">
        <f t="shared" si="46"/>
        <v>0</v>
      </c>
      <c r="BP65" s="1935">
        <f>BO65*local_data_input!$C6</f>
        <v>0</v>
      </c>
      <c r="BQ65" s="1626"/>
      <c r="BR65" s="1554"/>
      <c r="BS65" s="1626"/>
      <c r="BT65" s="771">
        <f t="shared" si="47"/>
        <v>0</v>
      </c>
      <c r="BU65" s="1935">
        <f>BT65*local_data_input!$C6</f>
        <v>0</v>
      </c>
      <c r="BV65" s="1623"/>
      <c r="BW65" s="1079"/>
      <c r="BX65" s="1600"/>
      <c r="BY65" s="771">
        <f t="shared" si="48"/>
        <v>-5141.3281206778911</v>
      </c>
      <c r="BZ65" s="1935">
        <f>BY65*local_data_input!$C6</f>
        <v>-460319.04911129485</v>
      </c>
      <c r="CA65" s="1626"/>
      <c r="CB65" s="1554"/>
      <c r="CC65" s="1626"/>
      <c r="CD65" s="771">
        <f t="shared" si="49"/>
        <v>0</v>
      </c>
      <c r="CE65" s="1935">
        <f>CD65*local_data_input!$C6</f>
        <v>0</v>
      </c>
      <c r="CF65" s="1626"/>
      <c r="CG65" s="1554"/>
      <c r="CH65" s="1626"/>
      <c r="CI65" s="771">
        <f t="shared" si="50"/>
        <v>-132.7751857930551</v>
      </c>
      <c r="CJ65" s="1935">
        <f>CI65*local_data_input!$C6</f>
        <v>-11887.774099462848</v>
      </c>
      <c r="CK65" s="1626"/>
      <c r="CL65" s="1554"/>
      <c r="CM65" s="1626"/>
      <c r="CN65" s="771">
        <f t="shared" si="51"/>
        <v>0</v>
      </c>
      <c r="CO65" s="1935">
        <f>CN65*local_data_input!$C6</f>
        <v>0</v>
      </c>
      <c r="CP65" s="1626"/>
      <c r="CQ65" s="1554"/>
      <c r="CR65" s="1626"/>
      <c r="CS65" s="771">
        <f t="shared" si="52"/>
        <v>0</v>
      </c>
      <c r="CT65" s="1935">
        <f>CS65*local_data_input!$C6</f>
        <v>0</v>
      </c>
      <c r="CU65" s="1626"/>
      <c r="CV65" s="1554"/>
      <c r="CW65" s="1626"/>
      <c r="CX65" s="771">
        <f t="shared" si="53"/>
        <v>0</v>
      </c>
      <c r="CY65" s="1935">
        <f>CX65*local_data_input!$C6</f>
        <v>0</v>
      </c>
      <c r="CZ65" s="1626"/>
      <c r="DA65" s="1554"/>
      <c r="DB65" s="1626"/>
      <c r="DC65" s="771">
        <f t="shared" si="54"/>
        <v>0</v>
      </c>
      <c r="DD65" s="1935">
        <f>DC65*local_data_input!$C6</f>
        <v>0</v>
      </c>
      <c r="DE65" s="1626"/>
      <c r="DF65" s="1554"/>
      <c r="DG65" s="1626"/>
      <c r="DH65" s="771">
        <f t="shared" si="55"/>
        <v>0</v>
      </c>
      <c r="DI65" s="1935">
        <f>DH65*local_data_input!$C6</f>
        <v>0</v>
      </c>
      <c r="DJ65" s="1626"/>
      <c r="DK65" s="1554"/>
      <c r="DL65" s="1626"/>
      <c r="DM65" s="771">
        <f t="shared" si="56"/>
        <v>0</v>
      </c>
      <c r="DN65" s="1935">
        <f>DM65*local_data_input!$C6</f>
        <v>0</v>
      </c>
      <c r="DO65" s="1626"/>
      <c r="DP65" s="1554"/>
    </row>
    <row r="66" spans="3:120" s="1119" customFormat="1">
      <c r="C66" s="1613" t="s">
        <v>67</v>
      </c>
      <c r="D66" s="1120"/>
      <c r="E66" s="771">
        <f t="shared" si="34"/>
        <v>33415.374339798378</v>
      </c>
      <c r="F66" s="1337">
        <f>IF(E66&lt;=0,(INT(-E66/local_data_input!H7)*local_data_input!H7 +E66),((INT(-E66/local_data_input!H7)*local_data_input!H7 +E66)*-1))</f>
        <v>4384.6256602016219</v>
      </c>
      <c r="G66" s="1935">
        <f>E66*local_data_input!$C7</f>
        <v>1904676.3373685076</v>
      </c>
      <c r="H66" s="1626"/>
      <c r="I66" s="1626"/>
      <c r="J66" s="1554"/>
      <c r="K66" s="1600"/>
      <c r="L66" s="771">
        <f t="shared" si="35"/>
        <v>917.44139832955284</v>
      </c>
      <c r="M66" s="1935">
        <f>L66*local_data_input!$C7</f>
        <v>52294.159704784513</v>
      </c>
      <c r="N66" s="1626"/>
      <c r="O66" s="1554"/>
      <c r="P66" s="1626"/>
      <c r="Q66" s="771">
        <f t="shared" si="36"/>
        <v>0</v>
      </c>
      <c r="R66" s="1935">
        <f>Q66*local_data_input!$C7</f>
        <v>0</v>
      </c>
      <c r="S66" s="1626"/>
      <c r="T66" s="1554"/>
      <c r="U66" s="1626"/>
      <c r="V66" s="771">
        <f t="shared" si="37"/>
        <v>-5701.2429753336501</v>
      </c>
      <c r="W66" s="1935">
        <f>V66*local_data_input!$C7</f>
        <v>-324970.84959401807</v>
      </c>
      <c r="X66" s="1626"/>
      <c r="Y66" s="1554"/>
      <c r="Z66" s="1626"/>
      <c r="AA66" s="771">
        <f t="shared" si="38"/>
        <v>0</v>
      </c>
      <c r="AB66" s="1935">
        <f>AA66*local_data_input!$C7</f>
        <v>0</v>
      </c>
      <c r="AC66" s="1626"/>
      <c r="AD66" s="1554"/>
      <c r="AE66" s="1626"/>
      <c r="AF66" s="771">
        <f t="shared" si="39"/>
        <v>0</v>
      </c>
      <c r="AG66" s="1935">
        <f>AF66*local_data_input!$C7</f>
        <v>0</v>
      </c>
      <c r="AH66" s="1626"/>
      <c r="AI66" s="1554"/>
      <c r="AJ66" s="1626"/>
      <c r="AK66" s="771">
        <f t="shared" si="40"/>
        <v>0</v>
      </c>
      <c r="AL66" s="1935">
        <f>AK66*local_data_input!$C7</f>
        <v>0</v>
      </c>
      <c r="AM66" s="1626"/>
      <c r="AN66" s="1554"/>
      <c r="AO66" s="1626"/>
      <c r="AP66" s="771">
        <f t="shared" si="41"/>
        <v>41824.183524812361</v>
      </c>
      <c r="AQ66" s="1935">
        <f>AP66*local_data_input!$C7</f>
        <v>2383978.4609143045</v>
      </c>
      <c r="AR66" s="1626"/>
      <c r="AS66" s="1554"/>
      <c r="AT66" s="1626"/>
      <c r="AU66" s="771">
        <f t="shared" si="42"/>
        <v>0</v>
      </c>
      <c r="AV66" s="1935">
        <f>AU66*local_data_input!$C7</f>
        <v>0</v>
      </c>
      <c r="AW66" s="1626"/>
      <c r="AX66" s="1554"/>
      <c r="AY66" s="1626"/>
      <c r="AZ66" s="771">
        <f t="shared" si="43"/>
        <v>-1983.5458369823434</v>
      </c>
      <c r="BA66" s="1935">
        <f>AZ66*local_data_input!$C7</f>
        <v>-113062.11270799357</v>
      </c>
      <c r="BB66" s="1626"/>
      <c r="BC66" s="1554"/>
      <c r="BD66" s="1626"/>
      <c r="BE66" s="771">
        <f t="shared" si="44"/>
        <v>-118.14085671811263</v>
      </c>
      <c r="BF66" s="1935">
        <f>BE66*local_data_input!$C7</f>
        <v>-6734.0288329324203</v>
      </c>
      <c r="BG66" s="1626"/>
      <c r="BH66" s="1554"/>
      <c r="BI66" s="1626"/>
      <c r="BJ66" s="771">
        <f t="shared" si="45"/>
        <v>-275.66199900892951</v>
      </c>
      <c r="BK66" s="1935">
        <f>BJ66*local_data_input!$C7</f>
        <v>-15712.733943508982</v>
      </c>
      <c r="BL66" s="1626"/>
      <c r="BM66" s="1554"/>
      <c r="BN66" s="1626"/>
      <c r="BO66" s="771">
        <f t="shared" si="46"/>
        <v>0</v>
      </c>
      <c r="BP66" s="1935">
        <f>BO66*local_data_input!$C7</f>
        <v>0</v>
      </c>
      <c r="BQ66" s="1626"/>
      <c r="BR66" s="1554"/>
      <c r="BS66" s="1626"/>
      <c r="BT66" s="771">
        <f t="shared" si="47"/>
        <v>0</v>
      </c>
      <c r="BU66" s="1935">
        <f>BT66*local_data_input!$C7</f>
        <v>0</v>
      </c>
      <c r="BV66" s="1623"/>
      <c r="BW66" s="1079"/>
      <c r="BX66" s="1600"/>
      <c r="BY66" s="771">
        <f t="shared" si="48"/>
        <v>-1468.9508916222549</v>
      </c>
      <c r="BZ66" s="1935">
        <f>BY66*local_data_input!$C7</f>
        <v>-83730.200822468527</v>
      </c>
      <c r="CA66" s="1626"/>
      <c r="CB66" s="1554"/>
      <c r="CC66" s="1626"/>
      <c r="CD66" s="771">
        <f t="shared" si="49"/>
        <v>0</v>
      </c>
      <c r="CE66" s="1935">
        <f>CD66*local_data_input!$C7</f>
        <v>0</v>
      </c>
      <c r="CF66" s="1626"/>
      <c r="CG66" s="1554"/>
      <c r="CH66" s="1626"/>
      <c r="CI66" s="771">
        <f t="shared" si="50"/>
        <v>221.29197632175851</v>
      </c>
      <c r="CJ66" s="1935">
        <f>CI66*local_data_input!$C7</f>
        <v>12613.642650340234</v>
      </c>
      <c r="CK66" s="1626"/>
      <c r="CL66" s="1554"/>
      <c r="CM66" s="1626"/>
      <c r="CN66" s="771">
        <f t="shared" si="51"/>
        <v>0</v>
      </c>
      <c r="CO66" s="1935">
        <f>CN66*local_data_input!$C7</f>
        <v>0</v>
      </c>
      <c r="CP66" s="1626"/>
      <c r="CQ66" s="1554"/>
      <c r="CR66" s="1626"/>
      <c r="CS66" s="771">
        <f t="shared" si="52"/>
        <v>0</v>
      </c>
      <c r="CT66" s="1935">
        <f>CS66*local_data_input!$C7</f>
        <v>0</v>
      </c>
      <c r="CU66" s="1626"/>
      <c r="CV66" s="1554"/>
      <c r="CW66" s="1626"/>
      <c r="CX66" s="771">
        <f t="shared" si="53"/>
        <v>0</v>
      </c>
      <c r="CY66" s="1935">
        <f>CX66*local_data_input!$C7</f>
        <v>0</v>
      </c>
      <c r="CZ66" s="1626"/>
      <c r="DA66" s="1554"/>
      <c r="DB66" s="1626"/>
      <c r="DC66" s="771">
        <f t="shared" si="54"/>
        <v>0</v>
      </c>
      <c r="DD66" s="1935">
        <f>DC66*local_data_input!$C7</f>
        <v>0</v>
      </c>
      <c r="DE66" s="1626"/>
      <c r="DF66" s="1554"/>
      <c r="DG66" s="1626"/>
      <c r="DH66" s="771">
        <f t="shared" si="55"/>
        <v>0</v>
      </c>
      <c r="DI66" s="1935">
        <f>DH66*local_data_input!$C7</f>
        <v>0</v>
      </c>
      <c r="DJ66" s="1626"/>
      <c r="DK66" s="1554"/>
      <c r="DL66" s="1626"/>
      <c r="DM66" s="771">
        <f t="shared" si="56"/>
        <v>0</v>
      </c>
      <c r="DN66" s="1935">
        <f>DM66*local_data_input!$C7</f>
        <v>0</v>
      </c>
      <c r="DO66" s="1626"/>
      <c r="DP66" s="1554"/>
    </row>
    <row r="67" spans="3:120" s="1119" customFormat="1">
      <c r="C67" s="1613" t="s">
        <v>44</v>
      </c>
      <c r="D67" s="1120"/>
      <c r="E67" s="771">
        <f t="shared" si="34"/>
        <v>-13874.506136504555</v>
      </c>
      <c r="F67" s="1337">
        <f>IF(E67&lt;=0,(INT(-E67/local_data_input!H8)*local_data_input!H8 +E67),((INT(-E67/local_data_input!H8)*local_data_input!H8 +E67)*-1))</f>
        <v>-1274.5061365045549</v>
      </c>
      <c r="G67" s="1935">
        <f>E67*local_data_input!$C8</f>
        <v>-947628.7691232611</v>
      </c>
      <c r="H67" s="1626"/>
      <c r="I67" s="1626"/>
      <c r="J67" s="1554"/>
      <c r="K67" s="1600"/>
      <c r="L67" s="771">
        <f t="shared" si="35"/>
        <v>917.44139832955284</v>
      </c>
      <c r="M67" s="1935">
        <f>L67*local_data_input!$C8</f>
        <v>62661.247505908454</v>
      </c>
      <c r="N67" s="1626"/>
      <c r="O67" s="1554"/>
      <c r="P67" s="1626"/>
      <c r="Q67" s="771">
        <f t="shared" si="36"/>
        <v>0</v>
      </c>
      <c r="R67" s="1935">
        <f>Q67*local_data_input!$C8</f>
        <v>0</v>
      </c>
      <c r="S67" s="1626"/>
      <c r="T67" s="1554"/>
      <c r="U67" s="1626"/>
      <c r="V67" s="771">
        <f t="shared" si="37"/>
        <v>0</v>
      </c>
      <c r="W67" s="1935">
        <f>V67*local_data_input!$C8</f>
        <v>0</v>
      </c>
      <c r="X67" s="1626"/>
      <c r="Y67" s="1554"/>
      <c r="Z67" s="1626"/>
      <c r="AA67" s="771">
        <f t="shared" si="38"/>
        <v>0</v>
      </c>
      <c r="AB67" s="1935">
        <f>AA67*local_data_input!$C8</f>
        <v>0</v>
      </c>
      <c r="AC67" s="1626"/>
      <c r="AD67" s="1554"/>
      <c r="AE67" s="1626"/>
      <c r="AF67" s="771">
        <f t="shared" si="39"/>
        <v>0</v>
      </c>
      <c r="AG67" s="1935">
        <f>AF67*local_data_input!$C8</f>
        <v>0</v>
      </c>
      <c r="AH67" s="1626"/>
      <c r="AI67" s="1554"/>
      <c r="AJ67" s="1626"/>
      <c r="AK67" s="771">
        <f t="shared" si="40"/>
        <v>0</v>
      </c>
      <c r="AL67" s="1935">
        <f>AK67*local_data_input!$C8</f>
        <v>0</v>
      </c>
      <c r="AM67" s="1626"/>
      <c r="AN67" s="1554"/>
      <c r="AO67" s="1626"/>
      <c r="AP67" s="771">
        <f t="shared" si="41"/>
        <v>0</v>
      </c>
      <c r="AQ67" s="1935">
        <f>AP67*local_data_input!$C8</f>
        <v>0</v>
      </c>
      <c r="AR67" s="1626"/>
      <c r="AS67" s="1554"/>
      <c r="AT67" s="1626"/>
      <c r="AU67" s="771">
        <f t="shared" si="42"/>
        <v>0</v>
      </c>
      <c r="AV67" s="1935">
        <f>AU67*local_data_input!$C8</f>
        <v>0</v>
      </c>
      <c r="AW67" s="1626"/>
      <c r="AX67" s="1554"/>
      <c r="AY67" s="1626"/>
      <c r="AZ67" s="771">
        <f t="shared" si="43"/>
        <v>-5242.2282834533353</v>
      </c>
      <c r="BA67" s="1935">
        <f>AZ67*local_data_input!$C8</f>
        <v>-358044.19175986276</v>
      </c>
      <c r="BB67" s="1626"/>
      <c r="BC67" s="1554"/>
      <c r="BD67" s="1626"/>
      <c r="BE67" s="771">
        <f t="shared" si="44"/>
        <v>-2244.6762776441401</v>
      </c>
      <c r="BF67" s="1935">
        <f>BE67*local_data_input!$C8</f>
        <v>-153311.38976309478</v>
      </c>
      <c r="BG67" s="1626"/>
      <c r="BH67" s="1554"/>
      <c r="BI67" s="1626"/>
      <c r="BJ67" s="771">
        <f t="shared" si="45"/>
        <v>-7305.0429737366321</v>
      </c>
      <c r="BK67" s="1935">
        <f>BJ67*local_data_input!$C8</f>
        <v>-498934.43510621192</v>
      </c>
      <c r="BL67" s="1626"/>
      <c r="BM67" s="1554"/>
      <c r="BN67" s="1626"/>
      <c r="BO67" s="771">
        <f t="shared" si="46"/>
        <v>0</v>
      </c>
      <c r="BP67" s="1935">
        <f>BO67*local_data_input!$C8</f>
        <v>0</v>
      </c>
      <c r="BQ67" s="1626"/>
      <c r="BR67" s="1554"/>
      <c r="BS67" s="1626"/>
      <c r="BT67" s="771">
        <f t="shared" si="47"/>
        <v>0</v>
      </c>
      <c r="BU67" s="1935">
        <f>BT67*local_data_input!$C8</f>
        <v>0</v>
      </c>
      <c r="BV67" s="1623"/>
      <c r="BW67" s="1079"/>
      <c r="BX67" s="1600"/>
      <c r="BY67" s="771">
        <f t="shared" si="48"/>
        <v>0</v>
      </c>
      <c r="BZ67" s="1935">
        <f>BY67*local_data_input!$C8</f>
        <v>0</v>
      </c>
      <c r="CA67" s="1626"/>
      <c r="CB67" s="1554"/>
      <c r="CC67" s="1626"/>
      <c r="CD67" s="771">
        <f t="shared" si="49"/>
        <v>0</v>
      </c>
      <c r="CE67" s="1935">
        <f>CD67*local_data_input!$C8</f>
        <v>0</v>
      </c>
      <c r="CF67" s="1626"/>
      <c r="CG67" s="1554"/>
      <c r="CH67" s="1626"/>
      <c r="CI67" s="771">
        <f t="shared" si="50"/>
        <v>0</v>
      </c>
      <c r="CJ67" s="1935">
        <f>CI67*local_data_input!$C8</f>
        <v>0</v>
      </c>
      <c r="CK67" s="1626"/>
      <c r="CL67" s="1554"/>
      <c r="CM67" s="1626"/>
      <c r="CN67" s="771">
        <f t="shared" si="51"/>
        <v>0</v>
      </c>
      <c r="CO67" s="1935">
        <f>CN67*local_data_input!$C8</f>
        <v>0</v>
      </c>
      <c r="CP67" s="1626"/>
      <c r="CQ67" s="1554"/>
      <c r="CR67" s="1626"/>
      <c r="CS67" s="771">
        <f t="shared" si="52"/>
        <v>0</v>
      </c>
      <c r="CT67" s="1935">
        <f>CS67*local_data_input!$C8</f>
        <v>0</v>
      </c>
      <c r="CU67" s="1626"/>
      <c r="CV67" s="1554"/>
      <c r="CW67" s="1626"/>
      <c r="CX67" s="771">
        <f t="shared" si="53"/>
        <v>0</v>
      </c>
      <c r="CY67" s="1935">
        <f>CX67*local_data_input!$C8</f>
        <v>0</v>
      </c>
      <c r="CZ67" s="1626"/>
      <c r="DA67" s="1554"/>
      <c r="DB67" s="1626"/>
      <c r="DC67" s="771">
        <f t="shared" si="54"/>
        <v>0</v>
      </c>
      <c r="DD67" s="1935">
        <f>DC67*local_data_input!$C8</f>
        <v>0</v>
      </c>
      <c r="DE67" s="1626"/>
      <c r="DF67" s="1554"/>
      <c r="DG67" s="1626"/>
      <c r="DH67" s="771">
        <f t="shared" si="55"/>
        <v>0</v>
      </c>
      <c r="DI67" s="1935">
        <f>DH67*local_data_input!$C8</f>
        <v>0</v>
      </c>
      <c r="DJ67" s="1626"/>
      <c r="DK67" s="1554"/>
      <c r="DL67" s="1626"/>
      <c r="DM67" s="771">
        <f t="shared" si="56"/>
        <v>0</v>
      </c>
      <c r="DN67" s="1935">
        <f>DM67*local_data_input!$C8</f>
        <v>0</v>
      </c>
      <c r="DO67" s="1626"/>
      <c r="DP67" s="1554"/>
    </row>
    <row r="68" spans="3:120" s="1119" customFormat="1">
      <c r="C68" s="1613" t="s">
        <v>45</v>
      </c>
      <c r="D68" s="1120"/>
      <c r="E68" s="771">
        <f t="shared" si="34"/>
        <v>-5200.0340832551828</v>
      </c>
      <c r="F68" s="1337">
        <f>IF(E68&lt;=0,(INT(-E68/local_data_input!H9)*local_data_input!H9 +E68),((INT(-E68/local_data_input!H9)*local_data_input!H9 +E68)*-1))</f>
        <v>-475.03408325518285</v>
      </c>
      <c r="G68" s="1935">
        <f>E68*local_data_input!$C9</f>
        <v>-780005.11248827737</v>
      </c>
      <c r="H68" s="1626"/>
      <c r="I68" s="1626"/>
      <c r="J68" s="1554"/>
      <c r="K68" s="1600"/>
      <c r="L68" s="771">
        <f t="shared" si="35"/>
        <v>0</v>
      </c>
      <c r="M68" s="1935">
        <f>L68*local_data_input!$C9</f>
        <v>0</v>
      </c>
      <c r="N68" s="1626"/>
      <c r="O68" s="1554"/>
      <c r="P68" s="1626"/>
      <c r="Q68" s="771">
        <f t="shared" si="36"/>
        <v>0</v>
      </c>
      <c r="R68" s="1935">
        <f>Q68*local_data_input!$C9</f>
        <v>0</v>
      </c>
      <c r="S68" s="1626"/>
      <c r="T68" s="1554"/>
      <c r="U68" s="1626"/>
      <c r="V68" s="771">
        <f t="shared" si="37"/>
        <v>0</v>
      </c>
      <c r="W68" s="1935">
        <f>V68*local_data_input!$C9</f>
        <v>0</v>
      </c>
      <c r="X68" s="1626"/>
      <c r="Y68" s="1554"/>
      <c r="Z68" s="1626"/>
      <c r="AA68" s="771">
        <f t="shared" si="38"/>
        <v>0</v>
      </c>
      <c r="AB68" s="1935">
        <f>AA68*local_data_input!$C9</f>
        <v>0</v>
      </c>
      <c r="AC68" s="1626"/>
      <c r="AD68" s="1554"/>
      <c r="AE68" s="1626"/>
      <c r="AF68" s="771">
        <f t="shared" si="39"/>
        <v>0</v>
      </c>
      <c r="AG68" s="1935">
        <f>AF68*local_data_input!$C9</f>
        <v>0</v>
      </c>
      <c r="AH68" s="1626"/>
      <c r="AI68" s="1554"/>
      <c r="AJ68" s="1626"/>
      <c r="AK68" s="771">
        <f t="shared" si="40"/>
        <v>0</v>
      </c>
      <c r="AL68" s="1935">
        <f>AK68*local_data_input!$C9</f>
        <v>0</v>
      </c>
      <c r="AM68" s="1626"/>
      <c r="AN68" s="1554"/>
      <c r="AO68" s="1626"/>
      <c r="AP68" s="771">
        <f t="shared" si="41"/>
        <v>0</v>
      </c>
      <c r="AQ68" s="1935">
        <f>AP68*local_data_input!$C9</f>
        <v>0</v>
      </c>
      <c r="AR68" s="1626"/>
      <c r="AS68" s="1554"/>
      <c r="AT68" s="1626"/>
      <c r="AU68" s="771">
        <f t="shared" si="42"/>
        <v>0</v>
      </c>
      <c r="AV68" s="1935">
        <f>AU68*local_data_input!$C9</f>
        <v>0</v>
      </c>
      <c r="AW68" s="1626"/>
      <c r="AX68" s="1554"/>
      <c r="AY68" s="1626"/>
      <c r="AZ68" s="771">
        <f t="shared" si="43"/>
        <v>0</v>
      </c>
      <c r="BA68" s="1935">
        <f>AZ68*local_data_input!$C9</f>
        <v>0</v>
      </c>
      <c r="BB68" s="1626"/>
      <c r="BC68" s="1554"/>
      <c r="BD68" s="1626"/>
      <c r="BE68" s="771">
        <f t="shared" si="44"/>
        <v>0</v>
      </c>
      <c r="BF68" s="1935">
        <f>BE68*local_data_input!$C9</f>
        <v>0</v>
      </c>
      <c r="BG68" s="1626"/>
      <c r="BH68" s="1554"/>
      <c r="BI68" s="1626"/>
      <c r="BJ68" s="771">
        <f t="shared" si="45"/>
        <v>0</v>
      </c>
      <c r="BK68" s="1935">
        <f>BJ68*local_data_input!$C9</f>
        <v>0</v>
      </c>
      <c r="BL68" s="1626"/>
      <c r="BM68" s="1554"/>
      <c r="BN68" s="1626"/>
      <c r="BO68" s="771">
        <f t="shared" si="46"/>
        <v>0</v>
      </c>
      <c r="BP68" s="1935">
        <f>BO68*local_data_input!$C9</f>
        <v>0</v>
      </c>
      <c r="BQ68" s="1626"/>
      <c r="BR68" s="1554"/>
      <c r="BS68" s="1626"/>
      <c r="BT68" s="771">
        <f t="shared" si="47"/>
        <v>0</v>
      </c>
      <c r="BU68" s="1935">
        <f>BT68*local_data_input!$C9</f>
        <v>0</v>
      </c>
      <c r="BV68" s="1623"/>
      <c r="BW68" s="1079"/>
      <c r="BX68" s="1600"/>
      <c r="BY68" s="771">
        <f t="shared" si="48"/>
        <v>-367.23772290556371</v>
      </c>
      <c r="BZ68" s="1935">
        <f>BY68*local_data_input!$C9</f>
        <v>-55085.658435834557</v>
      </c>
      <c r="CA68" s="1626"/>
      <c r="CB68" s="1554"/>
      <c r="CC68" s="1626"/>
      <c r="CD68" s="771">
        <f t="shared" si="49"/>
        <v>0</v>
      </c>
      <c r="CE68" s="1935">
        <f>CD68*local_data_input!$C9</f>
        <v>0</v>
      </c>
      <c r="CF68" s="1626"/>
      <c r="CG68" s="1554"/>
      <c r="CH68" s="1626"/>
      <c r="CI68" s="771">
        <f t="shared" si="50"/>
        <v>-88.51679052870341</v>
      </c>
      <c r="CJ68" s="1935">
        <f>CI68*local_data_input!$C9</f>
        <v>-13277.518579305512</v>
      </c>
      <c r="CK68" s="1626"/>
      <c r="CL68" s="1554"/>
      <c r="CM68" s="1626"/>
      <c r="CN68" s="771">
        <f t="shared" si="51"/>
        <v>0</v>
      </c>
      <c r="CO68" s="1935">
        <f>CN68*local_data_input!$C9</f>
        <v>0</v>
      </c>
      <c r="CP68" s="1626"/>
      <c r="CQ68" s="1554"/>
      <c r="CR68" s="1626"/>
      <c r="CS68" s="771">
        <f t="shared" si="52"/>
        <v>0</v>
      </c>
      <c r="CT68" s="1935">
        <f>CS68*local_data_input!$C9</f>
        <v>0</v>
      </c>
      <c r="CU68" s="1626"/>
      <c r="CV68" s="1554"/>
      <c r="CW68" s="1626"/>
      <c r="CX68" s="771">
        <f t="shared" si="53"/>
        <v>0</v>
      </c>
      <c r="CY68" s="1935">
        <f>CX68*local_data_input!$C9</f>
        <v>0</v>
      </c>
      <c r="CZ68" s="1626"/>
      <c r="DA68" s="1554"/>
      <c r="DB68" s="1626"/>
      <c r="DC68" s="771">
        <f t="shared" si="54"/>
        <v>0</v>
      </c>
      <c r="DD68" s="1935">
        <f>DC68*local_data_input!$C9</f>
        <v>0</v>
      </c>
      <c r="DE68" s="1626"/>
      <c r="DF68" s="1554"/>
      <c r="DG68" s="1626"/>
      <c r="DH68" s="771">
        <f t="shared" si="55"/>
        <v>-4838.9178822357862</v>
      </c>
      <c r="DI68" s="1935">
        <f>DH68*local_data_input!$C9</f>
        <v>-725837.68233536789</v>
      </c>
      <c r="DJ68" s="1626"/>
      <c r="DK68" s="1554"/>
      <c r="DL68" s="1626"/>
      <c r="DM68" s="771">
        <f t="shared" si="56"/>
        <v>94.638312414870697</v>
      </c>
      <c r="DN68" s="1935">
        <f>DM68*local_data_input!$C9</f>
        <v>14195.746862230604</v>
      </c>
      <c r="DO68" s="1626"/>
      <c r="DP68" s="1554"/>
    </row>
    <row r="69" spans="3:120" s="1119" customFormat="1">
      <c r="C69" s="1613" t="s">
        <v>50</v>
      </c>
      <c r="D69" s="1120"/>
      <c r="E69" s="771">
        <f t="shared" si="34"/>
        <v>-35640.089376857075</v>
      </c>
      <c r="F69" s="1337">
        <f>IF(E69&lt;=0,(INT(-E69/local_data_input!H10)*local_data_input!H10 +E69),((INT(-E69/local_data_input!H10)*local_data_input!H10 +E69)*-1))</f>
        <v>-7290.089376857075</v>
      </c>
      <c r="G69" s="1935">
        <f>E69*local_data_input!$C10</f>
        <v>-249480.62563799953</v>
      </c>
      <c r="H69" s="1626"/>
      <c r="I69" s="1626"/>
      <c r="J69" s="1554"/>
      <c r="K69" s="1600"/>
      <c r="L69" s="771">
        <f t="shared" si="35"/>
        <v>0</v>
      </c>
      <c r="M69" s="1935">
        <f>L69*local_data_input!$C10</f>
        <v>0</v>
      </c>
      <c r="N69" s="1626"/>
      <c r="O69" s="1554"/>
      <c r="P69" s="1626"/>
      <c r="Q69" s="771">
        <f t="shared" si="36"/>
        <v>0</v>
      </c>
      <c r="R69" s="1935">
        <f>Q69*local_data_input!$C10</f>
        <v>0</v>
      </c>
      <c r="S69" s="1626"/>
      <c r="T69" s="1554"/>
      <c r="U69" s="1626"/>
      <c r="V69" s="771">
        <f t="shared" si="37"/>
        <v>0</v>
      </c>
      <c r="W69" s="1935">
        <f>V69*local_data_input!$C10</f>
        <v>0</v>
      </c>
      <c r="X69" s="1626"/>
      <c r="Y69" s="1554"/>
      <c r="Z69" s="1626"/>
      <c r="AA69" s="771">
        <f t="shared" si="38"/>
        <v>-34811.804169949137</v>
      </c>
      <c r="AB69" s="1935">
        <f>AA69*local_data_input!$C10</f>
        <v>-243682.62918964395</v>
      </c>
      <c r="AC69" s="1626"/>
      <c r="AD69" s="1554"/>
      <c r="AE69" s="1626"/>
      <c r="AF69" s="771">
        <f t="shared" si="39"/>
        <v>0</v>
      </c>
      <c r="AG69" s="1935">
        <f>AF69*local_data_input!$C10</f>
        <v>0</v>
      </c>
      <c r="AH69" s="1626"/>
      <c r="AI69" s="1554"/>
      <c r="AJ69" s="1626"/>
      <c r="AK69" s="771">
        <f t="shared" si="40"/>
        <v>0</v>
      </c>
      <c r="AL69" s="1935">
        <f>AK69*local_data_input!$C10</f>
        <v>0</v>
      </c>
      <c r="AM69" s="1626"/>
      <c r="AN69" s="1554"/>
      <c r="AO69" s="1626"/>
      <c r="AP69" s="771">
        <f t="shared" si="41"/>
        <v>0</v>
      </c>
      <c r="AQ69" s="1935">
        <f>AP69*local_data_input!$C10</f>
        <v>0</v>
      </c>
      <c r="AR69" s="1626"/>
      <c r="AS69" s="1554"/>
      <c r="AT69" s="1626"/>
      <c r="AU69" s="771">
        <f t="shared" si="42"/>
        <v>0</v>
      </c>
      <c r="AV69" s="1935">
        <f>AU69*local_data_input!$C10</f>
        <v>0</v>
      </c>
      <c r="AW69" s="1626"/>
      <c r="AX69" s="1554"/>
      <c r="AY69" s="1626"/>
      <c r="AZ69" s="771">
        <f t="shared" si="43"/>
        <v>0</v>
      </c>
      <c r="BA69" s="1935">
        <f>AZ69*local_data_input!$C10</f>
        <v>0</v>
      </c>
      <c r="BB69" s="1626"/>
      <c r="BC69" s="1554"/>
      <c r="BD69" s="1626"/>
      <c r="BE69" s="771">
        <f t="shared" si="44"/>
        <v>0</v>
      </c>
      <c r="BF69" s="1935">
        <f>BE69*local_data_input!$C10</f>
        <v>0</v>
      </c>
      <c r="BG69" s="1626"/>
      <c r="BH69" s="1554"/>
      <c r="BI69" s="1626"/>
      <c r="BJ69" s="771">
        <f t="shared" si="45"/>
        <v>0</v>
      </c>
      <c r="BK69" s="1935">
        <f>BJ69*local_data_input!$C10</f>
        <v>0</v>
      </c>
      <c r="BL69" s="1626"/>
      <c r="BM69" s="1554"/>
      <c r="BN69" s="1626"/>
      <c r="BO69" s="771">
        <f t="shared" si="46"/>
        <v>0</v>
      </c>
      <c r="BP69" s="1935">
        <f>BO69*local_data_input!$C10</f>
        <v>0</v>
      </c>
      <c r="BQ69" s="1626"/>
      <c r="BR69" s="1554"/>
      <c r="BS69" s="1626"/>
      <c r="BT69" s="771">
        <f t="shared" si="47"/>
        <v>0</v>
      </c>
      <c r="BU69" s="1935">
        <f>BT69*local_data_input!$C10</f>
        <v>0</v>
      </c>
      <c r="BV69" s="1623"/>
      <c r="BW69" s="1079"/>
      <c r="BX69" s="1600"/>
      <c r="BY69" s="771">
        <f t="shared" si="48"/>
        <v>0</v>
      </c>
      <c r="BZ69" s="1935">
        <f>BY69*local_data_input!$C10</f>
        <v>0</v>
      </c>
      <c r="CA69" s="1626"/>
      <c r="CB69" s="1554"/>
      <c r="CC69" s="1626"/>
      <c r="CD69" s="771">
        <f t="shared" si="49"/>
        <v>0</v>
      </c>
      <c r="CE69" s="1935">
        <f>CD69*local_data_input!$C10</f>
        <v>0</v>
      </c>
      <c r="CF69" s="1626"/>
      <c r="CG69" s="1554"/>
      <c r="CH69" s="1626"/>
      <c r="CI69" s="771">
        <f t="shared" si="50"/>
        <v>0</v>
      </c>
      <c r="CJ69" s="1935">
        <f>CI69*local_data_input!$C10</f>
        <v>0</v>
      </c>
      <c r="CK69" s="1626"/>
      <c r="CL69" s="1554"/>
      <c r="CM69" s="1626"/>
      <c r="CN69" s="771">
        <f t="shared" si="51"/>
        <v>0</v>
      </c>
      <c r="CO69" s="1935">
        <f>CN69*local_data_input!$C10</f>
        <v>0</v>
      </c>
      <c r="CP69" s="1626"/>
      <c r="CQ69" s="1554"/>
      <c r="CR69" s="1626"/>
      <c r="CS69" s="771">
        <f t="shared" si="52"/>
        <v>0</v>
      </c>
      <c r="CT69" s="1935">
        <f>CS69*local_data_input!$C10</f>
        <v>0</v>
      </c>
      <c r="CU69" s="1626"/>
      <c r="CV69" s="1554"/>
      <c r="CW69" s="1626"/>
      <c r="CX69" s="771">
        <f t="shared" si="53"/>
        <v>0</v>
      </c>
      <c r="CY69" s="1935">
        <f>CX69*local_data_input!$C10</f>
        <v>0</v>
      </c>
      <c r="CZ69" s="1626"/>
      <c r="DA69" s="1554"/>
      <c r="DB69" s="1626"/>
      <c r="DC69" s="771">
        <f t="shared" si="54"/>
        <v>-828.28520690793982</v>
      </c>
      <c r="DD69" s="1935">
        <f>DC69*local_data_input!$C10</f>
        <v>-5797.9964483555787</v>
      </c>
      <c r="DE69" s="1626"/>
      <c r="DF69" s="1554"/>
      <c r="DG69" s="1626"/>
      <c r="DH69" s="771">
        <f t="shared" si="55"/>
        <v>0</v>
      </c>
      <c r="DI69" s="1935">
        <f>DH69*local_data_input!$C10</f>
        <v>0</v>
      </c>
      <c r="DJ69" s="1626"/>
      <c r="DK69" s="1554"/>
      <c r="DL69" s="1626"/>
      <c r="DM69" s="771">
        <f t="shared" si="56"/>
        <v>0</v>
      </c>
      <c r="DN69" s="1935">
        <f>DM69*local_data_input!$C10</f>
        <v>0</v>
      </c>
      <c r="DO69" s="1626"/>
      <c r="DP69" s="1554"/>
    </row>
    <row r="70" spans="3:120" s="1119" customFormat="1">
      <c r="C70" s="1613" t="s">
        <v>51</v>
      </c>
      <c r="D70" s="1120"/>
      <c r="E70" s="771">
        <f t="shared" si="34"/>
        <v>77273.946948685596</v>
      </c>
      <c r="F70" s="1337">
        <f>IF(E70&lt;=0,(INT(-E70/local_data_input!H11)*local_data_input!H11 +E70),((INT(-E70/local_data_input!H11)*local_data_input!H11 +E70)*-1))</f>
        <v>7776.053051314404</v>
      </c>
      <c r="G70" s="1935">
        <f>E70*local_data_input!$C11</f>
        <v>1545478.9389737118</v>
      </c>
      <c r="H70" s="1626"/>
      <c r="I70" s="1626"/>
      <c r="J70" s="1554"/>
      <c r="K70" s="1600"/>
      <c r="L70" s="771">
        <f t="shared" si="35"/>
        <v>0</v>
      </c>
      <c r="M70" s="1935">
        <f>L70*local_data_input!$C11</f>
        <v>0</v>
      </c>
      <c r="N70" s="1626"/>
      <c r="O70" s="1554"/>
      <c r="P70" s="1626"/>
      <c r="Q70" s="771">
        <f t="shared" si="36"/>
        <v>0</v>
      </c>
      <c r="R70" s="1935">
        <f>Q70*local_data_input!$C11</f>
        <v>0</v>
      </c>
      <c r="S70" s="1626"/>
      <c r="T70" s="1554"/>
      <c r="U70" s="1626"/>
      <c r="V70" s="771">
        <f t="shared" si="37"/>
        <v>28506.214876668248</v>
      </c>
      <c r="W70" s="1935">
        <f>V70*local_data_input!$C11</f>
        <v>570124.29753336497</v>
      </c>
      <c r="X70" s="1626"/>
      <c r="Y70" s="1554"/>
      <c r="Z70" s="1626"/>
      <c r="AA70" s="771">
        <f t="shared" si="38"/>
        <v>0</v>
      </c>
      <c r="AB70" s="1935">
        <f>AA70*local_data_input!$C11</f>
        <v>0</v>
      </c>
      <c r="AC70" s="1626"/>
      <c r="AD70" s="1554"/>
      <c r="AE70" s="1626"/>
      <c r="AF70" s="771">
        <f t="shared" si="39"/>
        <v>0</v>
      </c>
      <c r="AG70" s="1935">
        <f>AF70*local_data_input!$C11</f>
        <v>0</v>
      </c>
      <c r="AH70" s="1626"/>
      <c r="AI70" s="1554"/>
      <c r="AJ70" s="1626"/>
      <c r="AK70" s="771">
        <f t="shared" si="40"/>
        <v>0</v>
      </c>
      <c r="AL70" s="1935">
        <f>AK70*local_data_input!$C11</f>
        <v>0</v>
      </c>
      <c r="AM70" s="1626"/>
      <c r="AN70" s="1554"/>
      <c r="AO70" s="1626"/>
      <c r="AP70" s="771">
        <f t="shared" si="41"/>
        <v>0</v>
      </c>
      <c r="AQ70" s="1935">
        <f>AP70*local_data_input!$C11</f>
        <v>0</v>
      </c>
      <c r="AR70" s="1626"/>
      <c r="AS70" s="1554"/>
      <c r="AT70" s="1626"/>
      <c r="AU70" s="771">
        <f t="shared" si="42"/>
        <v>0</v>
      </c>
      <c r="AV70" s="1935">
        <f>AU70*local_data_input!$C11</f>
        <v>0</v>
      </c>
      <c r="AW70" s="1626"/>
      <c r="AX70" s="1554"/>
      <c r="AY70" s="1626"/>
      <c r="AZ70" s="771">
        <f t="shared" si="43"/>
        <v>0</v>
      </c>
      <c r="BA70" s="1935">
        <f>AZ70*local_data_input!$C11</f>
        <v>0</v>
      </c>
      <c r="BB70" s="1626"/>
      <c r="BC70" s="1554"/>
      <c r="BD70" s="1626"/>
      <c r="BE70" s="771">
        <f t="shared" si="44"/>
        <v>0</v>
      </c>
      <c r="BF70" s="1935">
        <f>BE70*local_data_input!$C11</f>
        <v>0</v>
      </c>
      <c r="BG70" s="1626"/>
      <c r="BH70" s="1554"/>
      <c r="BI70" s="1626"/>
      <c r="BJ70" s="771">
        <f t="shared" si="45"/>
        <v>0</v>
      </c>
      <c r="BK70" s="1935">
        <f>BJ70*local_data_input!$C11</f>
        <v>0</v>
      </c>
      <c r="BL70" s="1626"/>
      <c r="BM70" s="1554"/>
      <c r="BN70" s="1626"/>
      <c r="BO70" s="771">
        <f t="shared" si="46"/>
        <v>0</v>
      </c>
      <c r="BP70" s="1935">
        <f>BO70*local_data_input!$C11</f>
        <v>0</v>
      </c>
      <c r="BQ70" s="1626"/>
      <c r="BR70" s="1554"/>
      <c r="BS70" s="1626"/>
      <c r="BT70" s="771">
        <f t="shared" si="47"/>
        <v>0</v>
      </c>
      <c r="BU70" s="1935">
        <f>BT70*local_data_input!$C11</f>
        <v>0</v>
      </c>
      <c r="BV70" s="1623"/>
      <c r="BW70" s="1079"/>
      <c r="BX70" s="1600"/>
      <c r="BY70" s="771">
        <f t="shared" si="48"/>
        <v>0</v>
      </c>
      <c r="BZ70" s="1935">
        <f>BY70*local_data_input!$C11</f>
        <v>0</v>
      </c>
      <c r="CA70" s="1626"/>
      <c r="CB70" s="1554"/>
      <c r="CC70" s="1626"/>
      <c r="CD70" s="771">
        <f t="shared" si="49"/>
        <v>0</v>
      </c>
      <c r="CE70" s="1935">
        <f>CD70*local_data_input!$C11</f>
        <v>0</v>
      </c>
      <c r="CF70" s="1626"/>
      <c r="CG70" s="1554"/>
      <c r="CH70" s="1626"/>
      <c r="CI70" s="771">
        <f t="shared" si="50"/>
        <v>0</v>
      </c>
      <c r="CJ70" s="1935">
        <f>CI70*local_data_input!$C11</f>
        <v>0</v>
      </c>
      <c r="CK70" s="1626"/>
      <c r="CL70" s="1554"/>
      <c r="CM70" s="1626"/>
      <c r="CN70" s="771">
        <f t="shared" si="51"/>
        <v>0</v>
      </c>
      <c r="CO70" s="1935">
        <f>CN70*local_data_input!$C11</f>
        <v>0</v>
      </c>
      <c r="CP70" s="1626"/>
      <c r="CQ70" s="1554"/>
      <c r="CR70" s="1626"/>
      <c r="CS70" s="771">
        <f t="shared" si="52"/>
        <v>0</v>
      </c>
      <c r="CT70" s="1935">
        <f>CS70*local_data_input!$C11</f>
        <v>0</v>
      </c>
      <c r="CU70" s="1626"/>
      <c r="CV70" s="1554"/>
      <c r="CW70" s="1626"/>
      <c r="CX70" s="771">
        <f t="shared" si="53"/>
        <v>0</v>
      </c>
      <c r="CY70" s="1935">
        <f>CX70*local_data_input!$C11</f>
        <v>0</v>
      </c>
      <c r="CZ70" s="1626"/>
      <c r="DA70" s="1554"/>
      <c r="DB70" s="1626"/>
      <c r="DC70" s="771">
        <f t="shared" si="54"/>
        <v>0</v>
      </c>
      <c r="DD70" s="1935">
        <f>DC70*local_data_input!$C11</f>
        <v>0</v>
      </c>
      <c r="DE70" s="1626"/>
      <c r="DF70" s="1554"/>
      <c r="DG70" s="1626"/>
      <c r="DH70" s="771">
        <f t="shared" si="55"/>
        <v>48389.178822357862</v>
      </c>
      <c r="DI70" s="1935">
        <f>DH70*local_data_input!$C11</f>
        <v>967783.57644715719</v>
      </c>
      <c r="DJ70" s="1626"/>
      <c r="DK70" s="1554"/>
      <c r="DL70" s="1626"/>
      <c r="DM70" s="771">
        <f t="shared" si="56"/>
        <v>378.55324965948279</v>
      </c>
      <c r="DN70" s="1935">
        <f>DM70*local_data_input!$C11</f>
        <v>7571.064993189656</v>
      </c>
      <c r="DO70" s="1626"/>
      <c r="DP70" s="1554"/>
    </row>
    <row r="71" spans="3:120" s="1119" customFormat="1">
      <c r="C71" s="1613" t="s">
        <v>41</v>
      </c>
      <c r="D71" s="1120"/>
      <c r="E71" s="771">
        <f t="shared" si="34"/>
        <v>25716.790689843994</v>
      </c>
      <c r="F71" s="1337">
        <f>IF(E71&lt;=0,(INT(-E71/local_data_input!H12)*local_data_input!H12 +E71),((INT(-E71/local_data_input!H12)*local_data_input!H12 +E71)*-1))</f>
        <v>0.20931015600581304</v>
      </c>
      <c r="G71" s="1935">
        <f>E71*local_data_input!$C12</f>
        <v>360035.06965781591</v>
      </c>
      <c r="H71" s="1626"/>
      <c r="I71" s="1626"/>
      <c r="J71" s="1554"/>
      <c r="K71" s="1600"/>
      <c r="L71" s="771">
        <f t="shared" si="35"/>
        <v>0</v>
      </c>
      <c r="M71" s="1935">
        <f>L71*local_data_input!$C12</f>
        <v>0</v>
      </c>
      <c r="N71" s="1626"/>
      <c r="O71" s="1554"/>
      <c r="P71" s="1626"/>
      <c r="Q71" s="771">
        <f t="shared" si="36"/>
        <v>0</v>
      </c>
      <c r="R71" s="1935">
        <f>Q71*local_data_input!$C12</f>
        <v>0</v>
      </c>
      <c r="S71" s="1626"/>
      <c r="T71" s="1554"/>
      <c r="U71" s="1626"/>
      <c r="V71" s="771">
        <f t="shared" si="37"/>
        <v>0</v>
      </c>
      <c r="W71" s="1935">
        <f>V71*local_data_input!$C12</f>
        <v>0</v>
      </c>
      <c r="X71" s="1626"/>
      <c r="Y71" s="1554"/>
      <c r="Z71" s="1626"/>
      <c r="AA71" s="771">
        <f t="shared" si="38"/>
        <v>0</v>
      </c>
      <c r="AB71" s="1935">
        <f>AA71*local_data_input!$C12</f>
        <v>0</v>
      </c>
      <c r="AC71" s="1626"/>
      <c r="AD71" s="1554"/>
      <c r="AE71" s="1626"/>
      <c r="AF71" s="771">
        <f t="shared" si="39"/>
        <v>0</v>
      </c>
      <c r="AG71" s="1935">
        <f>AF71*local_data_input!$C12</f>
        <v>0</v>
      </c>
      <c r="AH71" s="1626"/>
      <c r="AI71" s="1554"/>
      <c r="AJ71" s="1626"/>
      <c r="AK71" s="771">
        <f t="shared" si="40"/>
        <v>0</v>
      </c>
      <c r="AL71" s="1935">
        <f>AK71*local_data_input!$C12</f>
        <v>0</v>
      </c>
      <c r="AM71" s="1626"/>
      <c r="AN71" s="1554"/>
      <c r="AO71" s="1626"/>
      <c r="AP71" s="771">
        <f t="shared" si="41"/>
        <v>0</v>
      </c>
      <c r="AQ71" s="1935">
        <f>AP71*local_data_input!$C12</f>
        <v>0</v>
      </c>
      <c r="AR71" s="1626"/>
      <c r="AS71" s="1554"/>
      <c r="AT71" s="1626"/>
      <c r="AU71" s="771">
        <f t="shared" si="42"/>
        <v>0</v>
      </c>
      <c r="AV71" s="1935">
        <f>AU71*local_data_input!$C12</f>
        <v>0</v>
      </c>
      <c r="AW71" s="1626"/>
      <c r="AX71" s="1554"/>
      <c r="AY71" s="1626"/>
      <c r="AZ71" s="771">
        <f t="shared" si="43"/>
        <v>0</v>
      </c>
      <c r="BA71" s="1935">
        <f>AZ71*local_data_input!$C12</f>
        <v>0</v>
      </c>
      <c r="BB71" s="1626"/>
      <c r="BC71" s="1554"/>
      <c r="BD71" s="1626"/>
      <c r="BE71" s="771">
        <f t="shared" si="44"/>
        <v>11814.085671811263</v>
      </c>
      <c r="BF71" s="1935">
        <f>BE71*local_data_input!$C12</f>
        <v>165397.19940535768</v>
      </c>
      <c r="BG71" s="1626"/>
      <c r="BH71" s="1554"/>
      <c r="BI71" s="1626"/>
      <c r="BJ71" s="771">
        <f t="shared" si="45"/>
        <v>13783.099950446474</v>
      </c>
      <c r="BK71" s="1935">
        <f>BJ71*local_data_input!$C12</f>
        <v>192963.39930625065</v>
      </c>
      <c r="BL71" s="1626"/>
      <c r="BM71" s="1554"/>
      <c r="BN71" s="1626"/>
      <c r="BO71" s="771">
        <f t="shared" si="46"/>
        <v>0</v>
      </c>
      <c r="BP71" s="1935">
        <f>BO71*local_data_input!$C12</f>
        <v>0</v>
      </c>
      <c r="BQ71" s="1626"/>
      <c r="BR71" s="1554"/>
      <c r="BS71" s="1626"/>
      <c r="BT71" s="771">
        <f t="shared" si="47"/>
        <v>0</v>
      </c>
      <c r="BU71" s="1935">
        <f>BT71*local_data_input!$C12</f>
        <v>0</v>
      </c>
      <c r="BV71" s="1623"/>
      <c r="BW71" s="1079"/>
      <c r="BX71" s="1600"/>
      <c r="BY71" s="771">
        <f t="shared" si="48"/>
        <v>0</v>
      </c>
      <c r="BZ71" s="1935">
        <f>BY71*local_data_input!$C12</f>
        <v>0</v>
      </c>
      <c r="CA71" s="1626"/>
      <c r="CB71" s="1554"/>
      <c r="CC71" s="1626"/>
      <c r="CD71" s="771">
        <f t="shared" si="49"/>
        <v>119.60506758625777</v>
      </c>
      <c r="CE71" s="1935">
        <f>CD71*local_data_input!$C12</f>
        <v>1674.4709462076089</v>
      </c>
      <c r="CF71" s="1626"/>
      <c r="CG71" s="1554"/>
      <c r="CH71" s="1626"/>
      <c r="CI71" s="771">
        <f t="shared" si="50"/>
        <v>0</v>
      </c>
      <c r="CJ71" s="1935">
        <f>CI71*local_data_input!$C12</f>
        <v>0</v>
      </c>
      <c r="CK71" s="1626"/>
      <c r="CL71" s="1554"/>
      <c r="CM71" s="1626"/>
      <c r="CN71" s="771">
        <f t="shared" si="51"/>
        <v>0</v>
      </c>
      <c r="CO71" s="1935">
        <f>CN71*local_data_input!$C12</f>
        <v>0</v>
      </c>
      <c r="CP71" s="1626"/>
      <c r="CQ71" s="1554"/>
      <c r="CR71" s="1626"/>
      <c r="CS71" s="771">
        <f t="shared" si="52"/>
        <v>0</v>
      </c>
      <c r="CT71" s="1935">
        <f>CS71*local_data_input!$C12</f>
        <v>0</v>
      </c>
      <c r="CU71" s="1626"/>
      <c r="CV71" s="1554"/>
      <c r="CW71" s="1626"/>
      <c r="CX71" s="771">
        <f t="shared" si="53"/>
        <v>0</v>
      </c>
      <c r="CY71" s="1935">
        <f>CX71*local_data_input!$C12</f>
        <v>0</v>
      </c>
      <c r="CZ71" s="1626"/>
      <c r="DA71" s="1554"/>
      <c r="DB71" s="1626"/>
      <c r="DC71" s="771">
        <f t="shared" si="54"/>
        <v>0</v>
      </c>
      <c r="DD71" s="1935">
        <f>DC71*local_data_input!$C12</f>
        <v>0</v>
      </c>
      <c r="DE71" s="1626"/>
      <c r="DF71" s="1554"/>
      <c r="DG71" s="1626"/>
      <c r="DH71" s="771">
        <f t="shared" si="55"/>
        <v>0</v>
      </c>
      <c r="DI71" s="1935">
        <f>DH71*local_data_input!$C12</f>
        <v>0</v>
      </c>
      <c r="DJ71" s="1626"/>
      <c r="DK71" s="1554"/>
      <c r="DL71" s="1626"/>
      <c r="DM71" s="771">
        <f t="shared" si="56"/>
        <v>0</v>
      </c>
      <c r="DN71" s="1935">
        <f>DM71*local_data_input!$C12</f>
        <v>0</v>
      </c>
      <c r="DO71" s="1626"/>
      <c r="DP71" s="1554"/>
    </row>
    <row r="72" spans="3:120" s="1119" customFormat="1">
      <c r="C72" s="1613" t="s">
        <v>567</v>
      </c>
      <c r="D72" s="1120"/>
      <c r="E72" s="771">
        <f t="shared" si="34"/>
        <v>1834.8827966591057</v>
      </c>
      <c r="F72" s="1337">
        <f>IF(E72&lt;=0,(INT(-E72/local_data_input!H13)*local_data_input!H13 +E72),((INT(-E72/local_data_input!H13)*local_data_input!H13 +E72)*-1))</f>
        <v>1315.1172033408943</v>
      </c>
      <c r="G72" s="1935">
        <f>E72*local_data_input!$C13</f>
        <v>64678.891989471427</v>
      </c>
      <c r="H72" s="1626"/>
      <c r="I72" s="1626"/>
      <c r="J72" s="1554"/>
      <c r="K72" s="1600"/>
      <c r="L72" s="771">
        <f t="shared" si="35"/>
        <v>1834.8827966591057</v>
      </c>
      <c r="M72" s="1935">
        <f>L72*local_data_input!$C13</f>
        <v>64678.891989471427</v>
      </c>
      <c r="N72" s="1626"/>
      <c r="O72" s="1554"/>
      <c r="P72" s="1626"/>
      <c r="Q72" s="771">
        <f t="shared" si="36"/>
        <v>0</v>
      </c>
      <c r="R72" s="1935">
        <f>Q72*local_data_input!$C13</f>
        <v>0</v>
      </c>
      <c r="S72" s="1626"/>
      <c r="T72" s="1554"/>
      <c r="U72" s="1626"/>
      <c r="V72" s="771">
        <f t="shared" si="37"/>
        <v>0</v>
      </c>
      <c r="W72" s="1935">
        <f>V72*local_data_input!$C13</f>
        <v>0</v>
      </c>
      <c r="X72" s="1626"/>
      <c r="Y72" s="1554"/>
      <c r="Z72" s="1626"/>
      <c r="AA72" s="771">
        <f t="shared" si="38"/>
        <v>0</v>
      </c>
      <c r="AB72" s="1935">
        <f>AA72*local_data_input!$C13</f>
        <v>0</v>
      </c>
      <c r="AC72" s="1626"/>
      <c r="AD72" s="1554"/>
      <c r="AE72" s="1626"/>
      <c r="AF72" s="771">
        <f t="shared" si="39"/>
        <v>0</v>
      </c>
      <c r="AG72" s="1935">
        <f>AF72*local_data_input!$C13</f>
        <v>0</v>
      </c>
      <c r="AH72" s="1626"/>
      <c r="AI72" s="1554"/>
      <c r="AJ72" s="1626"/>
      <c r="AK72" s="771">
        <f t="shared" si="40"/>
        <v>0</v>
      </c>
      <c r="AL72" s="1935">
        <f>AK72*local_data_input!$C13</f>
        <v>0</v>
      </c>
      <c r="AM72" s="1626"/>
      <c r="AN72" s="1554"/>
      <c r="AO72" s="1626"/>
      <c r="AP72" s="771">
        <f t="shared" si="41"/>
        <v>0</v>
      </c>
      <c r="AQ72" s="1935">
        <f>AP72*local_data_input!$C13</f>
        <v>0</v>
      </c>
      <c r="AR72" s="1626"/>
      <c r="AS72" s="1554"/>
      <c r="AT72" s="1626"/>
      <c r="AU72" s="771">
        <f t="shared" si="42"/>
        <v>0</v>
      </c>
      <c r="AV72" s="1935">
        <f>AU72*local_data_input!$C13</f>
        <v>0</v>
      </c>
      <c r="AW72" s="1626"/>
      <c r="AX72" s="1554"/>
      <c r="AY72" s="1626"/>
      <c r="AZ72" s="771">
        <f t="shared" si="43"/>
        <v>0</v>
      </c>
      <c r="BA72" s="1935">
        <f>AZ72*local_data_input!$C13</f>
        <v>0</v>
      </c>
      <c r="BB72" s="1626"/>
      <c r="BC72" s="1554"/>
      <c r="BD72" s="1626"/>
      <c r="BE72" s="771">
        <f t="shared" si="44"/>
        <v>0</v>
      </c>
      <c r="BF72" s="1935">
        <f>BE72*local_data_input!$C13</f>
        <v>0</v>
      </c>
      <c r="BG72" s="1626"/>
      <c r="BH72" s="1554"/>
      <c r="BI72" s="1626"/>
      <c r="BJ72" s="771">
        <f t="shared" si="45"/>
        <v>0</v>
      </c>
      <c r="BK72" s="1935">
        <f>BJ72*local_data_input!$C13</f>
        <v>0</v>
      </c>
      <c r="BL72" s="1626"/>
      <c r="BM72" s="1554"/>
      <c r="BN72" s="1626"/>
      <c r="BO72" s="771">
        <f t="shared" si="46"/>
        <v>0</v>
      </c>
      <c r="BP72" s="1935">
        <f>BO72*local_data_input!$C13</f>
        <v>0</v>
      </c>
      <c r="BQ72" s="1626"/>
      <c r="BR72" s="1554"/>
      <c r="BS72" s="1626"/>
      <c r="BT72" s="771">
        <f t="shared" si="47"/>
        <v>0</v>
      </c>
      <c r="BU72" s="1935">
        <f>BT72*local_data_input!$C13</f>
        <v>0</v>
      </c>
      <c r="BV72" s="1623"/>
      <c r="BW72" s="1079"/>
      <c r="BX72" s="1600"/>
      <c r="BY72" s="771">
        <f t="shared" si="48"/>
        <v>0</v>
      </c>
      <c r="BZ72" s="1935">
        <f>BY72*local_data_input!$C13</f>
        <v>0</v>
      </c>
      <c r="CA72" s="1626"/>
      <c r="CB72" s="1554"/>
      <c r="CC72" s="1626"/>
      <c r="CD72" s="771">
        <f t="shared" si="49"/>
        <v>0</v>
      </c>
      <c r="CE72" s="1935">
        <f>CD72*local_data_input!$C13</f>
        <v>0</v>
      </c>
      <c r="CF72" s="1626"/>
      <c r="CG72" s="1554"/>
      <c r="CH72" s="1626"/>
      <c r="CI72" s="771">
        <f t="shared" si="50"/>
        <v>0</v>
      </c>
      <c r="CJ72" s="1935">
        <f>CI72*local_data_input!$C13</f>
        <v>0</v>
      </c>
      <c r="CK72" s="1626"/>
      <c r="CL72" s="1554"/>
      <c r="CM72" s="1626"/>
      <c r="CN72" s="771">
        <f t="shared" si="51"/>
        <v>0</v>
      </c>
      <c r="CO72" s="1935">
        <f>CN72*local_data_input!$C13</f>
        <v>0</v>
      </c>
      <c r="CP72" s="1626"/>
      <c r="CQ72" s="1554"/>
      <c r="CR72" s="1626"/>
      <c r="CS72" s="771">
        <f t="shared" si="52"/>
        <v>0</v>
      </c>
      <c r="CT72" s="1935">
        <f>CS72*local_data_input!$C13</f>
        <v>0</v>
      </c>
      <c r="CU72" s="1626"/>
      <c r="CV72" s="1554"/>
      <c r="CW72" s="1626"/>
      <c r="CX72" s="771">
        <f t="shared" si="53"/>
        <v>0</v>
      </c>
      <c r="CY72" s="1935">
        <f>CX72*local_data_input!$C13</f>
        <v>0</v>
      </c>
      <c r="CZ72" s="1626"/>
      <c r="DA72" s="1554"/>
      <c r="DB72" s="1626"/>
      <c r="DC72" s="771">
        <f t="shared" si="54"/>
        <v>0</v>
      </c>
      <c r="DD72" s="1935">
        <f>DC72*local_data_input!$C13</f>
        <v>0</v>
      </c>
      <c r="DE72" s="1626"/>
      <c r="DF72" s="1554"/>
      <c r="DG72" s="1626"/>
      <c r="DH72" s="771">
        <f t="shared" si="55"/>
        <v>0</v>
      </c>
      <c r="DI72" s="1935">
        <f>DH72*local_data_input!$C13</f>
        <v>0</v>
      </c>
      <c r="DJ72" s="1626"/>
      <c r="DK72" s="1554"/>
      <c r="DL72" s="1626"/>
      <c r="DM72" s="771">
        <f t="shared" si="56"/>
        <v>0</v>
      </c>
      <c r="DN72" s="1935">
        <f>DM72*local_data_input!$C13</f>
        <v>0</v>
      </c>
      <c r="DO72" s="1626"/>
      <c r="DP72" s="1554"/>
    </row>
    <row r="73" spans="3:120" s="1119" customFormat="1">
      <c r="C73" s="1613" t="s">
        <v>76</v>
      </c>
      <c r="D73" s="1120"/>
      <c r="E73" s="771">
        <f t="shared" si="34"/>
        <v>1758.0004892941849</v>
      </c>
      <c r="F73" s="1337">
        <f>IF(E73&lt;=0,(INT(-E73/local_data_input!H14)*local_data_input!H14 +E73),((INT(-E73/local_data_input!H14)*local_data_input!H14 +E73)*-1))</f>
        <v>1391.9995107058151</v>
      </c>
      <c r="G73" s="1935">
        <f>E73*local_data_input!$C14</f>
        <v>316144.07025043335</v>
      </c>
      <c r="H73" s="1626"/>
      <c r="I73" s="1626"/>
      <c r="J73" s="1554"/>
      <c r="K73" s="1600"/>
      <c r="L73" s="771">
        <f t="shared" si="35"/>
        <v>-917.44139832955284</v>
      </c>
      <c r="M73" s="1935">
        <f>L73*local_data_input!$C14</f>
        <v>-164984.96994196106</v>
      </c>
      <c r="N73" s="1626"/>
      <c r="O73" s="1554"/>
      <c r="P73" s="1626"/>
      <c r="Q73" s="771">
        <f t="shared" si="36"/>
        <v>891.95691504262072</v>
      </c>
      <c r="R73" s="1935">
        <f>Q73*local_data_input!$C14</f>
        <v>160402.0541102399</v>
      </c>
      <c r="S73" s="1626"/>
      <c r="T73" s="1554"/>
      <c r="U73" s="1626"/>
      <c r="V73" s="771">
        <f t="shared" si="37"/>
        <v>-1140.2485950667299</v>
      </c>
      <c r="W73" s="1935">
        <f>V73*local_data_input!$C14</f>
        <v>-205052.74835643731</v>
      </c>
      <c r="X73" s="1626"/>
      <c r="Y73" s="1554"/>
      <c r="Z73" s="1626"/>
      <c r="AA73" s="771">
        <f t="shared" si="38"/>
        <v>0</v>
      </c>
      <c r="AB73" s="1935">
        <f>AA73*local_data_input!$C14</f>
        <v>0</v>
      </c>
      <c r="AC73" s="1626"/>
      <c r="AD73" s="1554"/>
      <c r="AE73" s="1626"/>
      <c r="AF73" s="771">
        <f t="shared" si="39"/>
        <v>0</v>
      </c>
      <c r="AG73" s="1935">
        <f>AF73*local_data_input!$C14</f>
        <v>0</v>
      </c>
      <c r="AH73" s="1626"/>
      <c r="AI73" s="1554"/>
      <c r="AJ73" s="1626"/>
      <c r="AK73" s="771">
        <f t="shared" si="40"/>
        <v>0</v>
      </c>
      <c r="AL73" s="1935">
        <f>AK73*local_data_input!$C14</f>
        <v>0</v>
      </c>
      <c r="AM73" s="1626"/>
      <c r="AN73" s="1554"/>
      <c r="AO73" s="1626"/>
      <c r="AP73" s="771">
        <f t="shared" si="41"/>
        <v>0</v>
      </c>
      <c r="AQ73" s="1935">
        <f>AP73*local_data_input!$C14</f>
        <v>0</v>
      </c>
      <c r="AR73" s="1626"/>
      <c r="AS73" s="1554"/>
      <c r="AT73" s="1626"/>
      <c r="AU73" s="771">
        <f t="shared" si="42"/>
        <v>0</v>
      </c>
      <c r="AV73" s="1935">
        <f>AU73*local_data_input!$C14</f>
        <v>0</v>
      </c>
      <c r="AW73" s="1626"/>
      <c r="AX73" s="1554"/>
      <c r="AY73" s="1626"/>
      <c r="AZ73" s="771">
        <f t="shared" si="43"/>
        <v>0</v>
      </c>
      <c r="BA73" s="1935">
        <f>AZ73*local_data_input!$C14</f>
        <v>0</v>
      </c>
      <c r="BB73" s="1626"/>
      <c r="BC73" s="1554"/>
      <c r="BD73" s="1626"/>
      <c r="BE73" s="771">
        <f t="shared" si="44"/>
        <v>0</v>
      </c>
      <c r="BF73" s="1935">
        <f>BE73*local_data_input!$C14</f>
        <v>0</v>
      </c>
      <c r="BG73" s="1626"/>
      <c r="BH73" s="1554"/>
      <c r="BI73" s="1626"/>
      <c r="BJ73" s="771">
        <f t="shared" si="45"/>
        <v>0</v>
      </c>
      <c r="BK73" s="1935">
        <f>BJ73*local_data_input!$C14</f>
        <v>0</v>
      </c>
      <c r="BL73" s="1626"/>
      <c r="BM73" s="1554"/>
      <c r="BN73" s="1626"/>
      <c r="BO73" s="771">
        <f t="shared" si="46"/>
        <v>0</v>
      </c>
      <c r="BP73" s="1935">
        <f>BO73*local_data_input!$C14</f>
        <v>0</v>
      </c>
      <c r="BQ73" s="1626"/>
      <c r="BR73" s="1554"/>
      <c r="BS73" s="1626"/>
      <c r="BT73" s="771">
        <f t="shared" si="47"/>
        <v>0</v>
      </c>
      <c r="BU73" s="1935">
        <f>BT73*local_data_input!$C14</f>
        <v>0</v>
      </c>
      <c r="BV73" s="1623"/>
      <c r="BW73" s="1079"/>
      <c r="BX73" s="1600"/>
      <c r="BY73" s="771">
        <f t="shared" si="48"/>
        <v>5141.3281206778911</v>
      </c>
      <c r="BZ73" s="1935">
        <f>BY73*local_data_input!$C14</f>
        <v>924573.34822284221</v>
      </c>
      <c r="CA73" s="1626"/>
      <c r="CB73" s="1554"/>
      <c r="CC73" s="1626"/>
      <c r="CD73" s="771">
        <f t="shared" si="49"/>
        <v>0</v>
      </c>
      <c r="CE73" s="1935">
        <f>CD73*local_data_input!$C14</f>
        <v>0</v>
      </c>
      <c r="CF73" s="1626"/>
      <c r="CG73" s="1554"/>
      <c r="CH73" s="1626"/>
      <c r="CI73" s="771">
        <f t="shared" si="50"/>
        <v>-44.258395264351705</v>
      </c>
      <c r="CJ73" s="1935">
        <f>CI73*local_data_input!$C14</f>
        <v>-7959.0587754854805</v>
      </c>
      <c r="CK73" s="1626"/>
      <c r="CL73" s="1554"/>
      <c r="CM73" s="1626"/>
      <c r="CN73" s="771">
        <f t="shared" si="51"/>
        <v>0</v>
      </c>
      <c r="CO73" s="1935">
        <f>CN73*local_data_input!$C14</f>
        <v>0</v>
      </c>
      <c r="CP73" s="1626"/>
      <c r="CQ73" s="1554"/>
      <c r="CR73" s="1626"/>
      <c r="CS73" s="771">
        <f t="shared" si="52"/>
        <v>0</v>
      </c>
      <c r="CT73" s="1935">
        <f>CS73*local_data_input!$C14</f>
        <v>0</v>
      </c>
      <c r="CU73" s="1626"/>
      <c r="CV73" s="1554"/>
      <c r="CW73" s="1626"/>
      <c r="CX73" s="771">
        <f t="shared" si="53"/>
        <v>0</v>
      </c>
      <c r="CY73" s="1935">
        <f>CX73*local_data_input!$C14</f>
        <v>0</v>
      </c>
      <c r="CZ73" s="1626"/>
      <c r="DA73" s="1554"/>
      <c r="DB73" s="1626"/>
      <c r="DC73" s="771">
        <f t="shared" si="54"/>
        <v>246.12278335220077</v>
      </c>
      <c r="DD73" s="1935">
        <f>DC73*local_data_input!$C14</f>
        <v>44260.65805110793</v>
      </c>
      <c r="DE73" s="1626"/>
      <c r="DF73" s="1554"/>
      <c r="DG73" s="1626"/>
      <c r="DH73" s="771">
        <f t="shared" si="55"/>
        <v>-2419.4589411178931</v>
      </c>
      <c r="DI73" s="1935">
        <f>DH73*local_data_input!$C14</f>
        <v>-435095.21305987291</v>
      </c>
      <c r="DJ73" s="1626"/>
      <c r="DK73" s="1554"/>
      <c r="DL73" s="1626"/>
      <c r="DM73" s="771">
        <f t="shared" si="56"/>
        <v>0</v>
      </c>
      <c r="DN73" s="1935">
        <f>DM73*local_data_input!$C14</f>
        <v>0</v>
      </c>
      <c r="DO73" s="1626"/>
      <c r="DP73" s="1554"/>
    </row>
    <row r="74" spans="3:120" s="1119" customFormat="1">
      <c r="C74" s="1613" t="s">
        <v>46</v>
      </c>
      <c r="D74" s="1120"/>
      <c r="E74" s="771">
        <f t="shared" si="34"/>
        <v>-9551.0577833522875</v>
      </c>
      <c r="F74" s="1337">
        <f>IF(E74&lt;=0,(INT(-E74/local_data_input!H15)*local_data_input!H15 +E74),((INT(-E74/local_data_input!H15)*local_data_input!H15 +E74)*-1))</f>
        <v>-101.05778335228752</v>
      </c>
      <c r="G74" s="1935">
        <f>E74*local_data_input!$C15</f>
        <v>-2225587.4912399561</v>
      </c>
      <c r="H74" s="1626"/>
      <c r="I74" s="1626"/>
      <c r="J74" s="1554"/>
      <c r="K74" s="1600"/>
      <c r="L74" s="771">
        <f t="shared" si="35"/>
        <v>-917.44139832955284</v>
      </c>
      <c r="M74" s="1935">
        <f>L74*local_data_input!$C15</f>
        <v>-213782.19526919114</v>
      </c>
      <c r="N74" s="1626"/>
      <c r="O74" s="1554"/>
      <c r="P74" s="1626"/>
      <c r="Q74" s="771">
        <f t="shared" si="36"/>
        <v>-891.95691504262072</v>
      </c>
      <c r="R74" s="1935">
        <f>Q74*local_data_input!$C15</f>
        <v>-207843.80095615803</v>
      </c>
      <c r="S74" s="1626"/>
      <c r="T74" s="1554"/>
      <c r="U74" s="1626"/>
      <c r="V74" s="771">
        <f t="shared" si="37"/>
        <v>-570.12429753336494</v>
      </c>
      <c r="W74" s="1935">
        <f>V74*local_data_input!$C15</f>
        <v>-132850.36420299736</v>
      </c>
      <c r="X74" s="1626"/>
      <c r="Y74" s="1554"/>
      <c r="Z74" s="1626"/>
      <c r="AA74" s="771">
        <f t="shared" si="38"/>
        <v>0</v>
      </c>
      <c r="AB74" s="1935">
        <f>AA74*local_data_input!$C15</f>
        <v>0</v>
      </c>
      <c r="AC74" s="1626"/>
      <c r="AD74" s="1554"/>
      <c r="AE74" s="1626"/>
      <c r="AF74" s="771">
        <f t="shared" si="39"/>
        <v>0</v>
      </c>
      <c r="AG74" s="1935">
        <f>AF74*local_data_input!$C15</f>
        <v>0</v>
      </c>
      <c r="AH74" s="1626"/>
      <c r="AI74" s="1554"/>
      <c r="AJ74" s="1626"/>
      <c r="AK74" s="771">
        <f t="shared" si="40"/>
        <v>-235.98386919151926</v>
      </c>
      <c r="AL74" s="1935">
        <f>AK74*local_data_input!$C15</f>
        <v>-54988.961361168993</v>
      </c>
      <c r="AM74" s="1626"/>
      <c r="AN74" s="1554"/>
      <c r="AO74" s="1626"/>
      <c r="AP74" s="771">
        <f t="shared" si="41"/>
        <v>0</v>
      </c>
      <c r="AQ74" s="1935">
        <f>AP74*local_data_input!$C15</f>
        <v>0</v>
      </c>
      <c r="AR74" s="1626"/>
      <c r="AS74" s="1554"/>
      <c r="AT74" s="1626"/>
      <c r="AU74" s="771">
        <f t="shared" si="42"/>
        <v>0</v>
      </c>
      <c r="AV74" s="1935">
        <f>AU74*local_data_input!$C15</f>
        <v>0</v>
      </c>
      <c r="AW74" s="1626"/>
      <c r="AX74" s="1554"/>
      <c r="AY74" s="1626"/>
      <c r="AZ74" s="771">
        <f t="shared" si="43"/>
        <v>0</v>
      </c>
      <c r="BA74" s="1935">
        <f>AZ74*local_data_input!$C15</f>
        <v>0</v>
      </c>
      <c r="BB74" s="1626"/>
      <c r="BC74" s="1554"/>
      <c r="BD74" s="1626"/>
      <c r="BE74" s="771">
        <f t="shared" si="44"/>
        <v>0</v>
      </c>
      <c r="BF74" s="1935">
        <f>BE74*local_data_input!$C15</f>
        <v>0</v>
      </c>
      <c r="BG74" s="1626"/>
      <c r="BH74" s="1554"/>
      <c r="BI74" s="1626"/>
      <c r="BJ74" s="771">
        <f t="shared" si="45"/>
        <v>0</v>
      </c>
      <c r="BK74" s="1935">
        <f>BJ74*local_data_input!$C15</f>
        <v>0</v>
      </c>
      <c r="BL74" s="1626"/>
      <c r="BM74" s="1554"/>
      <c r="BN74" s="1626"/>
      <c r="BO74" s="771">
        <f t="shared" si="46"/>
        <v>0</v>
      </c>
      <c r="BP74" s="1935">
        <f>BO74*local_data_input!$C15</f>
        <v>0</v>
      </c>
      <c r="BQ74" s="1626"/>
      <c r="BR74" s="1554"/>
      <c r="BS74" s="1626"/>
      <c r="BT74" s="771">
        <f t="shared" si="47"/>
        <v>0</v>
      </c>
      <c r="BU74" s="1935">
        <f>BT74*local_data_input!$C15</f>
        <v>0</v>
      </c>
      <c r="BV74" s="1623"/>
      <c r="BW74" s="1079"/>
      <c r="BX74" s="1600"/>
      <c r="BY74" s="771">
        <f t="shared" si="48"/>
        <v>-5141.3281206778911</v>
      </c>
      <c r="BZ74" s="1935">
        <f>BY74*local_data_input!$C15</f>
        <v>-1198032.2822133317</v>
      </c>
      <c r="CA74" s="1626"/>
      <c r="CB74" s="1554"/>
      <c r="CC74" s="1626"/>
      <c r="CD74" s="771">
        <f t="shared" si="49"/>
        <v>0</v>
      </c>
      <c r="CE74" s="1935">
        <f>CD74*local_data_input!$C15</f>
        <v>0</v>
      </c>
      <c r="CF74" s="1626"/>
      <c r="CG74" s="1554"/>
      <c r="CH74" s="1626"/>
      <c r="CI74" s="771">
        <f t="shared" si="50"/>
        <v>-177.03358105740682</v>
      </c>
      <c r="CJ74" s="1935">
        <f>CI74*local_data_input!$C15</f>
        <v>-41252.365179649205</v>
      </c>
      <c r="CK74" s="1626"/>
      <c r="CL74" s="1554"/>
      <c r="CM74" s="1626"/>
      <c r="CN74" s="771">
        <f t="shared" si="51"/>
        <v>0</v>
      </c>
      <c r="CO74" s="1935">
        <f>CN74*local_data_input!$C15</f>
        <v>0</v>
      </c>
      <c r="CP74" s="1626"/>
      <c r="CQ74" s="1554"/>
      <c r="CR74" s="1626"/>
      <c r="CS74" s="771">
        <f t="shared" si="52"/>
        <v>0</v>
      </c>
      <c r="CT74" s="1935">
        <f>CS74*local_data_input!$C15</f>
        <v>0</v>
      </c>
      <c r="CU74" s="1626"/>
      <c r="CV74" s="1554"/>
      <c r="CW74" s="1626"/>
      <c r="CX74" s="771">
        <f t="shared" si="53"/>
        <v>-697.89840511441207</v>
      </c>
      <c r="CY74" s="1935">
        <f>CX74*local_data_input!$C15</f>
        <v>-162624.28683933555</v>
      </c>
      <c r="CZ74" s="1626"/>
      <c r="DA74" s="1554"/>
      <c r="DB74" s="1626"/>
      <c r="DC74" s="771">
        <f t="shared" si="54"/>
        <v>-246.12278335220077</v>
      </c>
      <c r="DD74" s="1935">
        <f>DC74*local_data_input!$C15</f>
        <v>-57351.531145858156</v>
      </c>
      <c r="DE74" s="1626"/>
      <c r="DF74" s="1554"/>
      <c r="DG74" s="1626"/>
      <c r="DH74" s="771">
        <f t="shared" si="55"/>
        <v>-483.89178822357866</v>
      </c>
      <c r="DI74" s="1935">
        <f>DH74*local_data_input!$C15</f>
        <v>-112756.4648243745</v>
      </c>
      <c r="DJ74" s="1626"/>
      <c r="DK74" s="1554"/>
      <c r="DL74" s="1626"/>
      <c r="DM74" s="771">
        <f t="shared" si="56"/>
        <v>-189.27662482974139</v>
      </c>
      <c r="DN74" s="1935">
        <f>DM74*local_data_input!$C15</f>
        <v>-44105.239247891666</v>
      </c>
      <c r="DO74" s="1626"/>
      <c r="DP74" s="1554"/>
    </row>
    <row r="75" spans="3:120" s="1119" customFormat="1">
      <c r="C75" s="1613" t="s">
        <v>30</v>
      </c>
      <c r="D75" s="1116"/>
      <c r="E75" s="771">
        <f t="shared" si="34"/>
        <v>14716.461179606094</v>
      </c>
      <c r="F75" s="1337">
        <f>IF(E75&lt;=0,(INT(-E75/local_data_input!H16)*local_data_input!H16 +E75),((INT(-E75/local_data_input!H16)*local_data_input!H16 +E75)*-1))</f>
        <v>1033.5388203939056</v>
      </c>
      <c r="G75" s="1935">
        <f>E75*local_data_input!$C16</f>
        <v>548400.84882972366</v>
      </c>
      <c r="H75" s="1626"/>
      <c r="I75" s="1626"/>
      <c r="J75" s="1554"/>
      <c r="K75" s="1600"/>
      <c r="L75" s="771">
        <f t="shared" si="35"/>
        <v>0</v>
      </c>
      <c r="M75" s="1935">
        <f>L75*local_data_input!$C16</f>
        <v>0</v>
      </c>
      <c r="N75" s="1626"/>
      <c r="O75" s="1554"/>
      <c r="P75" s="1626"/>
      <c r="Q75" s="771">
        <f t="shared" si="36"/>
        <v>0</v>
      </c>
      <c r="R75" s="1935">
        <f>Q75*local_data_input!$C16</f>
        <v>0</v>
      </c>
      <c r="S75" s="1626"/>
      <c r="T75" s="1554"/>
      <c r="U75" s="1626"/>
      <c r="V75" s="771">
        <f t="shared" si="37"/>
        <v>0</v>
      </c>
      <c r="W75" s="1935">
        <f>V75*local_data_input!$C16</f>
        <v>0</v>
      </c>
      <c r="X75" s="1626"/>
      <c r="Y75" s="1554"/>
      <c r="Z75" s="1626"/>
      <c r="AA75" s="771">
        <f t="shared" si="38"/>
        <v>0</v>
      </c>
      <c r="AB75" s="1935">
        <f>AA75*local_data_input!$C16</f>
        <v>0</v>
      </c>
      <c r="AC75" s="1626"/>
      <c r="AD75" s="1554"/>
      <c r="AE75" s="1626"/>
      <c r="AF75" s="771">
        <f t="shared" si="39"/>
        <v>6142.5</v>
      </c>
      <c r="AG75" s="1935">
        <f>AF75*local_data_input!$C16</f>
        <v>228896.89123120706</v>
      </c>
      <c r="AH75" s="1626"/>
      <c r="AI75" s="1554"/>
      <c r="AJ75" s="1626"/>
      <c r="AK75" s="771">
        <f t="shared" si="40"/>
        <v>188.78709535321542</v>
      </c>
      <c r="AL75" s="1935">
        <f>AK75*local_data_input!$C16</f>
        <v>7035.0474938413454</v>
      </c>
      <c r="AM75" s="1626"/>
      <c r="AN75" s="1554"/>
      <c r="AO75" s="1626"/>
      <c r="AP75" s="771">
        <f t="shared" si="41"/>
        <v>0</v>
      </c>
      <c r="AQ75" s="1935">
        <f>AP75*local_data_input!$C16</f>
        <v>0</v>
      </c>
      <c r="AR75" s="1626"/>
      <c r="AS75" s="1554"/>
      <c r="AT75" s="1626"/>
      <c r="AU75" s="771">
        <f t="shared" si="42"/>
        <v>0</v>
      </c>
      <c r="AV75" s="1935">
        <f>AU75*local_data_input!$C16</f>
        <v>0</v>
      </c>
      <c r="AW75" s="1626"/>
      <c r="AX75" s="1554"/>
      <c r="AY75" s="1626"/>
      <c r="AZ75" s="771">
        <f t="shared" si="43"/>
        <v>0</v>
      </c>
      <c r="BA75" s="1935">
        <f>AZ75*local_data_input!$C16</f>
        <v>0</v>
      </c>
      <c r="BB75" s="1626"/>
      <c r="BC75" s="1554"/>
      <c r="BD75" s="1626"/>
      <c r="BE75" s="771">
        <f t="shared" si="44"/>
        <v>0</v>
      </c>
      <c r="BF75" s="1935">
        <f>BE75*local_data_input!$C16</f>
        <v>0</v>
      </c>
      <c r="BG75" s="1626"/>
      <c r="BH75" s="1554"/>
      <c r="BI75" s="1626"/>
      <c r="BJ75" s="771">
        <f t="shared" si="45"/>
        <v>0</v>
      </c>
      <c r="BK75" s="1935">
        <f>BJ75*local_data_input!$C16</f>
        <v>0</v>
      </c>
      <c r="BL75" s="1626"/>
      <c r="BM75" s="1554"/>
      <c r="BN75" s="1626"/>
      <c r="BO75" s="771">
        <f t="shared" si="46"/>
        <v>0</v>
      </c>
      <c r="BP75" s="1935">
        <f>BO75*local_data_input!$C16</f>
        <v>0</v>
      </c>
      <c r="BQ75" s="1626"/>
      <c r="BR75" s="1554"/>
      <c r="BS75" s="1626"/>
      <c r="BT75" s="771">
        <f t="shared" si="47"/>
        <v>0</v>
      </c>
      <c r="BU75" s="1935">
        <f>BT75*local_data_input!$C16</f>
        <v>0</v>
      </c>
      <c r="BV75" s="1623"/>
      <c r="BW75" s="1079"/>
      <c r="BX75" s="1600"/>
      <c r="BY75" s="771">
        <f t="shared" si="48"/>
        <v>-1468.9508916222549</v>
      </c>
      <c r="BZ75" s="1935">
        <f>BY75*local_data_input!$C16</f>
        <v>-54739.648752729983</v>
      </c>
      <c r="CA75" s="1626"/>
      <c r="CB75" s="1554"/>
      <c r="CC75" s="1626"/>
      <c r="CD75" s="771">
        <f t="shared" si="49"/>
        <v>5980.2533793128887</v>
      </c>
      <c r="CE75" s="1935">
        <f>CD75*local_data_input!$C16</f>
        <v>222850.85995924147</v>
      </c>
      <c r="CF75" s="1626"/>
      <c r="CG75" s="1554"/>
      <c r="CH75" s="1626"/>
      <c r="CI75" s="771">
        <f t="shared" si="50"/>
        <v>442.58395264351702</v>
      </c>
      <c r="CJ75" s="1935">
        <f>CI75*local_data_input!$C16</f>
        <v>16492.648086108395</v>
      </c>
      <c r="CK75" s="1626"/>
      <c r="CL75" s="1554"/>
      <c r="CM75" s="1626"/>
      <c r="CN75" s="771">
        <f t="shared" si="51"/>
        <v>0</v>
      </c>
      <c r="CO75" s="1935">
        <f>CN75*local_data_input!$C16</f>
        <v>0</v>
      </c>
      <c r="CP75" s="1626"/>
      <c r="CQ75" s="1554"/>
      <c r="CR75" s="1626"/>
      <c r="CS75" s="771">
        <f t="shared" si="52"/>
        <v>0</v>
      </c>
      <c r="CT75" s="1935">
        <f>CS75*local_data_input!$C16</f>
        <v>0</v>
      </c>
      <c r="CU75" s="1626"/>
      <c r="CV75" s="1554"/>
      <c r="CW75" s="1626"/>
      <c r="CX75" s="771">
        <f t="shared" si="53"/>
        <v>8080.9289013247726</v>
      </c>
      <c r="CY75" s="1935">
        <f>CX75*local_data_input!$C16</f>
        <v>301131.38034573122</v>
      </c>
      <c r="CZ75" s="1626"/>
      <c r="DA75" s="1554"/>
      <c r="DB75" s="1626"/>
      <c r="DC75" s="771">
        <f t="shared" si="54"/>
        <v>0</v>
      </c>
      <c r="DD75" s="1935">
        <f>DC75*local_data_input!$C16</f>
        <v>0</v>
      </c>
      <c r="DE75" s="1626"/>
      <c r="DF75" s="1554"/>
      <c r="DG75" s="1626"/>
      <c r="DH75" s="771">
        <f t="shared" si="55"/>
        <v>-4838.9178822357862</v>
      </c>
      <c r="DI75" s="1935">
        <f>DH75*local_data_input!$C16</f>
        <v>-180319.61907478512</v>
      </c>
      <c r="DJ75" s="1626"/>
      <c r="DK75" s="1554"/>
      <c r="DL75" s="1626"/>
      <c r="DM75" s="771">
        <f t="shared" si="56"/>
        <v>189.27662482974139</v>
      </c>
      <c r="DN75" s="1935">
        <f>DM75*local_data_input!$C16</f>
        <v>7053.2895411092068</v>
      </c>
      <c r="DO75" s="1626"/>
      <c r="DP75" s="1554"/>
    </row>
    <row r="76" spans="3:120" s="1119" customFormat="1">
      <c r="C76" s="1613" t="s">
        <v>48</v>
      </c>
      <c r="D76" s="1120"/>
      <c r="E76" s="771">
        <f t="shared" si="34"/>
        <v>-88.15558801445205</v>
      </c>
      <c r="F76" s="1337">
        <f>IF(E76&lt;=0,(INT(-E76/local_data_input!H17)*local_data_input!H17 +E76),((INT(-E76/local_data_input!H17)*local_data_input!H17 +E76)*-1))</f>
        <v>-88.15558801445205</v>
      </c>
      <c r="G76" s="1935">
        <f>E76*local_data_input!$C17</f>
        <v>-24883.010837550399</v>
      </c>
      <c r="H76" s="1626"/>
      <c r="I76" s="1626"/>
      <c r="J76" s="1554"/>
      <c r="K76" s="1600"/>
      <c r="L76" s="771">
        <f t="shared" si="35"/>
        <v>0</v>
      </c>
      <c r="M76" s="1935">
        <f>L76*local_data_input!$C17</f>
        <v>0</v>
      </c>
      <c r="N76" s="1626"/>
      <c r="O76" s="1554"/>
      <c r="P76" s="1626"/>
      <c r="Q76" s="771">
        <f t="shared" si="36"/>
        <v>0</v>
      </c>
      <c r="R76" s="1935">
        <f>Q76*local_data_input!$C17</f>
        <v>0</v>
      </c>
      <c r="S76" s="1626"/>
      <c r="T76" s="1554"/>
      <c r="U76" s="1626"/>
      <c r="V76" s="771">
        <f t="shared" si="37"/>
        <v>0</v>
      </c>
      <c r="W76" s="1935">
        <f>V76*local_data_input!$C17</f>
        <v>0</v>
      </c>
      <c r="X76" s="1626"/>
      <c r="Y76" s="1554"/>
      <c r="Z76" s="1626"/>
      <c r="AA76" s="771">
        <f t="shared" si="38"/>
        <v>0</v>
      </c>
      <c r="AB76" s="1935">
        <f>AA76*local_data_input!$C17</f>
        <v>0</v>
      </c>
      <c r="AC76" s="1626"/>
      <c r="AD76" s="1554"/>
      <c r="AE76" s="1626"/>
      <c r="AF76" s="771">
        <f t="shared" si="39"/>
        <v>0</v>
      </c>
      <c r="AG76" s="1935">
        <f>AF76*local_data_input!$C17</f>
        <v>0</v>
      </c>
      <c r="AH76" s="1626"/>
      <c r="AI76" s="1554"/>
      <c r="AJ76" s="1626"/>
      <c r="AK76" s="771">
        <f t="shared" si="40"/>
        <v>0</v>
      </c>
      <c r="AL76" s="1935">
        <f>AK76*local_data_input!$C17</f>
        <v>0</v>
      </c>
      <c r="AM76" s="1626"/>
      <c r="AN76" s="1554"/>
      <c r="AO76" s="1626"/>
      <c r="AP76" s="771">
        <f t="shared" si="41"/>
        <v>0</v>
      </c>
      <c r="AQ76" s="1935">
        <f>AP76*local_data_input!$C17</f>
        <v>0</v>
      </c>
      <c r="AR76" s="1626"/>
      <c r="AS76" s="1554"/>
      <c r="AT76" s="1626"/>
      <c r="AU76" s="771">
        <f t="shared" si="42"/>
        <v>0</v>
      </c>
      <c r="AV76" s="1935">
        <f>AU76*local_data_input!$C17</f>
        <v>0</v>
      </c>
      <c r="AW76" s="1626"/>
      <c r="AX76" s="1554"/>
      <c r="AY76" s="1626"/>
      <c r="AZ76" s="771">
        <f t="shared" si="43"/>
        <v>0</v>
      </c>
      <c r="BA76" s="1935">
        <f>AZ76*local_data_input!$C17</f>
        <v>0</v>
      </c>
      <c r="BB76" s="1626"/>
      <c r="BC76" s="1554"/>
      <c r="BD76" s="1626"/>
      <c r="BE76" s="771">
        <f t="shared" si="44"/>
        <v>0</v>
      </c>
      <c r="BF76" s="1935">
        <f>BE76*local_data_input!$C17</f>
        <v>0</v>
      </c>
      <c r="BG76" s="1626"/>
      <c r="BH76" s="1554"/>
      <c r="BI76" s="1626"/>
      <c r="BJ76" s="771">
        <f t="shared" si="45"/>
        <v>0</v>
      </c>
      <c r="BK76" s="1935">
        <f>BJ76*local_data_input!$C17</f>
        <v>0</v>
      </c>
      <c r="BL76" s="1626"/>
      <c r="BM76" s="1554"/>
      <c r="BN76" s="1626"/>
      <c r="BO76" s="771">
        <f t="shared" si="46"/>
        <v>0</v>
      </c>
      <c r="BP76" s="1935">
        <f>BO76*local_data_input!$C17</f>
        <v>0</v>
      </c>
      <c r="BQ76" s="1626"/>
      <c r="BR76" s="1554"/>
      <c r="BS76" s="1626"/>
      <c r="BT76" s="771">
        <f t="shared" si="47"/>
        <v>0</v>
      </c>
      <c r="BU76" s="1935">
        <f>BT76*local_data_input!$C17</f>
        <v>0</v>
      </c>
      <c r="BV76" s="1623"/>
      <c r="BW76" s="1079"/>
      <c r="BX76" s="1600"/>
      <c r="BY76" s="771">
        <f t="shared" si="48"/>
        <v>0</v>
      </c>
      <c r="BZ76" s="1935">
        <f>BY76*local_data_input!$C17</f>
        <v>0</v>
      </c>
      <c r="CA76" s="1626"/>
      <c r="CB76" s="1554"/>
      <c r="CC76" s="1626"/>
      <c r="CD76" s="771">
        <f t="shared" si="49"/>
        <v>0</v>
      </c>
      <c r="CE76" s="1935">
        <f>CD76*local_data_input!$C17</f>
        <v>0</v>
      </c>
      <c r="CF76" s="1626"/>
      <c r="CG76" s="1554"/>
      <c r="CH76" s="1626"/>
      <c r="CI76" s="771">
        <f t="shared" si="50"/>
        <v>0</v>
      </c>
      <c r="CJ76" s="1935">
        <f>CI76*local_data_input!$C17</f>
        <v>0</v>
      </c>
      <c r="CK76" s="1626"/>
      <c r="CL76" s="1554"/>
      <c r="CM76" s="1626"/>
      <c r="CN76" s="771">
        <f t="shared" si="51"/>
        <v>0</v>
      </c>
      <c r="CO76" s="1935">
        <f>CN76*local_data_input!$C17</f>
        <v>0</v>
      </c>
      <c r="CP76" s="1626"/>
      <c r="CQ76" s="1554"/>
      <c r="CR76" s="1626"/>
      <c r="CS76" s="771">
        <f t="shared" si="52"/>
        <v>0</v>
      </c>
      <c r="CT76" s="1935">
        <f>CS76*local_data_input!$C17</f>
        <v>0</v>
      </c>
      <c r="CU76" s="1626"/>
      <c r="CV76" s="1554"/>
      <c r="CW76" s="1626"/>
      <c r="CX76" s="771">
        <f t="shared" si="53"/>
        <v>-88.15558801445205</v>
      </c>
      <c r="CY76" s="1935">
        <f>CX76*local_data_input!$C17</f>
        <v>-24883.010837550399</v>
      </c>
      <c r="CZ76" s="1626"/>
      <c r="DA76" s="1554"/>
      <c r="DB76" s="1626"/>
      <c r="DC76" s="771">
        <f t="shared" si="54"/>
        <v>0</v>
      </c>
      <c r="DD76" s="1935">
        <f>DC76*local_data_input!$C17</f>
        <v>0</v>
      </c>
      <c r="DE76" s="1626"/>
      <c r="DF76" s="1554"/>
      <c r="DG76" s="1626"/>
      <c r="DH76" s="771">
        <f t="shared" si="55"/>
        <v>0</v>
      </c>
      <c r="DI76" s="1935">
        <f>DH76*local_data_input!$C17</f>
        <v>0</v>
      </c>
      <c r="DJ76" s="1626"/>
      <c r="DK76" s="1554"/>
      <c r="DL76" s="1626"/>
      <c r="DM76" s="771">
        <f t="shared" si="56"/>
        <v>0</v>
      </c>
      <c r="DN76" s="1935">
        <f>DM76*local_data_input!$C17</f>
        <v>0</v>
      </c>
      <c r="DO76" s="1626"/>
      <c r="DP76" s="1554"/>
    </row>
    <row r="77" spans="3:120" s="1119" customFormat="1">
      <c r="C77" s="1613" t="s">
        <v>225</v>
      </c>
      <c r="D77" s="1120"/>
      <c r="E77" s="771">
        <f t="shared" si="34"/>
        <v>94.39354767660771</v>
      </c>
      <c r="F77" s="1337">
        <f>IF(E77&lt;=0,(INT(-E77/local_data_input!H18)*local_data_input!H18 +E77),((INT(-E77/local_data_input!H18)*local_data_input!H18 +E77)*-1))</f>
        <v>3055.6064523233922</v>
      </c>
      <c r="G77" s="1935">
        <f>E77*local_data_input!$C18</f>
        <v>2265.4451442385853</v>
      </c>
      <c r="H77" s="1626"/>
      <c r="I77" s="1626"/>
      <c r="J77" s="1554"/>
      <c r="K77" s="1600"/>
      <c r="L77" s="771">
        <f t="shared" si="35"/>
        <v>0</v>
      </c>
      <c r="M77" s="1935">
        <f>L77*local_data_input!$C18</f>
        <v>0</v>
      </c>
      <c r="N77" s="1626"/>
      <c r="O77" s="1554"/>
      <c r="P77" s="1626"/>
      <c r="Q77" s="771">
        <f t="shared" si="36"/>
        <v>0</v>
      </c>
      <c r="R77" s="1935">
        <f>Q77*local_data_input!$C18</f>
        <v>0</v>
      </c>
      <c r="S77" s="1626"/>
      <c r="T77" s="1554"/>
      <c r="U77" s="1626"/>
      <c r="V77" s="771">
        <f t="shared" si="37"/>
        <v>0</v>
      </c>
      <c r="W77" s="1935">
        <f>V77*local_data_input!$C18</f>
        <v>0</v>
      </c>
      <c r="X77" s="1626"/>
      <c r="Y77" s="1554"/>
      <c r="Z77" s="1626"/>
      <c r="AA77" s="771">
        <f t="shared" si="38"/>
        <v>0</v>
      </c>
      <c r="AB77" s="1935">
        <f>AA77*local_data_input!$C18</f>
        <v>0</v>
      </c>
      <c r="AC77" s="1626"/>
      <c r="AD77" s="1554"/>
      <c r="AE77" s="1626"/>
      <c r="AF77" s="771">
        <f t="shared" si="39"/>
        <v>0</v>
      </c>
      <c r="AG77" s="1935">
        <f>AF77*local_data_input!$C18</f>
        <v>0</v>
      </c>
      <c r="AH77" s="1626"/>
      <c r="AI77" s="1554"/>
      <c r="AJ77" s="1626"/>
      <c r="AK77" s="771">
        <f t="shared" si="40"/>
        <v>94.39354767660771</v>
      </c>
      <c r="AL77" s="1935">
        <f>AK77*local_data_input!$C18</f>
        <v>2265.4451442385853</v>
      </c>
      <c r="AM77" s="1626"/>
      <c r="AN77" s="1554"/>
      <c r="AO77" s="1626"/>
      <c r="AP77" s="771">
        <f t="shared" si="41"/>
        <v>0</v>
      </c>
      <c r="AQ77" s="1935">
        <f>AP77*local_data_input!$C18</f>
        <v>0</v>
      </c>
      <c r="AR77" s="1626"/>
      <c r="AS77" s="1554"/>
      <c r="AT77" s="1626"/>
      <c r="AU77" s="771">
        <f t="shared" si="42"/>
        <v>0</v>
      </c>
      <c r="AV77" s="1935">
        <f>AU77*local_data_input!$C18</f>
        <v>0</v>
      </c>
      <c r="AW77" s="1626"/>
      <c r="AX77" s="1554"/>
      <c r="AY77" s="1626"/>
      <c r="AZ77" s="771">
        <f t="shared" si="43"/>
        <v>0</v>
      </c>
      <c r="BA77" s="1935">
        <f>AZ77*local_data_input!$C18</f>
        <v>0</v>
      </c>
      <c r="BB77" s="1626"/>
      <c r="BC77" s="1554"/>
      <c r="BD77" s="1626"/>
      <c r="BE77" s="771">
        <f t="shared" si="44"/>
        <v>0</v>
      </c>
      <c r="BF77" s="1935">
        <f>BE77*local_data_input!$C18</f>
        <v>0</v>
      </c>
      <c r="BG77" s="1626"/>
      <c r="BH77" s="1554"/>
      <c r="BI77" s="1626"/>
      <c r="BJ77" s="771">
        <f t="shared" si="45"/>
        <v>0</v>
      </c>
      <c r="BK77" s="1935">
        <f>BJ77*local_data_input!$C18</f>
        <v>0</v>
      </c>
      <c r="BL77" s="1626"/>
      <c r="BM77" s="1554"/>
      <c r="BN77" s="1626"/>
      <c r="BO77" s="771">
        <f t="shared" si="46"/>
        <v>0</v>
      </c>
      <c r="BP77" s="1935">
        <f>BO77*local_data_input!$C18</f>
        <v>0</v>
      </c>
      <c r="BQ77" s="1626"/>
      <c r="BR77" s="1554"/>
      <c r="BS77" s="1626"/>
      <c r="BT77" s="771">
        <f t="shared" si="47"/>
        <v>0</v>
      </c>
      <c r="BU77" s="1935">
        <f>BT77*local_data_input!$C18</f>
        <v>0</v>
      </c>
      <c r="BV77" s="1623"/>
      <c r="BW77" s="1079"/>
      <c r="BX77" s="1600"/>
      <c r="BY77" s="771">
        <f t="shared" si="48"/>
        <v>0</v>
      </c>
      <c r="BZ77" s="1935">
        <f>BY77*local_data_input!$C18</f>
        <v>0</v>
      </c>
      <c r="CA77" s="1626"/>
      <c r="CB77" s="1554"/>
      <c r="CC77" s="1626"/>
      <c r="CD77" s="771">
        <f t="shared" si="49"/>
        <v>0</v>
      </c>
      <c r="CE77" s="1935">
        <f>CD77*local_data_input!$C18</f>
        <v>0</v>
      </c>
      <c r="CF77" s="1626"/>
      <c r="CG77" s="1554"/>
      <c r="CH77" s="1626"/>
      <c r="CI77" s="771">
        <f t="shared" si="50"/>
        <v>0</v>
      </c>
      <c r="CJ77" s="1935">
        <f>CI77*local_data_input!$C18</f>
        <v>0</v>
      </c>
      <c r="CK77" s="1626"/>
      <c r="CL77" s="1554"/>
      <c r="CM77" s="1626"/>
      <c r="CN77" s="771">
        <f t="shared" si="51"/>
        <v>0</v>
      </c>
      <c r="CO77" s="1935">
        <f>CN77*local_data_input!$C18</f>
        <v>0</v>
      </c>
      <c r="CP77" s="1626"/>
      <c r="CQ77" s="1554"/>
      <c r="CR77" s="1626"/>
      <c r="CS77" s="771">
        <f t="shared" si="52"/>
        <v>0</v>
      </c>
      <c r="CT77" s="1935">
        <f>CS77*local_data_input!$C18</f>
        <v>0</v>
      </c>
      <c r="CU77" s="1626"/>
      <c r="CV77" s="1554"/>
      <c r="CW77" s="1626"/>
      <c r="CX77" s="771">
        <f t="shared" si="53"/>
        <v>0</v>
      </c>
      <c r="CY77" s="1935">
        <f>CX77*local_data_input!$C18</f>
        <v>0</v>
      </c>
      <c r="CZ77" s="1626"/>
      <c r="DA77" s="1554"/>
      <c r="DB77" s="1626"/>
      <c r="DC77" s="771">
        <f t="shared" si="54"/>
        <v>0</v>
      </c>
      <c r="DD77" s="1935">
        <f>DC77*local_data_input!$C18</f>
        <v>0</v>
      </c>
      <c r="DE77" s="1626"/>
      <c r="DF77" s="1554"/>
      <c r="DG77" s="1626"/>
      <c r="DH77" s="771">
        <f t="shared" si="55"/>
        <v>0</v>
      </c>
      <c r="DI77" s="1935">
        <f>DH77*local_data_input!$C18</f>
        <v>0</v>
      </c>
      <c r="DJ77" s="1626"/>
      <c r="DK77" s="1554"/>
      <c r="DL77" s="1626"/>
      <c r="DM77" s="771">
        <f t="shared" si="56"/>
        <v>0</v>
      </c>
      <c r="DN77" s="1935">
        <f>DM77*local_data_input!$C18</f>
        <v>0</v>
      </c>
      <c r="DO77" s="1626"/>
      <c r="DP77" s="1554"/>
    </row>
    <row r="78" spans="3:120" s="1119" customFormat="1">
      <c r="C78" s="1613" t="s">
        <v>32</v>
      </c>
      <c r="D78" s="1120"/>
      <c r="E78" s="771">
        <f t="shared" si="34"/>
        <v>850.27157089056709</v>
      </c>
      <c r="F78" s="1337">
        <f>IF(E78&lt;=0,(INT(-E78/local_data_input!H19)*local_data_input!H19 +E78),((INT(-E78/local_data_input!H19)*local_data_input!H19 +E78)*-1))</f>
        <v>0.72842910943290917</v>
      </c>
      <c r="G78" s="1935">
        <f>E78*local_data_input!$C19</f>
        <v>31460.048122950982</v>
      </c>
      <c r="H78" s="1626"/>
      <c r="I78" s="1626"/>
      <c r="J78" s="1554"/>
      <c r="K78" s="1600"/>
      <c r="L78" s="771">
        <f t="shared" si="35"/>
        <v>917.44139832955284</v>
      </c>
      <c r="M78" s="1935">
        <f>L78*local_data_input!$C19</f>
        <v>33945.331738193454</v>
      </c>
      <c r="N78" s="1626"/>
      <c r="O78" s="1554"/>
      <c r="P78" s="1626"/>
      <c r="Q78" s="771">
        <f t="shared" si="36"/>
        <v>0</v>
      </c>
      <c r="R78" s="1935">
        <f>Q78*local_data_input!$C19</f>
        <v>0</v>
      </c>
      <c r="S78" s="1626"/>
      <c r="T78" s="1554"/>
      <c r="U78" s="1626"/>
      <c r="V78" s="771">
        <f t="shared" si="37"/>
        <v>-5986.3051241003313</v>
      </c>
      <c r="W78" s="1935">
        <f>V78*local_data_input!$C19</f>
        <v>-221493.28959171227</v>
      </c>
      <c r="X78" s="1626"/>
      <c r="Y78" s="1554"/>
      <c r="Z78" s="1626"/>
      <c r="AA78" s="771">
        <f t="shared" si="38"/>
        <v>0</v>
      </c>
      <c r="AB78" s="1935">
        <f>AA78*local_data_input!$C19</f>
        <v>0</v>
      </c>
      <c r="AC78" s="1626"/>
      <c r="AD78" s="1554"/>
      <c r="AE78" s="1626"/>
      <c r="AF78" s="771">
        <f t="shared" si="39"/>
        <v>0</v>
      </c>
      <c r="AG78" s="1935">
        <f>AF78*local_data_input!$C19</f>
        <v>0</v>
      </c>
      <c r="AH78" s="1626"/>
      <c r="AI78" s="1554"/>
      <c r="AJ78" s="1626"/>
      <c r="AK78" s="771">
        <f t="shared" si="40"/>
        <v>1887.8709535321541</v>
      </c>
      <c r="AL78" s="1935">
        <f>AK78*local_data_input!$C19</f>
        <v>69851.225280689701</v>
      </c>
      <c r="AM78" s="1626"/>
      <c r="AN78" s="1554"/>
      <c r="AO78" s="1626"/>
      <c r="AP78" s="771">
        <f t="shared" si="41"/>
        <v>0</v>
      </c>
      <c r="AQ78" s="1935">
        <f>AP78*local_data_input!$C19</f>
        <v>0</v>
      </c>
      <c r="AR78" s="1626"/>
      <c r="AS78" s="1554"/>
      <c r="AT78" s="1626"/>
      <c r="AU78" s="771">
        <f t="shared" si="42"/>
        <v>0</v>
      </c>
      <c r="AV78" s="1935">
        <f>AU78*local_data_input!$C19</f>
        <v>0</v>
      </c>
      <c r="AW78" s="1626"/>
      <c r="AX78" s="1554"/>
      <c r="AY78" s="1626"/>
      <c r="AZ78" s="771">
        <f t="shared" si="43"/>
        <v>14026.502704375142</v>
      </c>
      <c r="BA78" s="1935">
        <f>AZ78*local_data_input!$C19</f>
        <v>518980.60006188025</v>
      </c>
      <c r="BB78" s="1626"/>
      <c r="BC78" s="1554"/>
      <c r="BD78" s="1626"/>
      <c r="BE78" s="771">
        <f t="shared" si="44"/>
        <v>-8860.564253858447</v>
      </c>
      <c r="BF78" s="1935">
        <f>BE78*local_data_input!$C19</f>
        <v>-327840.87739276252</v>
      </c>
      <c r="BG78" s="1626"/>
      <c r="BH78" s="1554"/>
      <c r="BI78" s="1626"/>
      <c r="BJ78" s="771">
        <f t="shared" si="45"/>
        <v>-2467.1748911299187</v>
      </c>
      <c r="BK78" s="1935">
        <f>BJ78*local_data_input!$C19</f>
        <v>-91285.470971806993</v>
      </c>
      <c r="BL78" s="1626"/>
      <c r="BM78" s="1554"/>
      <c r="BN78" s="1626"/>
      <c r="BO78" s="771">
        <f t="shared" si="46"/>
        <v>0</v>
      </c>
      <c r="BP78" s="1935">
        <f>BO78*local_data_input!$C19</f>
        <v>0</v>
      </c>
      <c r="BQ78" s="1626"/>
      <c r="BR78" s="1554"/>
      <c r="BS78" s="1626"/>
      <c r="BT78" s="771">
        <f t="shared" si="47"/>
        <v>0</v>
      </c>
      <c r="BU78" s="1935">
        <f>BT78*local_data_input!$C19</f>
        <v>0</v>
      </c>
      <c r="BV78" s="1623"/>
      <c r="BW78" s="1079"/>
      <c r="BX78" s="1600"/>
      <c r="BY78" s="771">
        <f t="shared" si="48"/>
        <v>734.47544581112743</v>
      </c>
      <c r="BZ78" s="1935">
        <f>BY78*local_data_input!$C19</f>
        <v>27175.591495011715</v>
      </c>
      <c r="CA78" s="1626"/>
      <c r="CB78" s="1554"/>
      <c r="CC78" s="1626"/>
      <c r="CD78" s="771">
        <f t="shared" si="49"/>
        <v>598.02533793128885</v>
      </c>
      <c r="CE78" s="1935">
        <f>CD78*local_data_input!$C19</f>
        <v>22126.937503457688</v>
      </c>
      <c r="CF78" s="1626"/>
      <c r="CG78" s="1554"/>
      <c r="CH78" s="1626"/>
      <c r="CI78" s="771">
        <f t="shared" si="50"/>
        <v>0</v>
      </c>
      <c r="CJ78" s="1935">
        <f>CI78*local_data_input!$C19</f>
        <v>0</v>
      </c>
      <c r="CK78" s="1626"/>
      <c r="CL78" s="1554"/>
      <c r="CM78" s="1626"/>
      <c r="CN78" s="771">
        <f t="shared" si="51"/>
        <v>0</v>
      </c>
      <c r="CO78" s="1935">
        <f>CN78*local_data_input!$C19</f>
        <v>0</v>
      </c>
      <c r="CP78" s="1626"/>
      <c r="CQ78" s="1554"/>
      <c r="CR78" s="1626"/>
      <c r="CS78" s="771">
        <f t="shared" si="52"/>
        <v>0</v>
      </c>
      <c r="CT78" s="1935">
        <f>CS78*local_data_input!$C19</f>
        <v>0</v>
      </c>
      <c r="CU78" s="1626"/>
      <c r="CV78" s="1554"/>
      <c r="CW78" s="1626"/>
      <c r="CX78" s="771">
        <f t="shared" si="53"/>
        <v>0</v>
      </c>
      <c r="CY78" s="1935">
        <f>CX78*local_data_input!$C19</f>
        <v>0</v>
      </c>
      <c r="CZ78" s="1626"/>
      <c r="DA78" s="1554"/>
      <c r="DB78" s="1626"/>
      <c r="DC78" s="771">
        <f t="shared" si="54"/>
        <v>0</v>
      </c>
      <c r="DD78" s="1935">
        <f>DC78*local_data_input!$C19</f>
        <v>0</v>
      </c>
      <c r="DE78" s="1626"/>
      <c r="DF78" s="1554"/>
      <c r="DG78" s="1626"/>
      <c r="DH78" s="771">
        <f t="shared" si="55"/>
        <v>0</v>
      </c>
      <c r="DI78" s="1935">
        <f>DH78*local_data_input!$C19</f>
        <v>0</v>
      </c>
      <c r="DJ78" s="1626"/>
      <c r="DK78" s="1554"/>
      <c r="DL78" s="1626"/>
      <c r="DM78" s="771">
        <f t="shared" si="56"/>
        <v>0</v>
      </c>
      <c r="DN78" s="1935">
        <f>DM78*local_data_input!$C19</f>
        <v>0</v>
      </c>
      <c r="DO78" s="1626"/>
      <c r="DP78" s="1554"/>
    </row>
    <row r="79" spans="3:120" s="1119" customFormat="1">
      <c r="C79" s="1613" t="s">
        <v>34</v>
      </c>
      <c r="D79" s="1116"/>
      <c r="E79" s="771">
        <f t="shared" si="34"/>
        <v>-3738.1322305375106</v>
      </c>
      <c r="F79" s="1337">
        <f>IF(E79&lt;=0,(INT(-E79/local_data_input!H20)*local_data_input!H20 +E79),((INT(-E79/local_data_input!H20)*local_data_input!H20 +E79)*-1))</f>
        <v>-0.13223053751062253</v>
      </c>
      <c r="G79" s="1935">
        <f>E79*local_data_input!$C20</f>
        <v>-228026.06606278816</v>
      </c>
      <c r="H79" s="1626"/>
      <c r="I79" s="1626"/>
      <c r="J79" s="1554"/>
      <c r="K79" s="1600"/>
      <c r="L79" s="771">
        <f t="shared" si="35"/>
        <v>0</v>
      </c>
      <c r="M79" s="1935">
        <f>L79*local_data_input!$C20</f>
        <v>0</v>
      </c>
      <c r="N79" s="1626"/>
      <c r="O79" s="1554"/>
      <c r="P79" s="1626"/>
      <c r="Q79" s="771">
        <f t="shared" si="36"/>
        <v>0</v>
      </c>
      <c r="R79" s="1935">
        <f>Q79*local_data_input!$C20</f>
        <v>0</v>
      </c>
      <c r="S79" s="1626"/>
      <c r="T79" s="1554"/>
      <c r="U79" s="1626"/>
      <c r="V79" s="771">
        <f t="shared" si="37"/>
        <v>0</v>
      </c>
      <c r="W79" s="1935">
        <f>V79*local_data_input!$C20</f>
        <v>0</v>
      </c>
      <c r="X79" s="1626"/>
      <c r="Y79" s="1554"/>
      <c r="Z79" s="1626"/>
      <c r="AA79" s="771">
        <f t="shared" si="38"/>
        <v>0</v>
      </c>
      <c r="AB79" s="1935">
        <f>AA79*local_data_input!$C20</f>
        <v>0</v>
      </c>
      <c r="AC79" s="1626"/>
      <c r="AD79" s="1554"/>
      <c r="AE79" s="1626"/>
      <c r="AF79" s="771">
        <f t="shared" si="39"/>
        <v>0</v>
      </c>
      <c r="AG79" s="1935">
        <f>AF79*local_data_input!$C20</f>
        <v>0</v>
      </c>
      <c r="AH79" s="1626"/>
      <c r="AI79" s="1554"/>
      <c r="AJ79" s="1626"/>
      <c r="AK79" s="771">
        <f t="shared" si="40"/>
        <v>0</v>
      </c>
      <c r="AL79" s="1935">
        <f>AK79*local_data_input!$C20</f>
        <v>0</v>
      </c>
      <c r="AM79" s="1626"/>
      <c r="AN79" s="1554"/>
      <c r="AO79" s="1626"/>
      <c r="AP79" s="771">
        <f t="shared" si="41"/>
        <v>0</v>
      </c>
      <c r="AQ79" s="1935">
        <f>AP79*local_data_input!$C20</f>
        <v>0</v>
      </c>
      <c r="AR79" s="1626"/>
      <c r="AS79" s="1554"/>
      <c r="AT79" s="1626"/>
      <c r="AU79" s="771">
        <f t="shared" si="42"/>
        <v>0</v>
      </c>
      <c r="AV79" s="1935">
        <f>AU79*local_data_input!$C20</f>
        <v>0</v>
      </c>
      <c r="AW79" s="1626"/>
      <c r="AX79" s="1554"/>
      <c r="AY79" s="1626"/>
      <c r="AZ79" s="771">
        <f t="shared" si="43"/>
        <v>0</v>
      </c>
      <c r="BA79" s="1935">
        <f>AZ79*local_data_input!$C20</f>
        <v>0</v>
      </c>
      <c r="BB79" s="1626"/>
      <c r="BC79" s="1554"/>
      <c r="BD79" s="1626"/>
      <c r="BE79" s="771">
        <f t="shared" si="44"/>
        <v>0</v>
      </c>
      <c r="BF79" s="1935">
        <f>BE79*local_data_input!$C20</f>
        <v>0</v>
      </c>
      <c r="BG79" s="1626"/>
      <c r="BH79" s="1554"/>
      <c r="BI79" s="1626"/>
      <c r="BJ79" s="771">
        <f t="shared" si="45"/>
        <v>0</v>
      </c>
      <c r="BK79" s="1935">
        <f>BJ79*local_data_input!$C20</f>
        <v>0</v>
      </c>
      <c r="BL79" s="1626"/>
      <c r="BM79" s="1554"/>
      <c r="BN79" s="1626"/>
      <c r="BO79" s="771">
        <f t="shared" si="46"/>
        <v>0</v>
      </c>
      <c r="BP79" s="1935">
        <f>BO79*local_data_input!$C20</f>
        <v>0</v>
      </c>
      <c r="BQ79" s="1626"/>
      <c r="BR79" s="1554"/>
      <c r="BS79" s="1626"/>
      <c r="BT79" s="771">
        <f t="shared" si="47"/>
        <v>0</v>
      </c>
      <c r="BU79" s="1935">
        <f>BT79*local_data_input!$C20</f>
        <v>0</v>
      </c>
      <c r="BV79" s="1623"/>
      <c r="BW79" s="1079"/>
      <c r="BX79" s="1600"/>
      <c r="BY79" s="771">
        <f t="shared" si="48"/>
        <v>734.47544581112743</v>
      </c>
      <c r="BZ79" s="1935">
        <f>BY79*local_data_input!$C20</f>
        <v>44803.002194478773</v>
      </c>
      <c r="CA79" s="1626"/>
      <c r="CB79" s="1554"/>
      <c r="CC79" s="1626"/>
      <c r="CD79" s="771">
        <f t="shared" si="49"/>
        <v>0</v>
      </c>
      <c r="CE79" s="1935">
        <f>CD79*local_data_input!$C20</f>
        <v>0</v>
      </c>
      <c r="CF79" s="1626"/>
      <c r="CG79" s="1554"/>
      <c r="CH79" s="1626"/>
      <c r="CI79" s="771">
        <f t="shared" si="50"/>
        <v>177.03358105740682</v>
      </c>
      <c r="CJ79" s="1935">
        <f>CI79*local_data_input!$C20</f>
        <v>10799.048444501816</v>
      </c>
      <c r="CK79" s="1626"/>
      <c r="CL79" s="1554"/>
      <c r="CM79" s="1626"/>
      <c r="CN79" s="771">
        <f t="shared" si="51"/>
        <v>0</v>
      </c>
      <c r="CO79" s="1935">
        <f>CN79*local_data_input!$C20</f>
        <v>0</v>
      </c>
      <c r="CP79" s="1626"/>
      <c r="CQ79" s="1554"/>
      <c r="CR79" s="1626"/>
      <c r="CS79" s="771">
        <f t="shared" si="52"/>
        <v>0</v>
      </c>
      <c r="CT79" s="1935">
        <f>CS79*local_data_input!$C20</f>
        <v>0</v>
      </c>
      <c r="CU79" s="1626"/>
      <c r="CV79" s="1554"/>
      <c r="CW79" s="1626"/>
      <c r="CX79" s="771">
        <f t="shared" si="53"/>
        <v>0</v>
      </c>
      <c r="CY79" s="1935">
        <f>CX79*local_data_input!$C20</f>
        <v>0</v>
      </c>
      <c r="CZ79" s="1626"/>
      <c r="DA79" s="1554"/>
      <c r="DB79" s="1626"/>
      <c r="DC79" s="771">
        <f t="shared" si="54"/>
        <v>0</v>
      </c>
      <c r="DD79" s="1935">
        <f>DC79*local_data_input!$C20</f>
        <v>0</v>
      </c>
      <c r="DE79" s="1626"/>
      <c r="DF79" s="1554"/>
      <c r="DG79" s="1626"/>
      <c r="DH79" s="771">
        <f t="shared" si="55"/>
        <v>-4838.9178822357862</v>
      </c>
      <c r="DI79" s="1935">
        <f>DH79*local_data_input!$C20</f>
        <v>-295173.99081638298</v>
      </c>
      <c r="DJ79" s="1626"/>
      <c r="DK79" s="1554"/>
      <c r="DL79" s="1626"/>
      <c r="DM79" s="771">
        <f t="shared" si="56"/>
        <v>189.27662482974139</v>
      </c>
      <c r="DN79" s="1935">
        <f>DM79*local_data_input!$C20</f>
        <v>11545.874114614226</v>
      </c>
      <c r="DO79" s="1626"/>
      <c r="DP79" s="1554"/>
    </row>
    <row r="80" spans="3:120" s="1119" customFormat="1">
      <c r="C80" s="537"/>
      <c r="D80" s="1116"/>
      <c r="E80" s="1627"/>
      <c r="F80" s="1626"/>
      <c r="G80" s="1558"/>
      <c r="H80" s="1626"/>
      <c r="I80" s="1626"/>
      <c r="J80" s="1554"/>
      <c r="K80" s="1600"/>
      <c r="L80" s="1627"/>
      <c r="M80" s="1628"/>
      <c r="N80" s="1626"/>
      <c r="O80" s="1554"/>
      <c r="P80" s="1626"/>
      <c r="Q80" s="1627"/>
      <c r="R80" s="1628"/>
      <c r="S80" s="1626"/>
      <c r="T80" s="1554"/>
      <c r="U80" s="1626"/>
      <c r="V80" s="1627"/>
      <c r="W80" s="1628"/>
      <c r="X80" s="1626"/>
      <c r="Y80" s="1554"/>
      <c r="Z80" s="1626"/>
      <c r="AA80" s="1627"/>
      <c r="AB80" s="1628"/>
      <c r="AC80" s="1626"/>
      <c r="AD80" s="1554"/>
      <c r="AE80" s="1626"/>
      <c r="AF80" s="1627"/>
      <c r="AG80" s="1628"/>
      <c r="AH80" s="1626"/>
      <c r="AI80" s="1554"/>
      <c r="AJ80" s="1626"/>
      <c r="AK80" s="1627"/>
      <c r="AL80" s="1628"/>
      <c r="AM80" s="1626"/>
      <c r="AN80" s="1554"/>
      <c r="AO80" s="1626"/>
      <c r="AP80" s="1627"/>
      <c r="AQ80" s="1628"/>
      <c r="AR80" s="1626"/>
      <c r="AS80" s="1554"/>
      <c r="AT80" s="1626"/>
      <c r="AU80" s="1627"/>
      <c r="AV80" s="1628"/>
      <c r="AW80" s="1626"/>
      <c r="AX80" s="1554"/>
      <c r="AY80" s="1626"/>
      <c r="AZ80" s="1627"/>
      <c r="BA80" s="1628"/>
      <c r="BB80" s="1626"/>
      <c r="BC80" s="1554"/>
      <c r="BD80" s="1626"/>
      <c r="BE80" s="1627"/>
      <c r="BF80" s="1628"/>
      <c r="BG80" s="1626"/>
      <c r="BH80" s="1554"/>
      <c r="BI80" s="1626"/>
      <c r="BJ80" s="1627"/>
      <c r="BK80" s="1628"/>
      <c r="BL80" s="1626"/>
      <c r="BM80" s="1554"/>
      <c r="BN80" s="1626"/>
      <c r="BO80" s="1627"/>
      <c r="BP80" s="1628"/>
      <c r="BQ80" s="1626"/>
      <c r="BR80" s="1554"/>
      <c r="BS80" s="1626"/>
      <c r="BT80" s="1627"/>
      <c r="BU80" s="1628"/>
      <c r="BV80" s="1623"/>
      <c r="BW80" s="1079"/>
      <c r="BX80" s="1600"/>
      <c r="BY80" s="1627"/>
      <c r="BZ80" s="1628"/>
      <c r="CA80" s="1626"/>
      <c r="CB80" s="1554"/>
      <c r="CC80" s="1626"/>
      <c r="CD80" s="1627"/>
      <c r="CE80" s="1628"/>
      <c r="CF80" s="1626"/>
      <c r="CG80" s="1554"/>
      <c r="CH80" s="1626"/>
      <c r="CI80" s="1627"/>
      <c r="CJ80" s="1628"/>
      <c r="CK80" s="1626"/>
      <c r="CL80" s="1554"/>
      <c r="CM80" s="1626"/>
      <c r="CN80" s="1627"/>
      <c r="CO80" s="1628"/>
      <c r="CP80" s="1626"/>
      <c r="CQ80" s="1554"/>
      <c r="CR80" s="1626"/>
      <c r="CS80" s="1627"/>
      <c r="CT80" s="1628"/>
      <c r="CU80" s="1626"/>
      <c r="CV80" s="1554"/>
      <c r="CW80" s="1626"/>
      <c r="CX80" s="1627"/>
      <c r="CY80" s="1628"/>
      <c r="CZ80" s="1626"/>
      <c r="DA80" s="1554"/>
      <c r="DB80" s="1626"/>
      <c r="DC80" s="1627"/>
      <c r="DD80" s="1628"/>
      <c r="DE80" s="1626"/>
      <c r="DF80" s="1554"/>
      <c r="DG80" s="1626"/>
      <c r="DH80" s="1627"/>
      <c r="DI80" s="1628"/>
      <c r="DJ80" s="1626"/>
      <c r="DK80" s="1554"/>
      <c r="DL80" s="1626"/>
      <c r="DM80" s="1627"/>
      <c r="DN80" s="1558"/>
      <c r="DO80" s="1626"/>
      <c r="DP80" s="1554"/>
    </row>
    <row r="81" spans="3:120" s="1119" customFormat="1">
      <c r="C81" s="1613" t="s">
        <v>977</v>
      </c>
      <c r="D81" s="1116"/>
      <c r="G81" s="1072">
        <f>M81+R81+W81+AB81+AG81+AL81+AQ81+AV81+BA81+BF81+BK81+BP81+BU81+BZ81+CE81+CJ81+CO81+CT81+CY81++DD81+DI81+DN81</f>
        <v>2910781.2879036027</v>
      </c>
      <c r="H81" s="1626"/>
      <c r="I81" s="1626"/>
      <c r="J81" s="1554"/>
      <c r="K81" s="1601"/>
      <c r="L81" s="1627"/>
      <c r="M81" s="1643"/>
      <c r="N81" s="1626"/>
      <c r="O81" s="1554"/>
      <c r="P81" s="1626"/>
      <c r="Q81" s="1627"/>
      <c r="R81" s="1643"/>
      <c r="S81" s="1626"/>
      <c r="T81" s="1554"/>
      <c r="U81" s="1626"/>
      <c r="V81" s="1627"/>
      <c r="W81" s="1643"/>
      <c r="X81" s="1626"/>
      <c r="Y81" s="1554"/>
      <c r="Z81" s="1626"/>
      <c r="AA81" s="1627"/>
      <c r="AB81" s="1643"/>
      <c r="AC81" s="1626"/>
      <c r="AD81" s="1554"/>
      <c r="AE81" s="1626"/>
      <c r="AF81" s="1627"/>
      <c r="AG81" s="1643"/>
      <c r="AH81" s="1626"/>
      <c r="AI81" s="1554"/>
      <c r="AJ81" s="1626"/>
      <c r="AK81" s="1627"/>
      <c r="AL81" s="1643"/>
      <c r="AM81" s="1626"/>
      <c r="AN81" s="1554"/>
      <c r="AO81" s="1626"/>
      <c r="AP81" s="1627"/>
      <c r="AQ81" s="1643"/>
      <c r="AR81" s="1626"/>
      <c r="AS81" s="1554"/>
      <c r="AT81" s="1626"/>
      <c r="AU81" s="1627"/>
      <c r="AV81" s="1643"/>
      <c r="AW81" s="1626"/>
      <c r="AX81" s="1554"/>
      <c r="AY81" s="1626"/>
      <c r="AZ81" s="1627"/>
      <c r="BA81" s="1643"/>
      <c r="BB81" s="1626"/>
      <c r="BC81" s="1554"/>
      <c r="BD81" s="1626"/>
      <c r="BE81" s="1627"/>
      <c r="BF81" s="1643"/>
      <c r="BG81" s="1626"/>
      <c r="BH81" s="1554"/>
      <c r="BI81" s="1626"/>
      <c r="BJ81" s="1627"/>
      <c r="BK81" s="1643"/>
      <c r="BL81" s="1626"/>
      <c r="BM81" s="1554"/>
      <c r="BN81" s="1626"/>
      <c r="BO81" s="1627"/>
      <c r="BP81" s="1643"/>
      <c r="BQ81" s="1626"/>
      <c r="BR81" s="1554"/>
      <c r="BS81" s="1626"/>
      <c r="BT81" s="1627"/>
      <c r="BU81" s="1643"/>
      <c r="BV81" s="1623"/>
      <c r="BW81" s="1079"/>
      <c r="BX81" s="1600"/>
      <c r="BY81" s="1627"/>
      <c r="BZ81" s="1643"/>
      <c r="CA81" s="1626"/>
      <c r="CB81" s="1554"/>
      <c r="CC81" s="1626"/>
      <c r="CD81" s="1627"/>
      <c r="CE81" s="1643"/>
      <c r="CF81" s="1626"/>
      <c r="CG81" s="1554"/>
      <c r="CH81" s="1626"/>
      <c r="CI81" s="1627"/>
      <c r="CJ81" s="1643"/>
      <c r="CK81" s="1626"/>
      <c r="CL81" s="1554"/>
      <c r="CM81" s="1626"/>
      <c r="CN81" s="1627"/>
      <c r="CO81" s="1072">
        <f>CM14</f>
        <v>2546824.9484574106</v>
      </c>
      <c r="CP81" s="1626"/>
      <c r="CQ81" s="1554"/>
      <c r="CR81" s="1626"/>
      <c r="CS81" s="1627"/>
      <c r="CT81" s="1643"/>
      <c r="CU81" s="1626"/>
      <c r="CV81" s="1554"/>
      <c r="CW81" s="1626"/>
      <c r="CX81" s="1627"/>
      <c r="CY81" s="1643"/>
      <c r="CZ81" s="1626"/>
      <c r="DA81" s="1554"/>
      <c r="DB81" s="1626"/>
      <c r="DC81" s="1627"/>
      <c r="DD81" s="1072">
        <f>DB14</f>
        <v>32287.211445926368</v>
      </c>
      <c r="DE81" s="1626"/>
      <c r="DF81" s="1554"/>
      <c r="DG81" s="1626"/>
      <c r="DH81" s="1627"/>
      <c r="DI81" s="1072">
        <f>DG14</f>
        <v>292636.15542073135</v>
      </c>
      <c r="DJ81" s="1626"/>
      <c r="DK81" s="1554"/>
      <c r="DL81" s="1626"/>
      <c r="DM81" s="1627"/>
      <c r="DN81" s="1072">
        <f>DL14</f>
        <v>39032.972579534791</v>
      </c>
      <c r="DO81" s="1626"/>
      <c r="DP81" s="1554"/>
    </row>
    <row r="82" spans="3:120">
      <c r="C82" s="1613" t="s">
        <v>1139</v>
      </c>
      <c r="G82" s="1072">
        <f>SUM(G63:G81)</f>
        <v>-25435162.1043946</v>
      </c>
      <c r="J82" s="1554"/>
      <c r="M82" s="1072">
        <f>SUM(M63:M81)</f>
        <v>-448117.16583141539</v>
      </c>
      <c r="O82" s="1554"/>
      <c r="R82" s="1072">
        <f>SUM(R63:R81)</f>
        <v>-1362675.4333783248</v>
      </c>
      <c r="T82" s="1554"/>
      <c r="W82" s="1072">
        <f>SUM(W63:W81)</f>
        <v>-416332.94666347827</v>
      </c>
      <c r="Y82" s="1554"/>
      <c r="AB82" s="1072">
        <f>SUM(AB63:AB81)</f>
        <v>-243682.62918964395</v>
      </c>
      <c r="AD82" s="1554"/>
      <c r="AG82" s="1072">
        <f>SUM(AG63:AG81)</f>
        <v>-1087198.4786981698</v>
      </c>
      <c r="AI82" s="1554"/>
      <c r="AL82" s="1072">
        <f>SUM(AL63:AL81)</f>
        <v>-1681414.7503344945</v>
      </c>
      <c r="AN82" s="1554"/>
      <c r="AQ82" s="1072">
        <f>SUM(AQ63:AQ81)</f>
        <v>-986205.49628341338</v>
      </c>
      <c r="AS82" s="1554"/>
      <c r="AV82" s="1072">
        <f>SUM(AV63:AV81)</f>
        <v>0</v>
      </c>
      <c r="AX82" s="1554"/>
      <c r="BA82" s="1072">
        <f>SUM(BA63:BA81)</f>
        <v>-2866.5642503492418</v>
      </c>
      <c r="BC82" s="1554"/>
      <c r="BF82" s="1072">
        <f>SUM(BF63:BF81)</f>
        <v>-343644.13106059551</v>
      </c>
      <c r="BH82" s="1554"/>
      <c r="BK82" s="1072">
        <f>SUM(BK63:BK81)</f>
        <v>-449990.55105031328</v>
      </c>
      <c r="BM82" s="1554"/>
      <c r="BP82" s="1072">
        <f>SUM(BP63:BP81)</f>
        <v>-2080069.2396680955</v>
      </c>
      <c r="BR82" s="1554"/>
      <c r="BU82" s="1072">
        <f>SUM(BU63:BU81)</f>
        <v>-274662.92697710748</v>
      </c>
      <c r="BV82" s="1623"/>
      <c r="BX82" s="1600"/>
      <c r="BZ82" s="1072">
        <f>SUM(BZ63:BZ81)</f>
        <v>-889989.44161446264</v>
      </c>
      <c r="CB82" s="1554"/>
      <c r="CE82" s="1072">
        <f>SUM(CE63:CE81)</f>
        <v>-317351.20133612159</v>
      </c>
      <c r="CG82" s="1554"/>
      <c r="CJ82" s="1072">
        <f>SUM(CJ63:CJ81)</f>
        <v>-256822.81741602067</v>
      </c>
      <c r="CL82" s="1554"/>
      <c r="CO82" s="1072">
        <f>SUM(CO63:CO81)</f>
        <v>656368.97700467915</v>
      </c>
      <c r="CQ82" s="1554"/>
      <c r="CT82" s="1072">
        <f>SUM(CT63:CT81)</f>
        <v>-10864194.603236256</v>
      </c>
      <c r="CV82" s="1554"/>
      <c r="CY82" s="1072">
        <f>SUM(CY63:CY81)</f>
        <v>-686824.86695480754</v>
      </c>
      <c r="DA82" s="1554"/>
      <c r="DD82" s="1072">
        <f>SUM(DD63:DD81)</f>
        <v>-488794.09067597485</v>
      </c>
      <c r="DF82" s="1554"/>
      <c r="DI82" s="1072">
        <f>SUM(DI63:DI81)</f>
        <v>-2845191.9862023187</v>
      </c>
      <c r="DK82" s="1554"/>
      <c r="DN82" s="1072">
        <f>SUM(DN63:DN81)</f>
        <v>-365501.76057792205</v>
      </c>
      <c r="DP82" s="1554"/>
    </row>
    <row r="83" spans="3:120">
      <c r="C83" s="1613" t="s">
        <v>1141</v>
      </c>
      <c r="G83" s="1072">
        <f>G82+(E12/5)</f>
        <v>-24847744.724361032</v>
      </c>
      <c r="J83" s="1554"/>
      <c r="M83" s="1072">
        <f>M82+(K12/5)</f>
        <v>-443262.97853866644</v>
      </c>
      <c r="O83" s="1554"/>
      <c r="R83" s="1072">
        <f>R82+(P12/5)</f>
        <v>-1356607.6992623887</v>
      </c>
      <c r="T83" s="1554"/>
      <c r="W83" s="1072">
        <f>W82+(U12/5)</f>
        <v>-411478.75937072933</v>
      </c>
      <c r="Y83" s="1554"/>
      <c r="AB83" s="1072">
        <f>AB82+(Z12/5)</f>
        <v>-127182.13416366899</v>
      </c>
      <c r="AD83" s="1554"/>
      <c r="AG83" s="1072">
        <f>AG82+(AE12/5)</f>
        <v>-1055198.4786981698</v>
      </c>
      <c r="AI83" s="1554"/>
      <c r="AL83" s="1072">
        <f>AL82+(AJ12/5)</f>
        <v>-1605774.0541296396</v>
      </c>
      <c r="AN83" s="1554"/>
      <c r="AQ83" s="1072">
        <f>AQ82+(AO12/5)</f>
        <v>-831006.94205765869</v>
      </c>
      <c r="AS83" s="1554"/>
      <c r="AV83" s="1072">
        <f>AV82+(AT12/5)</f>
        <v>0</v>
      </c>
      <c r="AX83" s="1554"/>
      <c r="BA83" s="1072">
        <f>BA82+(AY12/5)</f>
        <v>42091.509282224397</v>
      </c>
      <c r="BC83" s="1554"/>
      <c r="BF83" s="1072">
        <f>BF82+(BD12/5)</f>
        <v>-335768.07394605468</v>
      </c>
      <c r="BH83" s="1554"/>
      <c r="BK83" s="1072">
        <f>BK82+(BI12/5)</f>
        <v>-442114.49393577245</v>
      </c>
      <c r="BM83" s="1554"/>
      <c r="BP83" s="1072">
        <f>BP82+(BN12/5)</f>
        <v>-2076912.140805905</v>
      </c>
      <c r="BR83" s="1554"/>
      <c r="BU83" s="1072">
        <f>BU82+(BS12/5)</f>
        <v>-271505.82811491704</v>
      </c>
      <c r="BV83" s="1623"/>
      <c r="BX83" s="1600"/>
      <c r="BZ83" s="1072">
        <f>BZ82+(BX12/5)</f>
        <v>-842892.60793382383</v>
      </c>
      <c r="CB83" s="1554"/>
      <c r="CE83" s="1072">
        <f>CE82+(CC12/5)</f>
        <v>-301652.25677590864</v>
      </c>
      <c r="CG83" s="1554"/>
      <c r="CJ83" s="1072">
        <f>CJ82+(CH12/5)</f>
        <v>-247403.45067989291</v>
      </c>
      <c r="CL83" s="1554"/>
      <c r="CO83" s="1072">
        <f>CO82+(CM12/5)</f>
        <v>659319.53668896924</v>
      </c>
      <c r="CQ83" s="1554"/>
      <c r="CT83" s="1072">
        <f>CT82+(CR12/5)</f>
        <v>-10864194.603236256</v>
      </c>
      <c r="CV83" s="1554"/>
      <c r="CY83" s="1072">
        <f>CY82+(CW12/5)</f>
        <v>-685247.56174789299</v>
      </c>
      <c r="DA83" s="1554"/>
      <c r="DD83" s="1072">
        <f>DD82+(DB12/5)</f>
        <v>-475712.26832429483</v>
      </c>
      <c r="DF83" s="1554"/>
      <c r="DI83" s="1072">
        <f>DI82+(DG12/5)</f>
        <v>-2815928.3706602454</v>
      </c>
      <c r="DK83" s="1554"/>
      <c r="DN83" s="1072">
        <f>DN82+(DL12/5)</f>
        <v>-359313.06795034517</v>
      </c>
      <c r="DP83" s="1554"/>
    </row>
  </sheetData>
  <mergeCells count="5">
    <mergeCell ref="B4:B7"/>
    <mergeCell ref="B9:B14"/>
    <mergeCell ref="E1:F1"/>
    <mergeCell ref="I1:J1"/>
    <mergeCell ref="A1:B1"/>
  </mergeCells>
  <pageMargins left="0.70866141732283472" right="0.70866141732283472" top="0.74803149606299213" bottom="0.74803149606299213" header="0.31496062992125984" footer="0.31496062992125984"/>
  <pageSetup paperSize="9" scale="33" fitToWidth="0" orientation="landscape" r:id="rId1"/>
  <colBreaks count="6" manualBreakCount="6">
    <brk id="31" max="1048575" man="1"/>
    <brk id="46" max="1048575" man="1"/>
    <brk id="61" max="1048575" man="1"/>
    <brk id="76" max="1048575" man="1"/>
    <brk id="91" max="1048575" man="1"/>
    <brk id="106" max="1048575" man="1"/>
  </colBreaks>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C000"/>
    <pageSetUpPr fitToPage="1"/>
  </sheetPr>
  <dimension ref="A1:C9"/>
  <sheetViews>
    <sheetView showGridLines="0" zoomScaleSheetLayoutView="100" workbookViewId="0">
      <selection activeCell="B1" sqref="B1"/>
    </sheetView>
  </sheetViews>
  <sheetFormatPr defaultColWidth="8.7109375" defaultRowHeight="14.25"/>
  <cols>
    <col min="1" max="1" width="78.42578125" style="18" customWidth="1"/>
    <col min="2" max="2" width="31.140625" style="285" customWidth="1"/>
    <col min="3" max="3" width="50.42578125" style="285" customWidth="1"/>
    <col min="4" max="16384" width="8.7109375" style="38"/>
  </cols>
  <sheetData>
    <row r="1" spans="1:3" ht="26.1" customHeight="1">
      <c r="A1" s="1721" t="str">
        <f>HYPERLINK("[.\]Menu!A1", "Back to Menu")</f>
        <v>Back to Menu</v>
      </c>
      <c r="B1" s="2220" t="str">
        <f>HYPERLINK("[.\]D2A!B2", "Back to transfer to assess")</f>
        <v>Back to transfer to assess</v>
      </c>
      <c r="C1" s="1843"/>
    </row>
    <row r="2" spans="1:3" ht="15.75">
      <c r="A2" s="820" t="s">
        <v>369</v>
      </c>
      <c r="B2" s="821" t="s">
        <v>370</v>
      </c>
      <c r="C2" s="821" t="s">
        <v>989</v>
      </c>
    </row>
    <row r="3" spans="1:3" ht="15">
      <c r="A3" s="2693" t="s">
        <v>884</v>
      </c>
      <c r="B3" s="2693"/>
      <c r="C3" s="2693"/>
    </row>
    <row r="4" spans="1:3" ht="370.5">
      <c r="A4" s="851" t="s">
        <v>924</v>
      </c>
      <c r="B4" s="851" t="s">
        <v>883</v>
      </c>
      <c r="C4" s="828"/>
    </row>
    <row r="5" spans="1:3" ht="156.75">
      <c r="A5" s="851" t="s">
        <v>882</v>
      </c>
      <c r="B5" s="851" t="s">
        <v>881</v>
      </c>
      <c r="C5" s="828"/>
    </row>
    <row r="6" spans="1:3" ht="156.75">
      <c r="A6" s="851" t="s">
        <v>880</v>
      </c>
      <c r="B6" s="851" t="s">
        <v>879</v>
      </c>
      <c r="C6" s="851" t="s">
        <v>878</v>
      </c>
    </row>
    <row r="7" spans="1:3" ht="85.5">
      <c r="A7" s="851" t="s">
        <v>877</v>
      </c>
      <c r="B7" s="851" t="s">
        <v>876</v>
      </c>
      <c r="C7" s="1060"/>
    </row>
    <row r="8" spans="1:3" ht="15">
      <c r="A8" s="2694" t="s">
        <v>875</v>
      </c>
      <c r="B8" s="2694"/>
      <c r="C8" s="2694"/>
    </row>
    <row r="9" spans="1:3" ht="256.5">
      <c r="A9" s="851" t="s">
        <v>990</v>
      </c>
      <c r="B9" s="1059" t="s">
        <v>874</v>
      </c>
      <c r="C9" s="1057"/>
    </row>
  </sheetData>
  <mergeCells count="2">
    <mergeCell ref="A3:C3"/>
    <mergeCell ref="A8:C8"/>
  </mergeCells>
  <pageMargins left="0.70866141732283472" right="0.70866141732283472" top="0.74803149606299213" bottom="0.74803149606299213" header="0.31496062992125984" footer="0.31496062992125984"/>
  <pageSetup paperSize="8" scale="81" fitToHeight="0" orientation="portrait"/>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000"/>
    <pageSetUpPr fitToPage="1"/>
  </sheetPr>
  <dimension ref="A1:C8"/>
  <sheetViews>
    <sheetView showGridLines="0" topLeftCell="A4" zoomScale="75" zoomScaleNormal="75" zoomScalePageLayoutView="75" workbookViewId="0">
      <pane xSplit="1" ySplit="2" topLeftCell="B6" activePane="bottomRight" state="frozen"/>
      <selection activeCell="C3" sqref="C3"/>
      <selection pane="topRight" activeCell="C3" sqref="C3"/>
      <selection pane="bottomLeft" activeCell="C3" sqref="C3"/>
      <selection pane="bottomRight" activeCell="B4" sqref="B4"/>
    </sheetView>
  </sheetViews>
  <sheetFormatPr defaultColWidth="8.7109375" defaultRowHeight="14.25"/>
  <cols>
    <col min="1" max="1" width="54.140625" style="38" customWidth="1"/>
    <col min="2" max="2" width="56.7109375" style="38" customWidth="1"/>
    <col min="3" max="16384" width="8.7109375" style="38"/>
  </cols>
  <sheetData>
    <row r="1" spans="1:3" ht="14.45" customHeight="1">
      <c r="A1" s="66" t="s">
        <v>867</v>
      </c>
    </row>
    <row r="2" spans="1:3" ht="15">
      <c r="A2" s="66"/>
    </row>
    <row r="3" spans="1:3" ht="18">
      <c r="A3" s="427" t="s">
        <v>866</v>
      </c>
      <c r="B3" s="421"/>
    </row>
    <row r="4" spans="1:3" ht="26.1" customHeight="1">
      <c r="A4" s="1843" t="str">
        <f>HYPERLINK("[.\]Menu!A1", "Back to Menu")</f>
        <v>Back to Menu</v>
      </c>
      <c r="B4" s="1843" t="str">
        <f>HYPERLINK("[.\]Dis_Pl!B2", "Back to discharge planning")</f>
        <v>Back to discharge planning</v>
      </c>
      <c r="C4" s="1843"/>
    </row>
    <row r="5" spans="1:3" ht="21.6" customHeight="1">
      <c r="A5" s="1058" t="s">
        <v>446</v>
      </c>
      <c r="B5" s="1058" t="s">
        <v>986</v>
      </c>
    </row>
    <row r="6" spans="1:3" ht="29.1" customHeight="1">
      <c r="A6" s="417" t="s">
        <v>865</v>
      </c>
      <c r="B6" s="417" t="s">
        <v>864</v>
      </c>
    </row>
    <row r="7" spans="1:3" ht="42.75">
      <c r="A7" s="416" t="s">
        <v>863</v>
      </c>
      <c r="B7" s="416" t="s">
        <v>862</v>
      </c>
    </row>
    <row r="8" spans="1:3" ht="28.5">
      <c r="A8" s="416" t="s">
        <v>861</v>
      </c>
      <c r="B8" s="417"/>
    </row>
  </sheetData>
  <pageMargins left="0.70866141732283472" right="0.70866141732283472" top="0.74803149606299213" bottom="0.74803149606299213" header="0.31496062992125984" footer="0.31496062992125984"/>
  <pageSetup paperSize="9" scale="78" orientation="portrait"/>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C000"/>
    <pageSetUpPr fitToPage="1"/>
  </sheetPr>
  <dimension ref="A1:IV68"/>
  <sheetViews>
    <sheetView showGridLines="0" zoomScale="75" zoomScaleNormal="75" zoomScaleSheetLayoutView="100" zoomScalePageLayoutView="75" workbookViewId="0"/>
  </sheetViews>
  <sheetFormatPr defaultColWidth="8.7109375" defaultRowHeight="14.25"/>
  <cols>
    <col min="1" max="1" width="64.42578125" style="67" customWidth="1"/>
    <col min="2" max="2" width="28.28515625" style="67" customWidth="1"/>
    <col min="3" max="3" width="65.28515625" style="67" customWidth="1"/>
    <col min="4" max="4" width="19.140625" style="67" customWidth="1"/>
    <col min="5" max="16384" width="8.7109375" style="67"/>
  </cols>
  <sheetData>
    <row r="1" spans="1:256" s="38" customFormat="1" ht="26.1" customHeight="1">
      <c r="A1" s="1843" t="str">
        <f>HYPERLINK("[.\]Menu!A1", "Back to Menu")</f>
        <v>Back to Menu</v>
      </c>
      <c r="B1" s="1843" t="str">
        <f>HYPERLINK("[.\]Rapid_response!B2", "Back to rapid response")</f>
        <v>Back to rapid response</v>
      </c>
      <c r="C1" s="1794"/>
    </row>
    <row r="2" spans="1:256" ht="15.75">
      <c r="A2" s="822" t="s">
        <v>369</v>
      </c>
      <c r="B2" s="822" t="s">
        <v>370</v>
      </c>
      <c r="C2" s="822" t="s">
        <v>986</v>
      </c>
    </row>
    <row r="3" spans="1:256" ht="90.95" customHeight="1">
      <c r="A3" s="1241" t="s">
        <v>1043</v>
      </c>
      <c r="B3" s="849" t="s">
        <v>846</v>
      </c>
      <c r="C3" s="519" t="s">
        <v>845</v>
      </c>
    </row>
    <row r="4" spans="1:256" ht="234" customHeight="1">
      <c r="A4" s="849" t="s">
        <v>961</v>
      </c>
      <c r="B4" s="849" t="s">
        <v>844</v>
      </c>
      <c r="C4" s="519" t="s">
        <v>843</v>
      </c>
    </row>
    <row r="5" spans="1:256" ht="99.75">
      <c r="A5" s="849" t="s">
        <v>842</v>
      </c>
      <c r="B5" s="849" t="s">
        <v>841</v>
      </c>
      <c r="C5" s="519" t="s">
        <v>840</v>
      </c>
      <c r="D5" s="830"/>
      <c r="E5" s="830"/>
      <c r="F5" s="831"/>
      <c r="G5" s="830"/>
      <c r="H5" s="830"/>
      <c r="I5" s="831"/>
      <c r="J5" s="830"/>
      <c r="K5" s="830"/>
      <c r="L5" s="831"/>
      <c r="M5" s="830"/>
      <c r="N5" s="830"/>
      <c r="O5" s="831"/>
      <c r="P5" s="830"/>
      <c r="Q5" s="830"/>
      <c r="R5" s="831"/>
      <c r="S5" s="830"/>
      <c r="T5" s="830"/>
      <c r="U5" s="831"/>
      <c r="V5" s="830"/>
      <c r="W5" s="830"/>
      <c r="X5" s="831"/>
      <c r="Y5" s="830"/>
      <c r="Z5" s="830"/>
      <c r="AA5" s="831"/>
      <c r="AB5" s="830"/>
      <c r="AC5" s="830"/>
      <c r="AD5" s="831"/>
      <c r="AE5" s="830"/>
      <c r="AF5" s="830"/>
      <c r="AG5" s="831"/>
      <c r="AH5" s="830"/>
      <c r="AI5" s="830"/>
      <c r="AJ5" s="831"/>
      <c r="AK5" s="830"/>
      <c r="AL5" s="830"/>
      <c r="AM5" s="831"/>
      <c r="AN5" s="830"/>
      <c r="AO5" s="830"/>
      <c r="AP5" s="831"/>
      <c r="AQ5" s="830"/>
      <c r="AR5" s="830"/>
      <c r="AS5" s="831"/>
      <c r="AT5" s="830"/>
      <c r="AU5" s="830"/>
      <c r="AV5" s="831"/>
      <c r="AW5" s="830"/>
      <c r="AX5" s="830"/>
      <c r="AY5" s="831"/>
      <c r="AZ5" s="830"/>
      <c r="BA5" s="830"/>
      <c r="BB5" s="831"/>
      <c r="BC5" s="830"/>
      <c r="BD5" s="830"/>
      <c r="BE5" s="831"/>
      <c r="BF5" s="830"/>
      <c r="BG5" s="830"/>
      <c r="BH5" s="831"/>
      <c r="BI5" s="830"/>
      <c r="BJ5" s="830"/>
      <c r="BK5" s="831"/>
      <c r="BL5" s="830"/>
      <c r="BM5" s="830"/>
      <c r="BN5" s="831"/>
      <c r="BO5" s="830"/>
      <c r="BP5" s="830"/>
      <c r="BQ5" s="831"/>
      <c r="BR5" s="830"/>
      <c r="BS5" s="830"/>
      <c r="BT5" s="831"/>
      <c r="BU5" s="830"/>
      <c r="BV5" s="830"/>
      <c r="BW5" s="831"/>
      <c r="BX5" s="830"/>
      <c r="BY5" s="830"/>
      <c r="BZ5" s="831"/>
      <c r="CA5" s="830"/>
      <c r="CB5" s="830"/>
      <c r="CC5" s="831"/>
      <c r="CD5" s="830"/>
      <c r="CE5" s="830"/>
      <c r="CF5" s="831"/>
      <c r="CG5" s="830"/>
      <c r="CH5" s="830"/>
      <c r="CI5" s="831"/>
      <c r="CJ5" s="830"/>
      <c r="CK5" s="830"/>
      <c r="CL5" s="831"/>
      <c r="CM5" s="830"/>
      <c r="CN5" s="830"/>
      <c r="CO5" s="831"/>
      <c r="CP5" s="830"/>
      <c r="CQ5" s="830"/>
      <c r="CR5" s="831"/>
      <c r="CS5" s="830"/>
      <c r="CT5" s="830"/>
      <c r="CU5" s="831"/>
      <c r="CV5" s="830"/>
      <c r="CW5" s="830"/>
      <c r="CX5" s="831"/>
      <c r="CY5" s="830"/>
      <c r="CZ5" s="830"/>
      <c r="DA5" s="831"/>
      <c r="DB5" s="830"/>
      <c r="DC5" s="830"/>
      <c r="DD5" s="831"/>
      <c r="DE5" s="830"/>
      <c r="DF5" s="830"/>
      <c r="DG5" s="831"/>
      <c r="DH5" s="830"/>
      <c r="DI5" s="830"/>
      <c r="DJ5" s="831"/>
      <c r="DK5" s="830"/>
      <c r="DL5" s="830"/>
      <c r="DM5" s="831"/>
      <c r="DN5" s="830"/>
      <c r="DO5" s="830"/>
      <c r="DP5" s="831"/>
      <c r="DQ5" s="830"/>
      <c r="DR5" s="830"/>
      <c r="DS5" s="831"/>
      <c r="DT5" s="830"/>
      <c r="DU5" s="830"/>
      <c r="DV5" s="831"/>
      <c r="DW5" s="830"/>
      <c r="DX5" s="830"/>
      <c r="DY5" s="831"/>
      <c r="DZ5" s="830"/>
      <c r="EA5" s="830"/>
      <c r="EB5" s="831"/>
      <c r="EC5" s="830"/>
      <c r="ED5" s="830"/>
      <c r="EE5" s="831"/>
      <c r="EF5" s="830"/>
      <c r="EG5" s="830"/>
      <c r="EH5" s="831"/>
      <c r="EI5" s="830"/>
      <c r="EJ5" s="830"/>
      <c r="EK5" s="831"/>
      <c r="EL5" s="830"/>
      <c r="EM5" s="830"/>
      <c r="EN5" s="831"/>
      <c r="EO5" s="830"/>
      <c r="EP5" s="830"/>
      <c r="EQ5" s="831"/>
      <c r="ER5" s="830"/>
      <c r="ES5" s="830"/>
      <c r="ET5" s="831"/>
      <c r="EU5" s="830"/>
      <c r="EV5" s="830"/>
      <c r="EW5" s="831"/>
      <c r="EX5" s="830"/>
      <c r="EY5" s="830"/>
      <c r="EZ5" s="831"/>
      <c r="FA5" s="830"/>
      <c r="FB5" s="830"/>
      <c r="FC5" s="831"/>
      <c r="FD5" s="830"/>
      <c r="FE5" s="830"/>
      <c r="FF5" s="831"/>
      <c r="FG5" s="830"/>
      <c r="FH5" s="830"/>
      <c r="FI5" s="831"/>
      <c r="FJ5" s="830"/>
      <c r="FK5" s="830"/>
      <c r="FL5" s="831"/>
      <c r="FM5" s="830"/>
      <c r="FN5" s="830"/>
      <c r="FO5" s="831"/>
      <c r="FP5" s="830"/>
      <c r="FQ5" s="830"/>
      <c r="FR5" s="831"/>
      <c r="FS5" s="830"/>
      <c r="FT5" s="830"/>
      <c r="FU5" s="831"/>
      <c r="FV5" s="830"/>
      <c r="FW5" s="830"/>
      <c r="FX5" s="831"/>
      <c r="FY5" s="830"/>
      <c r="FZ5" s="830"/>
      <c r="GA5" s="831"/>
      <c r="GB5" s="830"/>
      <c r="GC5" s="830"/>
      <c r="GD5" s="831"/>
      <c r="GE5" s="830"/>
      <c r="GF5" s="830"/>
      <c r="GG5" s="831"/>
      <c r="GH5" s="830"/>
      <c r="GI5" s="830"/>
      <c r="GJ5" s="831"/>
      <c r="GK5" s="830"/>
      <c r="GL5" s="830"/>
      <c r="GM5" s="831"/>
      <c r="GN5" s="830"/>
      <c r="GO5" s="830"/>
      <c r="GP5" s="831"/>
      <c r="GQ5" s="830"/>
      <c r="GR5" s="830"/>
      <c r="GS5" s="831"/>
      <c r="GT5" s="830"/>
      <c r="GU5" s="830"/>
      <c r="GV5" s="831"/>
      <c r="GW5" s="830"/>
      <c r="GX5" s="830"/>
      <c r="GY5" s="831"/>
      <c r="GZ5" s="830"/>
      <c r="HA5" s="830"/>
      <c r="HB5" s="831"/>
      <c r="HC5" s="830"/>
      <c r="HD5" s="830"/>
      <c r="HE5" s="831"/>
      <c r="HF5" s="830"/>
      <c r="HG5" s="830"/>
      <c r="HH5" s="831"/>
      <c r="HI5" s="830"/>
      <c r="HJ5" s="830"/>
      <c r="HK5" s="831"/>
      <c r="HL5" s="830"/>
      <c r="HM5" s="830"/>
      <c r="HN5" s="831"/>
      <c r="HO5" s="830"/>
      <c r="HP5" s="830"/>
      <c r="HQ5" s="831"/>
      <c r="HR5" s="830"/>
      <c r="HS5" s="830"/>
      <c r="HT5" s="831"/>
      <c r="HU5" s="830"/>
      <c r="HV5" s="830"/>
      <c r="HW5" s="831"/>
      <c r="HX5" s="830"/>
      <c r="HY5" s="830"/>
      <c r="HZ5" s="831"/>
      <c r="IA5" s="830"/>
      <c r="IB5" s="830"/>
      <c r="IC5" s="831"/>
      <c r="ID5" s="830"/>
      <c r="IE5" s="830"/>
      <c r="IF5" s="831"/>
      <c r="IG5" s="830"/>
      <c r="IH5" s="830"/>
      <c r="II5" s="831"/>
      <c r="IJ5" s="830"/>
      <c r="IK5" s="830"/>
      <c r="IL5" s="831"/>
      <c r="IM5" s="830"/>
      <c r="IN5" s="830"/>
      <c r="IO5" s="831"/>
      <c r="IP5" s="830"/>
      <c r="IQ5" s="830"/>
      <c r="IR5" s="831"/>
      <c r="IS5" s="830"/>
      <c r="IT5" s="830"/>
      <c r="IU5" s="831"/>
      <c r="IV5" s="830"/>
    </row>
    <row r="6" spans="1:256" ht="79.5" customHeight="1">
      <c r="A6" s="765" t="s">
        <v>839</v>
      </c>
      <c r="B6" s="765" t="s">
        <v>838</v>
      </c>
      <c r="C6" s="766" t="s">
        <v>837</v>
      </c>
      <c r="D6" s="832"/>
      <c r="E6" s="833"/>
    </row>
    <row r="7" spans="1:256" ht="101.1" customHeight="1">
      <c r="A7" s="765" t="s">
        <v>836</v>
      </c>
      <c r="B7" s="765" t="s">
        <v>835</v>
      </c>
      <c r="C7" s="765" t="s">
        <v>834</v>
      </c>
      <c r="D7" s="833"/>
      <c r="E7" s="833"/>
    </row>
    <row r="8" spans="1:256">
      <c r="A8" s="541"/>
      <c r="B8" s="541"/>
      <c r="C8" s="541"/>
      <c r="D8" s="833"/>
      <c r="E8" s="833"/>
    </row>
    <row r="9" spans="1:256">
      <c r="A9" s="541"/>
      <c r="B9" s="541"/>
      <c r="C9" s="541"/>
      <c r="D9" s="2696"/>
      <c r="E9" s="2696"/>
    </row>
    <row r="10" spans="1:256">
      <c r="A10" s="541"/>
      <c r="B10" s="541"/>
      <c r="C10" s="541"/>
      <c r="D10" s="833"/>
      <c r="E10" s="833"/>
    </row>
    <row r="11" spans="1:256">
      <c r="A11" s="541"/>
      <c r="B11" s="834"/>
      <c r="C11" s="541"/>
      <c r="D11" s="833"/>
      <c r="E11" s="833"/>
    </row>
    <row r="12" spans="1:256">
      <c r="A12" s="541"/>
      <c r="B12" s="2697">
        <v>868</v>
      </c>
      <c r="C12" s="2697"/>
      <c r="D12" s="835"/>
      <c r="E12" s="833"/>
    </row>
    <row r="13" spans="1:256">
      <c r="A13" s="541"/>
      <c r="B13" s="541"/>
      <c r="C13" s="541">
        <f>B12*0.37</f>
        <v>321.15999999999997</v>
      </c>
      <c r="D13" s="833"/>
      <c r="E13" s="833"/>
    </row>
    <row r="14" spans="1:256">
      <c r="A14" s="541"/>
      <c r="B14" s="834"/>
      <c r="C14" s="541"/>
      <c r="D14" s="833"/>
      <c r="E14" s="833"/>
    </row>
    <row r="15" spans="1:256">
      <c r="A15" s="541"/>
      <c r="B15" s="541"/>
      <c r="C15" s="541"/>
      <c r="D15" s="836"/>
      <c r="E15" s="833"/>
    </row>
    <row r="16" spans="1:256">
      <c r="A16" s="541"/>
      <c r="B16" s="541"/>
      <c r="C16" s="541"/>
      <c r="D16" s="835"/>
      <c r="E16" s="833"/>
    </row>
    <row r="17" spans="2:9">
      <c r="D17" s="835"/>
      <c r="E17" s="833"/>
    </row>
    <row r="18" spans="2:9">
      <c r="B18" s="834"/>
      <c r="D18" s="835"/>
      <c r="E18" s="833"/>
    </row>
    <row r="19" spans="2:9">
      <c r="B19" s="2696"/>
      <c r="C19" s="2696"/>
      <c r="D19" s="837"/>
      <c r="E19" s="833"/>
    </row>
    <row r="20" spans="2:9">
      <c r="B20" s="2696"/>
      <c r="C20" s="2696"/>
      <c r="D20" s="837"/>
      <c r="E20" s="833"/>
    </row>
    <row r="24" spans="2:9">
      <c r="D24" s="838"/>
    </row>
    <row r="27" spans="2:9">
      <c r="B27" s="834"/>
    </row>
    <row r="28" spans="2:9">
      <c r="B28" s="2695"/>
      <c r="C28" s="2695"/>
      <c r="D28" s="2695"/>
      <c r="E28" s="2695"/>
      <c r="F28" s="2695"/>
      <c r="G28" s="2695"/>
      <c r="H28" s="2695"/>
      <c r="I28" s="2695"/>
    </row>
    <row r="30" spans="2:9" ht="15">
      <c r="B30" s="742"/>
    </row>
    <row r="31" spans="2:9">
      <c r="B31" s="2695"/>
      <c r="C31" s="2695"/>
      <c r="D31" s="2695"/>
      <c r="E31" s="2695"/>
      <c r="F31" s="2695"/>
      <c r="G31" s="2695"/>
      <c r="H31" s="2695"/>
      <c r="I31" s="2695"/>
    </row>
    <row r="32" spans="2:9">
      <c r="B32" s="2695"/>
      <c r="C32" s="2695"/>
      <c r="D32" s="2695"/>
      <c r="E32" s="2695"/>
      <c r="F32" s="2695"/>
      <c r="G32" s="2695"/>
      <c r="H32" s="2695"/>
      <c r="I32" s="2695"/>
    </row>
    <row r="33" spans="1:9">
      <c r="B33" s="2695"/>
      <c r="C33" s="2695"/>
      <c r="D33" s="2695"/>
      <c r="E33" s="2695"/>
      <c r="F33" s="2695"/>
      <c r="G33" s="2695"/>
      <c r="H33" s="2695"/>
      <c r="I33" s="2695"/>
    </row>
    <row r="34" spans="1:9">
      <c r="B34" s="2695"/>
      <c r="C34" s="2695"/>
      <c r="D34" s="2695"/>
      <c r="E34" s="2695"/>
      <c r="F34" s="2695"/>
      <c r="G34" s="2695"/>
      <c r="H34" s="2695"/>
      <c r="I34" s="2695"/>
    </row>
    <row r="35" spans="1:9">
      <c r="B35" s="2695"/>
      <c r="C35" s="2695"/>
      <c r="D35" s="2695"/>
      <c r="E35" s="2695"/>
      <c r="F35" s="2695"/>
      <c r="G35" s="2695"/>
      <c r="H35" s="2695"/>
      <c r="I35" s="2695"/>
    </row>
    <row r="38" spans="1:9" ht="15.75">
      <c r="A38" s="839"/>
    </row>
    <row r="40" spans="1:9" ht="15">
      <c r="B40" s="840"/>
      <c r="C40" s="841"/>
      <c r="D40" s="840"/>
    </row>
    <row r="41" spans="1:9">
      <c r="B41" s="426"/>
      <c r="C41" s="503"/>
      <c r="D41" s="426"/>
    </row>
    <row r="42" spans="1:9">
      <c r="B42" s="426"/>
      <c r="C42" s="503"/>
    </row>
    <row r="48" spans="1:9" ht="15">
      <c r="A48" s="842"/>
      <c r="C48" s="742"/>
    </row>
    <row r="49" spans="1:3" ht="15">
      <c r="A49" s="842"/>
      <c r="C49" s="742"/>
    </row>
    <row r="50" spans="1:3">
      <c r="B50" s="843"/>
    </row>
    <row r="51" spans="1:3">
      <c r="A51" s="833"/>
      <c r="B51" s="844"/>
      <c r="C51" s="426"/>
    </row>
    <row r="52" spans="1:3">
      <c r="B52" s="845"/>
      <c r="C52" s="426"/>
    </row>
    <row r="54" spans="1:3">
      <c r="B54" s="846"/>
    </row>
    <row r="56" spans="1:3">
      <c r="A56" s="833"/>
      <c r="B56" s="847"/>
      <c r="C56" s="426"/>
    </row>
    <row r="58" spans="1:3" ht="15">
      <c r="B58" s="840"/>
      <c r="C58" s="503"/>
    </row>
    <row r="59" spans="1:3" ht="15">
      <c r="B59" s="840"/>
      <c r="C59" s="503"/>
    </row>
    <row r="60" spans="1:3">
      <c r="B60" s="833"/>
      <c r="C60" s="503"/>
    </row>
    <row r="61" spans="1:3">
      <c r="B61" s="833"/>
      <c r="C61" s="503"/>
    </row>
    <row r="62" spans="1:3" ht="15">
      <c r="B62" s="840"/>
      <c r="C62" s="503"/>
    </row>
    <row r="63" spans="1:3">
      <c r="B63" s="833"/>
      <c r="C63" s="503"/>
    </row>
    <row r="64" spans="1:3">
      <c r="C64" s="503"/>
    </row>
    <row r="65" spans="2:3">
      <c r="C65" s="503"/>
    </row>
    <row r="66" spans="2:3">
      <c r="C66" s="503"/>
    </row>
    <row r="67" spans="2:3">
      <c r="B67" s="833"/>
      <c r="C67" s="503"/>
    </row>
    <row r="68" spans="2:3">
      <c r="B68" s="833"/>
      <c r="C68" s="848"/>
    </row>
  </sheetData>
  <mergeCells count="10">
    <mergeCell ref="B28:I28"/>
    <mergeCell ref="B35:I35"/>
    <mergeCell ref="D9:E9"/>
    <mergeCell ref="B19:C19"/>
    <mergeCell ref="B20:C20"/>
    <mergeCell ref="B12:C12"/>
    <mergeCell ref="B31:I31"/>
    <mergeCell ref="B32:I32"/>
    <mergeCell ref="B33:I33"/>
    <mergeCell ref="B34:I34"/>
  </mergeCells>
  <hyperlinks>
    <hyperlink ref="C6" r:id="rId1"/>
  </hyperlinks>
  <pageMargins left="0.70866141732283472" right="0.70866141732283472" top="0.74803149606299213" bottom="0.74803149606299213" header="0.31496062992125984" footer="0.31496062992125984"/>
  <pageSetup paperSize="9" scale="55" orientation="portrait"/>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C000"/>
    <pageSetUpPr fitToPage="1"/>
  </sheetPr>
  <dimension ref="A1:C10"/>
  <sheetViews>
    <sheetView showGridLines="0" workbookViewId="0"/>
  </sheetViews>
  <sheetFormatPr defaultColWidth="8.7109375" defaultRowHeight="14.25"/>
  <cols>
    <col min="1" max="1" width="60.85546875" style="18" customWidth="1"/>
    <col min="2" max="2" width="30" style="285" customWidth="1"/>
    <col min="3" max="3" width="16.28515625" style="285" customWidth="1"/>
    <col min="4" max="16384" width="8.7109375" style="38"/>
  </cols>
  <sheetData>
    <row r="1" spans="1:3" ht="26.1" customHeight="1">
      <c r="A1" s="1843" t="str">
        <f>HYPERLINK("[.\]Menu!A1", "Back to Menu")</f>
        <v>Back to Menu</v>
      </c>
      <c r="B1" s="1794" t="str">
        <f>HYPERLINK("[.\]Falls!B2", "Back to falls response training")</f>
        <v>Back to falls response training</v>
      </c>
      <c r="C1" s="1794"/>
    </row>
    <row r="2" spans="1:3" ht="15.75">
      <c r="A2" s="820" t="s">
        <v>369</v>
      </c>
      <c r="B2" s="820" t="s">
        <v>370</v>
      </c>
      <c r="C2" s="820" t="s">
        <v>986</v>
      </c>
    </row>
    <row r="3" spans="1:3" ht="213.75">
      <c r="A3" s="851" t="s">
        <v>860</v>
      </c>
      <c r="B3" s="851" t="s">
        <v>859</v>
      </c>
      <c r="C3" s="825" t="s">
        <v>858</v>
      </c>
    </row>
    <row r="4" spans="1:3" ht="170.25" customHeight="1">
      <c r="A4" s="1056" t="s">
        <v>857</v>
      </c>
      <c r="B4" s="851"/>
      <c r="C4" s="825"/>
    </row>
    <row r="5" spans="1:3" ht="143.44999999999999" customHeight="1">
      <c r="A5" s="851" t="s">
        <v>988</v>
      </c>
      <c r="B5" s="851" t="s">
        <v>856</v>
      </c>
      <c r="C5" s="825" t="s">
        <v>855</v>
      </c>
    </row>
    <row r="6" spans="1:3" ht="84.95" customHeight="1">
      <c r="A6" s="851" t="s">
        <v>854</v>
      </c>
      <c r="B6" s="1057"/>
      <c r="C6" s="825"/>
    </row>
    <row r="10" spans="1:3">
      <c r="C10" s="285">
        <f>0.57*0.51</f>
        <v>0.29069999999999996</v>
      </c>
    </row>
  </sheetData>
  <hyperlinks>
    <hyperlink ref="C3" r:id="rId1"/>
    <hyperlink ref="C5" r:id="rId2"/>
  </hyperlinks>
  <pageMargins left="0.31496062992125984" right="0.31496062992125984" top="0.74803149606299213" bottom="0.74803149606299213" header="0.31496062992125984" footer="0.31496062992125984"/>
  <pageSetup paperSize="9" orientation="portrait"/>
  <drawing r:id="rId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C000"/>
    <pageSetUpPr fitToPage="1"/>
  </sheetPr>
  <dimension ref="A1:C10"/>
  <sheetViews>
    <sheetView showGridLines="0" zoomScale="75" zoomScaleNormal="75" zoomScalePageLayoutView="75" workbookViewId="0">
      <selection activeCell="A2" sqref="A2"/>
    </sheetView>
  </sheetViews>
  <sheetFormatPr defaultColWidth="8.7109375" defaultRowHeight="14.25"/>
  <cols>
    <col min="1" max="1" width="85.42578125" style="826" customWidth="1"/>
    <col min="2" max="2" width="41.140625" style="428" customWidth="1"/>
    <col min="3" max="3" width="45.85546875" style="428" customWidth="1"/>
    <col min="4" max="16384" width="8.7109375" style="428"/>
  </cols>
  <sheetData>
    <row r="1" spans="1:3" s="38" customFormat="1" ht="26.1" customHeight="1">
      <c r="A1" s="1843" t="str">
        <f>HYPERLINK("[.\]Menu!A1", "Back to Menu")</f>
        <v>Back to Menu</v>
      </c>
      <c r="B1" s="1843" t="str">
        <f>HYPERLINK("[.\]CHE!B2", "Back to care home educators")</f>
        <v>Back to care home educators</v>
      </c>
      <c r="C1" s="1794"/>
    </row>
    <row r="2" spans="1:3" ht="15.75">
      <c r="A2" s="822" t="s">
        <v>369</v>
      </c>
      <c r="B2" s="822" t="s">
        <v>370</v>
      </c>
      <c r="C2" s="822" t="s">
        <v>986</v>
      </c>
    </row>
    <row r="3" spans="1:3" ht="199.5">
      <c r="A3" s="851" t="s">
        <v>951</v>
      </c>
      <c r="B3" s="851" t="s">
        <v>389</v>
      </c>
      <c r="C3" s="825" t="s">
        <v>949</v>
      </c>
    </row>
    <row r="4" spans="1:3" ht="199.5">
      <c r="A4" s="851" t="s">
        <v>948</v>
      </c>
      <c r="B4" s="851" t="s">
        <v>859</v>
      </c>
      <c r="C4" s="825" t="s">
        <v>858</v>
      </c>
    </row>
    <row r="5" spans="1:3" ht="143.44999999999999" customHeight="1">
      <c r="A5" s="851" t="s">
        <v>988</v>
      </c>
      <c r="B5" s="851" t="s">
        <v>856</v>
      </c>
      <c r="C5" s="825" t="s">
        <v>855</v>
      </c>
    </row>
    <row r="6" spans="1:3" ht="84.95" customHeight="1">
      <c r="A6" s="851" t="s">
        <v>854</v>
      </c>
      <c r="B6" s="1057"/>
      <c r="C6" s="825"/>
    </row>
    <row r="10" spans="1:3">
      <c r="C10" s="428">
        <f>0.57*0.51</f>
        <v>0.29069999999999996</v>
      </c>
    </row>
  </sheetData>
  <hyperlinks>
    <hyperlink ref="C4" r:id="rId1"/>
    <hyperlink ref="C5" r:id="rId2"/>
  </hyperlinks>
  <pageMargins left="0.70866141732283472" right="0.70866141732283472" top="0.74803149606299213" bottom="0.74803149606299213" header="0.31496062992125984" footer="0.31496062992125984"/>
  <pageSetup paperSize="9" scale="50" orientation="portrait"/>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C000"/>
  </sheetPr>
  <dimension ref="A1:C5"/>
  <sheetViews>
    <sheetView showGridLines="0" zoomScale="75" zoomScaleNormal="75" zoomScalePageLayoutView="75" workbookViewId="0">
      <selection activeCell="A5" sqref="A5"/>
    </sheetView>
  </sheetViews>
  <sheetFormatPr defaultColWidth="8.7109375" defaultRowHeight="14.25"/>
  <cols>
    <col min="1" max="1" width="60.28515625" style="18" customWidth="1"/>
    <col min="2" max="2" width="48" style="285" customWidth="1"/>
    <col min="3" max="3" width="45.85546875" style="285" customWidth="1"/>
    <col min="4" max="16384" width="8.7109375" style="38"/>
  </cols>
  <sheetData>
    <row r="1" spans="1:3" ht="26.1" customHeight="1">
      <c r="A1" s="1843" t="str">
        <f>HYPERLINK("[.\]Menu!A1", "Back to Menu")</f>
        <v>Back to Menu</v>
      </c>
      <c r="B1" s="1843" t="str">
        <f>HYPERLINK("[.\]EWS_in_CH!B2", "Back to early warning score in care homes")</f>
        <v>Back to early warning score in care homes</v>
      </c>
      <c r="C1" s="1794"/>
    </row>
    <row r="2" spans="1:3" ht="15.75">
      <c r="A2" s="820" t="s">
        <v>369</v>
      </c>
      <c r="B2" s="821" t="s">
        <v>370</v>
      </c>
      <c r="C2" s="821" t="s">
        <v>986</v>
      </c>
    </row>
    <row r="3" spans="1:3" ht="142.5">
      <c r="A3" s="851" t="s">
        <v>873</v>
      </c>
      <c r="B3" s="851" t="s">
        <v>859</v>
      </c>
      <c r="C3" s="825" t="s">
        <v>858</v>
      </c>
    </row>
    <row r="4" spans="1:3" ht="42.75">
      <c r="A4" s="851" t="s">
        <v>872</v>
      </c>
      <c r="B4" s="851" t="s">
        <v>871</v>
      </c>
      <c r="C4" s="825" t="s">
        <v>870</v>
      </c>
    </row>
    <row r="5" spans="1:3" ht="370.5">
      <c r="A5" s="851" t="s">
        <v>958</v>
      </c>
      <c r="B5" s="1059" t="s">
        <v>869</v>
      </c>
      <c r="C5" s="825" t="s">
        <v>868</v>
      </c>
    </row>
  </sheetData>
  <hyperlinks>
    <hyperlink ref="C3" r:id="rId1"/>
  </hyperlinks>
  <pageMargins left="0.7" right="0.7" top="0.75" bottom="0.75" header="0.3" footer="0.3"/>
  <pageSetup paperSize="9" scale="53"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W144"/>
  <sheetViews>
    <sheetView showGridLines="0" zoomScale="85" zoomScaleNormal="85" zoomScalePageLayoutView="85" workbookViewId="0">
      <selection activeCell="C47" sqref="C47"/>
    </sheetView>
  </sheetViews>
  <sheetFormatPr defaultColWidth="8.85546875" defaultRowHeight="15"/>
  <cols>
    <col min="1" max="1" width="8.85546875" style="6"/>
    <col min="2" max="2" width="73.42578125" style="6" bestFit="1" customWidth="1"/>
    <col min="3" max="7" width="20.7109375" style="6" customWidth="1"/>
    <col min="8" max="8" width="14.42578125" style="6" customWidth="1"/>
    <col min="9" max="9" width="36.7109375" style="6" bestFit="1" customWidth="1"/>
    <col min="10" max="10" width="11.7109375" style="6" bestFit="1" customWidth="1"/>
    <col min="11" max="16384" width="8.85546875" style="6"/>
  </cols>
  <sheetData>
    <row r="1" spans="1:75" s="441" customFormat="1" ht="42.75" customHeight="1">
      <c r="A1" s="1913" t="str">
        <f>HYPERLINK("[.\]Menu!A1", "To Menu")</f>
        <v>To Menu</v>
      </c>
      <c r="B1" s="439"/>
      <c r="C1" s="2271" t="str">
        <f>HYPERLINK("[.\]control_sheet_and_graphs!A1", "To Control sheet and graphical results")</f>
        <v>To Control sheet and graphical results</v>
      </c>
      <c r="D1" s="2272"/>
      <c r="F1" s="2271" t="str">
        <f>HYPERLINK("[.\]outputs_by_channel!A1", "To Intervention data outputs by channel")</f>
        <v>To Intervention data outputs by channel</v>
      </c>
      <c r="G1" s="2272"/>
      <c r="H1" s="478"/>
      <c r="K1" s="1758"/>
      <c r="L1" s="1759"/>
      <c r="M1" s="1759"/>
      <c r="O1" s="440"/>
      <c r="Q1" s="440"/>
      <c r="R1" s="440"/>
      <c r="S1" s="440"/>
      <c r="T1" s="440"/>
      <c r="V1" s="440"/>
      <c r="W1" s="440"/>
      <c r="X1" s="440"/>
      <c r="Y1" s="440"/>
      <c r="AA1" s="440"/>
      <c r="AB1" s="440"/>
      <c r="AC1" s="440"/>
      <c r="AD1" s="440"/>
      <c r="AF1" s="440"/>
      <c r="AG1" s="440"/>
      <c r="AH1" s="440"/>
      <c r="AI1" s="440"/>
      <c r="AK1" s="440"/>
      <c r="AL1" s="440"/>
      <c r="AM1" s="440"/>
      <c r="AN1" s="440"/>
      <c r="AP1" s="440"/>
      <c r="AQ1" s="440"/>
      <c r="AR1" s="440"/>
      <c r="AS1" s="440"/>
      <c r="AU1" s="440"/>
      <c r="AV1" s="440"/>
      <c r="AW1" s="440"/>
      <c r="AX1" s="440"/>
      <c r="AZ1" s="440"/>
      <c r="BA1" s="440"/>
      <c r="BB1" s="440"/>
      <c r="BC1" s="440"/>
      <c r="BE1" s="440"/>
      <c r="BF1" s="440"/>
      <c r="BG1" s="440"/>
      <c r="BH1" s="440"/>
      <c r="BJ1" s="440"/>
      <c r="BK1" s="440"/>
      <c r="BL1" s="440"/>
      <c r="BM1" s="440"/>
      <c r="BO1" s="440"/>
      <c r="BP1" s="440"/>
      <c r="BQ1" s="440"/>
      <c r="BR1" s="440"/>
      <c r="BT1" s="440"/>
      <c r="BU1" s="440"/>
      <c r="BV1" s="440"/>
      <c r="BW1" s="440"/>
    </row>
    <row r="2" spans="1:75">
      <c r="B2" s="2274" t="s">
        <v>616</v>
      </c>
      <c r="C2" s="2277"/>
      <c r="D2" s="2277"/>
      <c r="E2" s="2277"/>
      <c r="F2" s="2277"/>
      <c r="G2" s="2276"/>
    </row>
    <row r="3" spans="1:75" ht="15.75">
      <c r="B3" s="1018" t="str">
        <f>control_sheet_and_graphs!G40</f>
        <v>OOH home visits</v>
      </c>
      <c r="C3" s="1016" t="s">
        <v>86</v>
      </c>
      <c r="D3" s="1977" t="s">
        <v>87</v>
      </c>
      <c r="E3" s="1977" t="s">
        <v>88</v>
      </c>
      <c r="F3" s="1977" t="s">
        <v>89</v>
      </c>
      <c r="G3" s="1016" t="s">
        <v>90</v>
      </c>
    </row>
    <row r="4" spans="1:75">
      <c r="B4" s="1017"/>
      <c r="C4" s="1993">
        <f>VLOOKUP($B$3,projections!$A$23:$O$39,11,FALSE)</f>
        <v>761.52629851550591</v>
      </c>
      <c r="D4" s="1993">
        <f>VLOOKUP($B$3,projections!$A$23:$O$39,12,FALSE)</f>
        <v>1508.3650944319306</v>
      </c>
      <c r="E4" s="1993">
        <f>VLOOKUP($B$3,projections!$A$23:$O$39,13,FALSE)</f>
        <v>2304.5489404073596</v>
      </c>
      <c r="F4" s="1993">
        <f>VLOOKUP($B$3,projections!$A$23:$O$39,14,FALSE)</f>
        <v>3118.5645747912713</v>
      </c>
      <c r="G4" s="1992">
        <f>VLOOKUP($B$3,projections!$A$23:$O$39,15,FALSE)</f>
        <v>3913.5772233287207</v>
      </c>
      <c r="H4" s="1025"/>
    </row>
    <row r="5" spans="1:75">
      <c r="C5" s="1994"/>
      <c r="D5" s="1994"/>
      <c r="E5" s="1994"/>
      <c r="F5" s="1994"/>
      <c r="G5" s="1994"/>
    </row>
    <row r="6" spans="1:75">
      <c r="B6" s="2274" t="s">
        <v>617</v>
      </c>
      <c r="C6" s="2275"/>
      <c r="D6" s="2275"/>
      <c r="E6" s="2275"/>
      <c r="F6" s="2275"/>
      <c r="G6" s="2276"/>
    </row>
    <row r="7" spans="1:75" ht="15.75">
      <c r="B7" s="1015"/>
      <c r="C7" s="1016" t="s">
        <v>86</v>
      </c>
      <c r="D7" s="1977" t="s">
        <v>87</v>
      </c>
      <c r="E7" s="1977" t="s">
        <v>88</v>
      </c>
      <c r="F7" s="1977" t="s">
        <v>89</v>
      </c>
      <c r="G7" s="1016" t="s">
        <v>90</v>
      </c>
    </row>
    <row r="8" spans="1:75">
      <c r="B8" s="1982" t="str">
        <f>projections!A23</f>
        <v>Emergency bed days</v>
      </c>
      <c r="C8" s="1989">
        <f>projections!K23</f>
        <v>27573.106276233448</v>
      </c>
      <c r="D8" s="1989">
        <f>projections!L23</f>
        <v>55471.568895882461</v>
      </c>
      <c r="E8" s="1989">
        <f>projections!M23</f>
        <v>85896.078759514727</v>
      </c>
      <c r="F8" s="1989">
        <f>projections!N23</f>
        <v>116699.50314388121</v>
      </c>
      <c r="G8" s="1989">
        <f>projections!O23</f>
        <v>146875.08202285017</v>
      </c>
      <c r="H8" s="1026"/>
      <c r="I8" s="1974" t="str">
        <f>outputs_by_channel!C63</f>
        <v>Emergency bed days</v>
      </c>
      <c r="J8" s="1975">
        <f>outputs_by_channel!E63</f>
        <v>-49376.344468729731</v>
      </c>
    </row>
    <row r="9" spans="1:75">
      <c r="B9" s="1983" t="str">
        <f>projections!A24</f>
        <v>ED attends</v>
      </c>
      <c r="C9" s="1990">
        <f>projections!K24</f>
        <v>20406.082827558625</v>
      </c>
      <c r="D9" s="1990">
        <f>projections!L24</f>
        <v>40418.595012644422</v>
      </c>
      <c r="E9" s="1990">
        <f>projections!M24</f>
        <v>61753.3716823539</v>
      </c>
      <c r="F9" s="1990">
        <f>projections!N24</f>
        <v>83565.974202511716</v>
      </c>
      <c r="G9" s="1990">
        <f>projections!O24</f>
        <v>104869.3671209662</v>
      </c>
      <c r="H9" s="1026"/>
      <c r="I9" s="1974" t="str">
        <f>outputs_by_channel!C64</f>
        <v>ED attends</v>
      </c>
      <c r="J9" s="1975">
        <f>outputs_by_channel!E64</f>
        <v>-8602.2307853567527</v>
      </c>
    </row>
    <row r="10" spans="1:75">
      <c r="B10" s="1983" t="str">
        <f>projections!A25</f>
        <v>ED Minor attends</v>
      </c>
      <c r="C10" s="1990">
        <f>projections!K25</f>
        <v>13748.857830183813</v>
      </c>
      <c r="D10" s="1990">
        <f>projections!L25</f>
        <v>27232.542434559437</v>
      </c>
      <c r="E10" s="1990">
        <f>projections!M25</f>
        <v>41607.119552045944</v>
      </c>
      <c r="F10" s="1990">
        <f>projections!N25</f>
        <v>56303.63791327423</v>
      </c>
      <c r="G10" s="1990">
        <f>projections!O25</f>
        <v>70657.069829213317</v>
      </c>
      <c r="H10" s="1026"/>
      <c r="I10" s="1974" t="str">
        <f>outputs_by_channel!C65</f>
        <v>ED Minor attends</v>
      </c>
      <c r="J10" s="1975">
        <f>outputs_by_channel!E65</f>
        <v>-45272.619167813384</v>
      </c>
    </row>
    <row r="11" spans="1:75">
      <c r="B11" s="1983" t="str">
        <f>projections!A26</f>
        <v>UCC attends</v>
      </c>
      <c r="C11" s="1990">
        <f>projections!K26</f>
        <v>1135.8819763656938</v>
      </c>
      <c r="D11" s="1990">
        <f>projections!L26</f>
        <v>2249.856279270025</v>
      </c>
      <c r="E11" s="1990">
        <f>projections!M26</f>
        <v>3437.4329687158897</v>
      </c>
      <c r="F11" s="1990">
        <f>projections!N26</f>
        <v>4651.6073043612996</v>
      </c>
      <c r="G11" s="1990">
        <f>projections!O26</f>
        <v>5837.4370520887314</v>
      </c>
      <c r="H11" s="1026"/>
      <c r="I11" s="1974" t="str">
        <f>outputs_by_channel!C66</f>
        <v>UCC attends</v>
      </c>
      <c r="J11" s="1975">
        <f>outputs_by_channel!E66</f>
        <v>33415.374339798378</v>
      </c>
    </row>
    <row r="12" spans="1:75">
      <c r="B12" s="1983" t="str">
        <f>projections!A27</f>
        <v>OOH clinic visits</v>
      </c>
      <c r="C12" s="1990">
        <f>projections!K27</f>
        <v>2182.518669972269</v>
      </c>
      <c r="D12" s="1990">
        <f>projections!L27</f>
        <v>4322.9432603306923</v>
      </c>
      <c r="E12" s="1990">
        <f>projections!M27</f>
        <v>6604.7897467345028</v>
      </c>
      <c r="F12" s="1990">
        <f>projections!N27</f>
        <v>8937.7417710512818</v>
      </c>
      <c r="G12" s="1990">
        <f>projections!O27</f>
        <v>11216.231629746253</v>
      </c>
      <c r="H12" s="1026"/>
      <c r="I12" s="1974" t="str">
        <f>outputs_by_channel!C67</f>
        <v>OOH clinic visits</v>
      </c>
      <c r="J12" s="1975">
        <f>outputs_by_channel!E67</f>
        <v>-13874.506136504555</v>
      </c>
    </row>
    <row r="13" spans="1:75">
      <c r="B13" s="1983" t="str">
        <f>projections!A28</f>
        <v>OOH home visits</v>
      </c>
      <c r="C13" s="1990">
        <f>projections!K28</f>
        <v>761.52629851550591</v>
      </c>
      <c r="D13" s="1990">
        <f>projections!L28</f>
        <v>1508.3650944319306</v>
      </c>
      <c r="E13" s="1990">
        <f>projections!M28</f>
        <v>2304.5489404073596</v>
      </c>
      <c r="F13" s="1990">
        <f>projections!N28</f>
        <v>3118.5645747912713</v>
      </c>
      <c r="G13" s="1990">
        <f>projections!O28</f>
        <v>3913.5772233287207</v>
      </c>
      <c r="H13" s="1026"/>
      <c r="I13" s="1974" t="str">
        <f>outputs_by_channel!C68</f>
        <v>OOH home visits</v>
      </c>
      <c r="J13" s="1975">
        <f>outputs_by_channel!E68</f>
        <v>-5200.0340832551828</v>
      </c>
    </row>
    <row r="14" spans="1:75">
      <c r="B14" s="1983" t="str">
        <f>projections!A29</f>
        <v>111 calls (calls answered)</v>
      </c>
      <c r="C14" s="1990">
        <f>projections!K29</f>
        <v>13125.923472739873</v>
      </c>
      <c r="D14" s="1990">
        <f>projections!L29</f>
        <v>25998.688209534739</v>
      </c>
      <c r="E14" s="1990">
        <f>projections!M29</f>
        <v>39721.980829733657</v>
      </c>
      <c r="F14" s="1990">
        <f>projections!N29</f>
        <v>53752.628153884551</v>
      </c>
      <c r="G14" s="1990">
        <f>projections!O29</f>
        <v>67455.733621030115</v>
      </c>
      <c r="H14" s="1026"/>
      <c r="I14" s="1974" t="str">
        <f>outputs_by_channel!C69</f>
        <v>111 calls (call handler)</v>
      </c>
      <c r="J14" s="1975">
        <f>outputs_by_channel!E69</f>
        <v>-35640.089376857075</v>
      </c>
    </row>
    <row r="15" spans="1:75">
      <c r="B15" s="1983" t="str">
        <f>projections!A30</f>
        <v>111 calls (transferred to clinical advisor)</v>
      </c>
      <c r="C15" s="1990">
        <f>projections!K30</f>
        <v>2468.5323446150287</v>
      </c>
      <c r="D15" s="1990">
        <f>projections!L30</f>
        <v>4889.4542845754622</v>
      </c>
      <c r="E15" s="1990">
        <f>projections!M30</f>
        <v>7470.3311103418673</v>
      </c>
      <c r="F15" s="1990">
        <f>projections!N30</f>
        <v>10109.010728388035</v>
      </c>
      <c r="G15" s="1990">
        <f>projections!O30</f>
        <v>12686.091048684815</v>
      </c>
      <c r="H15" s="1026"/>
      <c r="I15" s="1974" t="str">
        <f>outputs_by_channel!C70</f>
        <v>111 calls (clinical advisor)</v>
      </c>
      <c r="J15" s="1975">
        <f>outputs_by_channel!E70</f>
        <v>77273.946948685596</v>
      </c>
    </row>
    <row r="16" spans="1:75">
      <c r="B16" s="1983" t="str">
        <f>projections!A31</f>
        <v>Community pharmacy attends</v>
      </c>
      <c r="C16" s="1990">
        <v>0</v>
      </c>
      <c r="D16" s="1990">
        <f>projections!L31</f>
        <v>0</v>
      </c>
      <c r="E16" s="1990">
        <f>projections!M31</f>
        <v>0</v>
      </c>
      <c r="F16" s="1990">
        <f>projections!N31</f>
        <v>0</v>
      </c>
      <c r="G16" s="1990">
        <f>projections!O31</f>
        <v>0</v>
      </c>
      <c r="H16" s="1026"/>
      <c r="I16" s="1974" t="str">
        <f>outputs_by_channel!C71</f>
        <v>Community pharmacy attends</v>
      </c>
      <c r="J16" s="1975">
        <f>outputs_by_channel!E71</f>
        <v>25716.790689843994</v>
      </c>
    </row>
    <row r="17" spans="2:10">
      <c r="B17" s="1983" t="str">
        <f>projections!A32</f>
        <v>Ambulance - hear and treat</v>
      </c>
      <c r="C17" s="1990">
        <f>projections!K32</f>
        <v>471.39609917722919</v>
      </c>
      <c r="D17" s="1990">
        <f>projections!L32</f>
        <v>933.70041590997062</v>
      </c>
      <c r="E17" s="1990">
        <f>projections!M32</f>
        <v>1426.5500521633403</v>
      </c>
      <c r="F17" s="1990">
        <f>projections!N32</f>
        <v>1930.4378305183018</v>
      </c>
      <c r="G17" s="1990">
        <f>projections!O32</f>
        <v>2422.5624781472434</v>
      </c>
      <c r="H17" s="1026"/>
      <c r="I17" s="1974" t="str">
        <f>outputs_by_channel!C72</f>
        <v>Ambulance - hear and treat</v>
      </c>
      <c r="J17" s="1975">
        <f>outputs_by_channel!E72</f>
        <v>1834.8827966591057</v>
      </c>
    </row>
    <row r="18" spans="2:10">
      <c r="B18" s="1983" t="str">
        <f>projections!A33</f>
        <v>Ambulance - See and treat</v>
      </c>
      <c r="C18" s="1990">
        <f>projections!K33</f>
        <v>2042.5934258627822</v>
      </c>
      <c r="D18" s="1990">
        <f>projections!L33</f>
        <v>4045.7915001668589</v>
      </c>
      <c r="E18" s="1990">
        <f>projections!M33</f>
        <v>6181.3446553734248</v>
      </c>
      <c r="F18" s="1990">
        <f>projections!N33</f>
        <v>8364.7268794454285</v>
      </c>
      <c r="G18" s="1990">
        <f>projections!O33</f>
        <v>10497.138606454624</v>
      </c>
      <c r="H18" s="1026"/>
      <c r="I18" s="1974" t="str">
        <f>outputs_by_channel!C73</f>
        <v>Ambulance - See and treat</v>
      </c>
      <c r="J18" s="1975">
        <f>outputs_by_channel!E73</f>
        <v>1758.0004892941849</v>
      </c>
    </row>
    <row r="19" spans="2:10">
      <c r="B19" s="1983" t="str">
        <f>projections!A34</f>
        <v>Ambulance - see and convey to ED</v>
      </c>
      <c r="C19" s="1990">
        <f>projections!K34</f>
        <v>5600.3543688732607</v>
      </c>
      <c r="D19" s="1990">
        <f>projections!L34</f>
        <v>11092.695108395943</v>
      </c>
      <c r="E19" s="1990">
        <f>projections!M34</f>
        <v>16947.925175862911</v>
      </c>
      <c r="F19" s="1990">
        <f>projections!N34</f>
        <v>22934.292322000605</v>
      </c>
      <c r="G19" s="1990">
        <f>projections!O34</f>
        <v>28780.909265139024</v>
      </c>
      <c r="H19" s="1026"/>
      <c r="I19" s="1974" t="str">
        <f>outputs_by_channel!C74</f>
        <v>Ambulance - see and convey to ED</v>
      </c>
      <c r="J19" s="1975">
        <f>outputs_by_channel!E74</f>
        <v>-9551.0577833522875</v>
      </c>
    </row>
    <row r="20" spans="2:10">
      <c r="B20" s="1983" t="str">
        <f>projections!A35</f>
        <v>Community contacts</v>
      </c>
      <c r="C20" s="1990">
        <f>projections!K35</f>
        <v>0</v>
      </c>
      <c r="D20" s="1990">
        <f>projections!L35</f>
        <v>0</v>
      </c>
      <c r="E20" s="1990">
        <f>projections!M35</f>
        <v>0</v>
      </c>
      <c r="F20" s="1990">
        <f>projections!N35</f>
        <v>0</v>
      </c>
      <c r="G20" s="1990">
        <f>projections!O35</f>
        <v>0</v>
      </c>
      <c r="H20" s="1026"/>
      <c r="I20" s="1974" t="str">
        <f>outputs_by_channel!C75</f>
        <v>Community contacts</v>
      </c>
      <c r="J20" s="1975">
        <f>outputs_by_channel!E75</f>
        <v>14716.461179606094</v>
      </c>
    </row>
    <row r="21" spans="2:10">
      <c r="B21" s="1983" t="str">
        <f>projections!A36</f>
        <v>Intermediate care bed days</v>
      </c>
      <c r="C21" s="1990">
        <f>projections!K36</f>
        <v>0</v>
      </c>
      <c r="D21" s="1990">
        <f>projections!L36</f>
        <v>0</v>
      </c>
      <c r="E21" s="1990">
        <f>projections!M36</f>
        <v>0</v>
      </c>
      <c r="F21" s="1990">
        <f>projections!N36</f>
        <v>0</v>
      </c>
      <c r="G21" s="1990">
        <f>projections!O36</f>
        <v>0</v>
      </c>
      <c r="H21" s="1026"/>
      <c r="I21" s="1974" t="str">
        <f>outputs_by_channel!C76</f>
        <v>Intermediate care bed days</v>
      </c>
      <c r="J21" s="1975">
        <f>outputs_by_channel!E76</f>
        <v>-88.15558801445205</v>
      </c>
    </row>
    <row r="22" spans="2:10">
      <c r="B22" s="1983" t="str">
        <f>projections!A37</f>
        <v>Social services domiciliary care</v>
      </c>
      <c r="C22" s="1990">
        <f>projections!K37</f>
        <v>0</v>
      </c>
      <c r="D22" s="1990">
        <f>projections!L37</f>
        <v>0</v>
      </c>
      <c r="E22" s="1990">
        <f>projections!M37</f>
        <v>0</v>
      </c>
      <c r="F22" s="1990">
        <f>projections!N37</f>
        <v>0</v>
      </c>
      <c r="G22" s="1990">
        <f>projections!O37</f>
        <v>0</v>
      </c>
      <c r="H22" s="1026"/>
      <c r="I22" s="1974" t="str">
        <f>outputs_by_channel!C77</f>
        <v>Social services domiciliary care</v>
      </c>
      <c r="J22" s="1975">
        <f>outputs_by_channel!E77</f>
        <v>94.39354767660771</v>
      </c>
    </row>
    <row r="23" spans="2:10">
      <c r="B23" s="1983" t="str">
        <f>projections!A38</f>
        <v>GP attends</v>
      </c>
      <c r="C23" s="1990">
        <f>projections!K38</f>
        <v>0</v>
      </c>
      <c r="D23" s="1990">
        <f>projections!L38</f>
        <v>0</v>
      </c>
      <c r="E23" s="1990">
        <f>projections!M38</f>
        <v>0</v>
      </c>
      <c r="F23" s="1990">
        <f>projections!N38</f>
        <v>0</v>
      </c>
      <c r="G23" s="1990">
        <f>projections!O38</f>
        <v>0</v>
      </c>
      <c r="H23" s="1026"/>
      <c r="I23" s="1974" t="str">
        <f>outputs_by_channel!C78</f>
        <v>GP attends</v>
      </c>
      <c r="J23" s="1975">
        <f>outputs_by_channel!E78</f>
        <v>850.27157089056709</v>
      </c>
    </row>
    <row r="24" spans="2:10">
      <c r="B24" s="1984" t="str">
        <f>projections!A39</f>
        <v>GP visits</v>
      </c>
      <c r="C24" s="1991">
        <f>projections!K39</f>
        <v>0</v>
      </c>
      <c r="D24" s="1991">
        <f>projections!L39</f>
        <v>0</v>
      </c>
      <c r="E24" s="1991">
        <f>projections!M39</f>
        <v>0</v>
      </c>
      <c r="F24" s="1991">
        <f>projections!N39</f>
        <v>0</v>
      </c>
      <c r="G24" s="1991">
        <f>projections!O39</f>
        <v>0</v>
      </c>
      <c r="H24" s="1026"/>
      <c r="I24" s="1974" t="str">
        <f>outputs_by_channel!C79</f>
        <v>GP visits</v>
      </c>
      <c r="J24" s="1975">
        <f>outputs_by_channel!E79</f>
        <v>-3738.1322305375106</v>
      </c>
    </row>
    <row r="25" spans="2:10">
      <c r="C25" s="1976"/>
      <c r="D25" s="1976"/>
      <c r="E25" s="1976"/>
      <c r="F25" s="1976"/>
      <c r="G25" s="1976"/>
      <c r="H25" s="1027"/>
      <c r="I25" s="1028"/>
      <c r="J25" s="1029"/>
    </row>
    <row r="26" spans="2:10">
      <c r="B26" s="2274" t="s">
        <v>615</v>
      </c>
      <c r="C26" s="2275"/>
      <c r="D26" s="2275"/>
      <c r="E26" s="2275"/>
      <c r="F26" s="2275"/>
      <c r="G26" s="2276"/>
      <c r="H26" s="1027"/>
      <c r="I26" s="1028"/>
      <c r="J26" s="1029"/>
    </row>
    <row r="27" spans="2:10" ht="15.75">
      <c r="B27" s="1015"/>
      <c r="C27" s="1016" t="s">
        <v>86</v>
      </c>
      <c r="D27" s="1977" t="s">
        <v>87</v>
      </c>
      <c r="E27" s="1977" t="s">
        <v>88</v>
      </c>
      <c r="F27" s="1977" t="s">
        <v>89</v>
      </c>
      <c r="G27" s="1016" t="s">
        <v>90</v>
      </c>
    </row>
    <row r="28" spans="2:10">
      <c r="B28" s="1982" t="s">
        <v>69</v>
      </c>
      <c r="C28" s="1989">
        <f>C8+$J8</f>
        <v>-21803.238192496283</v>
      </c>
      <c r="D28" s="1989">
        <f t="shared" ref="D28:G28" si="0">D8+$J8</f>
        <v>6095.2244271527306</v>
      </c>
      <c r="E28" s="1989">
        <f t="shared" si="0"/>
        <v>36519.734290784996</v>
      </c>
      <c r="F28" s="1989">
        <f t="shared" si="0"/>
        <v>67323.158675151484</v>
      </c>
      <c r="G28" s="1989">
        <f t="shared" si="0"/>
        <v>97498.737554120438</v>
      </c>
      <c r="H28" s="1029"/>
    </row>
    <row r="29" spans="2:10">
      <c r="B29" s="1983" t="s">
        <v>43</v>
      </c>
      <c r="C29" s="1990">
        <f t="shared" ref="C29:G29" si="1">C9+$J9</f>
        <v>11803.852042201872</v>
      </c>
      <c r="D29" s="1990">
        <f t="shared" si="1"/>
        <v>31816.364227287668</v>
      </c>
      <c r="E29" s="1990">
        <f t="shared" si="1"/>
        <v>53151.140896997145</v>
      </c>
      <c r="F29" s="1990">
        <f t="shared" si="1"/>
        <v>74963.743417154968</v>
      </c>
      <c r="G29" s="1990">
        <f t="shared" si="1"/>
        <v>96267.136335609452</v>
      </c>
      <c r="H29" s="1029"/>
    </row>
    <row r="30" spans="2:10">
      <c r="B30" s="1983" t="s">
        <v>49</v>
      </c>
      <c r="C30" s="1990">
        <f t="shared" ref="C30:G30" si="2">C10+$J10</f>
        <v>-31523.76133762957</v>
      </c>
      <c r="D30" s="1990">
        <f t="shared" si="2"/>
        <v>-18040.076733253947</v>
      </c>
      <c r="E30" s="1990">
        <f t="shared" si="2"/>
        <v>-3665.4996157674395</v>
      </c>
      <c r="F30" s="1990">
        <f t="shared" si="2"/>
        <v>11031.018745460846</v>
      </c>
      <c r="G30" s="1990">
        <f t="shared" si="2"/>
        <v>25384.450661399933</v>
      </c>
      <c r="H30" s="1029"/>
    </row>
    <row r="31" spans="2:10">
      <c r="B31" s="1983" t="s">
        <v>67</v>
      </c>
      <c r="C31" s="1990">
        <f t="shared" ref="C31:G31" si="3">C11+$J11</f>
        <v>34551.256316164072</v>
      </c>
      <c r="D31" s="1990">
        <f t="shared" si="3"/>
        <v>35665.230619068403</v>
      </c>
      <c r="E31" s="1990">
        <f t="shared" si="3"/>
        <v>36852.807308514268</v>
      </c>
      <c r="F31" s="1990">
        <f t="shared" si="3"/>
        <v>38066.981644159678</v>
      </c>
      <c r="G31" s="1990">
        <f t="shared" si="3"/>
        <v>39252.811391887109</v>
      </c>
      <c r="H31" s="1029"/>
    </row>
    <row r="32" spans="2:10">
      <c r="B32" s="1983" t="s">
        <v>44</v>
      </c>
      <c r="C32" s="1990">
        <f t="shared" ref="C32:G32" si="4">C12+$J12</f>
        <v>-11691.987466532286</v>
      </c>
      <c r="D32" s="1990">
        <f t="shared" si="4"/>
        <v>-9551.5628761738626</v>
      </c>
      <c r="E32" s="1990">
        <f t="shared" si="4"/>
        <v>-7269.716389770052</v>
      </c>
      <c r="F32" s="1990">
        <f t="shared" si="4"/>
        <v>-4936.7643654532731</v>
      </c>
      <c r="G32" s="1990">
        <f t="shared" si="4"/>
        <v>-2658.2745067583019</v>
      </c>
      <c r="H32" s="1029"/>
    </row>
    <row r="33" spans="2:8">
      <c r="B33" s="1983" t="s">
        <v>45</v>
      </c>
      <c r="C33" s="1990">
        <f t="shared" ref="C33:G33" si="5">C13+$J13</f>
        <v>-4438.5077847396769</v>
      </c>
      <c r="D33" s="1990">
        <f t="shared" si="5"/>
        <v>-3691.6689888232522</v>
      </c>
      <c r="E33" s="1990">
        <f t="shared" si="5"/>
        <v>-2895.4851428478232</v>
      </c>
      <c r="F33" s="1990">
        <f t="shared" si="5"/>
        <v>-2081.4695084639116</v>
      </c>
      <c r="G33" s="1990">
        <f t="shared" si="5"/>
        <v>-1286.4568599264621</v>
      </c>
      <c r="H33" s="1029"/>
    </row>
    <row r="34" spans="2:8">
      <c r="B34" s="1983" t="s">
        <v>83</v>
      </c>
      <c r="C34" s="1990">
        <f t="shared" ref="C34:G34" si="6">C14+$J14</f>
        <v>-22514.165904117202</v>
      </c>
      <c r="D34" s="1990">
        <f t="shared" si="6"/>
        <v>-9641.4011673223358</v>
      </c>
      <c r="E34" s="1990">
        <f t="shared" si="6"/>
        <v>4081.8914528765818</v>
      </c>
      <c r="F34" s="1990">
        <f t="shared" si="6"/>
        <v>18112.538777027476</v>
      </c>
      <c r="G34" s="1990">
        <f t="shared" si="6"/>
        <v>31815.64424417304</v>
      </c>
      <c r="H34" s="1029"/>
    </row>
    <row r="35" spans="2:8">
      <c r="B35" s="1983" t="s">
        <v>84</v>
      </c>
      <c r="C35" s="1990">
        <f t="shared" ref="C35:G35" si="7">C15+$J15</f>
        <v>79742.479293300625</v>
      </c>
      <c r="D35" s="1990">
        <f t="shared" si="7"/>
        <v>82163.401233261058</v>
      </c>
      <c r="E35" s="1990">
        <f t="shared" si="7"/>
        <v>84744.278059027463</v>
      </c>
      <c r="F35" s="1990">
        <f t="shared" si="7"/>
        <v>87382.957677073631</v>
      </c>
      <c r="G35" s="1990">
        <f t="shared" si="7"/>
        <v>89960.037997370411</v>
      </c>
      <c r="H35" s="1029"/>
    </row>
    <row r="36" spans="2:8">
      <c r="B36" s="1983" t="s">
        <v>41</v>
      </c>
      <c r="C36" s="1990">
        <f t="shared" ref="C36:G36" si="8">C16+$J16</f>
        <v>25716.790689843994</v>
      </c>
      <c r="D36" s="1990">
        <f t="shared" si="8"/>
        <v>25716.790689843994</v>
      </c>
      <c r="E36" s="1990">
        <f t="shared" si="8"/>
        <v>25716.790689843994</v>
      </c>
      <c r="F36" s="1990">
        <f t="shared" si="8"/>
        <v>25716.790689843994</v>
      </c>
      <c r="G36" s="1990">
        <f t="shared" si="8"/>
        <v>25716.790689843994</v>
      </c>
      <c r="H36" s="1029"/>
    </row>
    <row r="37" spans="2:8">
      <c r="B37" s="1983" t="s">
        <v>567</v>
      </c>
      <c r="C37" s="1990">
        <f t="shared" ref="C37:G37" si="9">C17+$J17</f>
        <v>2306.2788958363349</v>
      </c>
      <c r="D37" s="1990">
        <f t="shared" si="9"/>
        <v>2768.5832125690763</v>
      </c>
      <c r="E37" s="1990">
        <f t="shared" si="9"/>
        <v>3261.432848822446</v>
      </c>
      <c r="F37" s="1990">
        <f t="shared" si="9"/>
        <v>3765.3206271774075</v>
      </c>
      <c r="G37" s="1990">
        <f t="shared" si="9"/>
        <v>4257.4452748063486</v>
      </c>
      <c r="H37" s="1029"/>
    </row>
    <row r="38" spans="2:8">
      <c r="B38" s="1983" t="s">
        <v>76</v>
      </c>
      <c r="C38" s="1990">
        <f t="shared" ref="C38:G38" si="10">C18+$J18</f>
        <v>3800.5939151569673</v>
      </c>
      <c r="D38" s="1990">
        <f t="shared" si="10"/>
        <v>5803.7919894610441</v>
      </c>
      <c r="E38" s="1990">
        <f t="shared" si="10"/>
        <v>7939.3451446676099</v>
      </c>
      <c r="F38" s="1990">
        <f t="shared" si="10"/>
        <v>10122.727368739614</v>
      </c>
      <c r="G38" s="1990">
        <f t="shared" si="10"/>
        <v>12255.139095748809</v>
      </c>
      <c r="H38" s="1029"/>
    </row>
    <row r="39" spans="2:8">
      <c r="B39" s="1983" t="s">
        <v>46</v>
      </c>
      <c r="C39" s="1990">
        <f t="shared" ref="C39:G39" si="11">C19+$J19</f>
        <v>-3950.7034144790268</v>
      </c>
      <c r="D39" s="1990">
        <f t="shared" si="11"/>
        <v>1541.6373250436554</v>
      </c>
      <c r="E39" s="1990">
        <f t="shared" si="11"/>
        <v>7396.8673925106232</v>
      </c>
      <c r="F39" s="1990">
        <f t="shared" si="11"/>
        <v>13383.234538648318</v>
      </c>
      <c r="G39" s="1990">
        <f t="shared" si="11"/>
        <v>19229.851481786736</v>
      </c>
      <c r="H39" s="1029"/>
    </row>
    <row r="40" spans="2:8">
      <c r="B40" s="1983" t="s">
        <v>30</v>
      </c>
      <c r="C40" s="1990">
        <f t="shared" ref="C40:G40" si="12">C20+$J20</f>
        <v>14716.461179606094</v>
      </c>
      <c r="D40" s="1990">
        <f t="shared" si="12"/>
        <v>14716.461179606094</v>
      </c>
      <c r="E40" s="1990">
        <f t="shared" si="12"/>
        <v>14716.461179606094</v>
      </c>
      <c r="F40" s="1990">
        <f t="shared" si="12"/>
        <v>14716.461179606094</v>
      </c>
      <c r="G40" s="1990">
        <f t="shared" si="12"/>
        <v>14716.461179606094</v>
      </c>
      <c r="H40" s="1029"/>
    </row>
    <row r="41" spans="2:8">
      <c r="B41" s="1983" t="s">
        <v>48</v>
      </c>
      <c r="C41" s="1990">
        <f t="shared" ref="C41:G41" si="13">C21+$J21</f>
        <v>-88.15558801445205</v>
      </c>
      <c r="D41" s="1990">
        <f t="shared" si="13"/>
        <v>-88.15558801445205</v>
      </c>
      <c r="E41" s="1990">
        <f t="shared" si="13"/>
        <v>-88.15558801445205</v>
      </c>
      <c r="F41" s="1990">
        <f t="shared" si="13"/>
        <v>-88.15558801445205</v>
      </c>
      <c r="G41" s="1990">
        <f t="shared" si="13"/>
        <v>-88.15558801445205</v>
      </c>
      <c r="H41" s="1029"/>
    </row>
    <row r="42" spans="2:8">
      <c r="B42" s="1983" t="s">
        <v>225</v>
      </c>
      <c r="C42" s="1990">
        <f t="shared" ref="C42:G42" si="14">C22+$J22</f>
        <v>94.39354767660771</v>
      </c>
      <c r="D42" s="1990">
        <f t="shared" si="14"/>
        <v>94.39354767660771</v>
      </c>
      <c r="E42" s="1990">
        <f t="shared" si="14"/>
        <v>94.39354767660771</v>
      </c>
      <c r="F42" s="1990">
        <f t="shared" si="14"/>
        <v>94.39354767660771</v>
      </c>
      <c r="G42" s="1990">
        <f t="shared" si="14"/>
        <v>94.39354767660771</v>
      </c>
      <c r="H42" s="1029"/>
    </row>
    <row r="43" spans="2:8">
      <c r="B43" s="1983" t="s">
        <v>32</v>
      </c>
      <c r="C43" s="1990">
        <f t="shared" ref="C43:G43" si="15">C23+$J23</f>
        <v>850.27157089056709</v>
      </c>
      <c r="D43" s="1990">
        <f t="shared" si="15"/>
        <v>850.27157089056709</v>
      </c>
      <c r="E43" s="1990">
        <f t="shared" si="15"/>
        <v>850.27157089056709</v>
      </c>
      <c r="F43" s="1990">
        <f t="shared" si="15"/>
        <v>850.27157089056709</v>
      </c>
      <c r="G43" s="1990">
        <f t="shared" si="15"/>
        <v>850.27157089056709</v>
      </c>
      <c r="H43" s="1029"/>
    </row>
    <row r="44" spans="2:8">
      <c r="B44" s="1984" t="s">
        <v>34</v>
      </c>
      <c r="C44" s="1991">
        <f t="shared" ref="C44:G44" si="16">C24+$J24</f>
        <v>-3738.1322305375106</v>
      </c>
      <c r="D44" s="1991">
        <f t="shared" si="16"/>
        <v>-3738.1322305375106</v>
      </c>
      <c r="E44" s="1991">
        <f t="shared" si="16"/>
        <v>-3738.1322305375106</v>
      </c>
      <c r="F44" s="1991">
        <f t="shared" si="16"/>
        <v>-3738.1322305375106</v>
      </c>
      <c r="G44" s="1991">
        <f t="shared" si="16"/>
        <v>-3738.1322305375106</v>
      </c>
      <c r="H44" s="1029"/>
    </row>
    <row r="45" spans="2:8">
      <c r="B45" s="1028"/>
      <c r="C45" s="1029"/>
      <c r="D45" s="1029"/>
      <c r="E45" s="1029"/>
      <c r="F45" s="1029"/>
      <c r="G45" s="1029"/>
      <c r="H45" s="1029"/>
    </row>
    <row r="46" spans="2:8" ht="15.75">
      <c r="B46" s="1021"/>
      <c r="C46" s="1016" t="s">
        <v>86</v>
      </c>
      <c r="D46" s="1977" t="s">
        <v>87</v>
      </c>
      <c r="E46" s="1977" t="s">
        <v>88</v>
      </c>
      <c r="F46" s="1977" t="s">
        <v>89</v>
      </c>
      <c r="G46" s="1016" t="s">
        <v>90</v>
      </c>
    </row>
    <row r="47" spans="2:8">
      <c r="B47" s="1985" t="str">
        <f>B3</f>
        <v>OOH home visits</v>
      </c>
      <c r="C47" s="1992">
        <f>VLOOKUP($B$47,$B$28:$G$44,2,FALSE)</f>
        <v>-4438.5077847396769</v>
      </c>
      <c r="D47" s="1992">
        <f>VLOOKUP($B$47,$B$28:$G$44,3,FALSE)</f>
        <v>-3691.6689888232522</v>
      </c>
      <c r="E47" s="1992">
        <f>VLOOKUP($B$47,$B$28:$G$44,4,FALSE)</f>
        <v>-2895.4851428478232</v>
      </c>
      <c r="F47" s="1992">
        <f>VLOOKUP($B$47,$B$28:$G$44,5,FALSE)</f>
        <v>-2081.4695084639116</v>
      </c>
      <c r="G47" s="1992">
        <f>VLOOKUP($B$47,$B$28:$G$44,6,FALSE)</f>
        <v>-1286.4568599264621</v>
      </c>
      <c r="H47" s="1029"/>
    </row>
    <row r="50" spans="2:11" ht="15.75">
      <c r="B50" s="1021"/>
      <c r="C50" s="1016" t="str">
        <f>C3</f>
        <v>2016/17</v>
      </c>
      <c r="D50" s="1977" t="str">
        <f t="shared" ref="D50:G50" si="17">D3</f>
        <v>2017/18</v>
      </c>
      <c r="E50" s="1977" t="str">
        <f t="shared" si="17"/>
        <v>2018/19</v>
      </c>
      <c r="F50" s="1977" t="str">
        <f t="shared" si="17"/>
        <v>2019/20</v>
      </c>
      <c r="G50" s="1016" t="str">
        <f t="shared" si="17"/>
        <v>2020/21</v>
      </c>
    </row>
    <row r="51" spans="2:11">
      <c r="B51" s="1982" t="s">
        <v>613</v>
      </c>
      <c r="C51" s="1989">
        <f>C4</f>
        <v>761.52629851550591</v>
      </c>
      <c r="D51" s="1989">
        <f t="shared" ref="D51:G51" si="18">D4</f>
        <v>1508.3650944319306</v>
      </c>
      <c r="E51" s="1989">
        <f t="shared" si="18"/>
        <v>2304.5489404073596</v>
      </c>
      <c r="F51" s="1989">
        <f t="shared" si="18"/>
        <v>3118.5645747912713</v>
      </c>
      <c r="G51" s="1989">
        <f t="shared" si="18"/>
        <v>3913.5772233287207</v>
      </c>
      <c r="H51" s="1026"/>
    </row>
    <row r="52" spans="2:11">
      <c r="B52" s="1984" t="s">
        <v>614</v>
      </c>
      <c r="C52" s="1991">
        <f>C47</f>
        <v>-4438.5077847396769</v>
      </c>
      <c r="D52" s="1991">
        <f t="shared" ref="D52:G52" si="19">D47</f>
        <v>-3691.6689888232522</v>
      </c>
      <c r="E52" s="1991">
        <f t="shared" si="19"/>
        <v>-2895.4851428478232</v>
      </c>
      <c r="F52" s="1991">
        <f t="shared" si="19"/>
        <v>-2081.4695084639116</v>
      </c>
      <c r="G52" s="1991">
        <f t="shared" si="19"/>
        <v>-1286.4568599264621</v>
      </c>
      <c r="H52" s="1030"/>
    </row>
    <row r="53" spans="2:11">
      <c r="C53" s="1030"/>
      <c r="D53" s="1030"/>
      <c r="E53" s="1030"/>
      <c r="F53" s="1030"/>
      <c r="G53" s="1030"/>
      <c r="H53" s="1030"/>
    </row>
    <row r="54" spans="2:11" ht="19.5">
      <c r="C54" s="2278" t="s">
        <v>620</v>
      </c>
      <c r="D54" s="2280"/>
      <c r="E54" s="2278" t="s">
        <v>621</v>
      </c>
      <c r="F54" s="2279"/>
      <c r="G54" s="1020"/>
      <c r="H54" s="1020"/>
      <c r="I54" s="1020"/>
      <c r="J54" s="1020"/>
      <c r="K54" s="1031"/>
    </row>
    <row r="55" spans="2:11" ht="15.75">
      <c r="B55" s="1021"/>
      <c r="C55" s="1023" t="s">
        <v>618</v>
      </c>
      <c r="D55" s="1583" t="s">
        <v>619</v>
      </c>
      <c r="E55" s="1583" t="s">
        <v>618</v>
      </c>
      <c r="F55" s="1023" t="s">
        <v>619</v>
      </c>
    </row>
    <row r="56" spans="2:11">
      <c r="B56" s="1982" t="str">
        <f>outputs_by_channel!K2</f>
        <v>Decreasing Ambulance conveyances: Hear and Treat</v>
      </c>
      <c r="C56" s="1989">
        <f>outputs_by_channel!$M$16</f>
        <v>448117.16583141539</v>
      </c>
      <c r="D56" s="1989">
        <f>outputs_by_channel!$N$16</f>
        <v>-52708.298439315877</v>
      </c>
      <c r="E56" s="1989">
        <f>outputs_by_channel!$M$17</f>
        <v>443262.97853866644</v>
      </c>
      <c r="F56" s="1989">
        <f>outputs_by_channel!$N$17</f>
        <v>-57562.48573206483</v>
      </c>
      <c r="G56" s="1032"/>
    </row>
    <row r="57" spans="2:11">
      <c r="B57" s="1983" t="str">
        <f>outputs_by_channel!P2</f>
        <v>Decreasing Ambulance conveyances: See and Treat</v>
      </c>
      <c r="C57" s="1990">
        <f>outputs_by_channel!$R$16</f>
        <v>1362675.4333783248</v>
      </c>
      <c r="D57" s="1990">
        <f>outputs_by_channel!$S$16</f>
        <v>-273397.14542503771</v>
      </c>
      <c r="E57" s="1990">
        <f>outputs_by_channel!$R$17</f>
        <v>1356607.6992623887</v>
      </c>
      <c r="F57" s="1990">
        <f>outputs_by_channel!$S$17</f>
        <v>-279464.87954097393</v>
      </c>
      <c r="G57" s="1032"/>
    </row>
    <row r="58" spans="2:11">
      <c r="B58" s="1983" t="str">
        <f>outputs_by_channel!U2</f>
        <v>Integrated clinical hubs - Increasing Clinical advisor consultations</v>
      </c>
      <c r="C58" s="1990">
        <f>outputs_by_channel!$W$16</f>
        <v>416332.94666347827</v>
      </c>
      <c r="D58" s="1990">
        <f>outputs_by_channel!$X$16</f>
        <v>-199502.11914324813</v>
      </c>
      <c r="E58" s="1990">
        <f>outputs_by_channel!$W$17</f>
        <v>411478.75937072933</v>
      </c>
      <c r="F58" s="1990">
        <f>outputs_by_channel!$X$17</f>
        <v>-204356.30643599707</v>
      </c>
      <c r="G58" s="1032"/>
    </row>
    <row r="59" spans="2:11">
      <c r="B59" s="1983" t="str">
        <f>outputs_by_channel!Z2</f>
        <v>Integrated clinical hubs - Integration of 111 and OOH hubs</v>
      </c>
      <c r="C59" s="1990">
        <f>outputs_by_channel!$AB$16</f>
        <v>243682.62918964395</v>
      </c>
      <c r="D59" s="1990">
        <f>outputs_by_channel!$AC$16</f>
        <v>12208.499722401144</v>
      </c>
      <c r="E59" s="1990">
        <f>outputs_by_channel!$AB$17</f>
        <v>127182.13416366899</v>
      </c>
      <c r="F59" s="1990">
        <f>outputs_by_channel!$AC$17</f>
        <v>-104291.99530357381</v>
      </c>
      <c r="G59" s="1032"/>
    </row>
    <row r="60" spans="2:11">
      <c r="B60" s="1983" t="str">
        <f>outputs_by_channel!AE2</f>
        <v>Ambulatory Emergency Care</v>
      </c>
      <c r="C60" s="1990">
        <f>outputs_by_channel!$AG16</f>
        <v>1087198.4786981698</v>
      </c>
      <c r="D60" s="1990">
        <f>outputs_by_channel!$AH$16</f>
        <v>-1240175.2390819793</v>
      </c>
      <c r="E60" s="1990">
        <f>outputs_by_channel!$AG17</f>
        <v>1055198.4786981698</v>
      </c>
      <c r="F60" s="1990">
        <f>outputs_by_channel!$AH$17</f>
        <v>-1272175.2390819793</v>
      </c>
      <c r="G60" s="1032"/>
    </row>
    <row r="61" spans="2:11">
      <c r="B61" s="1983" t="str">
        <f>outputs_by_channel!AJ2</f>
        <v>Personalised care planning</v>
      </c>
      <c r="C61" s="1990">
        <f>outputs_by_channel!$AL$16</f>
        <v>1681414.7503344945</v>
      </c>
      <c r="D61" s="1990">
        <f>outputs_by_channel!$AM$16</f>
        <v>-646784.0268268662</v>
      </c>
      <c r="E61" s="1990">
        <f>outputs_by_channel!$AL$17</f>
        <v>1605774.0541296396</v>
      </c>
      <c r="F61" s="1990">
        <f>outputs_by_channel!$AM$17</f>
        <v>-722424.72303172119</v>
      </c>
      <c r="G61" s="1032"/>
    </row>
    <row r="62" spans="2:11">
      <c r="B62" s="1983" t="str">
        <f>outputs_by_channel!AO2</f>
        <v>Co-location of UTC</v>
      </c>
      <c r="C62" s="1990">
        <f>outputs_by_channel!$AQ$16</f>
        <v>986205.49628341338</v>
      </c>
      <c r="D62" s="1990">
        <f>outputs_by_channel!$AR$16</f>
        <v>-1609426.4475798127</v>
      </c>
      <c r="E62" s="1990">
        <f>outputs_by_channel!$AQ$17</f>
        <v>831006.94205765869</v>
      </c>
      <c r="F62" s="1990">
        <f>outputs_by_channel!$AR$17</f>
        <v>-1764625.0018055674</v>
      </c>
      <c r="G62" s="1032"/>
    </row>
    <row r="63" spans="2:11">
      <c r="B63" s="1983" t="str">
        <f>outputs_by_channel!AT2</f>
        <v>Enhanced urgent care standards</v>
      </c>
      <c r="C63" s="1990">
        <f>outputs_by_channel!$AV$16</f>
        <v>0</v>
      </c>
      <c r="D63" s="1990">
        <f>outputs_by_channel!$AW$16</f>
        <v>0</v>
      </c>
      <c r="E63" s="1990">
        <f>outputs_by_channel!$AV$17</f>
        <v>0</v>
      </c>
      <c r="F63" s="1990">
        <f>outputs_by_channel!$AW$17</f>
        <v>0</v>
      </c>
      <c r="G63" s="1032"/>
    </row>
    <row r="64" spans="2:11">
      <c r="B64" s="1983" t="str">
        <f>outputs_by_channel!AY2</f>
        <v>GP extended hours</v>
      </c>
      <c r="C64" s="1990">
        <f>outputs_by_channel!$BA$16</f>
        <v>2866.5642503492418</v>
      </c>
      <c r="D64" s="1990">
        <f>outputs_by_channel!$BB$16</f>
        <v>-195179.8253675561</v>
      </c>
      <c r="E64" s="1990">
        <f>outputs_by_channel!$BA$17</f>
        <v>-42091.509282224397</v>
      </c>
      <c r="F64" s="1990">
        <f>outputs_by_channel!$BB$17</f>
        <v>-240137.89890012975</v>
      </c>
      <c r="G64" s="1032"/>
    </row>
    <row r="65" spans="2:8">
      <c r="B65" s="1983" t="str">
        <f>outputs_by_channel!BD2</f>
        <v>Community pharmacy: PGD minor ailments service</v>
      </c>
      <c r="C65" s="1990">
        <f>outputs_by_channel!$BF$16</f>
        <v>343644.13106059551</v>
      </c>
      <c r="D65" s="1990">
        <f>outputs_by_channel!$BG$16</f>
        <v>-70711.979045522807</v>
      </c>
      <c r="E65" s="1990">
        <f>outputs_by_channel!$BF$17</f>
        <v>335768.07394605468</v>
      </c>
      <c r="F65" s="1990">
        <f>outputs_by_channel!$BG$17</f>
        <v>-78588.036160063653</v>
      </c>
      <c r="G65" s="1032"/>
    </row>
    <row r="66" spans="2:8">
      <c r="B66" s="1983" t="str">
        <f>outputs_by_channel!BI2</f>
        <v>Community pharmacy: Emergency medication supply</v>
      </c>
      <c r="C66" s="1990">
        <f>outputs_by_channel!$BK$16</f>
        <v>449990.55105031328</v>
      </c>
      <c r="D66" s="1990">
        <f>outputs_by_channel!$BL$16</f>
        <v>-88525.376828940949</v>
      </c>
      <c r="E66" s="1990">
        <f>outputs_by_channel!$BK$17</f>
        <v>442114.49393577245</v>
      </c>
      <c r="F66" s="1990">
        <f>outputs_by_channel!$BL$17</f>
        <v>-96401.433943481796</v>
      </c>
      <c r="G66" s="1032"/>
    </row>
    <row r="67" spans="2:8">
      <c r="B67" s="1983" t="str">
        <f>outputs_by_channel!BN2</f>
        <v xml:space="preserve">Summary care record: Use for IP drug reconciliation </v>
      </c>
      <c r="C67" s="1990">
        <f>outputs_by_channel!$BP$16</f>
        <v>2080069.2396680955</v>
      </c>
      <c r="D67" s="1990">
        <f>outputs_by_channel!$BQ$16</f>
        <v>322495.50004292344</v>
      </c>
      <c r="E67" s="1990">
        <f>outputs_by_channel!$BP$17</f>
        <v>2076912.140805905</v>
      </c>
      <c r="F67" s="1990">
        <f>outputs_by_channel!$BQ$17</f>
        <v>319338.401180733</v>
      </c>
      <c r="G67" s="1032"/>
    </row>
    <row r="68" spans="2:8">
      <c r="B68" s="1983" t="str">
        <f>outputs_by_channel!BS2</f>
        <v>Summary care record: Use in  ED</v>
      </c>
      <c r="C68" s="1990">
        <f>outputs_by_channel!$BU$16</f>
        <v>274662.92697710748</v>
      </c>
      <c r="D68" s="1990">
        <f>outputs_by_channel!$BV$16</f>
        <v>32690.782011096351</v>
      </c>
      <c r="E68" s="1990">
        <f>outputs_by_channel!$BU$17</f>
        <v>271505.82811491704</v>
      </c>
      <c r="F68" s="1990">
        <f>outputs_by_channel!$BV$17</f>
        <v>29533.68314890593</v>
      </c>
      <c r="G68" s="1032"/>
    </row>
    <row r="69" spans="2:8">
      <c r="B69" s="1983" t="str">
        <f>Menu!B30</f>
        <v>Improved Referral processes - In Ambulance Service</v>
      </c>
      <c r="C69" s="1990">
        <f>outputs_by_channel!BZ16</f>
        <v>889989.44161446264</v>
      </c>
      <c r="D69" s="1990">
        <f>outputs_by_channel!CA16</f>
        <v>91854.170642334269</v>
      </c>
      <c r="E69" s="1990">
        <f>outputs_by_channel!BZ17</f>
        <v>842892.60793382383</v>
      </c>
      <c r="F69" s="1990">
        <f>outputs_by_channel!CA17</f>
        <v>44757.336961695473</v>
      </c>
      <c r="G69" s="1032"/>
    </row>
    <row r="70" spans="2:8">
      <c r="B70" s="1983" t="str">
        <f>Menu!B31</f>
        <v>Improved Referral processes - In ED</v>
      </c>
      <c r="C70" s="1990">
        <f>outputs_by_channel!CE16</f>
        <v>317351.20133612159</v>
      </c>
      <c r="D70" s="1990">
        <f>outputs_by_channel!CF16</f>
        <v>54507.47124491445</v>
      </c>
      <c r="E70" s="1990">
        <f>outputs_by_channel!CE17</f>
        <v>301652.25677590864</v>
      </c>
      <c r="F70" s="1990">
        <f>outputs_by_channel!CF17</f>
        <v>38808.526684701515</v>
      </c>
      <c r="G70" s="1032"/>
    </row>
    <row r="71" spans="2:8">
      <c r="B71" s="1983" t="str">
        <f>Menu!B32</f>
        <v>Improved Referral processes - In Care Homes</v>
      </c>
      <c r="C71" s="1990">
        <f>outputs_by_channel!CJ16</f>
        <v>256822.81741602067</v>
      </c>
      <c r="D71" s="1990">
        <f>outputs_by_channel!CK16</f>
        <v>33443.415094524149</v>
      </c>
      <c r="E71" s="1990">
        <f>outputs_by_channel!CJ17</f>
        <v>247403.45067989291</v>
      </c>
      <c r="F71" s="1990">
        <f>outputs_by_channel!CK17</f>
        <v>24024.048358396391</v>
      </c>
      <c r="G71" s="1032"/>
    </row>
    <row r="72" spans="2:8">
      <c r="B72" s="1983" t="str">
        <f>Menu!B33</f>
        <v>Discharge to Assess</v>
      </c>
      <c r="C72" s="1990">
        <f>outputs_by_channel!CT16</f>
        <v>10864194.603236256</v>
      </c>
      <c r="D72" s="1990">
        <f>outputs_by_channel!CU16</f>
        <v>-3596857.4957808396</v>
      </c>
      <c r="E72" s="1990">
        <f>outputs_by_channel!CT17</f>
        <v>10864194.603236256</v>
      </c>
      <c r="F72" s="1990">
        <f>outputs_by_channel!CU17</f>
        <v>-3596857.4957808396</v>
      </c>
      <c r="G72" s="1032"/>
    </row>
    <row r="73" spans="2:8">
      <c r="B73" s="1983" t="str">
        <f>Menu!B34</f>
        <v>Discharge Planning</v>
      </c>
      <c r="C73" s="1990">
        <f>outputs_by_channel!CO16</f>
        <v>-656368.97700467915</v>
      </c>
      <c r="D73" s="1990">
        <f>outputs_by_channel!CP16</f>
        <v>-2240587.4169229022</v>
      </c>
      <c r="E73" s="1990">
        <f>outputs_by_channel!CO17</f>
        <v>-659319.53668896924</v>
      </c>
      <c r="F73" s="1990">
        <f>outputs_by_channel!CP17</f>
        <v>-2243537.9766071923</v>
      </c>
      <c r="G73" s="1032"/>
    </row>
    <row r="74" spans="2:8">
      <c r="B74" s="1983" t="str">
        <f>Menu!B35</f>
        <v>Rapid Response Services</v>
      </c>
      <c r="C74" s="1990">
        <f>outputs_by_channel!CY16</f>
        <v>686824.86695480754</v>
      </c>
      <c r="D74" s="1990">
        <f>outputs_by_channel!CZ16</f>
        <v>-203488.92715999146</v>
      </c>
      <c r="E74" s="1990">
        <f>outputs_by_channel!CY17</f>
        <v>685247.56174789299</v>
      </c>
      <c r="F74" s="1990">
        <f>outputs_by_channel!CZ17</f>
        <v>-205066.23236690598</v>
      </c>
      <c r="G74" s="1032"/>
    </row>
    <row r="75" spans="2:8">
      <c r="B75" s="1983" t="str">
        <f>Menu!B36</f>
        <v>Care homes: Falls response training</v>
      </c>
      <c r="C75" s="1990">
        <f>outputs_by_channel!DD16</f>
        <v>488794.09067597485</v>
      </c>
      <c r="D75" s="1990">
        <f>outputs_by_channel!DE16</f>
        <v>48770.103656674677</v>
      </c>
      <c r="E75" s="1990">
        <f>outputs_by_channel!DD17</f>
        <v>475712.26832429483</v>
      </c>
      <c r="F75" s="1990">
        <f>outputs_by_channel!DE17</f>
        <v>35688.281304994634</v>
      </c>
      <c r="G75" s="1032"/>
    </row>
    <row r="76" spans="2:8">
      <c r="B76" s="1983" t="str">
        <f>Menu!B37</f>
        <v>Care Home educators</v>
      </c>
      <c r="C76" s="1990">
        <f>outputs_by_channel!DI16</f>
        <v>2845191.9862023187</v>
      </c>
      <c r="D76" s="1990">
        <f>outputs_by_channel!DJ16</f>
        <v>218162.09611914027</v>
      </c>
      <c r="E76" s="1990">
        <f>outputs_by_channel!DI17</f>
        <v>2815928.3706602454</v>
      </c>
      <c r="F76" s="1990">
        <f>outputs_by_channel!DJ17</f>
        <v>188898.48057706715</v>
      </c>
      <c r="G76" s="1032"/>
    </row>
    <row r="77" spans="2:8">
      <c r="B77" s="1983" t="str">
        <f>Menu!B38</f>
        <v>Early Warning Score in Care homes</v>
      </c>
      <c r="C77" s="1991">
        <f>outputs_by_channel!DN16</f>
        <v>365501.76057792205</v>
      </c>
      <c r="D77" s="1991">
        <f>outputs_by_channel!DO16</f>
        <v>23417.096514444223</v>
      </c>
      <c r="E77" s="1991">
        <f>outputs_by_channel!DN17</f>
        <v>359313.06795034517</v>
      </c>
      <c r="F77" s="1991">
        <f>outputs_by_channel!DO17</f>
        <v>17228.403886867341</v>
      </c>
      <c r="G77" s="1032"/>
    </row>
    <row r="78" spans="2:8">
      <c r="B78" s="1024" t="s">
        <v>202</v>
      </c>
      <c r="C78" s="670">
        <f>SUM(C56:C77)</f>
        <v>25435162.104394604</v>
      </c>
      <c r="D78" s="670">
        <f t="shared" ref="D78:F78" si="20">SUM(D56:D77)</f>
        <v>-9579795.16255356</v>
      </c>
      <c r="E78" s="670">
        <f t="shared" si="20"/>
        <v>24847744.724361036</v>
      </c>
      <c r="F78" s="670">
        <f t="shared" si="20"/>
        <v>-10167212.542587129</v>
      </c>
      <c r="G78" s="1032"/>
      <c r="H78" s="1032"/>
    </row>
    <row r="79" spans="2:8">
      <c r="C79" s="1032"/>
      <c r="D79" s="1032"/>
      <c r="F79" s="1032"/>
      <c r="G79" s="1032"/>
      <c r="H79" s="1032"/>
    </row>
    <row r="80" spans="2:8">
      <c r="C80" s="1032"/>
      <c r="D80" s="1032"/>
      <c r="H80" s="1032"/>
    </row>
    <row r="81" spans="2:8">
      <c r="H81" s="1032"/>
    </row>
    <row r="82" spans="2:8">
      <c r="C82" s="1032"/>
      <c r="D82" s="1032"/>
      <c r="F82" s="1032"/>
      <c r="G82" s="1032"/>
      <c r="H82" s="1032"/>
    </row>
    <row r="85" spans="2:8">
      <c r="C85" s="2274" t="s">
        <v>623</v>
      </c>
      <c r="D85" s="2277"/>
      <c r="E85" s="2277"/>
      <c r="F85" s="2277"/>
      <c r="G85" s="2276"/>
    </row>
    <row r="86" spans="2:8" ht="15.75">
      <c r="C86" s="1016" t="str">
        <f>projections!Q47</f>
        <v>2016-17</v>
      </c>
      <c r="D86" s="1977" t="str">
        <f>projections!R47</f>
        <v>2017-18</v>
      </c>
      <c r="E86" s="1977" t="str">
        <f>projections!S47</f>
        <v>2018-19</v>
      </c>
      <c r="F86" s="1977" t="str">
        <f>projections!T47</f>
        <v>2019-20</v>
      </c>
      <c r="G86" s="1016" t="str">
        <f>projections!U47</f>
        <v>2020-21</v>
      </c>
    </row>
    <row r="87" spans="2:8">
      <c r="B87" s="448" t="s">
        <v>1268</v>
      </c>
      <c r="C87" s="1981">
        <f>projections!Q99</f>
        <v>24847744.72436104</v>
      </c>
      <c r="D87" s="1981">
        <f>projections!R99</f>
        <v>25432753.452762108</v>
      </c>
      <c r="E87" s="1981">
        <f>projections!S99</f>
        <v>25953156.869418018</v>
      </c>
      <c r="F87" s="1981">
        <f>projections!T99</f>
        <v>26483968.35440705</v>
      </c>
      <c r="G87" s="1981">
        <f>projections!U99</f>
        <v>27269038.540705826</v>
      </c>
      <c r="H87" s="1033"/>
    </row>
    <row r="88" spans="2:8">
      <c r="C88" s="1033"/>
      <c r="D88" s="1033"/>
      <c r="E88" s="1033"/>
      <c r="F88" s="1033"/>
      <c r="G88" s="1033"/>
      <c r="H88" s="1033"/>
    </row>
    <row r="89" spans="2:8">
      <c r="C89" s="2274" t="s">
        <v>624</v>
      </c>
      <c r="D89" s="2277"/>
      <c r="E89" s="2277"/>
      <c r="F89" s="2277"/>
      <c r="G89" s="2276"/>
    </row>
    <row r="90" spans="2:8" ht="15.75">
      <c r="C90" s="1016" t="str">
        <f>C86</f>
        <v>2016-17</v>
      </c>
      <c r="D90" s="1977" t="str">
        <f>D86</f>
        <v>2017-18</v>
      </c>
      <c r="E90" s="1977" t="str">
        <f>E86</f>
        <v>2018-19</v>
      </c>
      <c r="F90" s="1977" t="str">
        <f>F86</f>
        <v>2019-20</v>
      </c>
      <c r="G90" s="1016" t="str">
        <f>G86</f>
        <v>2020-21</v>
      </c>
    </row>
    <row r="91" spans="2:8">
      <c r="B91" s="1986" t="str">
        <f>projections!A23</f>
        <v>Emergency bed days</v>
      </c>
      <c r="C91" s="1978">
        <f>projections!Q23</f>
        <v>13002231.364677463</v>
      </c>
      <c r="D91" s="1978">
        <f>projections!R23</f>
        <v>26759517.463567283</v>
      </c>
      <c r="E91" s="1978">
        <f>projections!S23</f>
        <v>42265045.295727283</v>
      </c>
      <c r="F91" s="1978">
        <f>projections!T23</f>
        <v>58570263.680808924</v>
      </c>
      <c r="G91" s="1978">
        <f>projections!U23</f>
        <v>75852809.137407571</v>
      </c>
      <c r="H91" s="1033"/>
    </row>
    <row r="92" spans="2:8">
      <c r="B92" s="1987" t="str">
        <f>projections!A24</f>
        <v>ED attends</v>
      </c>
      <c r="C92" s="1979">
        <f>projections!Q24</f>
        <v>3146514.5929037202</v>
      </c>
      <c r="D92" s="1979">
        <f>projections!R24</f>
        <v>6375686.4660953404</v>
      </c>
      <c r="E92" s="1979">
        <f>projections!S24</f>
        <v>9935885.6651678327</v>
      </c>
      <c r="F92" s="1979">
        <f>projections!T24</f>
        <v>13714360.550778097</v>
      </c>
      <c r="G92" s="1979">
        <f>projections!U24</f>
        <v>17709655.138751429</v>
      </c>
      <c r="H92" s="1033"/>
    </row>
    <row r="93" spans="2:8">
      <c r="B93" s="1987" t="str">
        <f>projections!A25</f>
        <v>ED Minor attends</v>
      </c>
      <c r="C93" s="1979">
        <f>projections!Q25</f>
        <v>1230977.8746278742</v>
      </c>
      <c r="D93" s="1979">
        <f>projections!R25</f>
        <v>2494292.8893538099</v>
      </c>
      <c r="E93" s="1979">
        <f>projections!S25</f>
        <v>3887112.2499281932</v>
      </c>
      <c r="F93" s="1979">
        <f>projections!T25</f>
        <v>5365325.3160659317</v>
      </c>
      <c r="G93" s="1979">
        <f>projections!U25</f>
        <v>6928362.478362089</v>
      </c>
      <c r="H93" s="1033"/>
    </row>
    <row r="94" spans="2:8">
      <c r="B94" s="1987" t="str">
        <f>projections!A26</f>
        <v>UCC attends</v>
      </c>
      <c r="C94" s="1979">
        <f>projections!Q26</f>
        <v>64745.272652844549</v>
      </c>
      <c r="D94" s="1979">
        <f>projections!R26</f>
        <v>131191.36950051441</v>
      </c>
      <c r="E94" s="1979">
        <f>projections!S26</f>
        <v>204448.95691556807</v>
      </c>
      <c r="F94" s="1979">
        <f>projections!T26</f>
        <v>282197.96441500605</v>
      </c>
      <c r="G94" s="1979">
        <f>projections!U26</f>
        <v>364408.43247072562</v>
      </c>
      <c r="H94" s="1033"/>
    </row>
    <row r="95" spans="2:8">
      <c r="B95" s="1987" t="str">
        <f>projections!A27</f>
        <v>OOH clinic visits</v>
      </c>
      <c r="C95" s="1979">
        <f>projections!Q27</f>
        <v>149066.02515910598</v>
      </c>
      <c r="D95" s="1979">
        <f>projections!R27</f>
        <v>302047.93624823971</v>
      </c>
      <c r="E95" s="1979">
        <f>projections!S27</f>
        <v>470712.25599341397</v>
      </c>
      <c r="F95" s="1979">
        <f>projections!T27</f>
        <v>649717.37919598923</v>
      </c>
      <c r="G95" s="1979">
        <f>projections!U27</f>
        <v>838994.32865366363</v>
      </c>
      <c r="H95" s="1033"/>
    </row>
    <row r="96" spans="2:8">
      <c r="B96" s="1987" t="str">
        <f>projections!A28</f>
        <v>OOH home visits</v>
      </c>
      <c r="C96" s="1979">
        <f>projections!Q28</f>
        <v>114228.94477732589</v>
      </c>
      <c r="D96" s="1979">
        <f>projections!R28</f>
        <v>231458.62374057973</v>
      </c>
      <c r="E96" s="1979">
        <f>projections!S28</f>
        <v>360705.69560361945</v>
      </c>
      <c r="F96" s="1979">
        <f>projections!T28</f>
        <v>497876.90085539001</v>
      </c>
      <c r="G96" s="1979">
        <f>projections!U28</f>
        <v>642919.38242786168</v>
      </c>
      <c r="H96" s="1033"/>
    </row>
    <row r="97" spans="2:8">
      <c r="B97" s="1987" t="str">
        <f>projections!A29</f>
        <v>111 calls (calls answered)</v>
      </c>
      <c r="C97" s="1979">
        <f>projections!Q29</f>
        <v>91881.464309179108</v>
      </c>
      <c r="D97" s="1979">
        <f>projections!R29</f>
        <v>186176.60626847827</v>
      </c>
      <c r="E97" s="1979">
        <f>projections!S29</f>
        <v>290138.08681615716</v>
      </c>
      <c r="F97" s="1979">
        <f>projections!T29</f>
        <v>400473.44204644999</v>
      </c>
      <c r="G97" s="1979">
        <f>projections!U29</f>
        <v>517140.15572304622</v>
      </c>
      <c r="H97" s="1033"/>
    </row>
    <row r="98" spans="2:8">
      <c r="B98" s="1987" t="str">
        <f>projections!A30</f>
        <v>111 calls (transferred to clinical advisor)</v>
      </c>
      <c r="C98" s="1979">
        <f>projections!Q30</f>
        <v>49370.646892300574</v>
      </c>
      <c r="D98" s="1979">
        <f>projections!R30</f>
        <v>100038.23466241395</v>
      </c>
      <c r="E98" s="1979">
        <f>projections!S30</f>
        <v>155899.83400794648</v>
      </c>
      <c r="F98" s="1979">
        <f>projections!T30</f>
        <v>215186.3060267331</v>
      </c>
      <c r="G98" s="1979">
        <f>projections!U30</f>
        <v>277874.80547892227</v>
      </c>
      <c r="H98" s="1033"/>
    </row>
    <row r="99" spans="2:8">
      <c r="B99" s="1987" t="str">
        <f>projections!A31</f>
        <v>Community pharmacy attends</v>
      </c>
      <c r="C99" s="1979">
        <f>projections!Q31</f>
        <v>0</v>
      </c>
      <c r="D99" s="1979">
        <f>projections!R31</f>
        <v>0</v>
      </c>
      <c r="E99" s="1979">
        <f>projections!S31</f>
        <v>0</v>
      </c>
      <c r="F99" s="1979">
        <f>projections!T31</f>
        <v>0</v>
      </c>
      <c r="G99" s="1979">
        <f>projections!U31</f>
        <v>0</v>
      </c>
      <c r="H99" s="1033"/>
    </row>
    <row r="100" spans="2:8">
      <c r="B100" s="1987" t="str">
        <f>projections!A32</f>
        <v>Ambulance - hear and treat</v>
      </c>
      <c r="C100" s="1979">
        <f>projections!Q32</f>
        <v>16616.525828492275</v>
      </c>
      <c r="D100" s="1979">
        <f>projections!R32</f>
        <v>33669.559034358361</v>
      </c>
      <c r="E100" s="1979">
        <f>projections!S32</f>
        <v>52470.724641339468</v>
      </c>
      <c r="F100" s="1979">
        <f>projections!T32</f>
        <v>72424.589044400185</v>
      </c>
      <c r="G100" s="1979">
        <f>projections!U32</f>
        <v>93523.463291866879</v>
      </c>
      <c r="H100" s="1033"/>
    </row>
    <row r="101" spans="2:8">
      <c r="B101" s="1987" t="str">
        <f>projections!A33</f>
        <v>Ambulance - See and treat</v>
      </c>
      <c r="C101" s="1979">
        <f>projections!Q33</f>
        <v>367322.87815135857</v>
      </c>
      <c r="D101" s="1979">
        <f>projections!R33</f>
        <v>744295.13474958204</v>
      </c>
      <c r="E101" s="1979">
        <f>projections!S33</f>
        <v>1159911.3913990196</v>
      </c>
      <c r="F101" s="1979">
        <f>projections!T33</f>
        <v>1601009.0659927255</v>
      </c>
      <c r="G101" s="1979">
        <f>projections!U33</f>
        <v>2067418.1875098106</v>
      </c>
      <c r="H101" s="1033"/>
    </row>
    <row r="102" spans="2:8">
      <c r="B102" s="1987" t="str">
        <f>projections!A34</f>
        <v>Ambulance - see and convey to ED</v>
      </c>
      <c r="C102" s="1979">
        <f>projections!Q34</f>
        <v>1304994.5788832461</v>
      </c>
      <c r="D102" s="1979">
        <f>projections!R34</f>
        <v>2644270.6776819588</v>
      </c>
      <c r="E102" s="1979">
        <f>projections!S34</f>
        <v>4120838.008725713</v>
      </c>
      <c r="F102" s="1979">
        <f>projections!T34</f>
        <v>5687933.6304299403</v>
      </c>
      <c r="G102" s="1979">
        <f>projections!U34</f>
        <v>7344953.683699498</v>
      </c>
      <c r="H102" s="1033"/>
    </row>
    <row r="103" spans="2:8">
      <c r="B103" s="1987" t="str">
        <f>projections!A35</f>
        <v>Community contacts</v>
      </c>
      <c r="C103" s="1979">
        <f>projections!Q35</f>
        <v>0</v>
      </c>
      <c r="D103" s="1979">
        <f>projections!R35</f>
        <v>0</v>
      </c>
      <c r="E103" s="1979">
        <f>projections!S35</f>
        <v>0</v>
      </c>
      <c r="F103" s="1979">
        <f>projections!T35</f>
        <v>0</v>
      </c>
      <c r="G103" s="1979">
        <f>projections!U35</f>
        <v>0</v>
      </c>
      <c r="H103" s="1033"/>
    </row>
    <row r="104" spans="2:8">
      <c r="B104" s="1987" t="str">
        <f>projections!A36</f>
        <v>Intermediate care bed days</v>
      </c>
      <c r="C104" s="1979">
        <f>projections!Q36</f>
        <v>0</v>
      </c>
      <c r="D104" s="1979">
        <f>projections!R36</f>
        <v>0</v>
      </c>
      <c r="E104" s="1979">
        <f>projections!S36</f>
        <v>0</v>
      </c>
      <c r="F104" s="1979">
        <f>projections!T36</f>
        <v>0</v>
      </c>
      <c r="G104" s="1979">
        <f>projections!U36</f>
        <v>0</v>
      </c>
      <c r="H104" s="1033"/>
    </row>
    <row r="105" spans="2:8">
      <c r="B105" s="1987" t="str">
        <f>projections!A37</f>
        <v>Social services domiciliary care</v>
      </c>
      <c r="C105" s="1979">
        <f>projections!Q37</f>
        <v>0</v>
      </c>
      <c r="D105" s="1979">
        <f>projections!R37</f>
        <v>0</v>
      </c>
      <c r="E105" s="1979">
        <f>projections!S37</f>
        <v>0</v>
      </c>
      <c r="F105" s="1979">
        <f>projections!T37</f>
        <v>0</v>
      </c>
      <c r="G105" s="1979">
        <f>projections!U37</f>
        <v>0</v>
      </c>
      <c r="H105" s="1033"/>
    </row>
    <row r="106" spans="2:8">
      <c r="B106" s="1987" t="str">
        <f>projections!A38</f>
        <v>GP attends</v>
      </c>
      <c r="C106" s="1979">
        <f>projections!Q38</f>
        <v>0</v>
      </c>
      <c r="D106" s="1979">
        <f>projections!R38</f>
        <v>0</v>
      </c>
      <c r="E106" s="1979">
        <f>projections!S38</f>
        <v>0</v>
      </c>
      <c r="F106" s="1979">
        <f>projections!T38</f>
        <v>0</v>
      </c>
      <c r="G106" s="1979">
        <f>projections!U38</f>
        <v>0</v>
      </c>
      <c r="H106" s="1033"/>
    </row>
    <row r="107" spans="2:8">
      <c r="B107" s="1987" t="str">
        <f>projections!A39</f>
        <v>GP visits</v>
      </c>
      <c r="C107" s="1980">
        <f>projections!Q39</f>
        <v>0</v>
      </c>
      <c r="D107" s="1980">
        <f>projections!R39</f>
        <v>0</v>
      </c>
      <c r="E107" s="1980">
        <f>projections!S39</f>
        <v>0</v>
      </c>
      <c r="F107" s="1980">
        <f>projections!T39</f>
        <v>0</v>
      </c>
      <c r="G107" s="1980">
        <f>projections!U39</f>
        <v>0</v>
      </c>
      <c r="H107" s="1033"/>
    </row>
    <row r="108" spans="2:8">
      <c r="B108" s="448" t="str">
        <f>projections!A40</f>
        <v>TOTAL (cost)</v>
      </c>
      <c r="C108" s="1981">
        <f>projections!Q40</f>
        <v>19537950.168862909</v>
      </c>
      <c r="D108" s="1981">
        <f>projections!R40</f>
        <v>40002644.960902564</v>
      </c>
      <c r="E108" s="1981">
        <f>projections!S40</f>
        <v>62903168.164926067</v>
      </c>
      <c r="F108" s="1981">
        <f>projections!T40</f>
        <v>87056768.825659588</v>
      </c>
      <c r="G108" s="1981">
        <f>projections!U40</f>
        <v>112638059.19377647</v>
      </c>
      <c r="H108" s="1033"/>
    </row>
    <row r="109" spans="2:8">
      <c r="C109" s="1033"/>
      <c r="D109" s="1033"/>
      <c r="E109" s="1033"/>
      <c r="F109" s="1033"/>
      <c r="G109" s="1033"/>
      <c r="H109" s="1033"/>
    </row>
    <row r="110" spans="2:8">
      <c r="C110" s="2274" t="s">
        <v>625</v>
      </c>
      <c r="D110" s="2277"/>
      <c r="E110" s="2277"/>
      <c r="F110" s="2277"/>
      <c r="G110" s="2276"/>
    </row>
    <row r="111" spans="2:8" ht="15.75">
      <c r="C111" s="1016" t="str">
        <f>C90</f>
        <v>2016-17</v>
      </c>
      <c r="D111" s="1977" t="str">
        <f t="shared" ref="D111:G111" si="21">D90</f>
        <v>2017-18</v>
      </c>
      <c r="E111" s="1977" t="str">
        <f t="shared" si="21"/>
        <v>2018-19</v>
      </c>
      <c r="F111" s="1977" t="str">
        <f t="shared" si="21"/>
        <v>2019-20</v>
      </c>
      <c r="G111" s="1016" t="str">
        <f t="shared" si="21"/>
        <v>2020-21</v>
      </c>
    </row>
    <row r="112" spans="2:8">
      <c r="B112" s="1024" t="str">
        <f>B108</f>
        <v>TOTAL (cost)</v>
      </c>
      <c r="C112" s="1981">
        <f t="shared" ref="C112:G112" si="22">C108+C87</f>
        <v>44385694.893223949</v>
      </c>
      <c r="D112" s="1981">
        <f t="shared" si="22"/>
        <v>65435398.413664669</v>
      </c>
      <c r="E112" s="1981">
        <f t="shared" si="22"/>
        <v>88856325.034344077</v>
      </c>
      <c r="F112" s="1981">
        <f t="shared" si="22"/>
        <v>113540737.18006665</v>
      </c>
      <c r="G112" s="1981">
        <f t="shared" si="22"/>
        <v>139907097.73448229</v>
      </c>
      <c r="H112" s="1034"/>
    </row>
    <row r="113" spans="2:8">
      <c r="C113" s="1988"/>
      <c r="D113" s="1988"/>
      <c r="E113" s="1988"/>
      <c r="F113" s="1988"/>
      <c r="G113" s="1988"/>
      <c r="H113" s="1034"/>
    </row>
    <row r="114" spans="2:8">
      <c r="C114" s="2274" t="s">
        <v>626</v>
      </c>
      <c r="D114" s="2277"/>
      <c r="E114" s="2277"/>
      <c r="F114" s="2277"/>
      <c r="G114" s="2276"/>
    </row>
    <row r="115" spans="2:8" ht="15.75">
      <c r="C115" s="1016" t="str">
        <f>projections!W22</f>
        <v>2016-17</v>
      </c>
      <c r="D115" s="1977" t="str">
        <f>projections!X22</f>
        <v>2017-18</v>
      </c>
      <c r="E115" s="1977" t="str">
        <f>projections!Y22</f>
        <v>2018-19</v>
      </c>
      <c r="F115" s="1977" t="str">
        <f>projections!Z22</f>
        <v>2019-20</v>
      </c>
      <c r="G115" s="1016" t="str">
        <f>projections!AA22</f>
        <v>2020-21</v>
      </c>
    </row>
    <row r="116" spans="2:8">
      <c r="B116" s="1986" t="str">
        <f>projections!A48</f>
        <v>Emergency bed days</v>
      </c>
      <c r="C116" s="1978">
        <f>projections!W48</f>
        <v>4358265.8133387258</v>
      </c>
      <c r="D116" s="1978">
        <f>projections!X48</f>
        <v>4458505.9270455157</v>
      </c>
      <c r="E116" s="1978">
        <f>projections!Y48</f>
        <v>4547676.0455864258</v>
      </c>
      <c r="F116" s="1978">
        <f>projections!Z48</f>
        <v>4638629.5664981548</v>
      </c>
      <c r="G116" s="1978">
        <f>projections!AA48</f>
        <v>4773149.8239266006</v>
      </c>
      <c r="H116" s="1033"/>
    </row>
    <row r="117" spans="2:8">
      <c r="B117" s="2198" t="str">
        <f>projections!A49</f>
        <v>ED attends</v>
      </c>
      <c r="C117" s="1979">
        <f>projections!W49</f>
        <v>111925.78664691305</v>
      </c>
      <c r="D117" s="1979">
        <f>projections!X49</f>
        <v>114500.07973979205</v>
      </c>
      <c r="E117" s="1979">
        <f>projections!Y49</f>
        <v>116790.0813345879</v>
      </c>
      <c r="F117" s="1979">
        <f>projections!Z49</f>
        <v>119125.88296127967</v>
      </c>
      <c r="G117" s="1979">
        <f>projections!AA49</f>
        <v>122580.53356715676</v>
      </c>
      <c r="H117" s="1033"/>
    </row>
    <row r="118" spans="2:8">
      <c r="B118" s="2198" t="str">
        <f>projections!A50</f>
        <v>ED Minor attends</v>
      </c>
      <c r="C118" s="1979">
        <f>projections!W50</f>
        <v>493898.64166028245</v>
      </c>
      <c r="D118" s="1979">
        <f>projections!X50</f>
        <v>505258.3104184689</v>
      </c>
      <c r="E118" s="1979">
        <f>projections!Y50</f>
        <v>515363.47662683827</v>
      </c>
      <c r="F118" s="1979">
        <f>projections!Z50</f>
        <v>525670.74615937495</v>
      </c>
      <c r="G118" s="1979">
        <f>projections!AA50</f>
        <v>540915.19779799692</v>
      </c>
      <c r="H118" s="1033"/>
    </row>
    <row r="119" spans="2:8">
      <c r="B119" s="2198" t="str">
        <f>projections!A51</f>
        <v>UCC attends</v>
      </c>
      <c r="C119" s="1979">
        <f>projections!W51</f>
        <v>36662.408046660945</v>
      </c>
      <c r="D119" s="1979">
        <f>projections!X51</f>
        <v>37505.643431734148</v>
      </c>
      <c r="E119" s="1979">
        <f>projections!Y51</f>
        <v>38255.756300368826</v>
      </c>
      <c r="F119" s="1979">
        <f>projections!Z51</f>
        <v>39020.871426376194</v>
      </c>
      <c r="G119" s="1979">
        <f>projections!AA51</f>
        <v>40152.476697741105</v>
      </c>
      <c r="H119" s="1033"/>
    </row>
    <row r="120" spans="2:8">
      <c r="B120" s="2198" t="str">
        <f>projections!A52</f>
        <v>OOH clinic visits</v>
      </c>
      <c r="C120" s="1979">
        <f>projections!W52</f>
        <v>106248.53995370655</v>
      </c>
      <c r="D120" s="1979">
        <f>projections!X52</f>
        <v>108692.25637264179</v>
      </c>
      <c r="E120" s="1979">
        <f>projections!Y52</f>
        <v>110866.10150009462</v>
      </c>
      <c r="F120" s="1979">
        <f>projections!Z52</f>
        <v>113083.42353009652</v>
      </c>
      <c r="G120" s="1979">
        <f>projections!AA52</f>
        <v>116362.84281246932</v>
      </c>
      <c r="H120" s="1033"/>
    </row>
    <row r="121" spans="2:8">
      <c r="B121" s="2198" t="str">
        <f>projections!A53</f>
        <v>OOH home visits</v>
      </c>
      <c r="C121" s="1979">
        <f>projections!W53</f>
        <v>87037.221478427367</v>
      </c>
      <c r="D121" s="1979">
        <f>projections!X53</f>
        <v>89039.077572431168</v>
      </c>
      <c r="E121" s="1979">
        <f>projections!Y53</f>
        <v>90819.859123879796</v>
      </c>
      <c r="F121" s="1979">
        <f>projections!Z53</f>
        <v>92636.256306357391</v>
      </c>
      <c r="G121" s="1979">
        <f>projections!AA53</f>
        <v>95322.707739241756</v>
      </c>
      <c r="H121" s="1033"/>
    </row>
    <row r="122" spans="2:8">
      <c r="B122" s="2198" t="str">
        <f>projections!A54</f>
        <v>111 calls (calls answered)</v>
      </c>
      <c r="C122" s="1979">
        <f>projections!W54</f>
        <v>12498.979344463758</v>
      </c>
      <c r="D122" s="1979">
        <f>projections!X54</f>
        <v>12786.455869386422</v>
      </c>
      <c r="E122" s="1979">
        <f>projections!Y54</f>
        <v>13042.184986774149</v>
      </c>
      <c r="F122" s="1979">
        <f>projections!Z54</f>
        <v>13303.028686509633</v>
      </c>
      <c r="G122" s="1979">
        <f>projections!AA54</f>
        <v>13688.816518418411</v>
      </c>
      <c r="H122" s="1033"/>
    </row>
    <row r="123" spans="2:8">
      <c r="B123" s="2198" t="str">
        <f>projections!A55</f>
        <v>111 calls (transferred to clinical advisor)</v>
      </c>
      <c r="C123" s="1979">
        <f>projections!W55</f>
        <v>-48865.267536161307</v>
      </c>
      <c r="D123" s="1979">
        <f>projections!X55</f>
        <v>-49989.16868949301</v>
      </c>
      <c r="E123" s="1979">
        <f>projections!Y55</f>
        <v>-50988.952063282872</v>
      </c>
      <c r="F123" s="1979">
        <f>projections!Z55</f>
        <v>-52008.731104548526</v>
      </c>
      <c r="G123" s="1979">
        <f>projections!AA55</f>
        <v>-53516.984306580423</v>
      </c>
      <c r="H123" s="1033"/>
    </row>
    <row r="124" spans="2:8">
      <c r="B124" s="2198" t="str">
        <f>projections!A56</f>
        <v>Community pharmacy attends</v>
      </c>
      <c r="C124" s="1979">
        <f>projections!W56</f>
        <v>-1674.4709462076089</v>
      </c>
      <c r="D124" s="1979">
        <f>projections!X56</f>
        <v>-1712.9837779703839</v>
      </c>
      <c r="E124" s="1979">
        <f>projections!Y56</f>
        <v>-1747.2434535297916</v>
      </c>
      <c r="F124" s="1979">
        <f>projections!Z56</f>
        <v>-1782.1883226003874</v>
      </c>
      <c r="G124" s="1979">
        <f>projections!AA56</f>
        <v>-1833.8717839557985</v>
      </c>
      <c r="H124" s="1033"/>
    </row>
    <row r="125" spans="2:8">
      <c r="B125" s="2198" t="str">
        <f>projections!A57</f>
        <v>Ambulance - hear and treat</v>
      </c>
      <c r="C125" s="1979">
        <f>projections!W57</f>
        <v>0</v>
      </c>
      <c r="D125" s="1979">
        <f>projections!X57</f>
        <v>0</v>
      </c>
      <c r="E125" s="1979">
        <f>projections!Y57</f>
        <v>0</v>
      </c>
      <c r="F125" s="1979">
        <f>projections!Z57</f>
        <v>0</v>
      </c>
      <c r="G125" s="1979">
        <f>projections!AA57</f>
        <v>0</v>
      </c>
      <c r="H125" s="1033"/>
    </row>
    <row r="126" spans="2:8">
      <c r="B126" s="2198" t="str">
        <f>projections!A58</f>
        <v>Ambulance - See and treat</v>
      </c>
      <c r="C126" s="1979">
        <f>projections!W58</f>
        <v>-13989.634876672641</v>
      </c>
      <c r="D126" s="1979">
        <f>projections!X58</f>
        <v>-14311.39647883611</v>
      </c>
      <c r="E126" s="1979">
        <f>projections!Y58</f>
        <v>-14597.624408412834</v>
      </c>
      <c r="F126" s="1979">
        <f>projections!Z58</f>
        <v>-14889.576896581091</v>
      </c>
      <c r="G126" s="1979">
        <f>projections!AA58</f>
        <v>-15321.374626581941</v>
      </c>
      <c r="H126" s="1033"/>
    </row>
    <row r="127" spans="2:8">
      <c r="B127" s="2198" t="str">
        <f>projections!A59</f>
        <v>Ambulance - see and convey to ED</v>
      </c>
      <c r="C127" s="1979">
        <f>projections!W59</f>
        <v>245917.77048841969</v>
      </c>
      <c r="D127" s="1979">
        <f>projections!X59</f>
        <v>251573.8792096533</v>
      </c>
      <c r="E127" s="1979">
        <f>projections!Y59</f>
        <v>256605.35679384638</v>
      </c>
      <c r="F127" s="1979">
        <f>projections!Z59</f>
        <v>261737.46392972331</v>
      </c>
      <c r="G127" s="1979">
        <f>projections!AA59</f>
        <v>269327.85038368526</v>
      </c>
      <c r="H127" s="1033"/>
    </row>
    <row r="128" spans="2:8">
      <c r="B128" s="2198" t="str">
        <f>projections!A60</f>
        <v>Community contacts</v>
      </c>
      <c r="C128" s="1979">
        <f>projections!W60</f>
        <v>-25406.872484208623</v>
      </c>
      <c r="D128" s="1979">
        <f>projections!X60</f>
        <v>-25991.230551345416</v>
      </c>
      <c r="E128" s="1979">
        <f>projections!Y60</f>
        <v>-26511.055162372322</v>
      </c>
      <c r="F128" s="1979">
        <f>projections!Z60</f>
        <v>-27041.27626561977</v>
      </c>
      <c r="G128" s="1979">
        <f>projections!AA60</f>
        <v>-27825.473277322744</v>
      </c>
      <c r="H128" s="1033"/>
    </row>
    <row r="129" spans="2:8">
      <c r="B129" s="2198" t="str">
        <f>projections!A61</f>
        <v>Intermediate care bed days</v>
      </c>
      <c r="C129" s="1979">
        <f>projections!W61</f>
        <v>1928.8001879427532</v>
      </c>
      <c r="D129" s="1979">
        <f>projections!X61</f>
        <v>1973.1625922654362</v>
      </c>
      <c r="E129" s="1979">
        <f>projections!Y61</f>
        <v>2012.625844110745</v>
      </c>
      <c r="F129" s="1979">
        <f>projections!Z61</f>
        <v>2052.8783609929596</v>
      </c>
      <c r="G129" s="1979">
        <f>projections!AA61</f>
        <v>2112.4118334617556</v>
      </c>
      <c r="H129" s="1033"/>
    </row>
    <row r="130" spans="2:8">
      <c r="B130" s="2198" t="str">
        <f>projections!A62</f>
        <v>Social services domiciliary care</v>
      </c>
      <c r="C130" s="1979">
        <f>projections!W62</f>
        <v>-258.16045329618896</v>
      </c>
      <c r="D130" s="1979">
        <f>projections!X62</f>
        <v>-264.09814372200128</v>
      </c>
      <c r="E130" s="1979">
        <f>projections!Y62</f>
        <v>-269.38010659644129</v>
      </c>
      <c r="F130" s="1979">
        <f>projections!Z62</f>
        <v>-274.76770872837011</v>
      </c>
      <c r="G130" s="1979">
        <f>projections!AA62</f>
        <v>-282.73597228149282</v>
      </c>
      <c r="H130" s="1033"/>
    </row>
    <row r="131" spans="2:8">
      <c r="B131" s="2198" t="str">
        <f>projections!A63</f>
        <v>GP attends</v>
      </c>
      <c r="C131" s="1979">
        <f>projections!W63</f>
        <v>55363.962633938121</v>
      </c>
      <c r="D131" s="1979">
        <f>projections!X63</f>
        <v>56637.333774518687</v>
      </c>
      <c r="E131" s="1979">
        <f>projections!Y63</f>
        <v>57770.080450009067</v>
      </c>
      <c r="F131" s="1979">
        <f>projections!Z63</f>
        <v>58925.482059009257</v>
      </c>
      <c r="G131" s="1979">
        <f>projections!AA63</f>
        <v>60634.321038720518</v>
      </c>
      <c r="H131" s="1033"/>
    </row>
    <row r="132" spans="2:8">
      <c r="B132" s="2198" t="str">
        <f>projections!A64</f>
        <v>GP visits</v>
      </c>
      <c r="C132" s="1980">
        <f>projections!W64</f>
        <v>24945.48156185231</v>
      </c>
      <c r="D132" s="1980">
        <f>projections!X64</f>
        <v>25519.227637774908</v>
      </c>
      <c r="E132" s="1980">
        <f>projections!Y64</f>
        <v>26029.61219053041</v>
      </c>
      <c r="F132" s="1980">
        <f>projections!Z64</f>
        <v>26550.204434341016</v>
      </c>
      <c r="G132" s="1980">
        <f>projections!AA64</f>
        <v>27320.160362936906</v>
      </c>
      <c r="H132" s="1033"/>
    </row>
    <row r="133" spans="2:8">
      <c r="B133" s="448" t="str">
        <f t="shared" ref="B133" si="23">B87</f>
        <v>TOTAL (Saving)</v>
      </c>
      <c r="C133" s="1981">
        <f>projections!W65</f>
        <v>5444498.9990447871</v>
      </c>
      <c r="D133" s="1981">
        <f>projections!X65</f>
        <v>5569722.4760228172</v>
      </c>
      <c r="E133" s="1981">
        <f>projections!Y65</f>
        <v>5681116.9255432729</v>
      </c>
      <c r="F133" s="1981">
        <f>projections!Z65</f>
        <v>5794739.2640541391</v>
      </c>
      <c r="G133" s="1981">
        <f>projections!AA65</f>
        <v>5962786.7027117051</v>
      </c>
      <c r="H133" s="1033"/>
    </row>
    <row r="134" spans="2:8">
      <c r="C134" s="1033"/>
      <c r="D134" s="1033"/>
      <c r="E134" s="1033"/>
      <c r="F134" s="1033"/>
      <c r="G134" s="1033"/>
      <c r="H134" s="1033"/>
    </row>
    <row r="137" spans="2:8" ht="15.75">
      <c r="B137" s="2015" t="s">
        <v>1240</v>
      </c>
      <c r="C137" s="1016" t="s">
        <v>78</v>
      </c>
      <c r="D137" s="1977" t="s">
        <v>79</v>
      </c>
      <c r="E137" s="1977" t="s">
        <v>80</v>
      </c>
      <c r="F137" s="1977" t="s">
        <v>81</v>
      </c>
      <c r="G137" s="1016" t="s">
        <v>82</v>
      </c>
    </row>
    <row r="138" spans="2:8">
      <c r="B138" s="1982" t="str">
        <f>C89</f>
        <v>Commissioner View - Counterfactual Cost Change above Baseline</v>
      </c>
      <c r="C138" s="1981">
        <f>projections!Q40</f>
        <v>19537950.168862909</v>
      </c>
      <c r="D138" s="1981">
        <f>projections!R40</f>
        <v>40002644.960902564</v>
      </c>
      <c r="E138" s="1981">
        <f>projections!S40</f>
        <v>62903168.164926067</v>
      </c>
      <c r="F138" s="1981">
        <f>projections!T40</f>
        <v>87056768.825659588</v>
      </c>
      <c r="G138" s="1981">
        <f>projections!U40</f>
        <v>112638059.19377647</v>
      </c>
      <c r="H138" s="1033"/>
    </row>
    <row r="139" spans="2:8">
      <c r="B139" s="1984" t="str">
        <f>projections!W21</f>
        <v>Projected cost change (system view with thresholds)</v>
      </c>
      <c r="C139" s="1981">
        <f>projections!W40</f>
        <v>2741209.4990432607</v>
      </c>
      <c r="D139" s="1981">
        <f>projections!X40</f>
        <v>5621411.4148427462</v>
      </c>
      <c r="E139" s="1981">
        <f>projections!Y40</f>
        <v>8851614.0390393455</v>
      </c>
      <c r="F139" s="1981">
        <f>projections!Z40</f>
        <v>12255407.220975714</v>
      </c>
      <c r="G139" s="1981">
        <f>projections!AA40</f>
        <v>15861272.726964228</v>
      </c>
      <c r="H139" s="1033"/>
    </row>
    <row r="141" spans="2:8">
      <c r="C141" s="1034"/>
      <c r="D141" s="1034"/>
      <c r="E141" s="1034"/>
      <c r="F141" s="1034"/>
      <c r="G141" s="1034"/>
      <c r="H141" s="1034"/>
    </row>
    <row r="142" spans="2:8" ht="15.75">
      <c r="B142" s="2015" t="s">
        <v>1241</v>
      </c>
      <c r="C142" s="1016" t="s">
        <v>78</v>
      </c>
      <c r="D142" s="1977" t="s">
        <v>79</v>
      </c>
      <c r="E142" s="1977" t="s">
        <v>80</v>
      </c>
      <c r="F142" s="1977" t="s">
        <v>81</v>
      </c>
      <c r="G142" s="1016" t="s">
        <v>82</v>
      </c>
    </row>
    <row r="143" spans="2:8">
      <c r="B143" s="1982" t="str">
        <f>C110</f>
        <v>Commissioner View - Cost Change with Interventions</v>
      </c>
      <c r="C143" s="1981">
        <f>C138-projections!Q99</f>
        <v>-5309794.5554981306</v>
      </c>
      <c r="D143" s="1981">
        <f>D138-projections!R99</f>
        <v>14569891.508140456</v>
      </c>
      <c r="E143" s="1981">
        <f>E138-projections!S99</f>
        <v>36950011.295508049</v>
      </c>
      <c r="F143" s="1981">
        <f>F138-projections!T99</f>
        <v>60572800.471252538</v>
      </c>
      <c r="G143" s="1981">
        <f>G138-projections!U99</f>
        <v>85369020.653070644</v>
      </c>
      <c r="H143" s="1033"/>
    </row>
    <row r="144" spans="2:8">
      <c r="B144" s="1984" t="str">
        <f>C114</f>
        <v>System View (with thresholds) - Intervention Impact</v>
      </c>
      <c r="C144" s="1981">
        <f>C139-projections!W99</f>
        <v>12908422.041630391</v>
      </c>
      <c r="D144" s="1981">
        <f>D139-projections!X99</f>
        <v>16008959.24616861</v>
      </c>
      <c r="E144" s="1981">
        <f>E139-projections!Y99</f>
        <v>19435164.479391053</v>
      </c>
      <c r="F144" s="1981">
        <f>F139-projections!Z99</f>
        <v>23038880.322533786</v>
      </c>
      <c r="G144" s="1981">
        <f>G139-projections!AA99</f>
        <v>26940431.444446512</v>
      </c>
      <c r="H144" s="1033"/>
    </row>
  </sheetData>
  <mergeCells count="11">
    <mergeCell ref="E54:F54"/>
    <mergeCell ref="C110:G110"/>
    <mergeCell ref="C114:G114"/>
    <mergeCell ref="C54:D54"/>
    <mergeCell ref="C85:G85"/>
    <mergeCell ref="C89:G89"/>
    <mergeCell ref="C1:D1"/>
    <mergeCell ref="F1:G1"/>
    <mergeCell ref="B6:G6"/>
    <mergeCell ref="B2:G2"/>
    <mergeCell ref="B26:G26"/>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W100"/>
  <sheetViews>
    <sheetView showGridLines="0" zoomScale="75" zoomScaleNormal="75" zoomScaleSheetLayoutView="70" zoomScalePageLayoutView="75" workbookViewId="0">
      <pane xSplit="3" topLeftCell="D1" activePane="topRight" state="frozen"/>
      <selection pane="topRight" activeCell="D75" sqref="D75"/>
    </sheetView>
  </sheetViews>
  <sheetFormatPr defaultColWidth="8.85546875" defaultRowHeight="14.25"/>
  <cols>
    <col min="1" max="16" width="15.7109375" style="1090" customWidth="1"/>
    <col min="17" max="21" width="16.42578125" style="1090" bestFit="1" customWidth="1"/>
    <col min="22" max="22" width="15.7109375" style="1948" customWidth="1"/>
    <col min="23" max="26" width="16.42578125" style="1948" customWidth="1"/>
    <col min="27" max="27" width="16.42578125" style="1090" customWidth="1"/>
    <col min="28" max="28" width="15.7109375" style="1090" customWidth="1"/>
    <col min="29" max="29" width="16.42578125" style="1090" bestFit="1" customWidth="1"/>
    <col min="30" max="30" width="15.7109375" style="1090" bestFit="1" customWidth="1"/>
    <col min="31" max="259" width="8.85546875" style="1090"/>
    <col min="260" max="260" width="33.85546875" style="1090" customWidth="1"/>
    <col min="261" max="261" width="15.85546875" style="1090" customWidth="1"/>
    <col min="262" max="262" width="12" style="1090" customWidth="1"/>
    <col min="263" max="263" width="10.85546875" style="1090" customWidth="1"/>
    <col min="264" max="264" width="11.42578125" style="1090" customWidth="1"/>
    <col min="265" max="272" width="10.85546875" style="1090" customWidth="1"/>
    <col min="273" max="273" width="14.85546875" style="1090" bestFit="1" customWidth="1"/>
    <col min="274" max="277" width="15.85546875" style="1090" bestFit="1" customWidth="1"/>
    <col min="278" max="278" width="12.140625" style="1090" customWidth="1"/>
    <col min="279" max="279" width="16.42578125" style="1090" customWidth="1"/>
    <col min="280" max="280" width="14.42578125" style="1090" customWidth="1"/>
    <col min="281" max="282" width="14" style="1090" customWidth="1"/>
    <col min="283" max="515" width="8.85546875" style="1090"/>
    <col min="516" max="516" width="33.85546875" style="1090" customWidth="1"/>
    <col min="517" max="517" width="15.85546875" style="1090" customWidth="1"/>
    <col min="518" max="518" width="12" style="1090" customWidth="1"/>
    <col min="519" max="519" width="10.85546875" style="1090" customWidth="1"/>
    <col min="520" max="520" width="11.42578125" style="1090" customWidth="1"/>
    <col min="521" max="528" width="10.85546875" style="1090" customWidth="1"/>
    <col min="529" max="529" width="14.85546875" style="1090" bestFit="1" customWidth="1"/>
    <col min="530" max="533" width="15.85546875" style="1090" bestFit="1" customWidth="1"/>
    <col min="534" max="534" width="12.140625" style="1090" customWidth="1"/>
    <col min="535" max="535" width="16.42578125" style="1090" customWidth="1"/>
    <col min="536" max="536" width="14.42578125" style="1090" customWidth="1"/>
    <col min="537" max="538" width="14" style="1090" customWidth="1"/>
    <col min="539" max="771" width="8.85546875" style="1090"/>
    <col min="772" max="772" width="33.85546875" style="1090" customWidth="1"/>
    <col min="773" max="773" width="15.85546875" style="1090" customWidth="1"/>
    <col min="774" max="774" width="12" style="1090" customWidth="1"/>
    <col min="775" max="775" width="10.85546875" style="1090" customWidth="1"/>
    <col min="776" max="776" width="11.42578125" style="1090" customWidth="1"/>
    <col min="777" max="784" width="10.85546875" style="1090" customWidth="1"/>
    <col min="785" max="785" width="14.85546875" style="1090" bestFit="1" customWidth="1"/>
    <col min="786" max="789" width="15.85546875" style="1090" bestFit="1" customWidth="1"/>
    <col min="790" max="790" width="12.140625" style="1090" customWidth="1"/>
    <col min="791" max="791" width="16.42578125" style="1090" customWidth="1"/>
    <col min="792" max="792" width="14.42578125" style="1090" customWidth="1"/>
    <col min="793" max="794" width="14" style="1090" customWidth="1"/>
    <col min="795" max="1027" width="8.85546875" style="1090"/>
    <col min="1028" max="1028" width="33.85546875" style="1090" customWidth="1"/>
    <col min="1029" max="1029" width="15.85546875" style="1090" customWidth="1"/>
    <col min="1030" max="1030" width="12" style="1090" customWidth="1"/>
    <col min="1031" max="1031" width="10.85546875" style="1090" customWidth="1"/>
    <col min="1032" max="1032" width="11.42578125" style="1090" customWidth="1"/>
    <col min="1033" max="1040" width="10.85546875" style="1090" customWidth="1"/>
    <col min="1041" max="1041" width="14.85546875" style="1090" bestFit="1" customWidth="1"/>
    <col min="1042" max="1045" width="15.85546875" style="1090" bestFit="1" customWidth="1"/>
    <col min="1046" max="1046" width="12.140625" style="1090" customWidth="1"/>
    <col min="1047" max="1047" width="16.42578125" style="1090" customWidth="1"/>
    <col min="1048" max="1048" width="14.42578125" style="1090" customWidth="1"/>
    <col min="1049" max="1050" width="14" style="1090" customWidth="1"/>
    <col min="1051" max="1283" width="8.85546875" style="1090"/>
    <col min="1284" max="1284" width="33.85546875" style="1090" customWidth="1"/>
    <col min="1285" max="1285" width="15.85546875" style="1090" customWidth="1"/>
    <col min="1286" max="1286" width="12" style="1090" customWidth="1"/>
    <col min="1287" max="1287" width="10.85546875" style="1090" customWidth="1"/>
    <col min="1288" max="1288" width="11.42578125" style="1090" customWidth="1"/>
    <col min="1289" max="1296" width="10.85546875" style="1090" customWidth="1"/>
    <col min="1297" max="1297" width="14.85546875" style="1090" bestFit="1" customWidth="1"/>
    <col min="1298" max="1301" width="15.85546875" style="1090" bestFit="1" customWidth="1"/>
    <col min="1302" max="1302" width="12.140625" style="1090" customWidth="1"/>
    <col min="1303" max="1303" width="16.42578125" style="1090" customWidth="1"/>
    <col min="1304" max="1304" width="14.42578125" style="1090" customWidth="1"/>
    <col min="1305" max="1306" width="14" style="1090" customWidth="1"/>
    <col min="1307" max="1539" width="8.85546875" style="1090"/>
    <col min="1540" max="1540" width="33.85546875" style="1090" customWidth="1"/>
    <col min="1541" max="1541" width="15.85546875" style="1090" customWidth="1"/>
    <col min="1542" max="1542" width="12" style="1090" customWidth="1"/>
    <col min="1543" max="1543" width="10.85546875" style="1090" customWidth="1"/>
    <col min="1544" max="1544" width="11.42578125" style="1090" customWidth="1"/>
    <col min="1545" max="1552" width="10.85546875" style="1090" customWidth="1"/>
    <col min="1553" max="1553" width="14.85546875" style="1090" bestFit="1" customWidth="1"/>
    <col min="1554" max="1557" width="15.85546875" style="1090" bestFit="1" customWidth="1"/>
    <col min="1558" max="1558" width="12.140625" style="1090" customWidth="1"/>
    <col min="1559" max="1559" width="16.42578125" style="1090" customWidth="1"/>
    <col min="1560" max="1560" width="14.42578125" style="1090" customWidth="1"/>
    <col min="1561" max="1562" width="14" style="1090" customWidth="1"/>
    <col min="1563" max="1795" width="8.85546875" style="1090"/>
    <col min="1796" max="1796" width="33.85546875" style="1090" customWidth="1"/>
    <col min="1797" max="1797" width="15.85546875" style="1090" customWidth="1"/>
    <col min="1798" max="1798" width="12" style="1090" customWidth="1"/>
    <col min="1799" max="1799" width="10.85546875" style="1090" customWidth="1"/>
    <col min="1800" max="1800" width="11.42578125" style="1090" customWidth="1"/>
    <col min="1801" max="1808" width="10.85546875" style="1090" customWidth="1"/>
    <col min="1809" max="1809" width="14.85546875" style="1090" bestFit="1" customWidth="1"/>
    <col min="1810" max="1813" width="15.85546875" style="1090" bestFit="1" customWidth="1"/>
    <col min="1814" max="1814" width="12.140625" style="1090" customWidth="1"/>
    <col min="1815" max="1815" width="16.42578125" style="1090" customWidth="1"/>
    <col min="1816" max="1816" width="14.42578125" style="1090" customWidth="1"/>
    <col min="1817" max="1818" width="14" style="1090" customWidth="1"/>
    <col min="1819" max="2051" width="8.85546875" style="1090"/>
    <col min="2052" max="2052" width="33.85546875" style="1090" customWidth="1"/>
    <col min="2053" max="2053" width="15.85546875" style="1090" customWidth="1"/>
    <col min="2054" max="2054" width="12" style="1090" customWidth="1"/>
    <col min="2055" max="2055" width="10.85546875" style="1090" customWidth="1"/>
    <col min="2056" max="2056" width="11.42578125" style="1090" customWidth="1"/>
    <col min="2057" max="2064" width="10.85546875" style="1090" customWidth="1"/>
    <col min="2065" max="2065" width="14.85546875" style="1090" bestFit="1" customWidth="1"/>
    <col min="2066" max="2069" width="15.85546875" style="1090" bestFit="1" customWidth="1"/>
    <col min="2070" max="2070" width="12.140625" style="1090" customWidth="1"/>
    <col min="2071" max="2071" width="16.42578125" style="1090" customWidth="1"/>
    <col min="2072" max="2072" width="14.42578125" style="1090" customWidth="1"/>
    <col min="2073" max="2074" width="14" style="1090" customWidth="1"/>
    <col min="2075" max="2307" width="8.85546875" style="1090"/>
    <col min="2308" max="2308" width="33.85546875" style="1090" customWidth="1"/>
    <col min="2309" max="2309" width="15.85546875" style="1090" customWidth="1"/>
    <col min="2310" max="2310" width="12" style="1090" customWidth="1"/>
    <col min="2311" max="2311" width="10.85546875" style="1090" customWidth="1"/>
    <col min="2312" max="2312" width="11.42578125" style="1090" customWidth="1"/>
    <col min="2313" max="2320" width="10.85546875" style="1090" customWidth="1"/>
    <col min="2321" max="2321" width="14.85546875" style="1090" bestFit="1" customWidth="1"/>
    <col min="2322" max="2325" width="15.85546875" style="1090" bestFit="1" customWidth="1"/>
    <col min="2326" max="2326" width="12.140625" style="1090" customWidth="1"/>
    <col min="2327" max="2327" width="16.42578125" style="1090" customWidth="1"/>
    <col min="2328" max="2328" width="14.42578125" style="1090" customWidth="1"/>
    <col min="2329" max="2330" width="14" style="1090" customWidth="1"/>
    <col min="2331" max="2563" width="8.85546875" style="1090"/>
    <col min="2564" max="2564" width="33.85546875" style="1090" customWidth="1"/>
    <col min="2565" max="2565" width="15.85546875" style="1090" customWidth="1"/>
    <col min="2566" max="2566" width="12" style="1090" customWidth="1"/>
    <col min="2567" max="2567" width="10.85546875" style="1090" customWidth="1"/>
    <col min="2568" max="2568" width="11.42578125" style="1090" customWidth="1"/>
    <col min="2569" max="2576" width="10.85546875" style="1090" customWidth="1"/>
    <col min="2577" max="2577" width="14.85546875" style="1090" bestFit="1" customWidth="1"/>
    <col min="2578" max="2581" width="15.85546875" style="1090" bestFit="1" customWidth="1"/>
    <col min="2582" max="2582" width="12.140625" style="1090" customWidth="1"/>
    <col min="2583" max="2583" width="16.42578125" style="1090" customWidth="1"/>
    <col min="2584" max="2584" width="14.42578125" style="1090" customWidth="1"/>
    <col min="2585" max="2586" width="14" style="1090" customWidth="1"/>
    <col min="2587" max="2819" width="8.85546875" style="1090"/>
    <col min="2820" max="2820" width="33.85546875" style="1090" customWidth="1"/>
    <col min="2821" max="2821" width="15.85546875" style="1090" customWidth="1"/>
    <col min="2822" max="2822" width="12" style="1090" customWidth="1"/>
    <col min="2823" max="2823" width="10.85546875" style="1090" customWidth="1"/>
    <col min="2824" max="2824" width="11.42578125" style="1090" customWidth="1"/>
    <col min="2825" max="2832" width="10.85546875" style="1090" customWidth="1"/>
    <col min="2833" max="2833" width="14.85546875" style="1090" bestFit="1" customWidth="1"/>
    <col min="2834" max="2837" width="15.85546875" style="1090" bestFit="1" customWidth="1"/>
    <col min="2838" max="2838" width="12.140625" style="1090" customWidth="1"/>
    <col min="2839" max="2839" width="16.42578125" style="1090" customWidth="1"/>
    <col min="2840" max="2840" width="14.42578125" style="1090" customWidth="1"/>
    <col min="2841" max="2842" width="14" style="1090" customWidth="1"/>
    <col min="2843" max="3075" width="8.85546875" style="1090"/>
    <col min="3076" max="3076" width="33.85546875" style="1090" customWidth="1"/>
    <col min="3077" max="3077" width="15.85546875" style="1090" customWidth="1"/>
    <col min="3078" max="3078" width="12" style="1090" customWidth="1"/>
    <col min="3079" max="3079" width="10.85546875" style="1090" customWidth="1"/>
    <col min="3080" max="3080" width="11.42578125" style="1090" customWidth="1"/>
    <col min="3081" max="3088" width="10.85546875" style="1090" customWidth="1"/>
    <col min="3089" max="3089" width="14.85546875" style="1090" bestFit="1" customWidth="1"/>
    <col min="3090" max="3093" width="15.85546875" style="1090" bestFit="1" customWidth="1"/>
    <col min="3094" max="3094" width="12.140625" style="1090" customWidth="1"/>
    <col min="3095" max="3095" width="16.42578125" style="1090" customWidth="1"/>
    <col min="3096" max="3096" width="14.42578125" style="1090" customWidth="1"/>
    <col min="3097" max="3098" width="14" style="1090" customWidth="1"/>
    <col min="3099" max="3331" width="8.85546875" style="1090"/>
    <col min="3332" max="3332" width="33.85546875" style="1090" customWidth="1"/>
    <col min="3333" max="3333" width="15.85546875" style="1090" customWidth="1"/>
    <col min="3334" max="3334" width="12" style="1090" customWidth="1"/>
    <col min="3335" max="3335" width="10.85546875" style="1090" customWidth="1"/>
    <col min="3336" max="3336" width="11.42578125" style="1090" customWidth="1"/>
    <col min="3337" max="3344" width="10.85546875" style="1090" customWidth="1"/>
    <col min="3345" max="3345" width="14.85546875" style="1090" bestFit="1" customWidth="1"/>
    <col min="3346" max="3349" width="15.85546875" style="1090" bestFit="1" customWidth="1"/>
    <col min="3350" max="3350" width="12.140625" style="1090" customWidth="1"/>
    <col min="3351" max="3351" width="16.42578125" style="1090" customWidth="1"/>
    <col min="3352" max="3352" width="14.42578125" style="1090" customWidth="1"/>
    <col min="3353" max="3354" width="14" style="1090" customWidth="1"/>
    <col min="3355" max="3587" width="8.85546875" style="1090"/>
    <col min="3588" max="3588" width="33.85546875" style="1090" customWidth="1"/>
    <col min="3589" max="3589" width="15.85546875" style="1090" customWidth="1"/>
    <col min="3590" max="3590" width="12" style="1090" customWidth="1"/>
    <col min="3591" max="3591" width="10.85546875" style="1090" customWidth="1"/>
    <col min="3592" max="3592" width="11.42578125" style="1090" customWidth="1"/>
    <col min="3593" max="3600" width="10.85546875" style="1090" customWidth="1"/>
    <col min="3601" max="3601" width="14.85546875" style="1090" bestFit="1" customWidth="1"/>
    <col min="3602" max="3605" width="15.85546875" style="1090" bestFit="1" customWidth="1"/>
    <col min="3606" max="3606" width="12.140625" style="1090" customWidth="1"/>
    <col min="3607" max="3607" width="16.42578125" style="1090" customWidth="1"/>
    <col min="3608" max="3608" width="14.42578125" style="1090" customWidth="1"/>
    <col min="3609" max="3610" width="14" style="1090" customWidth="1"/>
    <col min="3611" max="3843" width="8.85546875" style="1090"/>
    <col min="3844" max="3844" width="33.85546875" style="1090" customWidth="1"/>
    <col min="3845" max="3845" width="15.85546875" style="1090" customWidth="1"/>
    <col min="3846" max="3846" width="12" style="1090" customWidth="1"/>
    <col min="3847" max="3847" width="10.85546875" style="1090" customWidth="1"/>
    <col min="3848" max="3848" width="11.42578125" style="1090" customWidth="1"/>
    <col min="3849" max="3856" width="10.85546875" style="1090" customWidth="1"/>
    <col min="3857" max="3857" width="14.85546875" style="1090" bestFit="1" customWidth="1"/>
    <col min="3858" max="3861" width="15.85546875" style="1090" bestFit="1" customWidth="1"/>
    <col min="3862" max="3862" width="12.140625" style="1090" customWidth="1"/>
    <col min="3863" max="3863" width="16.42578125" style="1090" customWidth="1"/>
    <col min="3864" max="3864" width="14.42578125" style="1090" customWidth="1"/>
    <col min="3865" max="3866" width="14" style="1090" customWidth="1"/>
    <col min="3867" max="4099" width="8.85546875" style="1090"/>
    <col min="4100" max="4100" width="33.85546875" style="1090" customWidth="1"/>
    <col min="4101" max="4101" width="15.85546875" style="1090" customWidth="1"/>
    <col min="4102" max="4102" width="12" style="1090" customWidth="1"/>
    <col min="4103" max="4103" width="10.85546875" style="1090" customWidth="1"/>
    <col min="4104" max="4104" width="11.42578125" style="1090" customWidth="1"/>
    <col min="4105" max="4112" width="10.85546875" style="1090" customWidth="1"/>
    <col min="4113" max="4113" width="14.85546875" style="1090" bestFit="1" customWidth="1"/>
    <col min="4114" max="4117" width="15.85546875" style="1090" bestFit="1" customWidth="1"/>
    <col min="4118" max="4118" width="12.140625" style="1090" customWidth="1"/>
    <col min="4119" max="4119" width="16.42578125" style="1090" customWidth="1"/>
    <col min="4120" max="4120" width="14.42578125" style="1090" customWidth="1"/>
    <col min="4121" max="4122" width="14" style="1090" customWidth="1"/>
    <col min="4123" max="4355" width="8.85546875" style="1090"/>
    <col min="4356" max="4356" width="33.85546875" style="1090" customWidth="1"/>
    <col min="4357" max="4357" width="15.85546875" style="1090" customWidth="1"/>
    <col min="4358" max="4358" width="12" style="1090" customWidth="1"/>
    <col min="4359" max="4359" width="10.85546875" style="1090" customWidth="1"/>
    <col min="4360" max="4360" width="11.42578125" style="1090" customWidth="1"/>
    <col min="4361" max="4368" width="10.85546875" style="1090" customWidth="1"/>
    <col min="4369" max="4369" width="14.85546875" style="1090" bestFit="1" customWidth="1"/>
    <col min="4370" max="4373" width="15.85546875" style="1090" bestFit="1" customWidth="1"/>
    <col min="4374" max="4374" width="12.140625" style="1090" customWidth="1"/>
    <col min="4375" max="4375" width="16.42578125" style="1090" customWidth="1"/>
    <col min="4376" max="4376" width="14.42578125" style="1090" customWidth="1"/>
    <col min="4377" max="4378" width="14" style="1090" customWidth="1"/>
    <col min="4379" max="4611" width="8.85546875" style="1090"/>
    <col min="4612" max="4612" width="33.85546875" style="1090" customWidth="1"/>
    <col min="4613" max="4613" width="15.85546875" style="1090" customWidth="1"/>
    <col min="4614" max="4614" width="12" style="1090" customWidth="1"/>
    <col min="4615" max="4615" width="10.85546875" style="1090" customWidth="1"/>
    <col min="4616" max="4616" width="11.42578125" style="1090" customWidth="1"/>
    <col min="4617" max="4624" width="10.85546875" style="1090" customWidth="1"/>
    <col min="4625" max="4625" width="14.85546875" style="1090" bestFit="1" customWidth="1"/>
    <col min="4626" max="4629" width="15.85546875" style="1090" bestFit="1" customWidth="1"/>
    <col min="4630" max="4630" width="12.140625" style="1090" customWidth="1"/>
    <col min="4631" max="4631" width="16.42578125" style="1090" customWidth="1"/>
    <col min="4632" max="4632" width="14.42578125" style="1090" customWidth="1"/>
    <col min="4633" max="4634" width="14" style="1090" customWidth="1"/>
    <col min="4635" max="4867" width="8.85546875" style="1090"/>
    <col min="4868" max="4868" width="33.85546875" style="1090" customWidth="1"/>
    <col min="4869" max="4869" width="15.85546875" style="1090" customWidth="1"/>
    <col min="4870" max="4870" width="12" style="1090" customWidth="1"/>
    <col min="4871" max="4871" width="10.85546875" style="1090" customWidth="1"/>
    <col min="4872" max="4872" width="11.42578125" style="1090" customWidth="1"/>
    <col min="4873" max="4880" width="10.85546875" style="1090" customWidth="1"/>
    <col min="4881" max="4881" width="14.85546875" style="1090" bestFit="1" customWidth="1"/>
    <col min="4882" max="4885" width="15.85546875" style="1090" bestFit="1" customWidth="1"/>
    <col min="4886" max="4886" width="12.140625" style="1090" customWidth="1"/>
    <col min="4887" max="4887" width="16.42578125" style="1090" customWidth="1"/>
    <col min="4888" max="4888" width="14.42578125" style="1090" customWidth="1"/>
    <col min="4889" max="4890" width="14" style="1090" customWidth="1"/>
    <col min="4891" max="5123" width="8.85546875" style="1090"/>
    <col min="5124" max="5124" width="33.85546875" style="1090" customWidth="1"/>
    <col min="5125" max="5125" width="15.85546875" style="1090" customWidth="1"/>
    <col min="5126" max="5126" width="12" style="1090" customWidth="1"/>
    <col min="5127" max="5127" width="10.85546875" style="1090" customWidth="1"/>
    <col min="5128" max="5128" width="11.42578125" style="1090" customWidth="1"/>
    <col min="5129" max="5136" width="10.85546875" style="1090" customWidth="1"/>
    <col min="5137" max="5137" width="14.85546875" style="1090" bestFit="1" customWidth="1"/>
    <col min="5138" max="5141" width="15.85546875" style="1090" bestFit="1" customWidth="1"/>
    <col min="5142" max="5142" width="12.140625" style="1090" customWidth="1"/>
    <col min="5143" max="5143" width="16.42578125" style="1090" customWidth="1"/>
    <col min="5144" max="5144" width="14.42578125" style="1090" customWidth="1"/>
    <col min="5145" max="5146" width="14" style="1090" customWidth="1"/>
    <col min="5147" max="5379" width="8.85546875" style="1090"/>
    <col min="5380" max="5380" width="33.85546875" style="1090" customWidth="1"/>
    <col min="5381" max="5381" width="15.85546875" style="1090" customWidth="1"/>
    <col min="5382" max="5382" width="12" style="1090" customWidth="1"/>
    <col min="5383" max="5383" width="10.85546875" style="1090" customWidth="1"/>
    <col min="5384" max="5384" width="11.42578125" style="1090" customWidth="1"/>
    <col min="5385" max="5392" width="10.85546875" style="1090" customWidth="1"/>
    <col min="5393" max="5393" width="14.85546875" style="1090" bestFit="1" customWidth="1"/>
    <col min="5394" max="5397" width="15.85546875" style="1090" bestFit="1" customWidth="1"/>
    <col min="5398" max="5398" width="12.140625" style="1090" customWidth="1"/>
    <col min="5399" max="5399" width="16.42578125" style="1090" customWidth="1"/>
    <col min="5400" max="5400" width="14.42578125" style="1090" customWidth="1"/>
    <col min="5401" max="5402" width="14" style="1090" customWidth="1"/>
    <col min="5403" max="5635" width="8.85546875" style="1090"/>
    <col min="5636" max="5636" width="33.85546875" style="1090" customWidth="1"/>
    <col min="5637" max="5637" width="15.85546875" style="1090" customWidth="1"/>
    <col min="5638" max="5638" width="12" style="1090" customWidth="1"/>
    <col min="5639" max="5639" width="10.85546875" style="1090" customWidth="1"/>
    <col min="5640" max="5640" width="11.42578125" style="1090" customWidth="1"/>
    <col min="5641" max="5648" width="10.85546875" style="1090" customWidth="1"/>
    <col min="5649" max="5649" width="14.85546875" style="1090" bestFit="1" customWidth="1"/>
    <col min="5650" max="5653" width="15.85546875" style="1090" bestFit="1" customWidth="1"/>
    <col min="5654" max="5654" width="12.140625" style="1090" customWidth="1"/>
    <col min="5655" max="5655" width="16.42578125" style="1090" customWidth="1"/>
    <col min="5656" max="5656" width="14.42578125" style="1090" customWidth="1"/>
    <col min="5657" max="5658" width="14" style="1090" customWidth="1"/>
    <col min="5659" max="5891" width="8.85546875" style="1090"/>
    <col min="5892" max="5892" width="33.85546875" style="1090" customWidth="1"/>
    <col min="5893" max="5893" width="15.85546875" style="1090" customWidth="1"/>
    <col min="5894" max="5894" width="12" style="1090" customWidth="1"/>
    <col min="5895" max="5895" width="10.85546875" style="1090" customWidth="1"/>
    <col min="5896" max="5896" width="11.42578125" style="1090" customWidth="1"/>
    <col min="5897" max="5904" width="10.85546875" style="1090" customWidth="1"/>
    <col min="5905" max="5905" width="14.85546875" style="1090" bestFit="1" customWidth="1"/>
    <col min="5906" max="5909" width="15.85546875" style="1090" bestFit="1" customWidth="1"/>
    <col min="5910" max="5910" width="12.140625" style="1090" customWidth="1"/>
    <col min="5911" max="5911" width="16.42578125" style="1090" customWidth="1"/>
    <col min="5912" max="5912" width="14.42578125" style="1090" customWidth="1"/>
    <col min="5913" max="5914" width="14" style="1090" customWidth="1"/>
    <col min="5915" max="6147" width="8.85546875" style="1090"/>
    <col min="6148" max="6148" width="33.85546875" style="1090" customWidth="1"/>
    <col min="6149" max="6149" width="15.85546875" style="1090" customWidth="1"/>
    <col min="6150" max="6150" width="12" style="1090" customWidth="1"/>
    <col min="6151" max="6151" width="10.85546875" style="1090" customWidth="1"/>
    <col min="6152" max="6152" width="11.42578125" style="1090" customWidth="1"/>
    <col min="6153" max="6160" width="10.85546875" style="1090" customWidth="1"/>
    <col min="6161" max="6161" width="14.85546875" style="1090" bestFit="1" customWidth="1"/>
    <col min="6162" max="6165" width="15.85546875" style="1090" bestFit="1" customWidth="1"/>
    <col min="6166" max="6166" width="12.140625" style="1090" customWidth="1"/>
    <col min="6167" max="6167" width="16.42578125" style="1090" customWidth="1"/>
    <col min="6168" max="6168" width="14.42578125" style="1090" customWidth="1"/>
    <col min="6169" max="6170" width="14" style="1090" customWidth="1"/>
    <col min="6171" max="6403" width="8.85546875" style="1090"/>
    <col min="6404" max="6404" width="33.85546875" style="1090" customWidth="1"/>
    <col min="6405" max="6405" width="15.85546875" style="1090" customWidth="1"/>
    <col min="6406" max="6406" width="12" style="1090" customWidth="1"/>
    <col min="6407" max="6407" width="10.85546875" style="1090" customWidth="1"/>
    <col min="6408" max="6408" width="11.42578125" style="1090" customWidth="1"/>
    <col min="6409" max="6416" width="10.85546875" style="1090" customWidth="1"/>
    <col min="6417" max="6417" width="14.85546875" style="1090" bestFit="1" customWidth="1"/>
    <col min="6418" max="6421" width="15.85546875" style="1090" bestFit="1" customWidth="1"/>
    <col min="6422" max="6422" width="12.140625" style="1090" customWidth="1"/>
    <col min="6423" max="6423" width="16.42578125" style="1090" customWidth="1"/>
    <col min="6424" max="6424" width="14.42578125" style="1090" customWidth="1"/>
    <col min="6425" max="6426" width="14" style="1090" customWidth="1"/>
    <col min="6427" max="6659" width="8.85546875" style="1090"/>
    <col min="6660" max="6660" width="33.85546875" style="1090" customWidth="1"/>
    <col min="6661" max="6661" width="15.85546875" style="1090" customWidth="1"/>
    <col min="6662" max="6662" width="12" style="1090" customWidth="1"/>
    <col min="6663" max="6663" width="10.85546875" style="1090" customWidth="1"/>
    <col min="6664" max="6664" width="11.42578125" style="1090" customWidth="1"/>
    <col min="6665" max="6672" width="10.85546875" style="1090" customWidth="1"/>
    <col min="6673" max="6673" width="14.85546875" style="1090" bestFit="1" customWidth="1"/>
    <col min="6674" max="6677" width="15.85546875" style="1090" bestFit="1" customWidth="1"/>
    <col min="6678" max="6678" width="12.140625" style="1090" customWidth="1"/>
    <col min="6679" max="6679" width="16.42578125" style="1090" customWidth="1"/>
    <col min="6680" max="6680" width="14.42578125" style="1090" customWidth="1"/>
    <col min="6681" max="6682" width="14" style="1090" customWidth="1"/>
    <col min="6683" max="6915" width="8.85546875" style="1090"/>
    <col min="6916" max="6916" width="33.85546875" style="1090" customWidth="1"/>
    <col min="6917" max="6917" width="15.85546875" style="1090" customWidth="1"/>
    <col min="6918" max="6918" width="12" style="1090" customWidth="1"/>
    <col min="6919" max="6919" width="10.85546875" style="1090" customWidth="1"/>
    <col min="6920" max="6920" width="11.42578125" style="1090" customWidth="1"/>
    <col min="6921" max="6928" width="10.85546875" style="1090" customWidth="1"/>
    <col min="6929" max="6929" width="14.85546875" style="1090" bestFit="1" customWidth="1"/>
    <col min="6930" max="6933" width="15.85546875" style="1090" bestFit="1" customWidth="1"/>
    <col min="6934" max="6934" width="12.140625" style="1090" customWidth="1"/>
    <col min="6935" max="6935" width="16.42578125" style="1090" customWidth="1"/>
    <col min="6936" max="6936" width="14.42578125" style="1090" customWidth="1"/>
    <col min="6937" max="6938" width="14" style="1090" customWidth="1"/>
    <col min="6939" max="7171" width="8.85546875" style="1090"/>
    <col min="7172" max="7172" width="33.85546875" style="1090" customWidth="1"/>
    <col min="7173" max="7173" width="15.85546875" style="1090" customWidth="1"/>
    <col min="7174" max="7174" width="12" style="1090" customWidth="1"/>
    <col min="7175" max="7175" width="10.85546875" style="1090" customWidth="1"/>
    <col min="7176" max="7176" width="11.42578125" style="1090" customWidth="1"/>
    <col min="7177" max="7184" width="10.85546875" style="1090" customWidth="1"/>
    <col min="7185" max="7185" width="14.85546875" style="1090" bestFit="1" customWidth="1"/>
    <col min="7186" max="7189" width="15.85546875" style="1090" bestFit="1" customWidth="1"/>
    <col min="7190" max="7190" width="12.140625" style="1090" customWidth="1"/>
    <col min="7191" max="7191" width="16.42578125" style="1090" customWidth="1"/>
    <col min="7192" max="7192" width="14.42578125" style="1090" customWidth="1"/>
    <col min="7193" max="7194" width="14" style="1090" customWidth="1"/>
    <col min="7195" max="7427" width="8.85546875" style="1090"/>
    <col min="7428" max="7428" width="33.85546875" style="1090" customWidth="1"/>
    <col min="7429" max="7429" width="15.85546875" style="1090" customWidth="1"/>
    <col min="7430" max="7430" width="12" style="1090" customWidth="1"/>
    <col min="7431" max="7431" width="10.85546875" style="1090" customWidth="1"/>
    <col min="7432" max="7432" width="11.42578125" style="1090" customWidth="1"/>
    <col min="7433" max="7440" width="10.85546875" style="1090" customWidth="1"/>
    <col min="7441" max="7441" width="14.85546875" style="1090" bestFit="1" customWidth="1"/>
    <col min="7442" max="7445" width="15.85546875" style="1090" bestFit="1" customWidth="1"/>
    <col min="7446" max="7446" width="12.140625" style="1090" customWidth="1"/>
    <col min="7447" max="7447" width="16.42578125" style="1090" customWidth="1"/>
    <col min="7448" max="7448" width="14.42578125" style="1090" customWidth="1"/>
    <col min="7449" max="7450" width="14" style="1090" customWidth="1"/>
    <col min="7451" max="7683" width="8.85546875" style="1090"/>
    <col min="7684" max="7684" width="33.85546875" style="1090" customWidth="1"/>
    <col min="7685" max="7685" width="15.85546875" style="1090" customWidth="1"/>
    <col min="7686" max="7686" width="12" style="1090" customWidth="1"/>
    <col min="7687" max="7687" width="10.85546875" style="1090" customWidth="1"/>
    <col min="7688" max="7688" width="11.42578125" style="1090" customWidth="1"/>
    <col min="7689" max="7696" width="10.85546875" style="1090" customWidth="1"/>
    <col min="7697" max="7697" width="14.85546875" style="1090" bestFit="1" customWidth="1"/>
    <col min="7698" max="7701" width="15.85546875" style="1090" bestFit="1" customWidth="1"/>
    <col min="7702" max="7702" width="12.140625" style="1090" customWidth="1"/>
    <col min="7703" max="7703" width="16.42578125" style="1090" customWidth="1"/>
    <col min="7704" max="7704" width="14.42578125" style="1090" customWidth="1"/>
    <col min="7705" max="7706" width="14" style="1090" customWidth="1"/>
    <col min="7707" max="7939" width="8.85546875" style="1090"/>
    <col min="7940" max="7940" width="33.85546875" style="1090" customWidth="1"/>
    <col min="7941" max="7941" width="15.85546875" style="1090" customWidth="1"/>
    <col min="7942" max="7942" width="12" style="1090" customWidth="1"/>
    <col min="7943" max="7943" width="10.85546875" style="1090" customWidth="1"/>
    <col min="7944" max="7944" width="11.42578125" style="1090" customWidth="1"/>
    <col min="7945" max="7952" width="10.85546875" style="1090" customWidth="1"/>
    <col min="7953" max="7953" width="14.85546875" style="1090" bestFit="1" customWidth="1"/>
    <col min="7954" max="7957" width="15.85546875" style="1090" bestFit="1" customWidth="1"/>
    <col min="7958" max="7958" width="12.140625" style="1090" customWidth="1"/>
    <col min="7959" max="7959" width="16.42578125" style="1090" customWidth="1"/>
    <col min="7960" max="7960" width="14.42578125" style="1090" customWidth="1"/>
    <col min="7961" max="7962" width="14" style="1090" customWidth="1"/>
    <col min="7963" max="8195" width="8.85546875" style="1090"/>
    <col min="8196" max="8196" width="33.85546875" style="1090" customWidth="1"/>
    <col min="8197" max="8197" width="15.85546875" style="1090" customWidth="1"/>
    <col min="8198" max="8198" width="12" style="1090" customWidth="1"/>
    <col min="8199" max="8199" width="10.85546875" style="1090" customWidth="1"/>
    <col min="8200" max="8200" width="11.42578125" style="1090" customWidth="1"/>
    <col min="8201" max="8208" width="10.85546875" style="1090" customWidth="1"/>
    <col min="8209" max="8209" width="14.85546875" style="1090" bestFit="1" customWidth="1"/>
    <col min="8210" max="8213" width="15.85546875" style="1090" bestFit="1" customWidth="1"/>
    <col min="8214" max="8214" width="12.140625" style="1090" customWidth="1"/>
    <col min="8215" max="8215" width="16.42578125" style="1090" customWidth="1"/>
    <col min="8216" max="8216" width="14.42578125" style="1090" customWidth="1"/>
    <col min="8217" max="8218" width="14" style="1090" customWidth="1"/>
    <col min="8219" max="8451" width="8.85546875" style="1090"/>
    <col min="8452" max="8452" width="33.85546875" style="1090" customWidth="1"/>
    <col min="8453" max="8453" width="15.85546875" style="1090" customWidth="1"/>
    <col min="8454" max="8454" width="12" style="1090" customWidth="1"/>
    <col min="8455" max="8455" width="10.85546875" style="1090" customWidth="1"/>
    <col min="8456" max="8456" width="11.42578125" style="1090" customWidth="1"/>
    <col min="8457" max="8464" width="10.85546875" style="1090" customWidth="1"/>
    <col min="8465" max="8465" width="14.85546875" style="1090" bestFit="1" customWidth="1"/>
    <col min="8466" max="8469" width="15.85546875" style="1090" bestFit="1" customWidth="1"/>
    <col min="8470" max="8470" width="12.140625" style="1090" customWidth="1"/>
    <col min="8471" max="8471" width="16.42578125" style="1090" customWidth="1"/>
    <col min="8472" max="8472" width="14.42578125" style="1090" customWidth="1"/>
    <col min="8473" max="8474" width="14" style="1090" customWidth="1"/>
    <col min="8475" max="8707" width="8.85546875" style="1090"/>
    <col min="8708" max="8708" width="33.85546875" style="1090" customWidth="1"/>
    <col min="8709" max="8709" width="15.85546875" style="1090" customWidth="1"/>
    <col min="8710" max="8710" width="12" style="1090" customWidth="1"/>
    <col min="8711" max="8711" width="10.85546875" style="1090" customWidth="1"/>
    <col min="8712" max="8712" width="11.42578125" style="1090" customWidth="1"/>
    <col min="8713" max="8720" width="10.85546875" style="1090" customWidth="1"/>
    <col min="8721" max="8721" width="14.85546875" style="1090" bestFit="1" customWidth="1"/>
    <col min="8722" max="8725" width="15.85546875" style="1090" bestFit="1" customWidth="1"/>
    <col min="8726" max="8726" width="12.140625" style="1090" customWidth="1"/>
    <col min="8727" max="8727" width="16.42578125" style="1090" customWidth="1"/>
    <col min="8728" max="8728" width="14.42578125" style="1090" customWidth="1"/>
    <col min="8729" max="8730" width="14" style="1090" customWidth="1"/>
    <col min="8731" max="8963" width="8.85546875" style="1090"/>
    <col min="8964" max="8964" width="33.85546875" style="1090" customWidth="1"/>
    <col min="8965" max="8965" width="15.85546875" style="1090" customWidth="1"/>
    <col min="8966" max="8966" width="12" style="1090" customWidth="1"/>
    <col min="8967" max="8967" width="10.85546875" style="1090" customWidth="1"/>
    <col min="8968" max="8968" width="11.42578125" style="1090" customWidth="1"/>
    <col min="8969" max="8976" width="10.85546875" style="1090" customWidth="1"/>
    <col min="8977" max="8977" width="14.85546875" style="1090" bestFit="1" customWidth="1"/>
    <col min="8978" max="8981" width="15.85546875" style="1090" bestFit="1" customWidth="1"/>
    <col min="8982" max="8982" width="12.140625" style="1090" customWidth="1"/>
    <col min="8983" max="8983" width="16.42578125" style="1090" customWidth="1"/>
    <col min="8984" max="8984" width="14.42578125" style="1090" customWidth="1"/>
    <col min="8985" max="8986" width="14" style="1090" customWidth="1"/>
    <col min="8987" max="9219" width="8.85546875" style="1090"/>
    <col min="9220" max="9220" width="33.85546875" style="1090" customWidth="1"/>
    <col min="9221" max="9221" width="15.85546875" style="1090" customWidth="1"/>
    <col min="9222" max="9222" width="12" style="1090" customWidth="1"/>
    <col min="9223" max="9223" width="10.85546875" style="1090" customWidth="1"/>
    <col min="9224" max="9224" width="11.42578125" style="1090" customWidth="1"/>
    <col min="9225" max="9232" width="10.85546875" style="1090" customWidth="1"/>
    <col min="9233" max="9233" width="14.85546875" style="1090" bestFit="1" customWidth="1"/>
    <col min="9234" max="9237" width="15.85546875" style="1090" bestFit="1" customWidth="1"/>
    <col min="9238" max="9238" width="12.140625" style="1090" customWidth="1"/>
    <col min="9239" max="9239" width="16.42578125" style="1090" customWidth="1"/>
    <col min="9240" max="9240" width="14.42578125" style="1090" customWidth="1"/>
    <col min="9241" max="9242" width="14" style="1090" customWidth="1"/>
    <col min="9243" max="9475" width="8.85546875" style="1090"/>
    <col min="9476" max="9476" width="33.85546875" style="1090" customWidth="1"/>
    <col min="9477" max="9477" width="15.85546875" style="1090" customWidth="1"/>
    <col min="9478" max="9478" width="12" style="1090" customWidth="1"/>
    <col min="9479" max="9479" width="10.85546875" style="1090" customWidth="1"/>
    <col min="9480" max="9480" width="11.42578125" style="1090" customWidth="1"/>
    <col min="9481" max="9488" width="10.85546875" style="1090" customWidth="1"/>
    <col min="9489" max="9489" width="14.85546875" style="1090" bestFit="1" customWidth="1"/>
    <col min="9490" max="9493" width="15.85546875" style="1090" bestFit="1" customWidth="1"/>
    <col min="9494" max="9494" width="12.140625" style="1090" customWidth="1"/>
    <col min="9495" max="9495" width="16.42578125" style="1090" customWidth="1"/>
    <col min="9496" max="9496" width="14.42578125" style="1090" customWidth="1"/>
    <col min="9497" max="9498" width="14" style="1090" customWidth="1"/>
    <col min="9499" max="9731" width="8.85546875" style="1090"/>
    <col min="9732" max="9732" width="33.85546875" style="1090" customWidth="1"/>
    <col min="9733" max="9733" width="15.85546875" style="1090" customWidth="1"/>
    <col min="9734" max="9734" width="12" style="1090" customWidth="1"/>
    <col min="9735" max="9735" width="10.85546875" style="1090" customWidth="1"/>
    <col min="9736" max="9736" width="11.42578125" style="1090" customWidth="1"/>
    <col min="9737" max="9744" width="10.85546875" style="1090" customWidth="1"/>
    <col min="9745" max="9745" width="14.85546875" style="1090" bestFit="1" customWidth="1"/>
    <col min="9746" max="9749" width="15.85546875" style="1090" bestFit="1" customWidth="1"/>
    <col min="9750" max="9750" width="12.140625" style="1090" customWidth="1"/>
    <col min="9751" max="9751" width="16.42578125" style="1090" customWidth="1"/>
    <col min="9752" max="9752" width="14.42578125" style="1090" customWidth="1"/>
    <col min="9753" max="9754" width="14" style="1090" customWidth="1"/>
    <col min="9755" max="9987" width="8.85546875" style="1090"/>
    <col min="9988" max="9988" width="33.85546875" style="1090" customWidth="1"/>
    <col min="9989" max="9989" width="15.85546875" style="1090" customWidth="1"/>
    <col min="9990" max="9990" width="12" style="1090" customWidth="1"/>
    <col min="9991" max="9991" width="10.85546875" style="1090" customWidth="1"/>
    <col min="9992" max="9992" width="11.42578125" style="1090" customWidth="1"/>
    <col min="9993" max="10000" width="10.85546875" style="1090" customWidth="1"/>
    <col min="10001" max="10001" width="14.85546875" style="1090" bestFit="1" customWidth="1"/>
    <col min="10002" max="10005" width="15.85546875" style="1090" bestFit="1" customWidth="1"/>
    <col min="10006" max="10006" width="12.140625" style="1090" customWidth="1"/>
    <col min="10007" max="10007" width="16.42578125" style="1090" customWidth="1"/>
    <col min="10008" max="10008" width="14.42578125" style="1090" customWidth="1"/>
    <col min="10009" max="10010" width="14" style="1090" customWidth="1"/>
    <col min="10011" max="10243" width="8.85546875" style="1090"/>
    <col min="10244" max="10244" width="33.85546875" style="1090" customWidth="1"/>
    <col min="10245" max="10245" width="15.85546875" style="1090" customWidth="1"/>
    <col min="10246" max="10246" width="12" style="1090" customWidth="1"/>
    <col min="10247" max="10247" width="10.85546875" style="1090" customWidth="1"/>
    <col min="10248" max="10248" width="11.42578125" style="1090" customWidth="1"/>
    <col min="10249" max="10256" width="10.85546875" style="1090" customWidth="1"/>
    <col min="10257" max="10257" width="14.85546875" style="1090" bestFit="1" customWidth="1"/>
    <col min="10258" max="10261" width="15.85546875" style="1090" bestFit="1" customWidth="1"/>
    <col min="10262" max="10262" width="12.140625" style="1090" customWidth="1"/>
    <col min="10263" max="10263" width="16.42578125" style="1090" customWidth="1"/>
    <col min="10264" max="10264" width="14.42578125" style="1090" customWidth="1"/>
    <col min="10265" max="10266" width="14" style="1090" customWidth="1"/>
    <col min="10267" max="10499" width="8.85546875" style="1090"/>
    <col min="10500" max="10500" width="33.85546875" style="1090" customWidth="1"/>
    <col min="10501" max="10501" width="15.85546875" style="1090" customWidth="1"/>
    <col min="10502" max="10502" width="12" style="1090" customWidth="1"/>
    <col min="10503" max="10503" width="10.85546875" style="1090" customWidth="1"/>
    <col min="10504" max="10504" width="11.42578125" style="1090" customWidth="1"/>
    <col min="10505" max="10512" width="10.85546875" style="1090" customWidth="1"/>
    <col min="10513" max="10513" width="14.85546875" style="1090" bestFit="1" customWidth="1"/>
    <col min="10514" max="10517" width="15.85546875" style="1090" bestFit="1" customWidth="1"/>
    <col min="10518" max="10518" width="12.140625" style="1090" customWidth="1"/>
    <col min="10519" max="10519" width="16.42578125" style="1090" customWidth="1"/>
    <col min="10520" max="10520" width="14.42578125" style="1090" customWidth="1"/>
    <col min="10521" max="10522" width="14" style="1090" customWidth="1"/>
    <col min="10523" max="10755" width="8.85546875" style="1090"/>
    <col min="10756" max="10756" width="33.85546875" style="1090" customWidth="1"/>
    <col min="10757" max="10757" width="15.85546875" style="1090" customWidth="1"/>
    <col min="10758" max="10758" width="12" style="1090" customWidth="1"/>
    <col min="10759" max="10759" width="10.85546875" style="1090" customWidth="1"/>
    <col min="10760" max="10760" width="11.42578125" style="1090" customWidth="1"/>
    <col min="10761" max="10768" width="10.85546875" style="1090" customWidth="1"/>
    <col min="10769" max="10769" width="14.85546875" style="1090" bestFit="1" customWidth="1"/>
    <col min="10770" max="10773" width="15.85546875" style="1090" bestFit="1" customWidth="1"/>
    <col min="10774" max="10774" width="12.140625" style="1090" customWidth="1"/>
    <col min="10775" max="10775" width="16.42578125" style="1090" customWidth="1"/>
    <col min="10776" max="10776" width="14.42578125" style="1090" customWidth="1"/>
    <col min="10777" max="10778" width="14" style="1090" customWidth="1"/>
    <col min="10779" max="11011" width="8.85546875" style="1090"/>
    <col min="11012" max="11012" width="33.85546875" style="1090" customWidth="1"/>
    <col min="11013" max="11013" width="15.85546875" style="1090" customWidth="1"/>
    <col min="11014" max="11014" width="12" style="1090" customWidth="1"/>
    <col min="11015" max="11015" width="10.85546875" style="1090" customWidth="1"/>
    <col min="11016" max="11016" width="11.42578125" style="1090" customWidth="1"/>
    <col min="11017" max="11024" width="10.85546875" style="1090" customWidth="1"/>
    <col min="11025" max="11025" width="14.85546875" style="1090" bestFit="1" customWidth="1"/>
    <col min="11026" max="11029" width="15.85546875" style="1090" bestFit="1" customWidth="1"/>
    <col min="11030" max="11030" width="12.140625" style="1090" customWidth="1"/>
    <col min="11031" max="11031" width="16.42578125" style="1090" customWidth="1"/>
    <col min="11032" max="11032" width="14.42578125" style="1090" customWidth="1"/>
    <col min="11033" max="11034" width="14" style="1090" customWidth="1"/>
    <col min="11035" max="11267" width="8.85546875" style="1090"/>
    <col min="11268" max="11268" width="33.85546875" style="1090" customWidth="1"/>
    <col min="11269" max="11269" width="15.85546875" style="1090" customWidth="1"/>
    <col min="11270" max="11270" width="12" style="1090" customWidth="1"/>
    <col min="11271" max="11271" width="10.85546875" style="1090" customWidth="1"/>
    <col min="11272" max="11272" width="11.42578125" style="1090" customWidth="1"/>
    <col min="11273" max="11280" width="10.85546875" style="1090" customWidth="1"/>
    <col min="11281" max="11281" width="14.85546875" style="1090" bestFit="1" customWidth="1"/>
    <col min="11282" max="11285" width="15.85546875" style="1090" bestFit="1" customWidth="1"/>
    <col min="11286" max="11286" width="12.140625" style="1090" customWidth="1"/>
    <col min="11287" max="11287" width="16.42578125" style="1090" customWidth="1"/>
    <col min="11288" max="11288" width="14.42578125" style="1090" customWidth="1"/>
    <col min="11289" max="11290" width="14" style="1090" customWidth="1"/>
    <col min="11291" max="11523" width="8.85546875" style="1090"/>
    <col min="11524" max="11524" width="33.85546875" style="1090" customWidth="1"/>
    <col min="11525" max="11525" width="15.85546875" style="1090" customWidth="1"/>
    <col min="11526" max="11526" width="12" style="1090" customWidth="1"/>
    <col min="11527" max="11527" width="10.85546875" style="1090" customWidth="1"/>
    <col min="11528" max="11528" width="11.42578125" style="1090" customWidth="1"/>
    <col min="11529" max="11536" width="10.85546875" style="1090" customWidth="1"/>
    <col min="11537" max="11537" width="14.85546875" style="1090" bestFit="1" customWidth="1"/>
    <col min="11538" max="11541" width="15.85546875" style="1090" bestFit="1" customWidth="1"/>
    <col min="11542" max="11542" width="12.140625" style="1090" customWidth="1"/>
    <col min="11543" max="11543" width="16.42578125" style="1090" customWidth="1"/>
    <col min="11544" max="11544" width="14.42578125" style="1090" customWidth="1"/>
    <col min="11545" max="11546" width="14" style="1090" customWidth="1"/>
    <col min="11547" max="11779" width="8.85546875" style="1090"/>
    <col min="11780" max="11780" width="33.85546875" style="1090" customWidth="1"/>
    <col min="11781" max="11781" width="15.85546875" style="1090" customWidth="1"/>
    <col min="11782" max="11782" width="12" style="1090" customWidth="1"/>
    <col min="11783" max="11783" width="10.85546875" style="1090" customWidth="1"/>
    <col min="11784" max="11784" width="11.42578125" style="1090" customWidth="1"/>
    <col min="11785" max="11792" width="10.85546875" style="1090" customWidth="1"/>
    <col min="11793" max="11793" width="14.85546875" style="1090" bestFit="1" customWidth="1"/>
    <col min="11794" max="11797" width="15.85546875" style="1090" bestFit="1" customWidth="1"/>
    <col min="11798" max="11798" width="12.140625" style="1090" customWidth="1"/>
    <col min="11799" max="11799" width="16.42578125" style="1090" customWidth="1"/>
    <col min="11800" max="11800" width="14.42578125" style="1090" customWidth="1"/>
    <col min="11801" max="11802" width="14" style="1090" customWidth="1"/>
    <col min="11803" max="12035" width="8.85546875" style="1090"/>
    <col min="12036" max="12036" width="33.85546875" style="1090" customWidth="1"/>
    <col min="12037" max="12037" width="15.85546875" style="1090" customWidth="1"/>
    <col min="12038" max="12038" width="12" style="1090" customWidth="1"/>
    <col min="12039" max="12039" width="10.85546875" style="1090" customWidth="1"/>
    <col min="12040" max="12040" width="11.42578125" style="1090" customWidth="1"/>
    <col min="12041" max="12048" width="10.85546875" style="1090" customWidth="1"/>
    <col min="12049" max="12049" width="14.85546875" style="1090" bestFit="1" customWidth="1"/>
    <col min="12050" max="12053" width="15.85546875" style="1090" bestFit="1" customWidth="1"/>
    <col min="12054" max="12054" width="12.140625" style="1090" customWidth="1"/>
    <col min="12055" max="12055" width="16.42578125" style="1090" customWidth="1"/>
    <col min="12056" max="12056" width="14.42578125" style="1090" customWidth="1"/>
    <col min="12057" max="12058" width="14" style="1090" customWidth="1"/>
    <col min="12059" max="12291" width="8.85546875" style="1090"/>
    <col min="12292" max="12292" width="33.85546875" style="1090" customWidth="1"/>
    <col min="12293" max="12293" width="15.85546875" style="1090" customWidth="1"/>
    <col min="12294" max="12294" width="12" style="1090" customWidth="1"/>
    <col min="12295" max="12295" width="10.85546875" style="1090" customWidth="1"/>
    <col min="12296" max="12296" width="11.42578125" style="1090" customWidth="1"/>
    <col min="12297" max="12304" width="10.85546875" style="1090" customWidth="1"/>
    <col min="12305" max="12305" width="14.85546875" style="1090" bestFit="1" customWidth="1"/>
    <col min="12306" max="12309" width="15.85546875" style="1090" bestFit="1" customWidth="1"/>
    <col min="12310" max="12310" width="12.140625" style="1090" customWidth="1"/>
    <col min="12311" max="12311" width="16.42578125" style="1090" customWidth="1"/>
    <col min="12312" max="12312" width="14.42578125" style="1090" customWidth="1"/>
    <col min="12313" max="12314" width="14" style="1090" customWidth="1"/>
    <col min="12315" max="12547" width="8.85546875" style="1090"/>
    <col min="12548" max="12548" width="33.85546875" style="1090" customWidth="1"/>
    <col min="12549" max="12549" width="15.85546875" style="1090" customWidth="1"/>
    <col min="12550" max="12550" width="12" style="1090" customWidth="1"/>
    <col min="12551" max="12551" width="10.85546875" style="1090" customWidth="1"/>
    <col min="12552" max="12552" width="11.42578125" style="1090" customWidth="1"/>
    <col min="12553" max="12560" width="10.85546875" style="1090" customWidth="1"/>
    <col min="12561" max="12561" width="14.85546875" style="1090" bestFit="1" customWidth="1"/>
    <col min="12562" max="12565" width="15.85546875" style="1090" bestFit="1" customWidth="1"/>
    <col min="12566" max="12566" width="12.140625" style="1090" customWidth="1"/>
    <col min="12567" max="12567" width="16.42578125" style="1090" customWidth="1"/>
    <col min="12568" max="12568" width="14.42578125" style="1090" customWidth="1"/>
    <col min="12569" max="12570" width="14" style="1090" customWidth="1"/>
    <col min="12571" max="12803" width="8.85546875" style="1090"/>
    <col min="12804" max="12804" width="33.85546875" style="1090" customWidth="1"/>
    <col min="12805" max="12805" width="15.85546875" style="1090" customWidth="1"/>
    <col min="12806" max="12806" width="12" style="1090" customWidth="1"/>
    <col min="12807" max="12807" width="10.85546875" style="1090" customWidth="1"/>
    <col min="12808" max="12808" width="11.42578125" style="1090" customWidth="1"/>
    <col min="12809" max="12816" width="10.85546875" style="1090" customWidth="1"/>
    <col min="12817" max="12817" width="14.85546875" style="1090" bestFit="1" customWidth="1"/>
    <col min="12818" max="12821" width="15.85546875" style="1090" bestFit="1" customWidth="1"/>
    <col min="12822" max="12822" width="12.140625" style="1090" customWidth="1"/>
    <col min="12823" max="12823" width="16.42578125" style="1090" customWidth="1"/>
    <col min="12824" max="12824" width="14.42578125" style="1090" customWidth="1"/>
    <col min="12825" max="12826" width="14" style="1090" customWidth="1"/>
    <col min="12827" max="13059" width="8.85546875" style="1090"/>
    <col min="13060" max="13060" width="33.85546875" style="1090" customWidth="1"/>
    <col min="13061" max="13061" width="15.85546875" style="1090" customWidth="1"/>
    <col min="13062" max="13062" width="12" style="1090" customWidth="1"/>
    <col min="13063" max="13063" width="10.85546875" style="1090" customWidth="1"/>
    <col min="13064" max="13064" width="11.42578125" style="1090" customWidth="1"/>
    <col min="13065" max="13072" width="10.85546875" style="1090" customWidth="1"/>
    <col min="13073" max="13073" width="14.85546875" style="1090" bestFit="1" customWidth="1"/>
    <col min="13074" max="13077" width="15.85546875" style="1090" bestFit="1" customWidth="1"/>
    <col min="13078" max="13078" width="12.140625" style="1090" customWidth="1"/>
    <col min="13079" max="13079" width="16.42578125" style="1090" customWidth="1"/>
    <col min="13080" max="13080" width="14.42578125" style="1090" customWidth="1"/>
    <col min="13081" max="13082" width="14" style="1090" customWidth="1"/>
    <col min="13083" max="13315" width="8.85546875" style="1090"/>
    <col min="13316" max="13316" width="33.85546875" style="1090" customWidth="1"/>
    <col min="13317" max="13317" width="15.85546875" style="1090" customWidth="1"/>
    <col min="13318" max="13318" width="12" style="1090" customWidth="1"/>
    <col min="13319" max="13319" width="10.85546875" style="1090" customWidth="1"/>
    <col min="13320" max="13320" width="11.42578125" style="1090" customWidth="1"/>
    <col min="13321" max="13328" width="10.85546875" style="1090" customWidth="1"/>
    <col min="13329" max="13329" width="14.85546875" style="1090" bestFit="1" customWidth="1"/>
    <col min="13330" max="13333" width="15.85546875" style="1090" bestFit="1" customWidth="1"/>
    <col min="13334" max="13334" width="12.140625" style="1090" customWidth="1"/>
    <col min="13335" max="13335" width="16.42578125" style="1090" customWidth="1"/>
    <col min="13336" max="13336" width="14.42578125" style="1090" customWidth="1"/>
    <col min="13337" max="13338" width="14" style="1090" customWidth="1"/>
    <col min="13339" max="13571" width="8.85546875" style="1090"/>
    <col min="13572" max="13572" width="33.85546875" style="1090" customWidth="1"/>
    <col min="13573" max="13573" width="15.85546875" style="1090" customWidth="1"/>
    <col min="13574" max="13574" width="12" style="1090" customWidth="1"/>
    <col min="13575" max="13575" width="10.85546875" style="1090" customWidth="1"/>
    <col min="13576" max="13576" width="11.42578125" style="1090" customWidth="1"/>
    <col min="13577" max="13584" width="10.85546875" style="1090" customWidth="1"/>
    <col min="13585" max="13585" width="14.85546875" style="1090" bestFit="1" customWidth="1"/>
    <col min="13586" max="13589" width="15.85546875" style="1090" bestFit="1" customWidth="1"/>
    <col min="13590" max="13590" width="12.140625" style="1090" customWidth="1"/>
    <col min="13591" max="13591" width="16.42578125" style="1090" customWidth="1"/>
    <col min="13592" max="13592" width="14.42578125" style="1090" customWidth="1"/>
    <col min="13593" max="13594" width="14" style="1090" customWidth="1"/>
    <col min="13595" max="13827" width="8.85546875" style="1090"/>
    <col min="13828" max="13828" width="33.85546875" style="1090" customWidth="1"/>
    <col min="13829" max="13829" width="15.85546875" style="1090" customWidth="1"/>
    <col min="13830" max="13830" width="12" style="1090" customWidth="1"/>
    <col min="13831" max="13831" width="10.85546875" style="1090" customWidth="1"/>
    <col min="13832" max="13832" width="11.42578125" style="1090" customWidth="1"/>
    <col min="13833" max="13840" width="10.85546875" style="1090" customWidth="1"/>
    <col min="13841" max="13841" width="14.85546875" style="1090" bestFit="1" customWidth="1"/>
    <col min="13842" max="13845" width="15.85546875" style="1090" bestFit="1" customWidth="1"/>
    <col min="13846" max="13846" width="12.140625" style="1090" customWidth="1"/>
    <col min="13847" max="13847" width="16.42578125" style="1090" customWidth="1"/>
    <col min="13848" max="13848" width="14.42578125" style="1090" customWidth="1"/>
    <col min="13849" max="13850" width="14" style="1090" customWidth="1"/>
    <col min="13851" max="14083" width="8.85546875" style="1090"/>
    <col min="14084" max="14084" width="33.85546875" style="1090" customWidth="1"/>
    <col min="14085" max="14085" width="15.85546875" style="1090" customWidth="1"/>
    <col min="14086" max="14086" width="12" style="1090" customWidth="1"/>
    <col min="14087" max="14087" width="10.85546875" style="1090" customWidth="1"/>
    <col min="14088" max="14088" width="11.42578125" style="1090" customWidth="1"/>
    <col min="14089" max="14096" width="10.85546875" style="1090" customWidth="1"/>
    <col min="14097" max="14097" width="14.85546875" style="1090" bestFit="1" customWidth="1"/>
    <col min="14098" max="14101" width="15.85546875" style="1090" bestFit="1" customWidth="1"/>
    <col min="14102" max="14102" width="12.140625" style="1090" customWidth="1"/>
    <col min="14103" max="14103" width="16.42578125" style="1090" customWidth="1"/>
    <col min="14104" max="14104" width="14.42578125" style="1090" customWidth="1"/>
    <col min="14105" max="14106" width="14" style="1090" customWidth="1"/>
    <col min="14107" max="14339" width="8.85546875" style="1090"/>
    <col min="14340" max="14340" width="33.85546875" style="1090" customWidth="1"/>
    <col min="14341" max="14341" width="15.85546875" style="1090" customWidth="1"/>
    <col min="14342" max="14342" width="12" style="1090" customWidth="1"/>
    <col min="14343" max="14343" width="10.85546875" style="1090" customWidth="1"/>
    <col min="14344" max="14344" width="11.42578125" style="1090" customWidth="1"/>
    <col min="14345" max="14352" width="10.85546875" style="1090" customWidth="1"/>
    <col min="14353" max="14353" width="14.85546875" style="1090" bestFit="1" customWidth="1"/>
    <col min="14354" max="14357" width="15.85546875" style="1090" bestFit="1" customWidth="1"/>
    <col min="14358" max="14358" width="12.140625" style="1090" customWidth="1"/>
    <col min="14359" max="14359" width="16.42578125" style="1090" customWidth="1"/>
    <col min="14360" max="14360" width="14.42578125" style="1090" customWidth="1"/>
    <col min="14361" max="14362" width="14" style="1090" customWidth="1"/>
    <col min="14363" max="14595" width="8.85546875" style="1090"/>
    <col min="14596" max="14596" width="33.85546875" style="1090" customWidth="1"/>
    <col min="14597" max="14597" width="15.85546875" style="1090" customWidth="1"/>
    <col min="14598" max="14598" width="12" style="1090" customWidth="1"/>
    <col min="14599" max="14599" width="10.85546875" style="1090" customWidth="1"/>
    <col min="14600" max="14600" width="11.42578125" style="1090" customWidth="1"/>
    <col min="14601" max="14608" width="10.85546875" style="1090" customWidth="1"/>
    <col min="14609" max="14609" width="14.85546875" style="1090" bestFit="1" customWidth="1"/>
    <col min="14610" max="14613" width="15.85546875" style="1090" bestFit="1" customWidth="1"/>
    <col min="14614" max="14614" width="12.140625" style="1090" customWidth="1"/>
    <col min="14615" max="14615" width="16.42578125" style="1090" customWidth="1"/>
    <col min="14616" max="14616" width="14.42578125" style="1090" customWidth="1"/>
    <col min="14617" max="14618" width="14" style="1090" customWidth="1"/>
    <col min="14619" max="14851" width="8.85546875" style="1090"/>
    <col min="14852" max="14852" width="33.85546875" style="1090" customWidth="1"/>
    <col min="14853" max="14853" width="15.85546875" style="1090" customWidth="1"/>
    <col min="14854" max="14854" width="12" style="1090" customWidth="1"/>
    <col min="14855" max="14855" width="10.85546875" style="1090" customWidth="1"/>
    <col min="14856" max="14856" width="11.42578125" style="1090" customWidth="1"/>
    <col min="14857" max="14864" width="10.85546875" style="1090" customWidth="1"/>
    <col min="14865" max="14865" width="14.85546875" style="1090" bestFit="1" customWidth="1"/>
    <col min="14866" max="14869" width="15.85546875" style="1090" bestFit="1" customWidth="1"/>
    <col min="14870" max="14870" width="12.140625" style="1090" customWidth="1"/>
    <col min="14871" max="14871" width="16.42578125" style="1090" customWidth="1"/>
    <col min="14872" max="14872" width="14.42578125" style="1090" customWidth="1"/>
    <col min="14873" max="14874" width="14" style="1090" customWidth="1"/>
    <col min="14875" max="15107" width="8.85546875" style="1090"/>
    <col min="15108" max="15108" width="33.85546875" style="1090" customWidth="1"/>
    <col min="15109" max="15109" width="15.85546875" style="1090" customWidth="1"/>
    <col min="15110" max="15110" width="12" style="1090" customWidth="1"/>
    <col min="15111" max="15111" width="10.85546875" style="1090" customWidth="1"/>
    <col min="15112" max="15112" width="11.42578125" style="1090" customWidth="1"/>
    <col min="15113" max="15120" width="10.85546875" style="1090" customWidth="1"/>
    <col min="15121" max="15121" width="14.85546875" style="1090" bestFit="1" customWidth="1"/>
    <col min="15122" max="15125" width="15.85546875" style="1090" bestFit="1" customWidth="1"/>
    <col min="15126" max="15126" width="12.140625" style="1090" customWidth="1"/>
    <col min="15127" max="15127" width="16.42578125" style="1090" customWidth="1"/>
    <col min="15128" max="15128" width="14.42578125" style="1090" customWidth="1"/>
    <col min="15129" max="15130" width="14" style="1090" customWidth="1"/>
    <col min="15131" max="15363" width="8.85546875" style="1090"/>
    <col min="15364" max="15364" width="33.85546875" style="1090" customWidth="1"/>
    <col min="15365" max="15365" width="15.85546875" style="1090" customWidth="1"/>
    <col min="15366" max="15366" width="12" style="1090" customWidth="1"/>
    <col min="15367" max="15367" width="10.85546875" style="1090" customWidth="1"/>
    <col min="15368" max="15368" width="11.42578125" style="1090" customWidth="1"/>
    <col min="15369" max="15376" width="10.85546875" style="1090" customWidth="1"/>
    <col min="15377" max="15377" width="14.85546875" style="1090" bestFit="1" customWidth="1"/>
    <col min="15378" max="15381" width="15.85546875" style="1090" bestFit="1" customWidth="1"/>
    <col min="15382" max="15382" width="12.140625" style="1090" customWidth="1"/>
    <col min="15383" max="15383" width="16.42578125" style="1090" customWidth="1"/>
    <col min="15384" max="15384" width="14.42578125" style="1090" customWidth="1"/>
    <col min="15385" max="15386" width="14" style="1090" customWidth="1"/>
    <col min="15387" max="15619" width="8.85546875" style="1090"/>
    <col min="15620" max="15620" width="33.85546875" style="1090" customWidth="1"/>
    <col min="15621" max="15621" width="15.85546875" style="1090" customWidth="1"/>
    <col min="15622" max="15622" width="12" style="1090" customWidth="1"/>
    <col min="15623" max="15623" width="10.85546875" style="1090" customWidth="1"/>
    <col min="15624" max="15624" width="11.42578125" style="1090" customWidth="1"/>
    <col min="15625" max="15632" width="10.85546875" style="1090" customWidth="1"/>
    <col min="15633" max="15633" width="14.85546875" style="1090" bestFit="1" customWidth="1"/>
    <col min="15634" max="15637" width="15.85546875" style="1090" bestFit="1" customWidth="1"/>
    <col min="15638" max="15638" width="12.140625" style="1090" customWidth="1"/>
    <col min="15639" max="15639" width="16.42578125" style="1090" customWidth="1"/>
    <col min="15640" max="15640" width="14.42578125" style="1090" customWidth="1"/>
    <col min="15641" max="15642" width="14" style="1090" customWidth="1"/>
    <col min="15643" max="15875" width="8.85546875" style="1090"/>
    <col min="15876" max="15876" width="33.85546875" style="1090" customWidth="1"/>
    <col min="15877" max="15877" width="15.85546875" style="1090" customWidth="1"/>
    <col min="15878" max="15878" width="12" style="1090" customWidth="1"/>
    <col min="15879" max="15879" width="10.85546875" style="1090" customWidth="1"/>
    <col min="15880" max="15880" width="11.42578125" style="1090" customWidth="1"/>
    <col min="15881" max="15888" width="10.85546875" style="1090" customWidth="1"/>
    <col min="15889" max="15889" width="14.85546875" style="1090" bestFit="1" customWidth="1"/>
    <col min="15890" max="15893" width="15.85546875" style="1090" bestFit="1" customWidth="1"/>
    <col min="15894" max="15894" width="12.140625" style="1090" customWidth="1"/>
    <col min="15895" max="15895" width="16.42578125" style="1090" customWidth="1"/>
    <col min="15896" max="15896" width="14.42578125" style="1090" customWidth="1"/>
    <col min="15897" max="15898" width="14" style="1090" customWidth="1"/>
    <col min="15899" max="16131" width="8.85546875" style="1090"/>
    <col min="16132" max="16132" width="33.85546875" style="1090" customWidth="1"/>
    <col min="16133" max="16133" width="15.85546875" style="1090" customWidth="1"/>
    <col min="16134" max="16134" width="12" style="1090" customWidth="1"/>
    <col min="16135" max="16135" width="10.85546875" style="1090" customWidth="1"/>
    <col min="16136" max="16136" width="11.42578125" style="1090" customWidth="1"/>
    <col min="16137" max="16144" width="10.85546875" style="1090" customWidth="1"/>
    <col min="16145" max="16145" width="14.85546875" style="1090" bestFit="1" customWidth="1"/>
    <col min="16146" max="16149" width="15.85546875" style="1090" bestFit="1" customWidth="1"/>
    <col min="16150" max="16150" width="12.140625" style="1090" customWidth="1"/>
    <col min="16151" max="16151" width="16.42578125" style="1090" customWidth="1"/>
    <col min="16152" max="16152" width="14.42578125" style="1090" customWidth="1"/>
    <col min="16153" max="16154" width="14" style="1090" customWidth="1"/>
    <col min="16155" max="16384" width="8.85546875" style="1090"/>
  </cols>
  <sheetData>
    <row r="1" spans="1:75" s="441" customFormat="1" ht="42.75" customHeight="1">
      <c r="B1" s="439"/>
      <c r="C1" s="1913" t="str">
        <f>HYPERLINK("[.\]Menu!A1", "To Menu")</f>
        <v>To Menu</v>
      </c>
      <c r="D1" s="1914"/>
      <c r="E1" s="2271" t="str">
        <f>HYPERLINK("[.\]control_sheet_and_graphs!A1", "To Control sheet and graphical results")</f>
        <v>To Control sheet and graphical results</v>
      </c>
      <c r="F1" s="2272"/>
      <c r="G1" s="1759"/>
      <c r="H1" s="478"/>
      <c r="I1" s="2271" t="str">
        <f>HYPERLINK("[.\]outputs_by_channel!A1", "To Intervention data outputs by channel")</f>
        <v>To Intervention data outputs by channel</v>
      </c>
      <c r="J1" s="2272"/>
      <c r="K1" s="1758"/>
      <c r="L1" s="1759"/>
      <c r="M1" s="1759"/>
      <c r="O1" s="440"/>
      <c r="Q1" s="440"/>
      <c r="R1" s="440"/>
      <c r="S1" s="440"/>
      <c r="T1" s="440"/>
      <c r="V1" s="440"/>
      <c r="W1" s="440"/>
      <c r="X1" s="440"/>
      <c r="Y1" s="440"/>
      <c r="AA1" s="440"/>
      <c r="AB1" s="440"/>
      <c r="AC1" s="440"/>
      <c r="AD1" s="440"/>
      <c r="AF1" s="440"/>
      <c r="AG1" s="440"/>
      <c r="AH1" s="440"/>
      <c r="AI1" s="440"/>
      <c r="AK1" s="440"/>
      <c r="AL1" s="440"/>
      <c r="AM1" s="440"/>
      <c r="AN1" s="440"/>
      <c r="AP1" s="440"/>
      <c r="AQ1" s="440"/>
      <c r="AR1" s="440"/>
      <c r="AS1" s="440"/>
      <c r="AU1" s="440"/>
      <c r="AV1" s="440"/>
      <c r="AW1" s="440"/>
      <c r="AX1" s="440"/>
      <c r="AZ1" s="440"/>
      <c r="BA1" s="440"/>
      <c r="BB1" s="440"/>
      <c r="BC1" s="440"/>
      <c r="BE1" s="440"/>
      <c r="BF1" s="440"/>
      <c r="BG1" s="440"/>
      <c r="BH1" s="440"/>
      <c r="BJ1" s="440"/>
      <c r="BK1" s="440"/>
      <c r="BL1" s="440"/>
      <c r="BM1" s="440"/>
      <c r="BO1" s="440"/>
      <c r="BP1" s="440"/>
      <c r="BQ1" s="440"/>
      <c r="BR1" s="440"/>
      <c r="BT1" s="440"/>
      <c r="BU1" s="440"/>
      <c r="BV1" s="440"/>
      <c r="BW1" s="440"/>
    </row>
    <row r="2" spans="1:75" ht="12.95" customHeight="1">
      <c r="A2" s="794"/>
      <c r="B2" s="528"/>
      <c r="C2" s="532"/>
      <c r="D2" s="1078"/>
      <c r="E2" s="1092"/>
      <c r="F2" s="1092"/>
      <c r="I2" s="1092"/>
      <c r="J2" s="1092"/>
      <c r="O2" s="2285"/>
      <c r="P2" s="2285"/>
      <c r="Q2" s="2285"/>
      <c r="R2" s="2285"/>
      <c r="S2" s="2285"/>
      <c r="T2" s="2285"/>
      <c r="U2" s="2285"/>
      <c r="V2" s="2285"/>
      <c r="W2" s="2285"/>
      <c r="X2" s="2285"/>
      <c r="Z2" s="1090"/>
    </row>
    <row r="3" spans="1:75" s="1915" customFormat="1" ht="29.25" customHeight="1">
      <c r="A3" s="2281"/>
      <c r="B3" s="2281"/>
      <c r="C3" s="2281"/>
      <c r="D3" s="2281"/>
      <c r="E3" s="2281"/>
      <c r="F3" s="2281"/>
      <c r="G3" s="2281"/>
      <c r="H3" s="2281"/>
      <c r="I3" s="2281"/>
      <c r="J3" s="2281"/>
    </row>
    <row r="4" spans="1:75" s="1915" customFormat="1" ht="18" customHeight="1">
      <c r="A4" s="2296" t="s">
        <v>632</v>
      </c>
      <c r="B4" s="2296"/>
      <c r="C4" s="2296"/>
      <c r="D4" s="2296"/>
      <c r="E4" s="2296"/>
      <c r="F4" s="2296"/>
      <c r="G4" s="2296"/>
      <c r="H4" s="2296"/>
      <c r="I4" s="2296"/>
      <c r="J4" s="2296"/>
    </row>
    <row r="5" spans="1:75" s="1953" customFormat="1" ht="18" customHeight="1">
      <c r="A5" s="1949"/>
      <c r="B5" s="1949"/>
      <c r="C5" s="1949"/>
      <c r="D5" s="1949"/>
      <c r="E5" s="1949"/>
      <c r="F5" s="1949"/>
      <c r="G5" s="1949"/>
      <c r="H5" s="1949"/>
      <c r="I5" s="1915"/>
      <c r="J5" s="1915"/>
    </row>
    <row r="6" spans="1:75" s="1953" customFormat="1" ht="18" customHeight="1">
      <c r="B6" s="1092"/>
      <c r="C6" s="1092"/>
      <c r="D6" s="1950" t="s">
        <v>78</v>
      </c>
      <c r="E6" s="1951" t="s">
        <v>79</v>
      </c>
      <c r="F6" s="1952" t="s">
        <v>80</v>
      </c>
      <c r="G6" s="1952" t="s">
        <v>81</v>
      </c>
      <c r="H6" s="1019" t="s">
        <v>82</v>
      </c>
    </row>
    <row r="7" spans="1:75" s="1953" customFormat="1" ht="18" customHeight="1">
      <c r="A7" s="2278" t="s">
        <v>608</v>
      </c>
      <c r="B7" s="2292"/>
      <c r="C7" s="2279"/>
    </row>
    <row r="8" spans="1:75" s="1953" customFormat="1" ht="18" customHeight="1">
      <c r="A8" s="2289" t="s">
        <v>69</v>
      </c>
      <c r="B8" s="2290"/>
      <c r="C8" s="2291"/>
      <c r="D8" s="1996">
        <f t="shared" ref="D8:H11" si="0">K23</f>
        <v>27573.106276233448</v>
      </c>
      <c r="E8" s="1996">
        <f t="shared" si="0"/>
        <v>55471.568895882461</v>
      </c>
      <c r="F8" s="1996">
        <f t="shared" si="0"/>
        <v>85896.078759514727</v>
      </c>
      <c r="G8" s="1996">
        <f t="shared" si="0"/>
        <v>116699.50314388121</v>
      </c>
      <c r="H8" s="1996">
        <f t="shared" si="0"/>
        <v>146875.08202285017</v>
      </c>
    </row>
    <row r="9" spans="1:75" s="1953" customFormat="1" ht="18" customHeight="1">
      <c r="A9" s="2286" t="s">
        <v>43</v>
      </c>
      <c r="B9" s="2287"/>
      <c r="C9" s="2288"/>
      <c r="D9" s="1996">
        <f t="shared" si="0"/>
        <v>20406.082827558625</v>
      </c>
      <c r="E9" s="1996">
        <f t="shared" si="0"/>
        <v>40418.595012644422</v>
      </c>
      <c r="F9" s="1996">
        <f t="shared" si="0"/>
        <v>61753.3716823539</v>
      </c>
      <c r="G9" s="1996">
        <f t="shared" si="0"/>
        <v>83565.974202511716</v>
      </c>
      <c r="H9" s="1996">
        <f t="shared" si="0"/>
        <v>104869.3671209662</v>
      </c>
    </row>
    <row r="10" spans="1:75" s="1953" customFormat="1" ht="18" customHeight="1">
      <c r="A10" s="2286" t="s">
        <v>49</v>
      </c>
      <c r="B10" s="2287"/>
      <c r="C10" s="2288"/>
      <c r="D10" s="1996">
        <f t="shared" si="0"/>
        <v>13748.857830183813</v>
      </c>
      <c r="E10" s="1996">
        <f t="shared" si="0"/>
        <v>27232.542434559437</v>
      </c>
      <c r="F10" s="1996">
        <f t="shared" si="0"/>
        <v>41607.119552045944</v>
      </c>
      <c r="G10" s="1996">
        <f t="shared" si="0"/>
        <v>56303.63791327423</v>
      </c>
      <c r="H10" s="1996">
        <f t="shared" si="0"/>
        <v>70657.069829213317</v>
      </c>
    </row>
    <row r="11" spans="1:75" s="1953" customFormat="1" ht="18" customHeight="1">
      <c r="A11" s="2297" t="s">
        <v>67</v>
      </c>
      <c r="B11" s="2298"/>
      <c r="C11" s="2299"/>
      <c r="D11" s="1996">
        <f t="shared" si="0"/>
        <v>1135.8819763656938</v>
      </c>
      <c r="E11" s="1996">
        <f t="shared" si="0"/>
        <v>2249.856279270025</v>
      </c>
      <c r="F11" s="1996">
        <f t="shared" si="0"/>
        <v>3437.4329687158897</v>
      </c>
      <c r="G11" s="1996">
        <f t="shared" si="0"/>
        <v>4651.6073043612996</v>
      </c>
      <c r="H11" s="1996">
        <f t="shared" si="0"/>
        <v>5837.4370520887314</v>
      </c>
    </row>
    <row r="12" spans="1:75" s="1953" customFormat="1" ht="18" customHeight="1">
      <c r="A12" s="2282" t="s">
        <v>609</v>
      </c>
      <c r="B12" s="2283"/>
      <c r="C12" s="2284"/>
    </row>
    <row r="13" spans="1:75" ht="18" customHeight="1">
      <c r="A13" s="2300" t="s">
        <v>69</v>
      </c>
      <c r="B13" s="2301"/>
      <c r="C13" s="2302"/>
      <c r="D13" s="1955">
        <f>D8-K48+K72</f>
        <v>-21803.238192496283</v>
      </c>
      <c r="E13" s="1955">
        <f t="shared" ref="E13:H13" si="1">E8-L48+L72</f>
        <v>6095.2244271527306</v>
      </c>
      <c r="F13" s="1955">
        <f t="shared" si="1"/>
        <v>36519.734290784996</v>
      </c>
      <c r="G13" s="1955">
        <f t="shared" si="1"/>
        <v>67323.158675151484</v>
      </c>
      <c r="H13" s="1955">
        <f t="shared" si="1"/>
        <v>97498.737554120438</v>
      </c>
      <c r="I13" s="1953"/>
      <c r="J13" s="1953"/>
    </row>
    <row r="14" spans="1:75" ht="18" customHeight="1">
      <c r="A14" s="2286" t="s">
        <v>658</v>
      </c>
      <c r="B14" s="2287"/>
      <c r="C14" s="2288"/>
      <c r="D14" s="1955">
        <f t="shared" ref="D14:D16" si="2">D9-K49+K73</f>
        <v>11803.852042201872</v>
      </c>
      <c r="E14" s="1955">
        <f t="shared" ref="E14:E16" si="3">E9-L49+L73</f>
        <v>31816.364227287668</v>
      </c>
      <c r="F14" s="1955">
        <f t="shared" ref="F14:F16" si="4">F9-M49+M73</f>
        <v>53151.140896997145</v>
      </c>
      <c r="G14" s="1955">
        <f t="shared" ref="G14:G16" si="5">G9-N49+N73</f>
        <v>74963.743417154968</v>
      </c>
      <c r="H14" s="1955">
        <f t="shared" ref="H14:H16" si="6">H9-O49+O73</f>
        <v>96267.136335609452</v>
      </c>
    </row>
    <row r="15" spans="1:75" ht="18" customHeight="1">
      <c r="A15" s="2286" t="s">
        <v>49</v>
      </c>
      <c r="B15" s="2287"/>
      <c r="C15" s="2288"/>
      <c r="D15" s="1955">
        <f t="shared" si="2"/>
        <v>-31523.76133762957</v>
      </c>
      <c r="E15" s="1955">
        <f t="shared" si="3"/>
        <v>-18040.076733253947</v>
      </c>
      <c r="F15" s="1955">
        <f t="shared" si="4"/>
        <v>-3665.4996157674395</v>
      </c>
      <c r="G15" s="1955">
        <f t="shared" si="5"/>
        <v>11031.018745460846</v>
      </c>
      <c r="H15" s="1955">
        <f t="shared" si="6"/>
        <v>25384.450661399933</v>
      </c>
    </row>
    <row r="16" spans="1:75" ht="18" customHeight="1">
      <c r="A16" s="2297" t="s">
        <v>610</v>
      </c>
      <c r="B16" s="2298"/>
      <c r="C16" s="2299"/>
      <c r="D16" s="1955">
        <f t="shared" si="2"/>
        <v>34551.256316164072</v>
      </c>
      <c r="E16" s="1955">
        <f t="shared" si="3"/>
        <v>35665.230619068403</v>
      </c>
      <c r="F16" s="1955">
        <f t="shared" si="4"/>
        <v>36852.807308514268</v>
      </c>
      <c r="G16" s="1955">
        <f t="shared" si="5"/>
        <v>38066.981644159678</v>
      </c>
      <c r="H16" s="1955">
        <f t="shared" si="6"/>
        <v>39252.811391887109</v>
      </c>
      <c r="S16" s="1954"/>
      <c r="T16" s="1954"/>
      <c r="U16" s="1954"/>
      <c r="V16" s="1954"/>
      <c r="W16" s="1954"/>
      <c r="X16" s="1954"/>
      <c r="Y16" s="1954"/>
      <c r="Z16" s="1954"/>
    </row>
    <row r="17" spans="1:30" ht="18" customHeight="1">
      <c r="A17" s="1092"/>
      <c r="B17" s="1092"/>
      <c r="C17" s="1092"/>
      <c r="D17" s="1092"/>
      <c r="E17" s="1092"/>
      <c r="F17" s="1092"/>
      <c r="G17" s="1092"/>
      <c r="H17" s="1092"/>
      <c r="V17" s="1090"/>
      <c r="W17" s="1090"/>
      <c r="X17" s="1090"/>
      <c r="Y17" s="1090"/>
      <c r="Z17" s="1090"/>
    </row>
    <row r="18" spans="1:30" ht="18" customHeight="1">
      <c r="U18" s="1956"/>
      <c r="V18" s="1956"/>
      <c r="Z18" s="1090"/>
    </row>
    <row r="19" spans="1:30" ht="15">
      <c r="A19" s="2296" t="s">
        <v>604</v>
      </c>
      <c r="B19" s="2296"/>
      <c r="C19" s="2296"/>
      <c r="D19" s="2296"/>
      <c r="E19" s="2296"/>
      <c r="F19" s="2296"/>
      <c r="G19" s="2296"/>
      <c r="H19" s="2296"/>
      <c r="I19" s="2296"/>
      <c r="J19" s="2296"/>
      <c r="U19" s="1956"/>
      <c r="V19" s="1956"/>
      <c r="Z19" s="1090"/>
    </row>
    <row r="20" spans="1:30" ht="18" customHeight="1">
      <c r="V20" s="1956"/>
      <c r="W20" s="1954"/>
    </row>
    <row r="21" spans="1:30" ht="20.25" customHeight="1">
      <c r="B21" s="1916"/>
      <c r="D21" s="2274" t="s">
        <v>593</v>
      </c>
      <c r="E21" s="2275"/>
      <c r="F21" s="2275"/>
      <c r="G21" s="2275"/>
      <c r="H21" s="2275"/>
      <c r="I21" s="2276"/>
      <c r="J21" s="1957"/>
      <c r="K21" s="2274" t="s">
        <v>594</v>
      </c>
      <c r="L21" s="2275"/>
      <c r="M21" s="2275"/>
      <c r="N21" s="2275"/>
      <c r="O21" s="2276"/>
      <c r="Q21" s="2274" t="s">
        <v>657</v>
      </c>
      <c r="R21" s="2275"/>
      <c r="S21" s="2275"/>
      <c r="T21" s="2275"/>
      <c r="U21" s="2276"/>
      <c r="V21" s="1090"/>
      <c r="W21" s="2293" t="s">
        <v>607</v>
      </c>
      <c r="X21" s="2294"/>
      <c r="Y21" s="2294"/>
      <c r="Z21" s="2294"/>
      <c r="AA21" s="2295"/>
      <c r="AD21" s="1969"/>
    </row>
    <row r="22" spans="1:30" ht="18" customHeight="1">
      <c r="A22" s="2289" t="s">
        <v>595</v>
      </c>
      <c r="B22" s="2304"/>
      <c r="C22" s="2305"/>
      <c r="D22" s="1022" t="s">
        <v>562</v>
      </c>
      <c r="E22" s="1951" t="s">
        <v>78</v>
      </c>
      <c r="F22" s="1952" t="s">
        <v>79</v>
      </c>
      <c r="G22" s="1952" t="s">
        <v>80</v>
      </c>
      <c r="H22" s="1019" t="s">
        <v>81</v>
      </c>
      <c r="I22" s="1950" t="s">
        <v>82</v>
      </c>
      <c r="J22" s="1953"/>
      <c r="K22" s="1950" t="s">
        <v>78</v>
      </c>
      <c r="L22" s="1951" t="s">
        <v>79</v>
      </c>
      <c r="M22" s="1952" t="s">
        <v>80</v>
      </c>
      <c r="N22" s="1952" t="s">
        <v>81</v>
      </c>
      <c r="O22" s="1019" t="s">
        <v>82</v>
      </c>
      <c r="P22" s="1957"/>
      <c r="Q22" s="1950" t="s">
        <v>78</v>
      </c>
      <c r="R22" s="1951" t="s">
        <v>79</v>
      </c>
      <c r="S22" s="1952" t="s">
        <v>80</v>
      </c>
      <c r="T22" s="1952" t="s">
        <v>81</v>
      </c>
      <c r="U22" s="1019" t="s">
        <v>82</v>
      </c>
      <c r="V22" s="1090"/>
      <c r="W22" s="1950" t="s">
        <v>78</v>
      </c>
      <c r="X22" s="1951" t="s">
        <v>79</v>
      </c>
      <c r="Y22" s="1952" t="s">
        <v>80</v>
      </c>
      <c r="Z22" s="1952" t="s">
        <v>81</v>
      </c>
      <c r="AA22" s="1019" t="s">
        <v>82</v>
      </c>
    </row>
    <row r="23" spans="1:30" ht="18" customHeight="1">
      <c r="A23" s="2286" t="s">
        <v>69</v>
      </c>
      <c r="B23" s="2287"/>
      <c r="C23" s="2288"/>
      <c r="D23" s="1960">
        <f>local_data_input!C24</f>
        <v>1430353</v>
      </c>
      <c r="E23" s="1961">
        <f>D23*(1+local_data_input!C53)</f>
        <v>1457926.1062762334</v>
      </c>
      <c r="F23" s="1961">
        <f>E23*(1+local_data_input!D53)</f>
        <v>1485824.5688958825</v>
      </c>
      <c r="G23" s="1961">
        <f>F23*(1+local_data_input!E53)</f>
        <v>1516249.0787595147</v>
      </c>
      <c r="H23" s="1961">
        <f>G23*(1+local_data_input!F53)</f>
        <v>1547052.5031438812</v>
      </c>
      <c r="I23" s="1961">
        <f>H23*(1+local_data_input!G53)</f>
        <v>1577228.0820228502</v>
      </c>
      <c r="J23" s="1953"/>
      <c r="K23" s="1961">
        <f t="shared" ref="K23:K30" si="7">E23-D23</f>
        <v>27573.106276233448</v>
      </c>
      <c r="L23" s="1961">
        <f t="shared" ref="L23:O30" si="8">F23-$D23</f>
        <v>55471.568895882461</v>
      </c>
      <c r="M23" s="1961">
        <f t="shared" si="8"/>
        <v>85896.078759514727</v>
      </c>
      <c r="N23" s="1961">
        <f t="shared" si="8"/>
        <v>116699.50314388121</v>
      </c>
      <c r="O23" s="1961">
        <f t="shared" si="8"/>
        <v>146875.08202285017</v>
      </c>
      <c r="P23" s="1953"/>
      <c r="Q23" s="1971">
        <f>K23*local_data_input!M72</f>
        <v>13002231.364677463</v>
      </c>
      <c r="R23" s="1971">
        <f>L23*local_data_input!N72</f>
        <v>26759517.463567283</v>
      </c>
      <c r="S23" s="1971">
        <f>M23*local_data_input!O72</f>
        <v>42265045.295727283</v>
      </c>
      <c r="T23" s="1971">
        <f>N23*local_data_input!P72</f>
        <v>58570263.680808924</v>
      </c>
      <c r="U23" s="1971">
        <f>O23*local_data_input!Q72</f>
        <v>75852809.137407571</v>
      </c>
      <c r="V23" s="1957"/>
      <c r="W23" s="1971">
        <f>SIGN(K23)*INT(ABS(K23/local_data_input!$H4))*local_data_input!$H4*local_data_input!M95+(K23-(SIGN(K23)*INT(ABS(K23/local_data_input!$H4))*local_data_input!$H4))*local_data_input!M117</f>
        <v>2106249.1259712204</v>
      </c>
      <c r="X23" s="1971">
        <f>SIGN(L23)*INT(ABS(L23/local_data_input!$H4))*local_data_input!$H4*local_data_input!N95+(L23-(SIGN(L23)*INT(ABS(L23/local_data_input!$H4))*local_data_input!$H4))*local_data_input!N117</f>
        <v>4334810.5942928158</v>
      </c>
      <c r="Y23" s="1971">
        <f>SIGN(M23)*INT(ABS(M23/local_data_input!$H4))*local_data_input!$H4*local_data_input!O95+(M23-(SIGN(M23)*INT(ABS(M23/local_data_input!$H4))*local_data_input!$H4))*local_data_input!O117</f>
        <v>6846572.1164674805</v>
      </c>
      <c r="Z23" s="1971">
        <f>SIGN(N23)*INT(ABS(N23/local_data_input!$H4))*local_data_input!$H4*local_data_input!P95+(N23-(SIGN(N23)*INT(ABS(N23/local_data_input!$H4))*local_data_input!$H4))*local_data_input!P117</f>
        <v>9487876.597915614</v>
      </c>
      <c r="AA23" s="1971">
        <f>SIGN(O23)*INT(ABS(O23/local_data_input!$H4))*local_data_input!$H4*local_data_input!Q95+(O23-(SIGN(O23)*INT(ABS(O23/local_data_input!$H4))*local_data_input!$H4))*local_data_input!Q117</f>
        <v>12287499.619653912</v>
      </c>
      <c r="AD23" s="1968"/>
    </row>
    <row r="24" spans="1:30" s="1091" customFormat="1" ht="18" customHeight="1">
      <c r="A24" s="2286" t="s">
        <v>43</v>
      </c>
      <c r="B24" s="2287"/>
      <c r="C24" s="2288"/>
      <c r="D24" s="1960">
        <f>local_data_input!C25</f>
        <v>924082</v>
      </c>
      <c r="E24" s="1961">
        <f>D24*(1+local_data_input!C54)</f>
        <v>944488.08282755862</v>
      </c>
      <c r="F24" s="1961">
        <f>E24*(1+local_data_input!D54)</f>
        <v>964500.59501264442</v>
      </c>
      <c r="G24" s="1961">
        <f>F24*(1+local_data_input!E54)</f>
        <v>985835.3716823539</v>
      </c>
      <c r="H24" s="1961">
        <f>G24*(1+local_data_input!F54)</f>
        <v>1007647.9742025117</v>
      </c>
      <c r="I24" s="1961">
        <f>H24*(1+local_data_input!G54)</f>
        <v>1028951.3671209662</v>
      </c>
      <c r="J24" s="1953"/>
      <c r="K24" s="1961">
        <f t="shared" si="7"/>
        <v>20406.082827558625</v>
      </c>
      <c r="L24" s="1961">
        <f t="shared" si="8"/>
        <v>40418.595012644422</v>
      </c>
      <c r="M24" s="1961">
        <f t="shared" si="8"/>
        <v>61753.3716823539</v>
      </c>
      <c r="N24" s="1961">
        <f t="shared" si="8"/>
        <v>83565.974202511716</v>
      </c>
      <c r="O24" s="1961">
        <f t="shared" si="8"/>
        <v>104869.3671209662</v>
      </c>
      <c r="P24" s="1953"/>
      <c r="Q24" s="1971">
        <f>K24*local_data_input!M73</f>
        <v>3146514.5929037202</v>
      </c>
      <c r="R24" s="1971">
        <f>L24*local_data_input!N73</f>
        <v>6375686.4660953404</v>
      </c>
      <c r="S24" s="1971">
        <f>M24*local_data_input!O73</f>
        <v>9935885.6651678327</v>
      </c>
      <c r="T24" s="1971">
        <f>N24*local_data_input!P73</f>
        <v>13714360.550778097</v>
      </c>
      <c r="U24" s="1971">
        <f>O24*local_data_input!Q73</f>
        <v>17709655.138751429</v>
      </c>
      <c r="V24" s="1953"/>
      <c r="W24" s="1971">
        <f>SIGN(K24)*INT(ABS(K24/local_data_input!$H5))*local_data_input!$H5*local_data_input!M96+(K24-(SIGN(K24)*INT(ABS(K24/local_data_input!$H5))*local_data_input!$H5))*local_data_input!M118</f>
        <v>265508.67209287989</v>
      </c>
      <c r="X24" s="1971">
        <f>SIGN(L24)*INT(ABS(L24/local_data_input!$H5))*local_data_input!$H5*local_data_input!N96+(L24-(SIGN(L24)*INT(ABS(L24/local_data_input!$H5))*local_data_input!$H5))*local_data_input!N118</f>
        <v>537992.11709084804</v>
      </c>
      <c r="Y24" s="1971">
        <f>SIGN(M24)*INT(ABS(M24/local_data_input!$H5))*local_data_input!$H5*local_data_input!O96+(M24-(SIGN(M24)*INT(ABS(M24/local_data_input!$H5))*local_data_input!$H5))*local_data_input!O118</f>
        <v>838408.25495453679</v>
      </c>
      <c r="Z24" s="1971">
        <f>SIGN(N24)*INT(ABS(N24/local_data_input!$H5))*local_data_input!$H5*local_data_input!P96+(N24-(SIGN(N24)*INT(ABS(N24/local_data_input!$H5))*local_data_input!$H5))*local_data_input!P118</f>
        <v>1157242.8955683822</v>
      </c>
      <c r="AA24" s="1971">
        <f>SIGN(O24)*INT(ABS(O24/local_data_input!$H5))*local_data_input!$H5*local_data_input!Q96+(O24-(SIGN(O24)*INT(ABS(O24/local_data_input!$H5))*local_data_input!$H5))*local_data_input!Q118</f>
        <v>1494373.1803174312</v>
      </c>
    </row>
    <row r="25" spans="1:30" s="1091" customFormat="1" ht="18" customHeight="1">
      <c r="A25" s="2286" t="s">
        <v>49</v>
      </c>
      <c r="B25" s="2287"/>
      <c r="C25" s="2288"/>
      <c r="D25" s="1960">
        <f>local_data_input!C26</f>
        <v>622612</v>
      </c>
      <c r="E25" s="1961">
        <f>D25*(1+local_data_input!C55)</f>
        <v>636360.85783018381</v>
      </c>
      <c r="F25" s="1961">
        <f>E25*(1+local_data_input!D55)</f>
        <v>649844.54243455944</v>
      </c>
      <c r="G25" s="1961">
        <f>F25*(1+local_data_input!E55)</f>
        <v>664219.11955204594</v>
      </c>
      <c r="H25" s="1961">
        <f>G25*(1+local_data_input!F55)</f>
        <v>678915.63791327423</v>
      </c>
      <c r="I25" s="1961">
        <f>H25*(1+local_data_input!G55)</f>
        <v>693269.06982921332</v>
      </c>
      <c r="J25" s="1953"/>
      <c r="K25" s="1961">
        <f t="shared" si="7"/>
        <v>13748.857830183813</v>
      </c>
      <c r="L25" s="1961">
        <f t="shared" si="8"/>
        <v>27232.542434559437</v>
      </c>
      <c r="M25" s="1961">
        <f t="shared" si="8"/>
        <v>41607.119552045944</v>
      </c>
      <c r="N25" s="1961">
        <f t="shared" si="8"/>
        <v>56303.63791327423</v>
      </c>
      <c r="O25" s="1961">
        <f t="shared" si="8"/>
        <v>70657.069829213317</v>
      </c>
      <c r="P25" s="1953"/>
      <c r="Q25" s="1971">
        <f>K25*local_data_input!M74</f>
        <v>1230977.8746278742</v>
      </c>
      <c r="R25" s="1971">
        <f>L25*local_data_input!N74</f>
        <v>2494292.8893538099</v>
      </c>
      <c r="S25" s="1971">
        <f>M25*local_data_input!O74</f>
        <v>3887112.2499281932</v>
      </c>
      <c r="T25" s="1971">
        <f>N25*local_data_input!P74</f>
        <v>5365325.3160659317</v>
      </c>
      <c r="U25" s="1971">
        <f>O25*local_data_input!Q74</f>
        <v>6928362.478362089</v>
      </c>
      <c r="V25" s="1953"/>
      <c r="W25" s="1971">
        <f>SIGN(K25)*INT(ABS(K25/local_data_input!$H6))*local_data_input!$H6*local_data_input!M97+(K25-(SIGN(K25)*INT(ABS(K25/local_data_input!$H6))*local_data_input!$H6))*local_data_input!M119</f>
        <v>149992.25429254305</v>
      </c>
      <c r="X25" s="1971">
        <f>SIGN(L25)*INT(ABS(L25/local_data_input!$H6))*local_data_input!$H6*local_data_input!N97+(L25-(SIGN(L25)*INT(ABS(L25/local_data_input!$H6))*local_data_input!$H6))*local_data_input!N119</f>
        <v>303924.72606636968</v>
      </c>
      <c r="Y25" s="1971">
        <f>SIGN(M25)*INT(ABS(M25/local_data_input!$H6))*local_data_input!$H6*local_data_input!O97+(M25-(SIGN(M25)*INT(ABS(M25/local_data_input!$H6))*local_data_input!$H6))*local_data_input!O119</f>
        <v>473637.04991947248</v>
      </c>
      <c r="Z25" s="1971">
        <f>SIGN(N25)*INT(ABS(N25/local_data_input!$H6))*local_data_input!$H6*local_data_input!P97+(N25-(SIGN(N25)*INT(ABS(N25/local_data_input!$H6))*local_data_input!$H6))*local_data_input!P119</f>
        <v>653754.43032463838</v>
      </c>
      <c r="AA25" s="1971">
        <f>SIGN(O25)*INT(ABS(O25/local_data_input!$H6))*local_data_input!$H6*local_data_input!Q97+(O25-(SIGN(O25)*INT(ABS(O25/local_data_input!$H6))*local_data_input!$H6))*local_data_input!Q119</f>
        <v>844207.46148630115</v>
      </c>
    </row>
    <row r="26" spans="1:30" s="1091" customFormat="1" ht="18" customHeight="1">
      <c r="A26" s="2286" t="s">
        <v>67</v>
      </c>
      <c r="B26" s="2287"/>
      <c r="C26" s="2288"/>
      <c r="D26" s="1960">
        <f>local_data_input!C27</f>
        <v>51438</v>
      </c>
      <c r="E26" s="1961">
        <f>D26*(1+local_data_input!C56)</f>
        <v>52573.881976365694</v>
      </c>
      <c r="F26" s="1961">
        <f>E26*(1+local_data_input!D56)</f>
        <v>53687.856279270025</v>
      </c>
      <c r="G26" s="1961">
        <f>F26*(1+local_data_input!E56)</f>
        <v>54875.43296871589</v>
      </c>
      <c r="H26" s="1961">
        <f>G26*(1+local_data_input!F56)</f>
        <v>56089.6073043613</v>
      </c>
      <c r="I26" s="1961">
        <f>H26*(1+local_data_input!G56)</f>
        <v>57275.437052088731</v>
      </c>
      <c r="J26" s="1953"/>
      <c r="K26" s="1961">
        <f t="shared" si="7"/>
        <v>1135.8819763656938</v>
      </c>
      <c r="L26" s="1961">
        <f t="shared" si="8"/>
        <v>2249.856279270025</v>
      </c>
      <c r="M26" s="1961">
        <f t="shared" si="8"/>
        <v>3437.4329687158897</v>
      </c>
      <c r="N26" s="1961">
        <f t="shared" si="8"/>
        <v>4651.6073043612996</v>
      </c>
      <c r="O26" s="1961">
        <f t="shared" si="8"/>
        <v>5837.4370520887314</v>
      </c>
      <c r="P26" s="1953"/>
      <c r="Q26" s="1971">
        <f>K26*local_data_input!M75</f>
        <v>64745.272652844549</v>
      </c>
      <c r="R26" s="1971">
        <f>L26*local_data_input!N75</f>
        <v>131191.36950051441</v>
      </c>
      <c r="S26" s="1971">
        <f>M26*local_data_input!O75</f>
        <v>204448.95691556807</v>
      </c>
      <c r="T26" s="1971">
        <f>N26*local_data_input!P75</f>
        <v>282197.96441500605</v>
      </c>
      <c r="U26" s="1971">
        <f>O26*local_data_input!Q75</f>
        <v>364408.43247072562</v>
      </c>
      <c r="V26" s="1953"/>
      <c r="W26" s="1971">
        <f>SIGN(K26)*INT(ABS(K26/local_data_input!$H7))*local_data_input!$H7*local_data_input!M98+(K26-(SIGN(K26)*INT(ABS(K26/local_data_input!$H7))*local_data_input!$H7))*local_data_input!M120</f>
        <v>4952.4454169544242</v>
      </c>
      <c r="X26" s="1971">
        <f>SIGN(L26)*INT(ABS(L26/local_data_input!$H7))*local_data_input!$H7*local_data_input!N98+(L26-(SIGN(L26)*INT(ABS(L26/local_data_input!$H7))*local_data_input!$H7))*local_data_input!N120</f>
        <v>10034.988965302506</v>
      </c>
      <c r="Y26" s="1971">
        <f>SIGN(M26)*INT(ABS(M26/local_data_input!$H7))*local_data_input!$H7*local_data_input!O98+(M26-(SIGN(M26)*INT(ABS(M26/local_data_input!$H7))*local_data_input!$H7))*local_data_input!O120</f>
        <v>15638.551792138187</v>
      </c>
      <c r="Z26" s="1971">
        <f>SIGN(N26)*INT(ABS(N26/local_data_input!$H7))*local_data_input!$H7*local_data_input!P98+(N26-(SIGN(N26)*INT(ABS(N26/local_data_input!$H7))*local_data_input!$H7))*local_data_input!P120</f>
        <v>21585.668857007473</v>
      </c>
      <c r="AA26" s="1971">
        <f>SIGN(O26)*INT(ABS(O26/local_data_input!$H7))*local_data_input!$H7*local_data_input!Q98+(O26-(SIGN(O26)*INT(ABS(O26/local_data_input!$H7))*local_data_input!$H7))*local_data_input!Q120</f>
        <v>27874.04851881339</v>
      </c>
    </row>
    <row r="27" spans="1:30" ht="18" customHeight="1">
      <c r="A27" s="2286" t="s">
        <v>44</v>
      </c>
      <c r="B27" s="2287"/>
      <c r="C27" s="2288"/>
      <c r="D27" s="1960">
        <f>local_data_input!C28</f>
        <v>98834.560000000012</v>
      </c>
      <c r="E27" s="1961">
        <f>D27*(1+local_data_input!C57)</f>
        <v>101017.07866997228</v>
      </c>
      <c r="F27" s="1961">
        <f>E27*(1+local_data_input!D57)</f>
        <v>103157.5032603307</v>
      </c>
      <c r="G27" s="1961">
        <f>F27*(1+local_data_input!E57)</f>
        <v>105439.34974673452</v>
      </c>
      <c r="H27" s="1961">
        <f>G27*(1+local_data_input!F57)</f>
        <v>107772.30177105129</v>
      </c>
      <c r="I27" s="1961">
        <f>H27*(1+local_data_input!G57)</f>
        <v>110050.79162974627</v>
      </c>
      <c r="J27" s="1959"/>
      <c r="K27" s="1961">
        <f t="shared" si="7"/>
        <v>2182.518669972269</v>
      </c>
      <c r="L27" s="1961">
        <f t="shared" si="8"/>
        <v>4322.9432603306923</v>
      </c>
      <c r="M27" s="1961">
        <f t="shared" si="8"/>
        <v>6604.7897467345028</v>
      </c>
      <c r="N27" s="1961">
        <f t="shared" si="8"/>
        <v>8937.7417710512818</v>
      </c>
      <c r="O27" s="1961">
        <f t="shared" si="8"/>
        <v>11216.231629746253</v>
      </c>
      <c r="P27" s="1953"/>
      <c r="Q27" s="1971">
        <f>K27*local_data_input!M76</f>
        <v>149066.02515910598</v>
      </c>
      <c r="R27" s="1971">
        <f>L27*local_data_input!N76</f>
        <v>302047.93624823971</v>
      </c>
      <c r="S27" s="1971">
        <f>M27*local_data_input!O76</f>
        <v>470712.25599341397</v>
      </c>
      <c r="T27" s="1971">
        <f>N27*local_data_input!P76</f>
        <v>649717.37919598923</v>
      </c>
      <c r="U27" s="1971">
        <f>O27*local_data_input!Q76</f>
        <v>838994.32865366363</v>
      </c>
      <c r="V27" s="1953"/>
      <c r="W27" s="1971">
        <f>SIGN(K27)*INT(ABS(K27/local_data_input!$H8))*local_data_input!$H8*local_data_input!M99+(K27-(SIGN(K27)*INT(ABS(K27/local_data_input!$H8))*local_data_input!$H8))*local_data_input!M121</f>
        <v>16713.346033711849</v>
      </c>
      <c r="X27" s="1971">
        <f>SIGN(L27)*INT(ABS(L27/local_data_input!$H8))*local_data_input!$H8*local_data_input!N99+(L27-(SIGN(L27)*INT(ABS(L27/local_data_input!$H8))*local_data_input!$H8))*local_data_input!N121</f>
        <v>33865.742860568833</v>
      </c>
      <c r="Y27" s="1971">
        <f>SIGN(M27)*INT(ABS(M27/local_data_input!$H8))*local_data_input!$H8*local_data_input!O99+(M27-(SIGN(M27)*INT(ABS(M27/local_data_input!$H8))*local_data_input!$H8))*local_data_input!O121</f>
        <v>52776.458004632717</v>
      </c>
      <c r="Z27" s="1971">
        <f>SIGN(N27)*INT(ABS(N27/local_data_input!$H8))*local_data_input!$H8*local_data_input!P99+(N27-(SIGN(N27)*INT(ABS(N27/local_data_input!$H8))*local_data_input!$H8))*local_data_input!P121</f>
        <v>72846.588423006615</v>
      </c>
      <c r="AA27" s="1971">
        <f>SIGN(O27)*INT(ABS(O27/local_data_input!$H8))*local_data_input!$H8*local_data_input!Q99+(O27-(SIGN(O27)*INT(ABS(O27/local_data_input!$H8))*local_data_input!$H8))*local_data_input!Q121</f>
        <v>94068.400362480985</v>
      </c>
    </row>
    <row r="28" spans="1:30" ht="18" customHeight="1">
      <c r="A28" s="2286" t="s">
        <v>45</v>
      </c>
      <c r="B28" s="2287"/>
      <c r="C28" s="2288"/>
      <c r="D28" s="1960">
        <f>local_data_input!C29</f>
        <v>34485.440000000002</v>
      </c>
      <c r="E28" s="1961">
        <f>D28*(1+local_data_input!C58)</f>
        <v>35246.966298515508</v>
      </c>
      <c r="F28" s="1961">
        <f>E28*(1+local_data_input!D58)</f>
        <v>35993.805094431933</v>
      </c>
      <c r="G28" s="1961">
        <f>F28*(1+local_data_input!E58)</f>
        <v>36789.988940407362</v>
      </c>
      <c r="H28" s="1961">
        <f>G28*(1+local_data_input!F58)</f>
        <v>37604.004574791274</v>
      </c>
      <c r="I28" s="1961">
        <f>H28*(1+local_data_input!G58)</f>
        <v>38399.017223328723</v>
      </c>
      <c r="J28" s="1959"/>
      <c r="K28" s="1961">
        <f t="shared" si="7"/>
        <v>761.52629851550591</v>
      </c>
      <c r="L28" s="1961">
        <f t="shared" si="8"/>
        <v>1508.3650944319306</v>
      </c>
      <c r="M28" s="1961">
        <f t="shared" si="8"/>
        <v>2304.5489404073596</v>
      </c>
      <c r="N28" s="1961">
        <f t="shared" si="8"/>
        <v>3118.5645747912713</v>
      </c>
      <c r="O28" s="1961">
        <f t="shared" si="8"/>
        <v>3913.5772233287207</v>
      </c>
      <c r="P28" s="1959"/>
      <c r="Q28" s="1971">
        <f>K28*local_data_input!M77</f>
        <v>114228.94477732589</v>
      </c>
      <c r="R28" s="1971">
        <f>L28*local_data_input!N77</f>
        <v>231458.62374057973</v>
      </c>
      <c r="S28" s="1971">
        <f>M28*local_data_input!O77</f>
        <v>360705.69560361945</v>
      </c>
      <c r="T28" s="1971">
        <f>N28*local_data_input!P77</f>
        <v>497876.90085539001</v>
      </c>
      <c r="U28" s="1971">
        <f>O28*local_data_input!Q77</f>
        <v>642919.38242786168</v>
      </c>
      <c r="V28" s="1953"/>
      <c r="W28" s="1971">
        <f>SIGN(K28)*INT(ABS(K28/local_data_input!$H9))*local_data_input!$H9*local_data_input!M100+(K28-(SIGN(K28)*INT(ABS(K28/local_data_input!$H9))*local_data_input!$H9))*local_data_input!M122</f>
        <v>12746.288205874524</v>
      </c>
      <c r="X28" s="1971">
        <f>SIGN(L28)*INT(ABS(L28/local_data_input!$H9))*local_data_input!$H9*local_data_input!N100+(L28-(SIGN(L28)*INT(ABS(L28/local_data_input!$H9))*local_data_input!$H9))*local_data_input!N122</f>
        <v>25827.414686212822</v>
      </c>
      <c r="Y28" s="1971">
        <f>SIGN(M28)*INT(ABS(M28/local_data_input!$H9))*local_data_input!$H9*local_data_input!O100+(M28-(SIGN(M28)*INT(ABS(M28/local_data_input!$H9))*local_data_input!$H9))*local_data_input!O122</f>
        <v>40249.507361087017</v>
      </c>
      <c r="Z28" s="1971">
        <f>SIGN(N28)*INT(ABS(N28/local_data_input!$H9))*local_data_input!$H9*local_data_input!P100+(N28-(SIGN(N28)*INT(ABS(N28/local_data_input!$H9))*local_data_input!$H9))*local_data_input!P122</f>
        <v>55555.818025993853</v>
      </c>
      <c r="AA28" s="1971">
        <f>SIGN(O28)*INT(ABS(O28/local_data_input!$H9))*local_data_input!$H9*local_data_input!Q100+(O28-(SIGN(O28)*INT(ABS(O28/local_data_input!$H9))*local_data_input!$H9))*local_data_input!Q122</f>
        <v>71740.44860121161</v>
      </c>
    </row>
    <row r="29" spans="1:30" s="1962" customFormat="1" ht="18" customHeight="1">
      <c r="A29" s="2286" t="s">
        <v>83</v>
      </c>
      <c r="B29" s="2287"/>
      <c r="C29" s="2288"/>
      <c r="D29" s="1960">
        <f>local_data_input!C30</f>
        <v>594402.64537961897</v>
      </c>
      <c r="E29" s="1961">
        <f>D29*(1+local_data_input!C59)</f>
        <v>607528.56885235885</v>
      </c>
      <c r="F29" s="1961">
        <f>E29*(1+local_data_input!D59)</f>
        <v>620401.33358915371</v>
      </c>
      <c r="G29" s="1961">
        <f>F29*(1+local_data_input!E59)</f>
        <v>634124.62620935263</v>
      </c>
      <c r="H29" s="1961">
        <f>G29*(1+local_data_input!F59)</f>
        <v>648155.27353350352</v>
      </c>
      <c r="I29" s="1961">
        <f>H29*(1+local_data_input!G59)</f>
        <v>661858.37900064909</v>
      </c>
      <c r="J29" s="1959"/>
      <c r="K29" s="1961">
        <f t="shared" si="7"/>
        <v>13125.923472739873</v>
      </c>
      <c r="L29" s="1961">
        <f t="shared" si="8"/>
        <v>25998.688209534739</v>
      </c>
      <c r="M29" s="1961">
        <f t="shared" si="8"/>
        <v>39721.980829733657</v>
      </c>
      <c r="N29" s="1961">
        <f t="shared" si="8"/>
        <v>53752.628153884551</v>
      </c>
      <c r="O29" s="1961">
        <f t="shared" si="8"/>
        <v>67455.733621030115</v>
      </c>
      <c r="P29" s="1959"/>
      <c r="Q29" s="1971">
        <f>K29*local_data_input!M78</f>
        <v>91881.464309179108</v>
      </c>
      <c r="R29" s="1971">
        <f>L29*local_data_input!N78</f>
        <v>186176.60626847827</v>
      </c>
      <c r="S29" s="1971">
        <f>M29*local_data_input!O78</f>
        <v>290138.08681615716</v>
      </c>
      <c r="T29" s="1971">
        <f>N29*local_data_input!P78</f>
        <v>400473.44204644999</v>
      </c>
      <c r="U29" s="1971">
        <f>O29*local_data_input!Q78</f>
        <v>517140.15572304622</v>
      </c>
      <c r="V29" s="1959"/>
      <c r="W29" s="1971">
        <f>SIGN(K29)*INT(ABS(K29/local_data_input!$H10))*local_data_input!$H10*local_data_input!M101+(K29-(SIGN(K29)*INT(ABS(K29/local_data_input!$H10))*local_data_input!$H10))*local_data_input!M123</f>
        <v>4603.2613618898658</v>
      </c>
      <c r="X29" s="1971">
        <f>SIGN(L29)*INT(ABS(L29/local_data_input!$H10))*local_data_input!$H10*local_data_input!N101+(L29-(SIGN(L29)*INT(ABS(L29/local_data_input!$H10))*local_data_input!$H10))*local_data_input!N123</f>
        <v>9327.4479740507468</v>
      </c>
      <c r="Y29" s="1971">
        <f>SIGN(M29)*INT(ABS(M29/local_data_input!$H10))*local_data_input!$H10*local_data_input!O101+(M29-(SIGN(M29)*INT(ABS(M29/local_data_input!$H10))*local_data_input!$H10))*local_data_input!O123</f>
        <v>14535.918149489451</v>
      </c>
      <c r="Z29" s="1971">
        <f>SIGN(N29)*INT(ABS(N29/local_data_input!$H10))*local_data_input!$H10*local_data_input!P101+(N29-(SIGN(N29)*INT(ABS(N29/local_data_input!$H10))*local_data_input!$H10))*local_data_input!P123</f>
        <v>20063.71944652711</v>
      </c>
      <c r="AA29" s="1971">
        <f>SIGN(O29)*INT(ABS(O29/local_data_input!$H10))*local_data_input!$H10*local_data_input!Q101+(O29-(SIGN(O29)*INT(ABS(O29/local_data_input!$H10))*local_data_input!$H10))*local_data_input!Q123</f>
        <v>25908.721801724572</v>
      </c>
    </row>
    <row r="30" spans="1:30" s="1962" customFormat="1" ht="18" customHeight="1">
      <c r="A30" s="2286" t="s">
        <v>84</v>
      </c>
      <c r="B30" s="2287"/>
      <c r="C30" s="2288"/>
      <c r="D30" s="1960">
        <f>local_data_input!C31</f>
        <v>111786.58468424212</v>
      </c>
      <c r="E30" s="1961">
        <f>D30*(1+local_data_input!C60)</f>
        <v>114255.11702885714</v>
      </c>
      <c r="F30" s="1961">
        <f>E30*(1+local_data_input!D60)</f>
        <v>116676.03896881758</v>
      </c>
      <c r="G30" s="1961">
        <f>F30*(1+local_data_input!E60)</f>
        <v>119256.91579458398</v>
      </c>
      <c r="H30" s="1961">
        <f>G30*(1+local_data_input!F60)</f>
        <v>121895.59541263015</v>
      </c>
      <c r="I30" s="1961">
        <f>H30*(1+local_data_input!G60)</f>
        <v>124472.67573292693</v>
      </c>
      <c r="J30" s="1959"/>
      <c r="K30" s="1961">
        <f t="shared" si="7"/>
        <v>2468.5323446150287</v>
      </c>
      <c r="L30" s="1961">
        <f t="shared" si="8"/>
        <v>4889.4542845754622</v>
      </c>
      <c r="M30" s="1961">
        <f t="shared" si="8"/>
        <v>7470.3311103418673</v>
      </c>
      <c r="N30" s="1961">
        <f t="shared" si="8"/>
        <v>10109.010728388035</v>
      </c>
      <c r="O30" s="1961">
        <f t="shared" si="8"/>
        <v>12686.091048684815</v>
      </c>
      <c r="P30" s="1959"/>
      <c r="Q30" s="1971">
        <f>K30*local_data_input!M79</f>
        <v>49370.646892300574</v>
      </c>
      <c r="R30" s="1971">
        <f>L30*local_data_input!N79</f>
        <v>100038.23466241395</v>
      </c>
      <c r="S30" s="1971">
        <f>M30*local_data_input!O79</f>
        <v>155899.83400794648</v>
      </c>
      <c r="T30" s="1971">
        <f>N30*local_data_input!P79</f>
        <v>215186.3060267331</v>
      </c>
      <c r="U30" s="1971">
        <f>O30*local_data_input!Q79</f>
        <v>277874.80547892227</v>
      </c>
      <c r="V30" s="1959"/>
      <c r="W30" s="1971">
        <f>SIGN(K30)*INT(ABS(K30/local_data_input!$H11))*local_data_input!$H11*local_data_input!M102+(K30-(SIGN(K30)*INT(ABS(K30/local_data_input!$H11))*local_data_input!$H11))*local_data_input!M124</f>
        <v>2473.4694093042549</v>
      </c>
      <c r="X30" s="1971">
        <f>SIGN(L30)*INT(ABS(L30/local_data_input!$H11))*local_data_input!$H11*local_data_input!N102+(L30-(SIGN(L30)*INT(ABS(L30/local_data_input!$H11))*local_data_input!$H11))*local_data_input!N124</f>
        <v>5011.9155565869314</v>
      </c>
      <c r="Y30" s="1971">
        <f>SIGN(M30)*INT(ABS(M30/local_data_input!$H11))*local_data_input!$H11*local_data_input!O102+(M30-(SIGN(M30)*INT(ABS(M30/local_data_input!$H11))*local_data_input!$H11))*local_data_input!O124</f>
        <v>7810.5816837981065</v>
      </c>
      <c r="Z30" s="1971">
        <f>SIGN(N30)*INT(ABS(N30/local_data_input!$H11))*local_data_input!$H11*local_data_input!P102+(N30-(SIGN(N30)*INT(ABS(N30/local_data_input!$H11))*local_data_input!$H11))*local_data_input!P124</f>
        <v>10780.833931939309</v>
      </c>
      <c r="AA30" s="1971">
        <f>SIGN(O30)*INT(ABS(O30/local_data_input!$H11))*local_data_input!$H11*local_data_input!Q102+(O30-(SIGN(O30)*INT(ABS(O30/local_data_input!$H11))*local_data_input!$H11))*local_data_input!Q124</f>
        <v>13921.527754493978</v>
      </c>
    </row>
    <row r="31" spans="1:30" s="1962" customFormat="1" ht="18" customHeight="1">
      <c r="A31" s="2286" t="s">
        <v>41</v>
      </c>
      <c r="B31" s="2287"/>
      <c r="C31" s="2288"/>
      <c r="D31" s="1960"/>
      <c r="E31" s="1961"/>
      <c r="F31" s="1961"/>
      <c r="G31" s="1961"/>
      <c r="H31" s="1961"/>
      <c r="I31" s="1961"/>
      <c r="J31" s="1953"/>
      <c r="K31" s="1961"/>
      <c r="L31" s="1961"/>
      <c r="M31" s="1961"/>
      <c r="N31" s="1961"/>
      <c r="O31" s="1961"/>
      <c r="P31" s="1959"/>
      <c r="Q31" s="1971">
        <f>K31*local_data_input!M80</f>
        <v>0</v>
      </c>
      <c r="R31" s="1971">
        <f>L31*local_data_input!N80</f>
        <v>0</v>
      </c>
      <c r="S31" s="1971">
        <f>M31*local_data_input!O80</f>
        <v>0</v>
      </c>
      <c r="T31" s="1971">
        <f>N31*local_data_input!P80</f>
        <v>0</v>
      </c>
      <c r="U31" s="1971">
        <f>O31*local_data_input!Q80</f>
        <v>0</v>
      </c>
      <c r="V31" s="1959"/>
      <c r="W31" s="1971">
        <f>SIGN(K31)*INT(ABS(K31/local_data_input!$H12))*local_data_input!$H12*local_data_input!M103+(K31-(SIGN(K31)*INT(ABS(K31/local_data_input!$H12))*local_data_input!$H12))*local_data_input!M125</f>
        <v>0</v>
      </c>
      <c r="X31" s="1971">
        <f>SIGN(L31)*INT(ABS(L31/local_data_input!$H12))*local_data_input!$H12*local_data_input!N103+(L31-(SIGN(L31)*INT(ABS(L31/local_data_input!$H12))*local_data_input!$H12))*local_data_input!N125</f>
        <v>0</v>
      </c>
      <c r="Y31" s="1971">
        <f>SIGN(M31)*INT(ABS(M31/local_data_input!$H12))*local_data_input!$H12*local_data_input!O103+(M31-(SIGN(M31)*INT(ABS(M31/local_data_input!$H12))*local_data_input!$H12))*local_data_input!O125</f>
        <v>0</v>
      </c>
      <c r="Z31" s="1971">
        <f>SIGN(N31)*INT(ABS(N31/local_data_input!$H12))*local_data_input!$H12*local_data_input!P103+(N31-(SIGN(N31)*INT(ABS(N31/local_data_input!$H12))*local_data_input!$H12))*local_data_input!P125</f>
        <v>0</v>
      </c>
      <c r="AA31" s="1971">
        <f>SIGN(O31)*INT(ABS(O31/local_data_input!$H12))*local_data_input!$H12*local_data_input!Q103+(O31-(SIGN(O31)*INT(ABS(O31/local_data_input!$H12))*local_data_input!$H12))*local_data_input!Q125</f>
        <v>0</v>
      </c>
    </row>
    <row r="32" spans="1:30" s="1962" customFormat="1" ht="18" customHeight="1">
      <c r="A32" s="2286" t="s">
        <v>567</v>
      </c>
      <c r="B32" s="2287"/>
      <c r="C32" s="2288"/>
      <c r="D32" s="1960">
        <f>local_data_input!C32</f>
        <v>21347</v>
      </c>
      <c r="E32" s="1961">
        <f>D32*(1+local_data_input!C61)</f>
        <v>21818.396099177229</v>
      </c>
      <c r="F32" s="1961">
        <f>E32*(1+local_data_input!D61)</f>
        <v>22280.700415909971</v>
      </c>
      <c r="G32" s="1961">
        <f>F32*(1+local_data_input!E61)</f>
        <v>22773.55005216334</v>
      </c>
      <c r="H32" s="1961">
        <f>G32*(1+local_data_input!F61)</f>
        <v>23277.437830518302</v>
      </c>
      <c r="I32" s="1961">
        <f>H32*(1+local_data_input!G61)</f>
        <v>23769.562478147243</v>
      </c>
      <c r="J32" s="1959"/>
      <c r="K32" s="1961">
        <f>E32-D32</f>
        <v>471.39609917722919</v>
      </c>
      <c r="L32" s="1961">
        <f t="shared" ref="L32:O34" si="9">F32-$D32</f>
        <v>933.70041590997062</v>
      </c>
      <c r="M32" s="1961">
        <f t="shared" si="9"/>
        <v>1426.5500521633403</v>
      </c>
      <c r="N32" s="1961">
        <f t="shared" si="9"/>
        <v>1930.4378305183018</v>
      </c>
      <c r="O32" s="1961">
        <f t="shared" si="9"/>
        <v>2422.5624781472434</v>
      </c>
      <c r="P32" s="1953"/>
      <c r="Q32" s="1971">
        <f>K32*local_data_input!M88</f>
        <v>16616.525828492275</v>
      </c>
      <c r="R32" s="1971">
        <f>L32*local_data_input!N88</f>
        <v>33669.559034358361</v>
      </c>
      <c r="S32" s="1971">
        <f>M32*local_data_input!O88</f>
        <v>52470.724641339468</v>
      </c>
      <c r="T32" s="1971">
        <f>N32*local_data_input!P88</f>
        <v>72424.589044400185</v>
      </c>
      <c r="U32" s="1971">
        <f>O32*local_data_input!Q88</f>
        <v>93523.463291866879</v>
      </c>
      <c r="V32" s="1959"/>
      <c r="W32" s="1971">
        <f>SIGN(K32)*INT(ABS(K32/local_data_input!$H13))*local_data_input!$H13*local_data_input!M111+(K32-(SIGN(K32)*INT(ABS(K32/local_data_input!$H13))*local_data_input!$H13))*local_data_input!M133</f>
        <v>779.35917076971191</v>
      </c>
      <c r="X32" s="1971">
        <f>SIGN(L32)*INT(ABS(L32/local_data_input!$H13))*local_data_input!$H13*local_data_input!N111+(L32-(SIGN(L32)*INT(ABS(L32/local_data_input!$H13))*local_data_input!$H13))*local_data_input!N133</f>
        <v>1579.1916962693028</v>
      </c>
      <c r="Y32" s="1971">
        <f>SIGN(M32)*INT(ABS(M32/local_data_input!$H13))*local_data_input!$H13*local_data_input!O111+(M32-(SIGN(M32)*INT(ABS(M32/local_data_input!$H13))*local_data_input!$H13))*local_data_input!O133</f>
        <v>2461.0162718876086</v>
      </c>
      <c r="Z32" s="1971">
        <f>SIGN(N32)*INT(ABS(N32/local_data_input!$H13))*local_data_input!$H13*local_data_input!P111+(N32-(SIGN(N32)*INT(ABS(N32/local_data_input!$H13))*local_data_input!$H13))*local_data_input!P133</f>
        <v>3396.9054809396634</v>
      </c>
      <c r="AA32" s="1971">
        <f>SIGN(O32)*INT(ABS(O32/local_data_input!$H13))*local_data_input!$H13*local_data_input!Q111+(O32-(SIGN(O32)*INT(ABS(O32/local_data_input!$H13))*local_data_input!$H13))*local_data_input!Q133</f>
        <v>4386.4986911812603</v>
      </c>
    </row>
    <row r="33" spans="1:29" ht="18" customHeight="1">
      <c r="A33" s="2286" t="s">
        <v>76</v>
      </c>
      <c r="B33" s="2287"/>
      <c r="C33" s="2288"/>
      <c r="D33" s="1960">
        <f>local_data_input!C33</f>
        <v>92498.096479791391</v>
      </c>
      <c r="E33" s="1961">
        <f>D33*(1+local_data_input!C62)</f>
        <v>94540.689905654173</v>
      </c>
      <c r="F33" s="1961">
        <f>E33*(1+local_data_input!D62)</f>
        <v>96543.88797995825</v>
      </c>
      <c r="G33" s="1961">
        <f>F33*(1+local_data_input!E62)</f>
        <v>98679.441135164816</v>
      </c>
      <c r="H33" s="1961">
        <f>G33*(1+local_data_input!F62)</f>
        <v>100862.82335923682</v>
      </c>
      <c r="I33" s="1961">
        <f>H33*(1+local_data_input!G62)</f>
        <v>102995.23508624602</v>
      </c>
      <c r="J33" s="1959"/>
      <c r="K33" s="1961">
        <f>E33-D33</f>
        <v>2042.5934258627822</v>
      </c>
      <c r="L33" s="1961">
        <f t="shared" si="9"/>
        <v>4045.7915001668589</v>
      </c>
      <c r="M33" s="1961">
        <f t="shared" si="9"/>
        <v>6181.3446553734248</v>
      </c>
      <c r="N33" s="1961">
        <f t="shared" si="9"/>
        <v>8364.7268794454285</v>
      </c>
      <c r="O33" s="1961">
        <f t="shared" si="9"/>
        <v>10497.138606454624</v>
      </c>
      <c r="P33" s="1959"/>
      <c r="Q33" s="1971">
        <f>K33*local_data_input!M81</f>
        <v>367322.87815135857</v>
      </c>
      <c r="R33" s="1971">
        <f>L33*local_data_input!N81</f>
        <v>744295.13474958204</v>
      </c>
      <c r="S33" s="1971">
        <f>M33*local_data_input!O81</f>
        <v>1159911.3913990196</v>
      </c>
      <c r="T33" s="1971">
        <f>N33*local_data_input!P81</f>
        <v>1601009.0659927255</v>
      </c>
      <c r="U33" s="1971">
        <f>O33*local_data_input!Q81</f>
        <v>2067418.1875098106</v>
      </c>
      <c r="V33" s="1953"/>
      <c r="W33" s="1971">
        <f>SIGN(K33)*INT(ABS(K33/local_data_input!$H14))*local_data_input!$H14*local_data_input!M104+(K33-(SIGN(K33)*INT(ABS(K33/local_data_input!$H14))*local_data_input!$H14))*local_data_input!M126</f>
        <v>32995.032904674445</v>
      </c>
      <c r="X33" s="1971">
        <f>SIGN(L33)*INT(ABS(L33/local_data_input!$H14))*local_data_input!$H14*local_data_input!N104+(L33-(SIGN(L33)*INT(ABS(L33/local_data_input!$H14))*local_data_input!$H14))*local_data_input!N126</f>
        <v>66856.827936898088</v>
      </c>
      <c r="Y33" s="1971">
        <f>SIGN(M33)*INT(ABS(M33/local_data_input!$H14))*local_data_input!$H14*local_data_input!O104+(M33-(SIGN(M33)*INT(ABS(M33/local_data_input!$H14))*local_data_input!$H14))*local_data_input!O126</f>
        <v>104189.84714027897</v>
      </c>
      <c r="Z33" s="1971">
        <f>SIGN(N33)*INT(ABS(N33/local_data_input!$H14))*local_data_input!$H14*local_data_input!P104+(N33-(SIGN(N33)*INT(ABS(N33/local_data_input!$H14))*local_data_input!$H14))*local_data_input!P126</f>
        <v>143811.75242600852</v>
      </c>
      <c r="AA33" s="1971">
        <f>SIGN(O33)*INT(ABS(O33/local_data_input!$H14))*local_data_input!$H14*local_data_input!Q104+(O33-(SIGN(O33)*INT(ABS(O33/local_data_input!$H14))*local_data_input!$H14))*local_data_input!Q126</f>
        <v>185707.27602896604</v>
      </c>
    </row>
    <row r="34" spans="1:29" s="1962" customFormat="1" ht="18" customHeight="1">
      <c r="A34" s="2286" t="s">
        <v>46</v>
      </c>
      <c r="B34" s="2287"/>
      <c r="C34" s="2288"/>
      <c r="D34" s="1960">
        <f>local_data_input!C34</f>
        <v>253610</v>
      </c>
      <c r="E34" s="1961">
        <f>D34*(1+local_data_input!C63)</f>
        <v>259210.35436887326</v>
      </c>
      <c r="F34" s="1961">
        <f>E34*(1+local_data_input!D63)</f>
        <v>264702.69510839594</v>
      </c>
      <c r="G34" s="1961">
        <f>F34*(1+local_data_input!E63)</f>
        <v>270557.92517586291</v>
      </c>
      <c r="H34" s="1961">
        <f>G34*(1+local_data_input!F63)</f>
        <v>276544.29232200061</v>
      </c>
      <c r="I34" s="1961">
        <f>H34*(1+local_data_input!G63)</f>
        <v>282390.90926513902</v>
      </c>
      <c r="J34" s="1959"/>
      <c r="K34" s="1961">
        <f>E34-D34</f>
        <v>5600.3543688732607</v>
      </c>
      <c r="L34" s="1961">
        <f t="shared" si="9"/>
        <v>11092.695108395943</v>
      </c>
      <c r="M34" s="1961">
        <f t="shared" si="9"/>
        <v>16947.925175862911</v>
      </c>
      <c r="N34" s="1961">
        <f t="shared" si="9"/>
        <v>22934.292322000605</v>
      </c>
      <c r="O34" s="1961">
        <f t="shared" si="9"/>
        <v>28780.909265139024</v>
      </c>
      <c r="P34" s="1959"/>
      <c r="Q34" s="1971">
        <f>K34*local_data_input!M82</f>
        <v>1304994.5788832461</v>
      </c>
      <c r="R34" s="1971">
        <f>L34*local_data_input!N82</f>
        <v>2644270.6776819588</v>
      </c>
      <c r="S34" s="1971">
        <f>M34*local_data_input!O82</f>
        <v>4120838.008725713</v>
      </c>
      <c r="T34" s="1971">
        <f>N34*local_data_input!P82</f>
        <v>5687933.6304299403</v>
      </c>
      <c r="U34" s="1971">
        <f>O34*local_data_input!Q82</f>
        <v>7344953.683699498</v>
      </c>
      <c r="V34" s="1959"/>
      <c r="W34" s="1971">
        <f>SIGN(K34)*INT(ABS(K34/local_data_input!$H15))*local_data_input!$H15*local_data_input!M105+(K34-(SIGN(K34)*INT(ABS(K34/local_data_input!$H15))*local_data_input!$H15))*local_data_input!M127</f>
        <v>144196.24418343804</v>
      </c>
      <c r="X34" s="1971">
        <f>SIGN(L34)*INT(ABS(L34/local_data_input!$H15))*local_data_input!$H15*local_data_input!N105+(L34-(SIGN(L34)*INT(ABS(L34/local_data_input!$H15))*local_data_input!$H15))*local_data_input!N127</f>
        <v>292180.44771682244</v>
      </c>
      <c r="Y34" s="1971">
        <f>SIGN(M34)*INT(ABS(M34/local_data_input!$H15))*local_data_input!$H15*local_data_input!O105+(M34-(SIGN(M34)*INT(ABS(M34/local_data_input!$H15))*local_data_input!$H15))*local_data_input!O127</f>
        <v>455334.73729454301</v>
      </c>
      <c r="Z34" s="1971">
        <f>SIGN(N34)*INT(ABS(N34/local_data_input!$H15))*local_data_input!$H15*local_data_input!P105+(N34-(SIGN(N34)*INT(ABS(N34/local_data_input!$H15))*local_data_input!$H15))*local_data_input!P127</f>
        <v>628492.01057565771</v>
      </c>
      <c r="AA34" s="1971">
        <f>SIGN(O34)*INT(ABS(O34/local_data_input!$H15))*local_data_input!$H15*local_data_input!Q105+(O34-(SIGN(O34)*INT(ABS(O34/local_data_input!$H15))*local_data_input!$H15))*local_data_input!Q127</f>
        <v>811585.54374771204</v>
      </c>
    </row>
    <row r="35" spans="1:29" s="1962" customFormat="1" ht="18" customHeight="1">
      <c r="A35" s="2286" t="s">
        <v>30</v>
      </c>
      <c r="B35" s="2287"/>
      <c r="C35" s="2288"/>
      <c r="E35" s="1959"/>
      <c r="F35" s="1959"/>
      <c r="G35" s="1959"/>
      <c r="H35" s="1959"/>
      <c r="I35" s="1959"/>
      <c r="J35" s="1959"/>
      <c r="K35" s="1959"/>
      <c r="L35" s="1959"/>
      <c r="M35" s="1959"/>
      <c r="N35" s="1959"/>
      <c r="O35" s="1959"/>
      <c r="P35" s="1959"/>
      <c r="Q35" s="1971">
        <f>K35*local_data_input!M83</f>
        <v>0</v>
      </c>
      <c r="R35" s="1971">
        <f>L35*local_data_input!N83</f>
        <v>0</v>
      </c>
      <c r="S35" s="1971">
        <f>M35*local_data_input!O83</f>
        <v>0</v>
      </c>
      <c r="T35" s="1971">
        <f>N35*local_data_input!P83</f>
        <v>0</v>
      </c>
      <c r="U35" s="1971">
        <f>O35*local_data_input!Q83</f>
        <v>0</v>
      </c>
      <c r="V35" s="1959"/>
      <c r="W35" s="1971">
        <f>SIGN(K35)*INT(ABS(K35/local_data_input!$H16))*local_data_input!$H16*local_data_input!M106+(K35-(SIGN(K35)*INT(ABS(K35/local_data_input!$H16))*local_data_input!$H16))*local_data_input!M128</f>
        <v>0</v>
      </c>
      <c r="X35" s="1971">
        <f>SIGN(L35)*INT(ABS(L35/local_data_input!$H16))*local_data_input!$H16*local_data_input!N106+(L35-(SIGN(L35)*INT(ABS(L35/local_data_input!$H16))*local_data_input!$H16))*local_data_input!N128</f>
        <v>0</v>
      </c>
      <c r="Y35" s="1971">
        <f>SIGN(M35)*INT(ABS(M35/local_data_input!$H16))*local_data_input!$H16*local_data_input!O106+(M35-(SIGN(M35)*INT(ABS(M35/local_data_input!$H16))*local_data_input!$H16))*local_data_input!O128</f>
        <v>0</v>
      </c>
      <c r="Z35" s="1971">
        <f>SIGN(N35)*INT(ABS(N35/local_data_input!$H16))*local_data_input!$H16*local_data_input!P106+(N35-(SIGN(N35)*INT(ABS(N35/local_data_input!$H16))*local_data_input!$H16))*local_data_input!P128</f>
        <v>0</v>
      </c>
      <c r="AA35" s="1971">
        <f>SIGN(O35)*INT(ABS(O35/local_data_input!$H16))*local_data_input!$H16*local_data_input!Q106+(O35-(SIGN(O35)*INT(ABS(O35/local_data_input!$H16))*local_data_input!$H16))*local_data_input!Q128</f>
        <v>0</v>
      </c>
    </row>
    <row r="36" spans="1:29" s="1962" customFormat="1" ht="18" customHeight="1">
      <c r="A36" s="2286" t="s">
        <v>48</v>
      </c>
      <c r="B36" s="2287"/>
      <c r="C36" s="2288"/>
      <c r="D36" s="1959"/>
      <c r="E36" s="1959"/>
      <c r="F36" s="1959"/>
      <c r="G36" s="1959"/>
      <c r="H36" s="1959"/>
      <c r="I36" s="1959"/>
      <c r="J36" s="1959"/>
      <c r="K36" s="1959"/>
      <c r="L36" s="1959"/>
      <c r="M36" s="1959"/>
      <c r="N36" s="1959"/>
      <c r="O36" s="1959"/>
      <c r="P36" s="1959"/>
      <c r="Q36" s="1971">
        <f>K36*local_data_input!M84</f>
        <v>0</v>
      </c>
      <c r="R36" s="1971">
        <f>L36*local_data_input!N84</f>
        <v>0</v>
      </c>
      <c r="S36" s="1971">
        <f>M36*local_data_input!O84</f>
        <v>0</v>
      </c>
      <c r="T36" s="1971">
        <f>N36*local_data_input!P84</f>
        <v>0</v>
      </c>
      <c r="U36" s="1971">
        <f>O36*local_data_input!Q84</f>
        <v>0</v>
      </c>
      <c r="V36" s="1959"/>
      <c r="W36" s="1971">
        <f>SIGN(K36)*INT(ABS(K36/local_data_input!$H17))*local_data_input!$H17*local_data_input!M107+(K36-(SIGN(K36)*INT(ABS(K36/local_data_input!$H17))*local_data_input!$H17))*local_data_input!M129</f>
        <v>0</v>
      </c>
      <c r="X36" s="1971">
        <f>SIGN(L36)*INT(ABS(L36/local_data_input!$H17))*local_data_input!$H17*local_data_input!N107+(L36-(SIGN(L36)*INT(ABS(L36/local_data_input!$H17))*local_data_input!$H17))*local_data_input!N129</f>
        <v>0</v>
      </c>
      <c r="Y36" s="1971">
        <f>SIGN(M36)*INT(ABS(M36/local_data_input!$H17))*local_data_input!$H17*local_data_input!O107+(M36-(SIGN(M36)*INT(ABS(M36/local_data_input!$H17))*local_data_input!$H17))*local_data_input!O129</f>
        <v>0</v>
      </c>
      <c r="Z36" s="1971">
        <f>SIGN(N36)*INT(ABS(N36/local_data_input!$H17))*local_data_input!$H17*local_data_input!P107+(N36-(SIGN(N36)*INT(ABS(N36/local_data_input!$H17))*local_data_input!$H17))*local_data_input!P129</f>
        <v>0</v>
      </c>
      <c r="AA36" s="1971">
        <f>SIGN(O36)*INT(ABS(O36/local_data_input!$H17))*local_data_input!$H17*local_data_input!Q107+(O36-(SIGN(O36)*INT(ABS(O36/local_data_input!$H17))*local_data_input!$H17))*local_data_input!Q129</f>
        <v>0</v>
      </c>
    </row>
    <row r="37" spans="1:29" s="1962" customFormat="1" ht="18" customHeight="1">
      <c r="A37" s="2286" t="s">
        <v>225</v>
      </c>
      <c r="B37" s="2287"/>
      <c r="C37" s="2288"/>
      <c r="D37" s="1959"/>
      <c r="E37" s="1959"/>
      <c r="F37" s="1959"/>
      <c r="G37" s="1959"/>
      <c r="H37" s="1959"/>
      <c r="I37" s="1959"/>
      <c r="J37" s="1959"/>
      <c r="K37" s="1959"/>
      <c r="L37" s="1959"/>
      <c r="M37" s="1959"/>
      <c r="N37" s="1959"/>
      <c r="O37" s="1959"/>
      <c r="P37" s="1959"/>
      <c r="Q37" s="1971">
        <f>K37*local_data_input!M85</f>
        <v>0</v>
      </c>
      <c r="R37" s="1971">
        <f>L37*local_data_input!N85</f>
        <v>0</v>
      </c>
      <c r="S37" s="1971">
        <f>M37*local_data_input!O85</f>
        <v>0</v>
      </c>
      <c r="T37" s="1971">
        <f>N37*local_data_input!P85</f>
        <v>0</v>
      </c>
      <c r="U37" s="1971">
        <f>O37*local_data_input!Q85</f>
        <v>0</v>
      </c>
      <c r="V37" s="1959"/>
      <c r="W37" s="1971">
        <f>SIGN(K37)*INT(ABS(K37/local_data_input!$H18))*local_data_input!$H18*local_data_input!M108+(K37-(SIGN(K37)*INT(ABS(K37/local_data_input!$H18))*local_data_input!$H18))*local_data_input!M130</f>
        <v>0</v>
      </c>
      <c r="X37" s="1971">
        <f>SIGN(L37)*INT(ABS(L37/local_data_input!$H18))*local_data_input!$H18*local_data_input!N108+(L37-(SIGN(L37)*INT(ABS(L37/local_data_input!$H18))*local_data_input!$H18))*local_data_input!N130</f>
        <v>0</v>
      </c>
      <c r="Y37" s="1971">
        <f>SIGN(M37)*INT(ABS(M37/local_data_input!$H18))*local_data_input!$H18*local_data_input!O108+(M37-(SIGN(M37)*INT(ABS(M37/local_data_input!$H18))*local_data_input!$H18))*local_data_input!O130</f>
        <v>0</v>
      </c>
      <c r="Z37" s="1971">
        <f>SIGN(N37)*INT(ABS(N37/local_data_input!$H18))*local_data_input!$H18*local_data_input!P108+(N37-(SIGN(N37)*INT(ABS(N37/local_data_input!$H18))*local_data_input!$H18))*local_data_input!P130</f>
        <v>0</v>
      </c>
      <c r="AA37" s="1971">
        <f>SIGN(O37)*INT(ABS(O37/local_data_input!$H18))*local_data_input!$H18*local_data_input!Q108+(O37-(SIGN(O37)*INT(ABS(O37/local_data_input!$H18))*local_data_input!$H18))*local_data_input!Q130</f>
        <v>0</v>
      </c>
    </row>
    <row r="38" spans="1:29" s="1962" customFormat="1" ht="18" customHeight="1">
      <c r="A38" s="2286" t="s">
        <v>32</v>
      </c>
      <c r="B38" s="2287"/>
      <c r="C38" s="2288"/>
      <c r="D38" s="1959"/>
      <c r="E38" s="1959"/>
      <c r="F38" s="1959"/>
      <c r="G38" s="1959"/>
      <c r="H38" s="1959"/>
      <c r="I38" s="1959"/>
      <c r="K38" s="1959"/>
      <c r="L38" s="1959"/>
      <c r="M38" s="1959"/>
      <c r="N38" s="1959"/>
      <c r="O38" s="1959"/>
      <c r="P38" s="1959"/>
      <c r="Q38" s="1971">
        <f>K38*local_data_input!M86</f>
        <v>0</v>
      </c>
      <c r="R38" s="1971">
        <f>L38*local_data_input!N86</f>
        <v>0</v>
      </c>
      <c r="S38" s="1971">
        <f>M38*local_data_input!O86</f>
        <v>0</v>
      </c>
      <c r="T38" s="1971">
        <f>N38*local_data_input!P86</f>
        <v>0</v>
      </c>
      <c r="U38" s="1971">
        <f>O38*local_data_input!Q86</f>
        <v>0</v>
      </c>
      <c r="V38" s="1959"/>
      <c r="W38" s="1971">
        <f>SIGN(K38)*INT(ABS(K38/local_data_input!$H19))*local_data_input!$H19*local_data_input!M109+(K38-(SIGN(K38)*INT(ABS(K38/local_data_input!$H19))*local_data_input!$H19))*local_data_input!M131</f>
        <v>0</v>
      </c>
      <c r="X38" s="1971">
        <f>SIGN(L38)*INT(ABS(L38/local_data_input!$H19))*local_data_input!$H19*local_data_input!N109+(L38-(SIGN(L38)*INT(ABS(L38/local_data_input!$H19))*local_data_input!$H19))*local_data_input!N131</f>
        <v>0</v>
      </c>
      <c r="Y38" s="1971">
        <f>SIGN(M38)*INT(ABS(M38/local_data_input!$H19))*local_data_input!$H19*local_data_input!O109+(M38-(SIGN(M38)*INT(ABS(M38/local_data_input!$H19))*local_data_input!$H19))*local_data_input!O131</f>
        <v>0</v>
      </c>
      <c r="Z38" s="1971">
        <f>SIGN(N38)*INT(ABS(N38/local_data_input!$H19))*local_data_input!$H19*local_data_input!P109+(N38-(SIGN(N38)*INT(ABS(N38/local_data_input!$H19))*local_data_input!$H19))*local_data_input!P131</f>
        <v>0</v>
      </c>
      <c r="AA38" s="1971">
        <f>SIGN(O38)*INT(ABS(O38/local_data_input!$H19))*local_data_input!$H19*local_data_input!Q109+(O38-(SIGN(O38)*INT(ABS(O38/local_data_input!$H19))*local_data_input!$H19))*local_data_input!Q131</f>
        <v>0</v>
      </c>
    </row>
    <row r="39" spans="1:29" s="1962" customFormat="1" ht="18" customHeight="1">
      <c r="A39" s="2297" t="s">
        <v>34</v>
      </c>
      <c r="B39" s="2298"/>
      <c r="C39" s="2299"/>
      <c r="D39" s="1959"/>
      <c r="H39" s="1959"/>
      <c r="J39" s="453"/>
      <c r="Q39" s="1971">
        <f>K39*local_data_input!M87</f>
        <v>0</v>
      </c>
      <c r="R39" s="1971">
        <f>L39*local_data_input!N87</f>
        <v>0</v>
      </c>
      <c r="S39" s="1971">
        <f>M39*local_data_input!O87</f>
        <v>0</v>
      </c>
      <c r="T39" s="1971">
        <f>N39*local_data_input!P87</f>
        <v>0</v>
      </c>
      <c r="U39" s="1971">
        <f>O39*local_data_input!Q87</f>
        <v>0</v>
      </c>
      <c r="V39" s="1959"/>
      <c r="W39" s="1971">
        <f>SIGN(K39)*INT(ABS(K39/local_data_input!$H20))*local_data_input!$H20*local_data_input!M110+(K39-(SIGN(K39)*INT(ABS(K39/local_data_input!$H20))*local_data_input!$H20))*local_data_input!M132</f>
        <v>0</v>
      </c>
      <c r="X39" s="1971">
        <f>SIGN(L39)*INT(ABS(L39/local_data_input!$H20))*local_data_input!$H20*local_data_input!N110+(L39-(SIGN(L39)*INT(ABS(L39/local_data_input!$H20))*local_data_input!$H20))*local_data_input!N132</f>
        <v>0</v>
      </c>
      <c r="Y39" s="1971">
        <f>SIGN(M39)*INT(ABS(M39/local_data_input!$H20))*local_data_input!$H20*local_data_input!O110+(M39-(SIGN(M39)*INT(ABS(M39/local_data_input!$H20))*local_data_input!$H20))*local_data_input!O132</f>
        <v>0</v>
      </c>
      <c r="Z39" s="1971">
        <f>SIGN(N39)*INT(ABS(N39/local_data_input!$H20))*local_data_input!$H20*local_data_input!P110+(N39-(SIGN(N39)*INT(ABS(N39/local_data_input!$H20))*local_data_input!$H20))*local_data_input!P132</f>
        <v>0</v>
      </c>
      <c r="AA39" s="1971">
        <f>SIGN(O39)*INT(ABS(O39/local_data_input!$H20))*local_data_input!$H20*local_data_input!Q110+(O39-(SIGN(O39)*INT(ABS(O39/local_data_input!$H20))*local_data_input!$H20))*local_data_input!Q132</f>
        <v>0</v>
      </c>
    </row>
    <row r="40" spans="1:29" s="1962" customFormat="1" ht="18" customHeight="1">
      <c r="A40" s="2303" t="s">
        <v>611</v>
      </c>
      <c r="B40" s="2303"/>
      <c r="C40" s="2303"/>
      <c r="E40" s="453"/>
      <c r="F40" s="453"/>
      <c r="G40" s="453"/>
      <c r="H40" s="454"/>
      <c r="I40" s="453"/>
      <c r="K40" s="453"/>
      <c r="L40" s="453"/>
      <c r="M40" s="453"/>
      <c r="N40" s="453"/>
      <c r="O40" s="453"/>
      <c r="P40" s="453"/>
      <c r="Q40" s="1973">
        <f>SUM(Q23:Q39)</f>
        <v>19537950.168862909</v>
      </c>
      <c r="R40" s="1973">
        <f>SUM(R23:R39)</f>
        <v>40002644.960902564</v>
      </c>
      <c r="S40" s="1973">
        <f>SUM(S23:S39)</f>
        <v>62903168.164926067</v>
      </c>
      <c r="T40" s="1973">
        <f>SUM(T23:T39)</f>
        <v>87056768.825659588</v>
      </c>
      <c r="U40" s="1973">
        <f>SUM(U23:U39)</f>
        <v>112638059.19377647</v>
      </c>
      <c r="W40" s="1973">
        <f>SUM(W23:W39)</f>
        <v>2741209.4990432607</v>
      </c>
      <c r="X40" s="1973">
        <f>SUM(X23:X39)</f>
        <v>5621411.4148427462</v>
      </c>
      <c r="Y40" s="1973">
        <f>SUM(Y23:Y39)</f>
        <v>8851614.0390393455</v>
      </c>
      <c r="Z40" s="1973">
        <f>SUM(Z23:Z39)</f>
        <v>12255407.220975714</v>
      </c>
      <c r="AA40" s="1973">
        <f>SUM(AA23:AA39)</f>
        <v>15861272.726964228</v>
      </c>
    </row>
    <row r="41" spans="1:29" s="453" customFormat="1" ht="18" customHeight="1">
      <c r="A41" s="599"/>
      <c r="B41" s="599"/>
      <c r="C41" s="599"/>
      <c r="D41" s="1954"/>
      <c r="E41" s="1954"/>
      <c r="F41" s="1954"/>
      <c r="G41" s="1954"/>
      <c r="H41" s="1954"/>
      <c r="I41" s="1954"/>
      <c r="J41" s="1954"/>
      <c r="K41" s="1954"/>
      <c r="L41" s="1954"/>
      <c r="M41" s="1954"/>
      <c r="N41" s="1954"/>
      <c r="O41" s="1954"/>
      <c r="P41" s="1954"/>
      <c r="V41" s="1962"/>
    </row>
    <row r="42" spans="1:29" s="453" customFormat="1" ht="18" customHeight="1">
      <c r="A42" s="1348"/>
      <c r="B42" s="1962"/>
      <c r="C42" s="1962"/>
      <c r="D42" s="1954"/>
      <c r="E42" s="1954"/>
      <c r="F42" s="1954"/>
      <c r="G42" s="1954"/>
      <c r="H42" s="1954"/>
      <c r="I42" s="1954"/>
      <c r="J42" s="1954"/>
      <c r="K42" s="1954"/>
      <c r="L42" s="1954"/>
      <c r="M42" s="1954"/>
      <c r="N42" s="1954"/>
      <c r="O42" s="1954"/>
      <c r="P42" s="1954"/>
      <c r="Q42" s="682"/>
      <c r="R42" s="682"/>
      <c r="S42" s="682"/>
      <c r="T42" s="682"/>
      <c r="U42" s="682"/>
      <c r="V42" s="1962"/>
      <c r="W42" s="682"/>
      <c r="X42" s="682"/>
      <c r="Y42" s="682"/>
      <c r="Z42" s="682"/>
      <c r="AA42" s="682"/>
    </row>
    <row r="43" spans="1:29" s="1962" customFormat="1" ht="15">
      <c r="A43" s="2296" t="s">
        <v>605</v>
      </c>
      <c r="B43" s="2296"/>
      <c r="C43" s="2296"/>
      <c r="D43" s="2296"/>
      <c r="E43" s="2296"/>
      <c r="F43" s="2296"/>
      <c r="G43" s="2296"/>
      <c r="H43" s="2296"/>
      <c r="I43" s="2296"/>
      <c r="J43" s="2296"/>
      <c r="K43" s="1953"/>
      <c r="L43" s="1953"/>
      <c r="M43" s="1953"/>
      <c r="N43" s="1953"/>
      <c r="O43" s="1953"/>
      <c r="P43" s="1963"/>
      <c r="Q43" s="1963"/>
      <c r="R43" s="1963"/>
      <c r="S43" s="1963"/>
      <c r="T43" s="1963"/>
      <c r="V43" s="1948"/>
      <c r="W43" s="1948"/>
      <c r="X43" s="1948"/>
      <c r="Y43" s="1948"/>
      <c r="Z43" s="1948"/>
    </row>
    <row r="44" spans="1:29" ht="18" customHeight="1">
      <c r="A44" s="1964"/>
      <c r="B44" s="1964"/>
      <c r="C44" s="1964"/>
      <c r="D44" s="1964"/>
      <c r="E44" s="1964"/>
      <c r="F44" s="1964"/>
      <c r="G44" s="1964"/>
      <c r="H44" s="1964"/>
      <c r="I44" s="1964"/>
      <c r="J44" s="1964"/>
      <c r="U44" s="1953"/>
    </row>
    <row r="45" spans="1:29" ht="18" customHeight="1">
      <c r="D45" s="1964"/>
      <c r="F45" s="1964"/>
      <c r="G45" s="1964"/>
      <c r="H45" s="1964"/>
      <c r="I45" s="1964"/>
      <c r="J45" s="1964"/>
      <c r="K45" s="1964"/>
      <c r="V45" s="1953"/>
      <c r="AA45" s="1948"/>
    </row>
    <row r="46" spans="1:29" ht="18" customHeight="1">
      <c r="D46" s="2274" t="s">
        <v>1264</v>
      </c>
      <c r="E46" s="2277"/>
      <c r="F46" s="2277"/>
      <c r="G46" s="2277"/>
      <c r="H46" s="2276"/>
      <c r="K46" s="2274" t="s">
        <v>594</v>
      </c>
      <c r="L46" s="2277"/>
      <c r="M46" s="2277"/>
      <c r="N46" s="2277"/>
      <c r="O46" s="2276"/>
      <c r="Q46" s="2274" t="s">
        <v>1303</v>
      </c>
      <c r="R46" s="2277"/>
      <c r="S46" s="2277"/>
      <c r="T46" s="2277"/>
      <c r="U46" s="2276"/>
      <c r="V46" s="1090"/>
      <c r="W46" s="2274" t="s">
        <v>1265</v>
      </c>
      <c r="X46" s="2277"/>
      <c r="Y46" s="2277"/>
      <c r="Z46" s="2277"/>
      <c r="AA46" s="2276"/>
    </row>
    <row r="47" spans="1:29" ht="18" customHeight="1">
      <c r="A47" s="2289" t="s">
        <v>595</v>
      </c>
      <c r="B47" s="2304"/>
      <c r="C47" s="2305"/>
      <c r="D47" s="1022" t="s">
        <v>85</v>
      </c>
      <c r="E47" s="1951"/>
      <c r="F47" s="1952"/>
      <c r="G47" s="1952"/>
      <c r="H47" s="1019"/>
      <c r="I47" s="1965"/>
      <c r="K47" s="1950" t="s">
        <v>78</v>
      </c>
      <c r="L47" s="1951" t="s">
        <v>79</v>
      </c>
      <c r="M47" s="1952" t="s">
        <v>80</v>
      </c>
      <c r="N47" s="1952" t="s">
        <v>81</v>
      </c>
      <c r="O47" s="1019" t="s">
        <v>82</v>
      </c>
      <c r="P47" s="1957"/>
      <c r="Q47" s="1950" t="s">
        <v>78</v>
      </c>
      <c r="R47" s="1951" t="s">
        <v>79</v>
      </c>
      <c r="S47" s="1952" t="s">
        <v>80</v>
      </c>
      <c r="T47" s="1952" t="s">
        <v>81</v>
      </c>
      <c r="U47" s="1019" t="s">
        <v>82</v>
      </c>
      <c r="V47" s="1090"/>
      <c r="W47" s="1950" t="s">
        <v>78</v>
      </c>
      <c r="X47" s="1951" t="s">
        <v>79</v>
      </c>
      <c r="Y47" s="1952" t="s">
        <v>80</v>
      </c>
      <c r="Z47" s="1952" t="s">
        <v>81</v>
      </c>
      <c r="AA47" s="1019" t="s">
        <v>82</v>
      </c>
    </row>
    <row r="48" spans="1:29" ht="18" customHeight="1">
      <c r="A48" s="2286" t="s">
        <v>69</v>
      </c>
      <c r="B48" s="2287"/>
      <c r="C48" s="2288"/>
      <c r="D48" s="2022">
        <f>outputs_by_channel!E21</f>
        <v>57054.469468729731</v>
      </c>
      <c r="E48" s="2022"/>
      <c r="F48" s="2022"/>
      <c r="G48" s="2022"/>
      <c r="H48" s="2022"/>
      <c r="I48" s="1966"/>
      <c r="K48" s="2022">
        <f t="shared" ref="K48:K64" si="10">D48</f>
        <v>57054.469468729731</v>
      </c>
      <c r="L48" s="2022">
        <f>K48</f>
        <v>57054.469468729731</v>
      </c>
      <c r="M48" s="2022">
        <f>L48</f>
        <v>57054.469468729731</v>
      </c>
      <c r="N48" s="2022">
        <f t="shared" ref="N48:N64" si="11">L48</f>
        <v>57054.469468729731</v>
      </c>
      <c r="O48" s="2022">
        <f>N48</f>
        <v>57054.469468729731</v>
      </c>
      <c r="P48" s="1966"/>
      <c r="Q48" s="1972">
        <f>K48*local_data_input!M72</f>
        <v>26904310.489702538</v>
      </c>
      <c r="R48" s="1972">
        <f>L48*local_data_input!N72</f>
        <v>27523109.630965695</v>
      </c>
      <c r="S48" s="1972">
        <f>M48*local_data_input!O72</f>
        <v>28073571.823585007</v>
      </c>
      <c r="T48" s="1972">
        <f>N48*local_data_input!P72</f>
        <v>28635043.260056708</v>
      </c>
      <c r="U48" s="1972">
        <f>O48*local_data_input!Q72</f>
        <v>29465459.514598351</v>
      </c>
      <c r="V48" s="1957"/>
      <c r="W48" s="1972">
        <f>SIGN(K48)*INT(ABS(K48/local_data_input!$H4))*local_data_input!$H4*local_data_input!M95+(K48-(SIGN(K48)*INT(ABS(K48/local_data_input!$H4))*local_data_input!$H4))*local_data_input!M117</f>
        <v>4358265.8133387258</v>
      </c>
      <c r="X48" s="1972">
        <f>SIGN(L48)*INT(ABS(L48/local_data_input!$H4))*local_data_input!$H4*local_data_input!N95+(L48-(SIGN(L48)*INT(ABS(L48/local_data_input!$H4))*local_data_input!$H4))*local_data_input!N117</f>
        <v>4458505.9270455157</v>
      </c>
      <c r="Y48" s="1972">
        <f>SIGN(M48)*INT(ABS(M48/local_data_input!$H4))*local_data_input!$H4*local_data_input!O95+(M48-(SIGN(M48)*INT(ABS(M48/local_data_input!$H4))*local_data_input!$H4))*local_data_input!O117</f>
        <v>4547676.0455864258</v>
      </c>
      <c r="Z48" s="1972">
        <f>SIGN(N48)*INT(ABS(N48/local_data_input!$H4))*local_data_input!$H4*local_data_input!P95+(N48-(SIGN(N48)*INT(ABS(N48/local_data_input!$H4))*local_data_input!$H4))*local_data_input!P117</f>
        <v>4638629.5664981548</v>
      </c>
      <c r="AA48" s="1972">
        <f>SIGN(O48)*INT(ABS(O48/local_data_input!$H4))*local_data_input!$H4*local_data_input!Q95+(O48-(SIGN(O48)*INT(ABS(O48/local_data_input!$H4))*local_data_input!$H4))*local_data_input!Q117</f>
        <v>4773149.8239266006</v>
      </c>
      <c r="AC48" s="1969"/>
    </row>
    <row r="49" spans="1:29" ht="18" customHeight="1">
      <c r="A49" s="2286" t="s">
        <v>43</v>
      </c>
      <c r="B49" s="2287"/>
      <c r="C49" s="2288"/>
      <c r="D49" s="2022">
        <f>outputs_by_channel!E22</f>
        <v>8602.2307853567527</v>
      </c>
      <c r="E49" s="2022"/>
      <c r="F49" s="2022"/>
      <c r="G49" s="2022"/>
      <c r="H49" s="2022"/>
      <c r="I49" s="1966"/>
      <c r="K49" s="2022">
        <f t="shared" si="10"/>
        <v>8602.2307853567527</v>
      </c>
      <c r="L49" s="2022">
        <f t="shared" ref="L49:M49" si="12">K49</f>
        <v>8602.2307853567527</v>
      </c>
      <c r="M49" s="2022">
        <f t="shared" si="12"/>
        <v>8602.2307853567527</v>
      </c>
      <c r="N49" s="2022">
        <f t="shared" si="11"/>
        <v>8602.2307853567527</v>
      </c>
      <c r="O49" s="2022">
        <f t="shared" ref="O49:O64" si="13">N49</f>
        <v>8602.2307853567527</v>
      </c>
      <c r="P49" s="1966"/>
      <c r="Q49" s="1972">
        <f>K49*local_data_input!M73</f>
        <v>1326420.4074040281</v>
      </c>
      <c r="R49" s="1972">
        <f>L49*local_data_input!N73</f>
        <v>1356928.0767743206</v>
      </c>
      <c r="S49" s="1972">
        <f>M49*local_data_input!O73</f>
        <v>1384066.6383098071</v>
      </c>
      <c r="T49" s="1972">
        <f>N49*local_data_input!P73</f>
        <v>1411747.9710760033</v>
      </c>
      <c r="U49" s="1972">
        <f>O49*local_data_input!Q73</f>
        <v>1452688.6622372072</v>
      </c>
      <c r="V49" s="1966"/>
      <c r="W49" s="1972">
        <f>SIGN(K49)*INT(ABS(K49/local_data_input!$H5))*local_data_input!$H5*local_data_input!M96+(K49-(SIGN(K49)*INT(ABS(K49/local_data_input!$H5))*local_data_input!$H5))*local_data_input!M118</f>
        <v>111925.78664691305</v>
      </c>
      <c r="X49" s="1972">
        <f>SIGN(L49)*INT(ABS(L49/local_data_input!$H5))*local_data_input!$H5*local_data_input!N96+(L49-(SIGN(L49)*INT(ABS(L49/local_data_input!$H5))*local_data_input!$H5))*local_data_input!N118</f>
        <v>114500.07973979205</v>
      </c>
      <c r="Y49" s="1972">
        <f>SIGN(M49)*INT(ABS(M49/local_data_input!$H5))*local_data_input!$H5*local_data_input!O96+(M49-(SIGN(M49)*INT(ABS(M49/local_data_input!$H5))*local_data_input!$H5))*local_data_input!O118</f>
        <v>116790.0813345879</v>
      </c>
      <c r="Z49" s="1972">
        <f>SIGN(N49)*INT(ABS(N49/local_data_input!$H5))*local_data_input!$H5*local_data_input!P96+(N49-(SIGN(N49)*INT(ABS(N49/local_data_input!$H5))*local_data_input!$H5))*local_data_input!P118</f>
        <v>119125.88296127967</v>
      </c>
      <c r="AA49" s="1972">
        <f>SIGN(O49)*INT(ABS(O49/local_data_input!$H5))*local_data_input!$H5*local_data_input!Q96+(O49-(SIGN(O49)*INT(ABS(O49/local_data_input!$H5))*local_data_input!$H5))*local_data_input!Q118</f>
        <v>122580.53356715676</v>
      </c>
      <c r="AC49" s="1969"/>
    </row>
    <row r="50" spans="1:29" ht="18" customHeight="1">
      <c r="A50" s="2286" t="s">
        <v>49</v>
      </c>
      <c r="B50" s="2287"/>
      <c r="C50" s="2288"/>
      <c r="D50" s="2022">
        <f>outputs_by_channel!E23</f>
        <v>45272.619167813384</v>
      </c>
      <c r="E50" s="2022"/>
      <c r="F50" s="2022"/>
      <c r="G50" s="2022"/>
      <c r="H50" s="2022"/>
      <c r="I50" s="1966"/>
      <c r="K50" s="2022">
        <f t="shared" si="10"/>
        <v>45272.619167813384</v>
      </c>
      <c r="L50" s="2022">
        <f t="shared" ref="L50:M50" si="14">K50</f>
        <v>45272.619167813384</v>
      </c>
      <c r="M50" s="2022">
        <f t="shared" si="14"/>
        <v>45272.619167813384</v>
      </c>
      <c r="N50" s="2022">
        <f t="shared" si="11"/>
        <v>45272.619167813384</v>
      </c>
      <c r="O50" s="2022">
        <f t="shared" si="13"/>
        <v>45272.619167813384</v>
      </c>
      <c r="P50" s="1966"/>
      <c r="Q50" s="1972">
        <f>K50*local_data_input!M74</f>
        <v>4053397.9775167266</v>
      </c>
      <c r="R50" s="1972">
        <f>L50*local_data_input!N74</f>
        <v>4146626.1309996112</v>
      </c>
      <c r="S50" s="1972">
        <f>M50*local_data_input!O74</f>
        <v>4229558.6536196033</v>
      </c>
      <c r="T50" s="1972">
        <f>N50*local_data_input!P74</f>
        <v>4314149.8266919954</v>
      </c>
      <c r="U50" s="1972">
        <f>O50*local_data_input!Q74</f>
        <v>4439260.1716660634</v>
      </c>
      <c r="V50" s="1966"/>
      <c r="W50" s="1972">
        <f>SIGN(K50)*INT(ABS(K50/local_data_input!$H6))*local_data_input!$H6*local_data_input!M97+(K50-(SIGN(K50)*INT(ABS(K50/local_data_input!$H6))*local_data_input!$H6))*local_data_input!M119</f>
        <v>493898.64166028245</v>
      </c>
      <c r="X50" s="1972">
        <f>SIGN(L50)*INT(ABS(L50/local_data_input!$H6))*local_data_input!$H6*local_data_input!N97+(L50-(SIGN(L50)*INT(ABS(L50/local_data_input!$H6))*local_data_input!$H6))*local_data_input!N119</f>
        <v>505258.3104184689</v>
      </c>
      <c r="Y50" s="1972">
        <f>SIGN(M50)*INT(ABS(M50/local_data_input!$H6))*local_data_input!$H6*local_data_input!O97+(M50-(SIGN(M50)*INT(ABS(M50/local_data_input!$H6))*local_data_input!$H6))*local_data_input!O119</f>
        <v>515363.47662683827</v>
      </c>
      <c r="Z50" s="1972">
        <f>SIGN(N50)*INT(ABS(N50/local_data_input!$H6))*local_data_input!$H6*local_data_input!P97+(N50-(SIGN(N50)*INT(ABS(N50/local_data_input!$H6))*local_data_input!$H6))*local_data_input!P119</f>
        <v>525670.74615937495</v>
      </c>
      <c r="AA50" s="1972">
        <f>SIGN(O50)*INT(ABS(O50/local_data_input!$H6))*local_data_input!$H6*local_data_input!Q97+(O50-(SIGN(O50)*INT(ABS(O50/local_data_input!$H6))*local_data_input!$H6))*local_data_input!Q119</f>
        <v>540915.19779799692</v>
      </c>
    </row>
    <row r="51" spans="1:29" ht="18" customHeight="1">
      <c r="A51" s="2286" t="s">
        <v>67</v>
      </c>
      <c r="B51" s="2287"/>
      <c r="C51" s="2288"/>
      <c r="D51" s="2022">
        <f>outputs_by_channel!E24</f>
        <v>8408.809185013979</v>
      </c>
      <c r="E51" s="2022"/>
      <c r="F51" s="2022"/>
      <c r="G51" s="2022"/>
      <c r="H51" s="2022"/>
      <c r="I51" s="1966"/>
      <c r="K51" s="2022">
        <f t="shared" si="10"/>
        <v>8408.809185013979</v>
      </c>
      <c r="L51" s="2022">
        <f t="shared" ref="L51:M51" si="15">K51</f>
        <v>8408.809185013979</v>
      </c>
      <c r="M51" s="2022">
        <f t="shared" si="15"/>
        <v>8408.809185013979</v>
      </c>
      <c r="N51" s="2022">
        <f t="shared" si="11"/>
        <v>8408.809185013979</v>
      </c>
      <c r="O51" s="2022">
        <f t="shared" si="13"/>
        <v>8408.809185013979</v>
      </c>
      <c r="P51" s="1966"/>
      <c r="Q51" s="1972">
        <f>K51*local_data_input!M75</f>
        <v>479302.12354579679</v>
      </c>
      <c r="R51" s="1972">
        <f>L51*local_data_input!N75</f>
        <v>490326.07238735008</v>
      </c>
      <c r="S51" s="1972">
        <f>M51*local_data_input!O75</f>
        <v>500132.5938350971</v>
      </c>
      <c r="T51" s="1972">
        <f>N51*local_data_input!P75</f>
        <v>510135.24571179907</v>
      </c>
      <c r="U51" s="1972">
        <f>O51*local_data_input!Q75</f>
        <v>524929.1678374412</v>
      </c>
      <c r="V51" s="1966"/>
      <c r="W51" s="1972">
        <f>SIGN(K51)*INT(ABS(K51/local_data_input!$H7))*local_data_input!$H7*local_data_input!M98+(K51-(SIGN(K51)*INT(ABS(K51/local_data_input!$H7))*local_data_input!$H7))*local_data_input!M120</f>
        <v>36662.408046660945</v>
      </c>
      <c r="X51" s="1972">
        <f>SIGN(L51)*INT(ABS(L51/local_data_input!$H7))*local_data_input!$H7*local_data_input!N98+(L51-(SIGN(L51)*INT(ABS(L51/local_data_input!$H7))*local_data_input!$H7))*local_data_input!N120</f>
        <v>37505.643431734148</v>
      </c>
      <c r="Y51" s="1972">
        <f>SIGN(M51)*INT(ABS(M51/local_data_input!$H7))*local_data_input!$H7*local_data_input!O98+(M51-(SIGN(M51)*INT(ABS(M51/local_data_input!$H7))*local_data_input!$H7))*local_data_input!O120</f>
        <v>38255.756300368826</v>
      </c>
      <c r="Z51" s="1972">
        <f>SIGN(N51)*INT(ABS(N51/local_data_input!$H7))*local_data_input!$H7*local_data_input!P98+(N51-(SIGN(N51)*INT(ABS(N51/local_data_input!$H7))*local_data_input!$H7))*local_data_input!P120</f>
        <v>39020.871426376194</v>
      </c>
      <c r="AA51" s="1972">
        <f>SIGN(O51)*INT(ABS(O51/local_data_input!$H7))*local_data_input!$H7*local_data_input!Q98+(O51-(SIGN(O51)*INT(ABS(O51/local_data_input!$H7))*local_data_input!$H7))*local_data_input!Q120</f>
        <v>40152.476697741105</v>
      </c>
    </row>
    <row r="52" spans="1:29" ht="18" customHeight="1">
      <c r="A52" s="2286" t="s">
        <v>44</v>
      </c>
      <c r="B52" s="2287"/>
      <c r="C52" s="2288"/>
      <c r="D52" s="2022">
        <f>outputs_by_channel!E25</f>
        <v>13874.506136504555</v>
      </c>
      <c r="E52" s="2022"/>
      <c r="F52" s="2022"/>
      <c r="G52" s="2022"/>
      <c r="H52" s="2022"/>
      <c r="I52" s="1966"/>
      <c r="K52" s="2022">
        <f t="shared" si="10"/>
        <v>13874.506136504555</v>
      </c>
      <c r="L52" s="2022">
        <f t="shared" ref="L52:M52" si="16">K52</f>
        <v>13874.506136504555</v>
      </c>
      <c r="M52" s="2022">
        <f t="shared" si="16"/>
        <v>13874.506136504555</v>
      </c>
      <c r="N52" s="2022">
        <f t="shared" si="11"/>
        <v>13874.506136504555</v>
      </c>
      <c r="O52" s="2022">
        <f t="shared" si="13"/>
        <v>13874.506136504555</v>
      </c>
      <c r="P52" s="1966"/>
      <c r="Q52" s="1972">
        <f>K52*local_data_input!M76</f>
        <v>947628.7691232611</v>
      </c>
      <c r="R52" s="1972">
        <f>L52*local_data_input!N76</f>
        <v>969424.23081309604</v>
      </c>
      <c r="S52" s="1972">
        <f>M52*local_data_input!O76</f>
        <v>988812.71542935795</v>
      </c>
      <c r="T52" s="1972">
        <f>N52*local_data_input!P76</f>
        <v>1008588.9697379451</v>
      </c>
      <c r="U52" s="1972">
        <f>O52*local_data_input!Q76</f>
        <v>1037838.0498603454</v>
      </c>
      <c r="V52" s="1966"/>
      <c r="W52" s="1972">
        <f>SIGN(K52)*INT(ABS(K52/local_data_input!$H8))*local_data_input!$H8*local_data_input!M99+(K52-(SIGN(K52)*INT(ABS(K52/local_data_input!$H8))*local_data_input!$H8))*local_data_input!M121</f>
        <v>106248.53995370655</v>
      </c>
      <c r="X52" s="1972">
        <f>SIGN(L52)*INT(ABS(L52/local_data_input!$H8))*local_data_input!$H8*local_data_input!N99+(L52-(SIGN(L52)*INT(ABS(L52/local_data_input!$H8))*local_data_input!$H8))*local_data_input!N121</f>
        <v>108692.25637264179</v>
      </c>
      <c r="Y52" s="1972">
        <f>SIGN(M52)*INT(ABS(M52/local_data_input!$H8))*local_data_input!$H8*local_data_input!O99+(M52-(SIGN(M52)*INT(ABS(M52/local_data_input!$H8))*local_data_input!$H8))*local_data_input!O121</f>
        <v>110866.10150009462</v>
      </c>
      <c r="Z52" s="1972">
        <f>SIGN(N52)*INT(ABS(N52/local_data_input!$H8))*local_data_input!$H8*local_data_input!P99+(N52-(SIGN(N52)*INT(ABS(N52/local_data_input!$H8))*local_data_input!$H8))*local_data_input!P121</f>
        <v>113083.42353009652</v>
      </c>
      <c r="AA52" s="1972">
        <f>SIGN(O52)*INT(ABS(O52/local_data_input!$H8))*local_data_input!$H8*local_data_input!Q99+(O52-(SIGN(O52)*INT(ABS(O52/local_data_input!$H8))*local_data_input!$H8))*local_data_input!Q121</f>
        <v>116362.84281246932</v>
      </c>
    </row>
    <row r="53" spans="1:29" ht="18" customHeight="1">
      <c r="A53" s="2286" t="s">
        <v>45</v>
      </c>
      <c r="B53" s="2287"/>
      <c r="C53" s="2288"/>
      <c r="D53" s="2022">
        <f>outputs_by_channel!E26</f>
        <v>5200.0340832551828</v>
      </c>
      <c r="E53" s="2022"/>
      <c r="F53" s="2022"/>
      <c r="G53" s="2022"/>
      <c r="H53" s="2022"/>
      <c r="I53" s="1966"/>
      <c r="K53" s="2022">
        <f t="shared" si="10"/>
        <v>5200.0340832551828</v>
      </c>
      <c r="L53" s="2022">
        <f t="shared" ref="L53:M53" si="17">K53</f>
        <v>5200.0340832551828</v>
      </c>
      <c r="M53" s="2022">
        <f t="shared" si="17"/>
        <v>5200.0340832551828</v>
      </c>
      <c r="N53" s="2022">
        <f t="shared" si="11"/>
        <v>5200.0340832551828</v>
      </c>
      <c r="O53" s="2022">
        <f t="shared" si="13"/>
        <v>5200.0340832551828</v>
      </c>
      <c r="P53" s="1966"/>
      <c r="Q53" s="1972">
        <f>K53*local_data_input!M77</f>
        <v>780005.11248827737</v>
      </c>
      <c r="R53" s="1972">
        <f>L53*local_data_input!N77</f>
        <v>797945.23007550777</v>
      </c>
      <c r="S53" s="1972">
        <f>M53*local_data_input!O77</f>
        <v>813904.13467701781</v>
      </c>
      <c r="T53" s="1972">
        <f>N53*local_data_input!P77</f>
        <v>830182.21737055818</v>
      </c>
      <c r="U53" s="1972">
        <f>O53*local_data_input!Q77</f>
        <v>854257.50167430425</v>
      </c>
      <c r="V53" s="1966"/>
      <c r="W53" s="1972">
        <f>SIGN(K53)*INT(ABS(K53/local_data_input!$H9))*local_data_input!$H9*local_data_input!M100+(K53-(SIGN(K53)*INT(ABS(K53/local_data_input!$H9))*local_data_input!$H9))*local_data_input!M122</f>
        <v>87037.221478427367</v>
      </c>
      <c r="X53" s="1972">
        <f>SIGN(L53)*INT(ABS(L53/local_data_input!$H9))*local_data_input!$H9*local_data_input!N100+(L53-(SIGN(L53)*INT(ABS(L53/local_data_input!$H9))*local_data_input!$H9))*local_data_input!N122</f>
        <v>89039.077572431168</v>
      </c>
      <c r="Y53" s="1972">
        <f>SIGN(M53)*INT(ABS(M53/local_data_input!$H9))*local_data_input!$H9*local_data_input!O100+(M53-(SIGN(M53)*INT(ABS(M53/local_data_input!$H9))*local_data_input!$H9))*local_data_input!O122</f>
        <v>90819.859123879796</v>
      </c>
      <c r="Z53" s="1972">
        <f>SIGN(N53)*INT(ABS(N53/local_data_input!$H9))*local_data_input!$H9*local_data_input!P100+(N53-(SIGN(N53)*INT(ABS(N53/local_data_input!$H9))*local_data_input!$H9))*local_data_input!P122</f>
        <v>92636.256306357391</v>
      </c>
      <c r="AA53" s="1972">
        <f>SIGN(O53)*INT(ABS(O53/local_data_input!$H9))*local_data_input!$H9*local_data_input!Q100+(O53-(SIGN(O53)*INT(ABS(O53/local_data_input!$H9))*local_data_input!$H9))*local_data_input!Q122</f>
        <v>95322.707739241756</v>
      </c>
    </row>
    <row r="54" spans="1:29" ht="18" customHeight="1">
      <c r="A54" s="2286" t="s">
        <v>83</v>
      </c>
      <c r="B54" s="2287"/>
      <c r="C54" s="2288"/>
      <c r="D54" s="2022">
        <f>outputs_by_channel!E27</f>
        <v>35640.089376857075</v>
      </c>
      <c r="E54" s="2022"/>
      <c r="F54" s="2022"/>
      <c r="G54" s="2022"/>
      <c r="H54" s="2022"/>
      <c r="I54" s="1966"/>
      <c r="K54" s="2022">
        <f t="shared" si="10"/>
        <v>35640.089376857075</v>
      </c>
      <c r="L54" s="2022">
        <f t="shared" ref="L54:M54" si="18">K54</f>
        <v>35640.089376857075</v>
      </c>
      <c r="M54" s="2022">
        <f t="shared" si="18"/>
        <v>35640.089376857075</v>
      </c>
      <c r="N54" s="2022">
        <f t="shared" si="11"/>
        <v>35640.089376857075</v>
      </c>
      <c r="O54" s="2022">
        <f t="shared" si="13"/>
        <v>35640.089376857075</v>
      </c>
      <c r="P54" s="1966"/>
      <c r="Q54" s="1972">
        <f>K54*local_data_input!M78</f>
        <v>249480.62563799953</v>
      </c>
      <c r="R54" s="1972">
        <f>L54*local_data_input!N78</f>
        <v>255218.68002767349</v>
      </c>
      <c r="S54" s="1972">
        <f>M54*local_data_input!O78</f>
        <v>260323.05362822697</v>
      </c>
      <c r="T54" s="1972">
        <f>N54*local_data_input!P78</f>
        <v>265529.51470079151</v>
      </c>
      <c r="U54" s="1972">
        <f>O54*local_data_input!Q78</f>
        <v>273229.87062711449</v>
      </c>
      <c r="V54" s="1966"/>
      <c r="W54" s="1972">
        <f>SIGN(K54)*INT(ABS(K54/local_data_input!$H10))*local_data_input!$H10*local_data_input!M101+(K54-(SIGN(K54)*INT(ABS(K54/local_data_input!$H10))*local_data_input!$H10))*local_data_input!M123</f>
        <v>12498.979344463758</v>
      </c>
      <c r="X54" s="1972">
        <f>SIGN(L54)*INT(ABS(L54/local_data_input!$H10))*local_data_input!$H10*local_data_input!N101+(L54-(SIGN(L54)*INT(ABS(L54/local_data_input!$H10))*local_data_input!$H10))*local_data_input!N123</f>
        <v>12786.455869386422</v>
      </c>
      <c r="Y54" s="1972">
        <f>SIGN(M54)*INT(ABS(M54/local_data_input!$H10))*local_data_input!$H10*local_data_input!O101+(M54-(SIGN(M54)*INT(ABS(M54/local_data_input!$H10))*local_data_input!$H10))*local_data_input!O123</f>
        <v>13042.184986774149</v>
      </c>
      <c r="Z54" s="1972">
        <f>SIGN(N54)*INT(ABS(N54/local_data_input!$H10))*local_data_input!$H10*local_data_input!P101+(N54-(SIGN(N54)*INT(ABS(N54/local_data_input!$H10))*local_data_input!$H10))*local_data_input!P123</f>
        <v>13303.028686509633</v>
      </c>
      <c r="AA54" s="1972">
        <f>SIGN(O54)*INT(ABS(O54/local_data_input!$H10))*local_data_input!$H10*local_data_input!Q101+(O54-(SIGN(O54)*INT(ABS(O54/local_data_input!$H10))*local_data_input!$H10))*local_data_input!Q123</f>
        <v>13688.816518418411</v>
      </c>
    </row>
    <row r="55" spans="1:29" ht="18" customHeight="1">
      <c r="A55" s="2286" t="s">
        <v>84</v>
      </c>
      <c r="B55" s="2287"/>
      <c r="C55" s="2288"/>
      <c r="D55" s="2022">
        <f>outputs_by_channel!E28</f>
        <v>-48767.732072017345</v>
      </c>
      <c r="E55" s="2022"/>
      <c r="F55" s="2022"/>
      <c r="G55" s="2022"/>
      <c r="H55" s="2022"/>
      <c r="I55" s="1966"/>
      <c r="K55" s="2022">
        <f t="shared" si="10"/>
        <v>-48767.732072017345</v>
      </c>
      <c r="L55" s="2022">
        <f t="shared" ref="L55:M55" si="19">K55</f>
        <v>-48767.732072017345</v>
      </c>
      <c r="M55" s="2022">
        <f t="shared" si="19"/>
        <v>-48767.732072017345</v>
      </c>
      <c r="N55" s="2022">
        <f t="shared" si="11"/>
        <v>-48767.732072017345</v>
      </c>
      <c r="O55" s="2022">
        <f t="shared" si="13"/>
        <v>-48767.732072017345</v>
      </c>
      <c r="P55" s="1966"/>
      <c r="Q55" s="1972">
        <f>K55*local_data_input!M79</f>
        <v>-975354.64144034684</v>
      </c>
      <c r="R55" s="1972">
        <f>L55*local_data_input!N79</f>
        <v>-997787.79819347477</v>
      </c>
      <c r="S55" s="1972">
        <f>M55*local_data_input!O79</f>
        <v>-1017743.5541573444</v>
      </c>
      <c r="T55" s="1972">
        <f>N55*local_data_input!P79</f>
        <v>-1038098.4252404913</v>
      </c>
      <c r="U55" s="1972">
        <f>O55*local_data_input!Q79</f>
        <v>-1068203.2795724655</v>
      </c>
      <c r="V55" s="1966"/>
      <c r="W55" s="1972">
        <f>SIGN(K55)*INT(ABS(K55/local_data_input!$H11))*local_data_input!$H11*local_data_input!M102+(K55-(SIGN(K55)*INT(ABS(K55/local_data_input!$H11))*local_data_input!$H11))*local_data_input!M124</f>
        <v>-48865.267536161307</v>
      </c>
      <c r="X55" s="1972">
        <f>SIGN(L55)*INT(ABS(L55/local_data_input!$H11))*local_data_input!$H11*local_data_input!N102+(L55-(SIGN(L55)*INT(ABS(L55/local_data_input!$H11))*local_data_input!$H11))*local_data_input!N124</f>
        <v>-49989.16868949301</v>
      </c>
      <c r="Y55" s="1972">
        <f>SIGN(M55)*INT(ABS(M55/local_data_input!$H11))*local_data_input!$H11*local_data_input!O102+(M55-(SIGN(M55)*INT(ABS(M55/local_data_input!$H11))*local_data_input!$H11))*local_data_input!O124</f>
        <v>-50988.952063282872</v>
      </c>
      <c r="Z55" s="1972">
        <f>SIGN(N55)*INT(ABS(N55/local_data_input!$H11))*local_data_input!$H11*local_data_input!P102+(N55-(SIGN(N55)*INT(ABS(N55/local_data_input!$H11))*local_data_input!$H11))*local_data_input!P124</f>
        <v>-52008.731104548526</v>
      </c>
      <c r="AA55" s="1972">
        <f>SIGN(O55)*INT(ABS(O55/local_data_input!$H11))*local_data_input!$H11*local_data_input!Q102+(O55-(SIGN(O55)*INT(ABS(O55/local_data_input!$H11))*local_data_input!$H11))*local_data_input!Q124</f>
        <v>-53516.984306580423</v>
      </c>
    </row>
    <row r="56" spans="1:29" ht="18" customHeight="1">
      <c r="A56" s="2286" t="s">
        <v>41</v>
      </c>
      <c r="B56" s="2287"/>
      <c r="C56" s="2288"/>
      <c r="D56" s="2022">
        <f>outputs_by_channel!E29</f>
        <v>-119.60506758625777</v>
      </c>
      <c r="E56" s="2022"/>
      <c r="F56" s="2022"/>
      <c r="G56" s="2022"/>
      <c r="H56" s="2022"/>
      <c r="I56" s="1966"/>
      <c r="K56" s="2022">
        <f t="shared" si="10"/>
        <v>-119.60506758625777</v>
      </c>
      <c r="L56" s="2022">
        <f t="shared" ref="L56:M56" si="20">K56</f>
        <v>-119.60506758625777</v>
      </c>
      <c r="M56" s="2022">
        <f t="shared" si="20"/>
        <v>-119.60506758625777</v>
      </c>
      <c r="N56" s="2022">
        <f t="shared" si="11"/>
        <v>-119.60506758625777</v>
      </c>
      <c r="O56" s="2022">
        <f t="shared" si="13"/>
        <v>-119.60506758625777</v>
      </c>
      <c r="P56" s="1966"/>
      <c r="Q56" s="1972">
        <f>K56*local_data_input!M80</f>
        <v>-1674.4709462076089</v>
      </c>
      <c r="R56" s="1972">
        <f>L56*local_data_input!N80</f>
        <v>-1712.9837779703837</v>
      </c>
      <c r="S56" s="1972">
        <f>M56*local_data_input!O80</f>
        <v>-1747.2434535297916</v>
      </c>
      <c r="T56" s="1972">
        <f>N56*local_data_input!P80</f>
        <v>-1782.1883226003874</v>
      </c>
      <c r="U56" s="1972">
        <f>O56*local_data_input!Q80</f>
        <v>-1833.8717839557985</v>
      </c>
      <c r="V56" s="1966"/>
      <c r="W56" s="1972">
        <f>SIGN(K56)*INT(ABS(K56/local_data_input!$H12))*local_data_input!$H12*local_data_input!M103+(K56-(SIGN(K56)*INT(ABS(K56/local_data_input!$H12))*local_data_input!$H12))*local_data_input!M125</f>
        <v>-1674.4709462076089</v>
      </c>
      <c r="X56" s="1972">
        <f>SIGN(L56)*INT(ABS(L56/local_data_input!$H12))*local_data_input!$H12*local_data_input!N103+(L56-(SIGN(L56)*INT(ABS(L56/local_data_input!$H12))*local_data_input!$H12))*local_data_input!N125</f>
        <v>-1712.9837779703839</v>
      </c>
      <c r="Y56" s="1972">
        <f>SIGN(M56)*INT(ABS(M56/local_data_input!$H12))*local_data_input!$H12*local_data_input!O103+(M56-(SIGN(M56)*INT(ABS(M56/local_data_input!$H12))*local_data_input!$H12))*local_data_input!O125</f>
        <v>-1747.2434535297916</v>
      </c>
      <c r="Z56" s="1972">
        <f>SIGN(N56)*INT(ABS(N56/local_data_input!$H12))*local_data_input!$H12*local_data_input!P103+(N56-(SIGN(N56)*INT(ABS(N56/local_data_input!$H12))*local_data_input!$H12))*local_data_input!P125</f>
        <v>-1782.1883226003874</v>
      </c>
      <c r="AA56" s="1972">
        <f>SIGN(O56)*INT(ABS(O56/local_data_input!$H12))*local_data_input!$H12*local_data_input!Q103+(O56-(SIGN(O56)*INT(ABS(O56/local_data_input!$H12))*local_data_input!$H12))*local_data_input!Q125</f>
        <v>-1833.8717839557985</v>
      </c>
    </row>
    <row r="57" spans="1:29" ht="18" customHeight="1">
      <c r="A57" s="2286" t="s">
        <v>567</v>
      </c>
      <c r="B57" s="2287"/>
      <c r="C57" s="2288"/>
      <c r="D57" s="2022">
        <f>outputs_by_channel!E30</f>
        <v>0</v>
      </c>
      <c r="E57" s="2022"/>
      <c r="F57" s="2022"/>
      <c r="G57" s="2022"/>
      <c r="H57" s="2022"/>
      <c r="I57" s="1966"/>
      <c r="K57" s="2022">
        <f t="shared" si="10"/>
        <v>0</v>
      </c>
      <c r="L57" s="2022">
        <f t="shared" ref="L57:M57" si="21">K57</f>
        <v>0</v>
      </c>
      <c r="M57" s="2022">
        <f t="shared" si="21"/>
        <v>0</v>
      </c>
      <c r="N57" s="2022">
        <f t="shared" si="11"/>
        <v>0</v>
      </c>
      <c r="O57" s="2022">
        <f t="shared" si="13"/>
        <v>0</v>
      </c>
      <c r="P57" s="1966"/>
      <c r="Q57" s="1972">
        <f>K57*local_data_input!M88</f>
        <v>0</v>
      </c>
      <c r="R57" s="1972">
        <f>L57*local_data_input!N88</f>
        <v>0</v>
      </c>
      <c r="S57" s="1972">
        <f>M57*local_data_input!O88</f>
        <v>0</v>
      </c>
      <c r="T57" s="1972">
        <f>N57*local_data_input!P88</f>
        <v>0</v>
      </c>
      <c r="U57" s="1972">
        <f>O57*local_data_input!Q88</f>
        <v>0</v>
      </c>
      <c r="V57" s="1966"/>
      <c r="W57" s="1972">
        <f>SIGN(K57)*INT(ABS(K57/local_data_input!$H13))*local_data_input!$H13*local_data_input!M111+(K57-(SIGN(K57)*INT(ABS(K57/local_data_input!$H13))*local_data_input!$H13))*local_data_input!M133</f>
        <v>0</v>
      </c>
      <c r="X57" s="1972">
        <f>SIGN(L57)*INT(ABS(L57/local_data_input!$H13))*local_data_input!$H13*local_data_input!N111+(L57-(SIGN(L57)*INT(ABS(L57/local_data_input!$H13))*local_data_input!$H13))*local_data_input!N133</f>
        <v>0</v>
      </c>
      <c r="Y57" s="1972">
        <f>SIGN(M57)*INT(ABS(M57/local_data_input!$H13))*local_data_input!$H13*local_data_input!O111+(M57-(SIGN(M57)*INT(ABS(M57/local_data_input!$H13))*local_data_input!$H13))*local_data_input!O133</f>
        <v>0</v>
      </c>
      <c r="Z57" s="1972">
        <f>SIGN(N57)*INT(ABS(N57/local_data_input!$H13))*local_data_input!$H13*local_data_input!P111+(N57-(SIGN(N57)*INT(ABS(N57/local_data_input!$H13))*local_data_input!$H13))*local_data_input!P133</f>
        <v>0</v>
      </c>
      <c r="AA57" s="1972">
        <f>SIGN(O57)*INT(ABS(O57/local_data_input!$H13))*local_data_input!$H13*local_data_input!Q111+(O57-(SIGN(O57)*INT(ABS(O57/local_data_input!$H13))*local_data_input!$H13))*local_data_input!Q133</f>
        <v>0</v>
      </c>
    </row>
    <row r="58" spans="1:29" ht="18" customHeight="1">
      <c r="A58" s="2286" t="s">
        <v>76</v>
      </c>
      <c r="B58" s="2287"/>
      <c r="C58" s="2288"/>
      <c r="D58" s="2022">
        <f>outputs_by_channel!E31</f>
        <v>-866.04357425156422</v>
      </c>
      <c r="E58" s="2022"/>
      <c r="F58" s="2022"/>
      <c r="G58" s="2022"/>
      <c r="H58" s="2022"/>
      <c r="I58" s="1966"/>
      <c r="K58" s="2022">
        <f t="shared" si="10"/>
        <v>-866.04357425156422</v>
      </c>
      <c r="L58" s="2022">
        <f t="shared" ref="L58:M58" si="22">K58</f>
        <v>-866.04357425156422</v>
      </c>
      <c r="M58" s="2022">
        <f t="shared" si="22"/>
        <v>-866.04357425156422</v>
      </c>
      <c r="N58" s="2022">
        <f t="shared" si="11"/>
        <v>-866.04357425156422</v>
      </c>
      <c r="O58" s="2022">
        <f t="shared" si="13"/>
        <v>-866.04357425156422</v>
      </c>
      <c r="P58" s="1966"/>
      <c r="Q58" s="1972">
        <f>K58*local_data_input!M81</f>
        <v>-155742.01614019342</v>
      </c>
      <c r="R58" s="1972">
        <f>L58*local_data_input!N81</f>
        <v>-159324.08251141786</v>
      </c>
      <c r="S58" s="1972">
        <f>M58*local_data_input!O81</f>
        <v>-162510.56416164624</v>
      </c>
      <c r="T58" s="1972">
        <f>N58*local_data_input!P81</f>
        <v>-165760.77544487917</v>
      </c>
      <c r="U58" s="1972">
        <f>O58*local_data_input!Q81</f>
        <v>-170567.83793278062</v>
      </c>
      <c r="V58" s="1966"/>
      <c r="W58" s="1972">
        <f>SIGN(K58)*INT(ABS(K58/local_data_input!$H14))*local_data_input!$H14*local_data_input!M104+(K58-(SIGN(K58)*INT(ABS(K58/local_data_input!$H14))*local_data_input!$H14))*local_data_input!M126</f>
        <v>-13989.634876672641</v>
      </c>
      <c r="X58" s="1972">
        <f>SIGN(L58)*INT(ABS(L58/local_data_input!$H14))*local_data_input!$H14*local_data_input!N104+(L58-(SIGN(L58)*INT(ABS(L58/local_data_input!$H14))*local_data_input!$H14))*local_data_input!N126</f>
        <v>-14311.39647883611</v>
      </c>
      <c r="Y58" s="1972">
        <f>SIGN(M58)*INT(ABS(M58/local_data_input!$H14))*local_data_input!$H14*local_data_input!O104+(M58-(SIGN(M58)*INT(ABS(M58/local_data_input!$H14))*local_data_input!$H14))*local_data_input!O126</f>
        <v>-14597.624408412834</v>
      </c>
      <c r="Z58" s="1972">
        <f>SIGN(N58)*INT(ABS(N58/local_data_input!$H14))*local_data_input!$H14*local_data_input!P104+(N58-(SIGN(N58)*INT(ABS(N58/local_data_input!$H14))*local_data_input!$H14))*local_data_input!P126</f>
        <v>-14889.576896581091</v>
      </c>
      <c r="AA58" s="1972">
        <f>SIGN(O58)*INT(ABS(O58/local_data_input!$H14))*local_data_input!$H14*local_data_input!Q104+(O58-(SIGN(O58)*INT(ABS(O58/local_data_input!$H14))*local_data_input!$H14))*local_data_input!Q126</f>
        <v>-15321.374626581941</v>
      </c>
    </row>
    <row r="59" spans="1:29" ht="18" customHeight="1">
      <c r="A59" s="2286" t="s">
        <v>46</v>
      </c>
      <c r="B59" s="2287"/>
      <c r="C59" s="2288"/>
      <c r="D59" s="2022">
        <f>outputs_by_channel!E32</f>
        <v>9551.0577833522875</v>
      </c>
      <c r="E59" s="2022"/>
      <c r="F59" s="2022"/>
      <c r="G59" s="2022"/>
      <c r="H59" s="2022"/>
      <c r="I59" s="1966"/>
      <c r="K59" s="2022">
        <f t="shared" si="10"/>
        <v>9551.0577833522875</v>
      </c>
      <c r="L59" s="2022">
        <f t="shared" ref="L59:M59" si="23">K59</f>
        <v>9551.0577833522875</v>
      </c>
      <c r="M59" s="2022">
        <f t="shared" si="23"/>
        <v>9551.0577833522875</v>
      </c>
      <c r="N59" s="2022">
        <f t="shared" si="11"/>
        <v>9551.0577833522875</v>
      </c>
      <c r="O59" s="2022">
        <f t="shared" si="13"/>
        <v>9551.0577833522875</v>
      </c>
      <c r="P59" s="1966"/>
      <c r="Q59" s="1972">
        <f>K59*local_data_input!M82</f>
        <v>2225587.4912399561</v>
      </c>
      <c r="R59" s="1972">
        <f>L59*local_data_input!N82</f>
        <v>2276776.0035384749</v>
      </c>
      <c r="S59" s="1972">
        <f>M59*local_data_input!O82</f>
        <v>2322311.5236092443</v>
      </c>
      <c r="T59" s="1972">
        <f>N59*local_data_input!P82</f>
        <v>2368757.754081429</v>
      </c>
      <c r="U59" s="1972">
        <f>O59*local_data_input!Q82</f>
        <v>2437451.7289497904</v>
      </c>
      <c r="V59" s="1966"/>
      <c r="W59" s="1972">
        <f>SIGN(K59)*INT(ABS(K59/local_data_input!$H15))*local_data_input!$H15*local_data_input!M105+(K59-(SIGN(K59)*INT(ABS(K59/local_data_input!$H15))*local_data_input!$H15))*local_data_input!M127</f>
        <v>245917.77048841969</v>
      </c>
      <c r="X59" s="1972">
        <f>SIGN(L59)*INT(ABS(L59/local_data_input!$H15))*local_data_input!$H15*local_data_input!N105+(L59-(SIGN(L59)*INT(ABS(L59/local_data_input!$H15))*local_data_input!$H15))*local_data_input!N127</f>
        <v>251573.8792096533</v>
      </c>
      <c r="Y59" s="1972">
        <f>SIGN(M59)*INT(ABS(M59/local_data_input!$H15))*local_data_input!$H15*local_data_input!O105+(M59-(SIGN(M59)*INT(ABS(M59/local_data_input!$H15))*local_data_input!$H15))*local_data_input!O127</f>
        <v>256605.35679384638</v>
      </c>
      <c r="Z59" s="1972">
        <f>SIGN(N59)*INT(ABS(N59/local_data_input!$H15))*local_data_input!$H15*local_data_input!P105+(N59-(SIGN(N59)*INT(ABS(N59/local_data_input!$H15))*local_data_input!$H15))*local_data_input!P127</f>
        <v>261737.46392972331</v>
      </c>
      <c r="AA59" s="1972">
        <f>SIGN(O59)*INT(ABS(O59/local_data_input!$H15))*local_data_input!$H15*local_data_input!Q105+(O59-(SIGN(O59)*INT(ABS(O59/local_data_input!$H15))*local_data_input!$H15))*local_data_input!Q127</f>
        <v>269327.85038368526</v>
      </c>
    </row>
    <row r="60" spans="1:29" ht="18" customHeight="1">
      <c r="A60" s="2286" t="s">
        <v>30</v>
      </c>
      <c r="B60" s="2287"/>
      <c r="C60" s="2288"/>
      <c r="D60" s="2022">
        <f>outputs_by_channel!E33</f>
        <v>-6635.5322782813219</v>
      </c>
      <c r="E60" s="2022"/>
      <c r="F60" s="2022"/>
      <c r="G60" s="2022"/>
      <c r="H60" s="2022"/>
      <c r="I60" s="1966"/>
      <c r="K60" s="2022">
        <f t="shared" si="10"/>
        <v>-6635.5322782813219</v>
      </c>
      <c r="L60" s="2022">
        <f t="shared" ref="L60:M60" si="24">K60</f>
        <v>-6635.5322782813219</v>
      </c>
      <c r="M60" s="2022">
        <f t="shared" si="24"/>
        <v>-6635.5322782813219</v>
      </c>
      <c r="N60" s="2022">
        <f t="shared" si="11"/>
        <v>-6635.5322782813219</v>
      </c>
      <c r="O60" s="2022">
        <f t="shared" si="13"/>
        <v>-6635.5322782813219</v>
      </c>
      <c r="P60" s="1966"/>
      <c r="Q60" s="1972">
        <f>K60*local_data_input!M83</f>
        <v>-247269.46848399242</v>
      </c>
      <c r="R60" s="1972">
        <f>L60*local_data_input!N83</f>
        <v>-252956.66625912418</v>
      </c>
      <c r="S60" s="1972">
        <f>M60*local_data_input!O83</f>
        <v>-258015.79958430669</v>
      </c>
      <c r="T60" s="1972">
        <f>N60*local_data_input!P83</f>
        <v>-263176.11557599285</v>
      </c>
      <c r="U60" s="1972">
        <f>O60*local_data_input!Q83</f>
        <v>-270808.2229276966</v>
      </c>
      <c r="V60" s="1966"/>
      <c r="W60" s="1972">
        <f>SIGN(K60)*INT(ABS(K60/local_data_input!$H16))*local_data_input!$H16*local_data_input!M106+(K60-(SIGN(K60)*INT(ABS(K60/local_data_input!$H16))*local_data_input!$H16))*local_data_input!M128</f>
        <v>-25406.872484208623</v>
      </c>
      <c r="X60" s="1972">
        <f>SIGN(L60)*INT(ABS(L60/local_data_input!$H16))*local_data_input!$H16*local_data_input!N106+(L60-(SIGN(L60)*INT(ABS(L60/local_data_input!$H16))*local_data_input!$H16))*local_data_input!N128</f>
        <v>-25991.230551345416</v>
      </c>
      <c r="Y60" s="1972">
        <f>SIGN(M60)*INT(ABS(M60/local_data_input!$H16))*local_data_input!$H16*local_data_input!O106+(M60-(SIGN(M60)*INT(ABS(M60/local_data_input!$H16))*local_data_input!$H16))*local_data_input!O128</f>
        <v>-26511.055162372322</v>
      </c>
      <c r="Z60" s="1972">
        <f>SIGN(N60)*INT(ABS(N60/local_data_input!$H16))*local_data_input!$H16*local_data_input!P106+(N60-(SIGN(N60)*INT(ABS(N60/local_data_input!$H16))*local_data_input!$H16))*local_data_input!P128</f>
        <v>-27041.27626561977</v>
      </c>
      <c r="AA60" s="1972">
        <f>SIGN(O60)*INT(ABS(O60/local_data_input!$H16))*local_data_input!$H16*local_data_input!Q106+(O60-(SIGN(O60)*INT(ABS(O60/local_data_input!$H16))*local_data_input!$H16))*local_data_input!Q128</f>
        <v>-27825.473277322744</v>
      </c>
    </row>
    <row r="61" spans="1:29" ht="18" customHeight="1">
      <c r="A61" s="2286" t="s">
        <v>48</v>
      </c>
      <c r="B61" s="2287"/>
      <c r="C61" s="2288"/>
      <c r="D61" s="2022">
        <f>outputs_by_channel!E34</f>
        <v>88.15558801445205</v>
      </c>
      <c r="E61" s="2022"/>
      <c r="F61" s="2022"/>
      <c r="G61" s="2022"/>
      <c r="H61" s="2022"/>
      <c r="I61" s="1966"/>
      <c r="K61" s="2022">
        <f t="shared" si="10"/>
        <v>88.15558801445205</v>
      </c>
      <c r="L61" s="2022">
        <f t="shared" ref="L61:M61" si="25">K61</f>
        <v>88.15558801445205</v>
      </c>
      <c r="M61" s="2022">
        <f t="shared" si="25"/>
        <v>88.15558801445205</v>
      </c>
      <c r="N61" s="2022">
        <f t="shared" si="11"/>
        <v>88.15558801445205</v>
      </c>
      <c r="O61" s="2022">
        <f t="shared" si="13"/>
        <v>88.15558801445205</v>
      </c>
      <c r="P61" s="1966"/>
      <c r="Q61" s="1972">
        <f>K61*local_data_input!M84</f>
        <v>24883.010837550399</v>
      </c>
      <c r="R61" s="1972">
        <f>L61*local_data_input!N84</f>
        <v>25455.320086814056</v>
      </c>
      <c r="S61" s="1972">
        <f>M61*local_data_input!O84</f>
        <v>25964.426488550336</v>
      </c>
      <c r="T61" s="1972">
        <f>N61*local_data_input!P84</f>
        <v>26483.715018321345</v>
      </c>
      <c r="U61" s="1972">
        <f>O61*local_data_input!Q84</f>
        <v>27251.742753852661</v>
      </c>
      <c r="V61" s="1966"/>
      <c r="W61" s="1972">
        <f>SIGN(K61)*INT(ABS(K61/local_data_input!$H17))*local_data_input!$H17*local_data_input!M107+(K61-(SIGN(K61)*INT(ABS(K61/local_data_input!$H17))*local_data_input!$H17))*local_data_input!M129</f>
        <v>1928.8001879427532</v>
      </c>
      <c r="X61" s="1972">
        <f>SIGN(L61)*INT(ABS(L61/local_data_input!$H17))*local_data_input!$H17*local_data_input!N107+(L61-(SIGN(L61)*INT(ABS(L61/local_data_input!$H17))*local_data_input!$H17))*local_data_input!N129</f>
        <v>1973.1625922654362</v>
      </c>
      <c r="Y61" s="1972">
        <f>SIGN(M61)*INT(ABS(M61/local_data_input!$H17))*local_data_input!$H17*local_data_input!O107+(M61-(SIGN(M61)*INT(ABS(M61/local_data_input!$H17))*local_data_input!$H17))*local_data_input!O129</f>
        <v>2012.625844110745</v>
      </c>
      <c r="Z61" s="1972">
        <f>SIGN(N61)*INT(ABS(N61/local_data_input!$H17))*local_data_input!$H17*local_data_input!P107+(N61-(SIGN(N61)*INT(ABS(N61/local_data_input!$H17))*local_data_input!$H17))*local_data_input!P129</f>
        <v>2052.8783609929596</v>
      </c>
      <c r="AA61" s="1972">
        <f>SIGN(O61)*INT(ABS(O61/local_data_input!$H17))*local_data_input!$H17*local_data_input!Q107+(O61-(SIGN(O61)*INT(ABS(O61/local_data_input!$H17))*local_data_input!$H17))*local_data_input!Q129</f>
        <v>2112.4118334617556</v>
      </c>
    </row>
    <row r="62" spans="1:29" ht="18" customHeight="1">
      <c r="A62" s="2286" t="s">
        <v>225</v>
      </c>
      <c r="B62" s="2287"/>
      <c r="C62" s="2288"/>
      <c r="D62" s="2022">
        <f>outputs_by_channel!E35</f>
        <v>-94.39354767660771</v>
      </c>
      <c r="E62" s="2022"/>
      <c r="F62" s="2022"/>
      <c r="G62" s="2022"/>
      <c r="H62" s="2022"/>
      <c r="I62" s="1966"/>
      <c r="K62" s="2022">
        <f t="shared" si="10"/>
        <v>-94.39354767660771</v>
      </c>
      <c r="L62" s="2022">
        <f t="shared" ref="L62:M62" si="26">K62</f>
        <v>-94.39354767660771</v>
      </c>
      <c r="M62" s="2022">
        <f t="shared" si="26"/>
        <v>-94.39354767660771</v>
      </c>
      <c r="N62" s="2022">
        <f t="shared" si="11"/>
        <v>-94.39354767660771</v>
      </c>
      <c r="O62" s="2022">
        <f t="shared" si="13"/>
        <v>-94.39354767660771</v>
      </c>
      <c r="P62" s="1966"/>
      <c r="Q62" s="1972">
        <f>K62*local_data_input!M85</f>
        <v>-2265.4451442385853</v>
      </c>
      <c r="R62" s="1972">
        <f>L62*local_data_input!N85</f>
        <v>-2317.5503825560722</v>
      </c>
      <c r="S62" s="1972">
        <f>M62*local_data_input!O85</f>
        <v>-2363.9013902071943</v>
      </c>
      <c r="T62" s="1972">
        <f>N62*local_data_input!P85</f>
        <v>-2411.1794180113379</v>
      </c>
      <c r="U62" s="1972">
        <f>O62*local_data_input!Q85</f>
        <v>-2481.1036211336668</v>
      </c>
      <c r="V62" s="1966"/>
      <c r="W62" s="1972">
        <f>SIGN(K62)*INT(ABS(K62/local_data_input!$H18))*local_data_input!$H18*local_data_input!M108+(K62-(SIGN(K62)*INT(ABS(K62/local_data_input!$H18))*local_data_input!$H18))*local_data_input!M130</f>
        <v>-258.16045329618896</v>
      </c>
      <c r="X62" s="1972">
        <f>SIGN(L62)*INT(ABS(L62/local_data_input!$H18))*local_data_input!$H18*local_data_input!N108+(L62-(SIGN(L62)*INT(ABS(L62/local_data_input!$H18))*local_data_input!$H18))*local_data_input!N130</f>
        <v>-264.09814372200128</v>
      </c>
      <c r="Y62" s="1972">
        <f>SIGN(M62)*INT(ABS(M62/local_data_input!$H18))*local_data_input!$H18*local_data_input!O108+(M62-(SIGN(M62)*INT(ABS(M62/local_data_input!$H18))*local_data_input!$H18))*local_data_input!O130</f>
        <v>-269.38010659644129</v>
      </c>
      <c r="Z62" s="1972">
        <f>SIGN(N62)*INT(ABS(N62/local_data_input!$H18))*local_data_input!$H18*local_data_input!P108+(N62-(SIGN(N62)*INT(ABS(N62/local_data_input!$H18))*local_data_input!$H18))*local_data_input!P130</f>
        <v>-274.76770872837011</v>
      </c>
      <c r="AA62" s="1972">
        <f>SIGN(O62)*INT(ABS(O62/local_data_input!$H18))*local_data_input!$H18*local_data_input!Q108+(O62-(SIGN(O62)*INT(ABS(O62/local_data_input!$H18))*local_data_input!$H18))*local_data_input!Q130</f>
        <v>-282.73597228149282</v>
      </c>
    </row>
    <row r="63" spans="1:29" ht="18" customHeight="1">
      <c r="A63" s="2286" t="s">
        <v>32</v>
      </c>
      <c r="B63" s="2287"/>
      <c r="C63" s="2288"/>
      <c r="D63" s="2022">
        <f>outputs_by_channel!E36</f>
        <v>13317.912978983313</v>
      </c>
      <c r="E63" s="2022"/>
      <c r="F63" s="2022"/>
      <c r="G63" s="2022"/>
      <c r="H63" s="2022"/>
      <c r="I63" s="1959"/>
      <c r="K63" s="2022">
        <f t="shared" si="10"/>
        <v>13317.912978983313</v>
      </c>
      <c r="L63" s="2022">
        <f t="shared" ref="L63:M63" si="27">K63</f>
        <v>13317.912978983313</v>
      </c>
      <c r="M63" s="2022">
        <f t="shared" si="27"/>
        <v>13317.912978983313</v>
      </c>
      <c r="N63" s="2022">
        <f t="shared" si="11"/>
        <v>13317.912978983313</v>
      </c>
      <c r="O63" s="2022">
        <f t="shared" si="13"/>
        <v>13317.912978983313</v>
      </c>
      <c r="P63" s="1966"/>
      <c r="Q63" s="1972">
        <f>K63*local_data_input!M86</f>
        <v>492762.78022238257</v>
      </c>
      <c r="R63" s="1972">
        <f>L63*local_data_input!N86</f>
        <v>504096.3241674974</v>
      </c>
      <c r="S63" s="1972">
        <f>M63*local_data_input!O86</f>
        <v>514178.25065084727</v>
      </c>
      <c r="T63" s="1972">
        <f>N63*local_data_input!P86</f>
        <v>524461.81566386414</v>
      </c>
      <c r="U63" s="1972">
        <f>O63*local_data_input!Q86</f>
        <v>539671.20831811614</v>
      </c>
      <c r="V63" s="1966"/>
      <c r="W63" s="1972">
        <f>SIGN(K63)*INT(ABS(K63/local_data_input!$H19))*local_data_input!$H19*local_data_input!M109+(K63-(SIGN(K63)*INT(ABS(K63/local_data_input!$H19))*local_data_input!$H19))*local_data_input!M131</f>
        <v>55363.962633938121</v>
      </c>
      <c r="X63" s="1972">
        <f>SIGN(L63)*INT(ABS(L63/local_data_input!$H19))*local_data_input!$H19*local_data_input!N109+(L63-(SIGN(L63)*INT(ABS(L63/local_data_input!$H19))*local_data_input!$H19))*local_data_input!N131</f>
        <v>56637.333774518687</v>
      </c>
      <c r="Y63" s="1972">
        <f>SIGN(M63)*INT(ABS(M63/local_data_input!$H19))*local_data_input!$H19*local_data_input!O109+(M63-(SIGN(M63)*INT(ABS(M63/local_data_input!$H19))*local_data_input!$H19))*local_data_input!O131</f>
        <v>57770.080450009067</v>
      </c>
      <c r="Z63" s="1972">
        <f>SIGN(N63)*INT(ABS(N63/local_data_input!$H19))*local_data_input!$H19*local_data_input!P109+(N63-(SIGN(N63)*INT(ABS(N63/local_data_input!$H19))*local_data_input!$H19))*local_data_input!P131</f>
        <v>58925.482059009257</v>
      </c>
      <c r="AA63" s="1972">
        <f>SIGN(O63)*INT(ABS(O63/local_data_input!$H19))*local_data_input!$H19*local_data_input!Q109+(O63-(SIGN(O63)*INT(ABS(O63/local_data_input!$H19))*local_data_input!$H19))*local_data_input!Q131</f>
        <v>60634.321038720518</v>
      </c>
    </row>
    <row r="64" spans="1:29" ht="18" customHeight="1">
      <c r="A64" s="2297" t="s">
        <v>34</v>
      </c>
      <c r="B64" s="2298"/>
      <c r="C64" s="2299"/>
      <c r="D64" s="2022">
        <f>outputs_by_channel!E37</f>
        <v>3738.1322305375106</v>
      </c>
      <c r="E64" s="2022">
        <f>D64</f>
        <v>3738.1322305375106</v>
      </c>
      <c r="F64" s="2022">
        <f>E64</f>
        <v>3738.1322305375106</v>
      </c>
      <c r="G64" s="2022">
        <f>F64</f>
        <v>3738.1322305375106</v>
      </c>
      <c r="H64" s="2022">
        <f>G64</f>
        <v>3738.1322305375106</v>
      </c>
      <c r="I64" s="1959">
        <f>H64</f>
        <v>3738.1322305375106</v>
      </c>
      <c r="K64" s="2022">
        <f t="shared" si="10"/>
        <v>3738.1322305375106</v>
      </c>
      <c r="L64" s="2022">
        <f t="shared" ref="L64:M64" si="28">K64</f>
        <v>3738.1322305375106</v>
      </c>
      <c r="M64" s="2022">
        <f t="shared" si="28"/>
        <v>3738.1322305375106</v>
      </c>
      <c r="N64" s="2022">
        <f t="shared" si="11"/>
        <v>3738.1322305375106</v>
      </c>
      <c r="O64" s="2022">
        <f t="shared" si="13"/>
        <v>3738.1322305375106</v>
      </c>
      <c r="P64" s="1966"/>
      <c r="Q64" s="1972">
        <f>K64*local_data_input!M87</f>
        <v>228026.06606278816</v>
      </c>
      <c r="R64" s="1972">
        <f>L64*local_data_input!N87</f>
        <v>233270.66558223224</v>
      </c>
      <c r="S64" s="1972">
        <f>M64*local_data_input!O87</f>
        <v>237936.0788938769</v>
      </c>
      <c r="T64" s="1972">
        <f>N64*local_data_input!P87</f>
        <v>242694.80047175442</v>
      </c>
      <c r="U64" s="1972">
        <f>O64*local_data_input!Q87</f>
        <v>249732.94968543525</v>
      </c>
      <c r="V64" s="1966"/>
      <c r="W64" s="1972">
        <f>SIGN(K64)*INT(ABS(K64/local_data_input!$H20))*local_data_input!$H20*local_data_input!M110+(K64-(SIGN(K64)*INT(ABS(K64/local_data_input!$H20))*local_data_input!$H20))*local_data_input!M132</f>
        <v>24945.48156185231</v>
      </c>
      <c r="X64" s="1972">
        <f>SIGN(L64)*INT(ABS(L64/local_data_input!$H20))*local_data_input!$H20*local_data_input!N110+(L64-(SIGN(L64)*INT(ABS(L64/local_data_input!$H20))*local_data_input!$H20))*local_data_input!N132</f>
        <v>25519.227637774908</v>
      </c>
      <c r="Y64" s="1972">
        <f>SIGN(M64)*INT(ABS(M64/local_data_input!$H20))*local_data_input!$H20*local_data_input!O110+(M64-(SIGN(M64)*INT(ABS(M64/local_data_input!$H20))*local_data_input!$H20))*local_data_input!O132</f>
        <v>26029.61219053041</v>
      </c>
      <c r="Z64" s="1972">
        <f>SIGN(N64)*INT(ABS(N64/local_data_input!$H20))*local_data_input!$H20*local_data_input!P110+(N64-(SIGN(N64)*INT(ABS(N64/local_data_input!$H20))*local_data_input!$H20))*local_data_input!P132</f>
        <v>26550.204434341016</v>
      </c>
      <c r="AA64" s="1972">
        <f>SIGN(O64)*INT(ABS(O64/local_data_input!$H20))*local_data_input!$H20*local_data_input!Q110+(O64-(SIGN(O64)*INT(ABS(O64/local_data_input!$H20))*local_data_input!$H20))*local_data_input!Q132</f>
        <v>27320.160362936906</v>
      </c>
    </row>
    <row r="65" spans="1:27" ht="18" customHeight="1">
      <c r="A65" s="2303" t="s">
        <v>611</v>
      </c>
      <c r="B65" s="2303"/>
      <c r="C65" s="2303"/>
      <c r="D65" s="1954"/>
      <c r="E65" s="1954"/>
      <c r="F65" s="1954"/>
      <c r="G65" s="1954"/>
      <c r="H65" s="1954"/>
      <c r="I65" s="455"/>
      <c r="K65" s="455"/>
      <c r="L65" s="455"/>
      <c r="M65" s="455"/>
      <c r="N65" s="455"/>
      <c r="O65" s="455"/>
      <c r="P65" s="455"/>
      <c r="Q65" s="1973">
        <f>SUM(Q48:Q64)</f>
        <v>36329498.81162633</v>
      </c>
      <c r="R65" s="1973">
        <f>SUM(R48:R64)</f>
        <v>37165077.284293726</v>
      </c>
      <c r="S65" s="1973">
        <f>SUM(S48:S64)</f>
        <v>37908378.829979599</v>
      </c>
      <c r="T65" s="1973">
        <f>SUM(T48:T64)</f>
        <v>38666546.406579189</v>
      </c>
      <c r="U65" s="1973">
        <f>SUM(U48:U64)</f>
        <v>39787876.252369985</v>
      </c>
      <c r="V65" s="1966"/>
      <c r="W65" s="1970">
        <f>SUM(W48:W64)</f>
        <v>5444498.9990447871</v>
      </c>
      <c r="X65" s="1970">
        <f>SUM(X48:X64)</f>
        <v>5569722.4760228172</v>
      </c>
      <c r="Y65" s="1970">
        <f>SUM(Y48:Y64)</f>
        <v>5681116.9255432729</v>
      </c>
      <c r="Z65" s="1970">
        <f>SUM(Z48:Z64)</f>
        <v>5794739.2640541391</v>
      </c>
      <c r="AA65" s="1970">
        <f>SUM(AA48:AA64)</f>
        <v>5962786.7027117051</v>
      </c>
    </row>
    <row r="66" spans="1:27" s="455" customFormat="1" ht="15">
      <c r="A66" s="1090"/>
      <c r="B66" s="1090"/>
      <c r="C66" s="1090"/>
      <c r="D66" s="1090"/>
      <c r="E66" s="1090"/>
      <c r="F66" s="1090"/>
      <c r="G66" s="1090"/>
      <c r="H66" s="1090"/>
      <c r="I66" s="1090"/>
      <c r="J66" s="1090"/>
      <c r="K66" s="1090"/>
      <c r="L66" s="1090"/>
      <c r="M66" s="1090"/>
      <c r="N66" s="1090"/>
      <c r="O66" s="1090"/>
      <c r="P66" s="1090"/>
      <c r="Q66" s="1090"/>
      <c r="R66" s="1090"/>
      <c r="S66" s="1090"/>
      <c r="T66" s="456"/>
      <c r="U66" s="1948"/>
      <c r="V66" s="1948"/>
      <c r="W66" s="1948"/>
      <c r="X66" s="1948"/>
      <c r="Y66" s="1948"/>
    </row>
    <row r="67" spans="1:27">
      <c r="T67" s="1948"/>
      <c r="U67" s="1948"/>
      <c r="Y67" s="1090"/>
      <c r="Z67" s="1090"/>
    </row>
    <row r="68" spans="1:27" ht="15">
      <c r="A68" s="2296" t="s">
        <v>612</v>
      </c>
      <c r="B68" s="2296"/>
      <c r="C68" s="2296"/>
      <c r="D68" s="2296"/>
      <c r="E68" s="2296"/>
      <c r="F68" s="2296"/>
      <c r="G68" s="2296" t="s">
        <v>593</v>
      </c>
      <c r="H68" s="2296"/>
      <c r="I68" s="2296"/>
      <c r="J68" s="2296"/>
      <c r="T68" s="1948"/>
      <c r="U68" s="1948"/>
      <c r="Y68" s="1090"/>
      <c r="Z68" s="1090"/>
    </row>
    <row r="69" spans="1:27">
      <c r="T69" s="1948"/>
      <c r="U69" s="1948"/>
      <c r="Y69" s="1090"/>
      <c r="Z69" s="1090"/>
    </row>
    <row r="70" spans="1:27" ht="19.5">
      <c r="A70" s="2306" t="s">
        <v>606</v>
      </c>
      <c r="B70" s="2307"/>
      <c r="C70" s="2308"/>
      <c r="D70" s="498"/>
      <c r="E70" s="1954"/>
      <c r="F70" s="1954"/>
      <c r="G70" s="1954"/>
      <c r="H70" s="1954"/>
      <c r="K70" s="2274" t="s">
        <v>1304</v>
      </c>
      <c r="L70" s="2277"/>
      <c r="M70" s="2277"/>
      <c r="N70" s="2277"/>
      <c r="O70" s="2276"/>
      <c r="P70" s="1966"/>
      <c r="Q70" s="2274" t="s">
        <v>1305</v>
      </c>
      <c r="R70" s="2277"/>
      <c r="S70" s="2277"/>
      <c r="T70" s="2277"/>
      <c r="U70" s="2276"/>
      <c r="V70" s="1090"/>
      <c r="W70" s="2274" t="s">
        <v>607</v>
      </c>
      <c r="X70" s="2277"/>
      <c r="Y70" s="2277"/>
      <c r="Z70" s="2277"/>
      <c r="AA70" s="2276"/>
    </row>
    <row r="71" spans="1:27" ht="18" customHeight="1">
      <c r="A71" s="2289" t="s">
        <v>595</v>
      </c>
      <c r="B71" s="2304"/>
      <c r="C71" s="2305"/>
      <c r="D71" s="1022" t="s">
        <v>562</v>
      </c>
      <c r="E71" s="1954"/>
      <c r="F71" s="1954"/>
      <c r="G71" s="1954"/>
      <c r="H71" s="1954"/>
      <c r="K71" s="1950" t="s">
        <v>78</v>
      </c>
      <c r="L71" s="1951" t="s">
        <v>79</v>
      </c>
      <c r="M71" s="1952" t="s">
        <v>80</v>
      </c>
      <c r="N71" s="1952" t="s">
        <v>81</v>
      </c>
      <c r="O71" s="1019" t="s">
        <v>82</v>
      </c>
      <c r="P71" s="1957"/>
      <c r="Q71" s="1950" t="s">
        <v>78</v>
      </c>
      <c r="R71" s="1951" t="s">
        <v>79</v>
      </c>
      <c r="S71" s="1952" t="s">
        <v>80</v>
      </c>
      <c r="T71" s="1952" t="s">
        <v>81</v>
      </c>
      <c r="U71" s="1019" t="s">
        <v>82</v>
      </c>
      <c r="V71" s="1090"/>
      <c r="W71" s="1950" t="s">
        <v>78</v>
      </c>
      <c r="X71" s="1951" t="s">
        <v>79</v>
      </c>
      <c r="Y71" s="1952" t="s">
        <v>80</v>
      </c>
      <c r="Z71" s="1952" t="s">
        <v>81</v>
      </c>
      <c r="AA71" s="1019" t="s">
        <v>82</v>
      </c>
    </row>
    <row r="72" spans="1:27" ht="18" customHeight="1">
      <c r="A72" s="2286" t="s">
        <v>69</v>
      </c>
      <c r="B72" s="2287"/>
      <c r="C72" s="2288"/>
      <c r="D72" s="2022">
        <f>outputs_by_channel!E44</f>
        <v>7678.125</v>
      </c>
      <c r="E72" s="1954"/>
      <c r="F72" s="1954"/>
      <c r="G72" s="1954"/>
      <c r="H72" s="1954"/>
      <c r="K72" s="2022">
        <f t="shared" ref="K72:K80" si="29">D72</f>
        <v>7678.125</v>
      </c>
      <c r="L72" s="2022">
        <f>K72</f>
        <v>7678.125</v>
      </c>
      <c r="M72" s="2022">
        <f>L72</f>
        <v>7678.125</v>
      </c>
      <c r="N72" s="2022">
        <f>M72</f>
        <v>7678.125</v>
      </c>
      <c r="O72" s="2022">
        <f>N72</f>
        <v>7678.125</v>
      </c>
      <c r="P72" s="1966"/>
      <c r="Q72" s="1972">
        <f>K72*local_data_input!M72</f>
        <v>3620656.9073780663</v>
      </c>
      <c r="R72" s="1972">
        <f>L72*local_data_input!N72</f>
        <v>3703932.0162477614</v>
      </c>
      <c r="S72" s="1972">
        <f>M72*local_data_input!O72</f>
        <v>3778010.6565727168</v>
      </c>
      <c r="T72" s="1972">
        <f>N72*local_data_input!P72</f>
        <v>3853570.8697041715</v>
      </c>
      <c r="U72" s="1972">
        <f>O72*local_data_input!Q72</f>
        <v>3965324.4249255923</v>
      </c>
      <c r="V72" s="1957"/>
      <c r="W72" s="1958"/>
      <c r="X72" s="1958"/>
      <c r="Y72" s="1958"/>
      <c r="Z72" s="1958"/>
      <c r="AA72" s="1958"/>
    </row>
    <row r="73" spans="1:27" ht="18" customHeight="1">
      <c r="A73" s="2286" t="s">
        <v>43</v>
      </c>
      <c r="B73" s="2287"/>
      <c r="C73" s="2288"/>
      <c r="D73" s="2022">
        <f>outputs_by_channel!E45</f>
        <v>0</v>
      </c>
      <c r="E73" s="1954"/>
      <c r="F73" s="1954"/>
      <c r="G73" s="1954"/>
      <c r="H73" s="1954"/>
      <c r="K73" s="2022">
        <f t="shared" si="29"/>
        <v>0</v>
      </c>
      <c r="L73" s="2022">
        <f t="shared" ref="L73:O73" si="30">K73</f>
        <v>0</v>
      </c>
      <c r="M73" s="2022">
        <f t="shared" si="30"/>
        <v>0</v>
      </c>
      <c r="N73" s="2022">
        <f t="shared" ref="N73:N88" si="31">M73</f>
        <v>0</v>
      </c>
      <c r="O73" s="2022">
        <f t="shared" si="30"/>
        <v>0</v>
      </c>
      <c r="P73" s="1966"/>
      <c r="Q73" s="1972">
        <f>K73*local_data_input!M73</f>
        <v>0</v>
      </c>
      <c r="R73" s="1972">
        <f>L73*local_data_input!N73</f>
        <v>0</v>
      </c>
      <c r="S73" s="1972">
        <f>M73*local_data_input!O73</f>
        <v>0</v>
      </c>
      <c r="T73" s="1972">
        <f>N73*local_data_input!P73</f>
        <v>0</v>
      </c>
      <c r="U73" s="1972">
        <f>O73*local_data_input!Q73</f>
        <v>0</v>
      </c>
      <c r="V73" s="1966"/>
      <c r="W73" s="1958"/>
      <c r="X73" s="1958"/>
      <c r="Y73" s="1958"/>
      <c r="Z73" s="1958"/>
      <c r="AA73" s="1958"/>
    </row>
    <row r="74" spans="1:27" ht="18" customHeight="1">
      <c r="A74" s="2286" t="s">
        <v>49</v>
      </c>
      <c r="B74" s="2287"/>
      <c r="C74" s="2288"/>
      <c r="D74" s="2022">
        <f>outputs_by_channel!E46</f>
        <v>0</v>
      </c>
      <c r="E74" s="1954"/>
      <c r="F74" s="1954"/>
      <c r="G74" s="1954"/>
      <c r="H74" s="1954"/>
      <c r="K74" s="2022">
        <f t="shared" si="29"/>
        <v>0</v>
      </c>
      <c r="L74" s="2022">
        <f t="shared" ref="L74:O74" si="32">K74</f>
        <v>0</v>
      </c>
      <c r="M74" s="2022">
        <f t="shared" si="32"/>
        <v>0</v>
      </c>
      <c r="N74" s="2022">
        <f t="shared" si="31"/>
        <v>0</v>
      </c>
      <c r="O74" s="2022">
        <f t="shared" si="32"/>
        <v>0</v>
      </c>
      <c r="P74" s="1966"/>
      <c r="Q74" s="1972">
        <f>K74*local_data_input!M74</f>
        <v>0</v>
      </c>
      <c r="R74" s="1972">
        <f>L74*local_data_input!N74</f>
        <v>0</v>
      </c>
      <c r="S74" s="1972">
        <f>M74*local_data_input!O74</f>
        <v>0</v>
      </c>
      <c r="T74" s="1972">
        <f>N74*local_data_input!P74</f>
        <v>0</v>
      </c>
      <c r="U74" s="1972">
        <f>O74*local_data_input!Q74</f>
        <v>0</v>
      </c>
      <c r="V74" s="1966"/>
      <c r="W74" s="1958"/>
      <c r="X74" s="1958"/>
      <c r="Y74" s="1958"/>
      <c r="Z74" s="1958"/>
      <c r="AA74" s="1958"/>
    </row>
    <row r="75" spans="1:27" ht="18" customHeight="1">
      <c r="A75" s="2286" t="s">
        <v>67</v>
      </c>
      <c r="B75" s="2287"/>
      <c r="C75" s="2288"/>
      <c r="D75" s="2022">
        <f>outputs_by_channel!E47</f>
        <v>41824.183524812361</v>
      </c>
      <c r="E75" s="1954"/>
      <c r="F75" s="1954"/>
      <c r="G75" s="1954"/>
      <c r="H75" s="1954"/>
      <c r="K75" s="2022">
        <f t="shared" si="29"/>
        <v>41824.183524812361</v>
      </c>
      <c r="L75" s="2022">
        <f t="shared" ref="L75:O75" si="33">K75</f>
        <v>41824.183524812361</v>
      </c>
      <c r="M75" s="2022">
        <f t="shared" si="33"/>
        <v>41824.183524812361</v>
      </c>
      <c r="N75" s="2022">
        <f t="shared" si="31"/>
        <v>41824.183524812361</v>
      </c>
      <c r="O75" s="2022">
        <f t="shared" si="33"/>
        <v>41824.183524812361</v>
      </c>
      <c r="P75" s="1966"/>
      <c r="Q75" s="1972">
        <f>K75*local_data_input!M75</f>
        <v>2383978.4609143045</v>
      </c>
      <c r="R75" s="1972">
        <f>L75*local_data_input!N75</f>
        <v>2438809.9655153332</v>
      </c>
      <c r="S75" s="1972">
        <f>M75*local_data_input!O75</f>
        <v>2487586.1648256402</v>
      </c>
      <c r="T75" s="1972">
        <f>N75*local_data_input!P75</f>
        <v>2537337.888122153</v>
      </c>
      <c r="U75" s="1972">
        <f>O75*local_data_input!Q75</f>
        <v>2610920.6868776954</v>
      </c>
      <c r="V75" s="1966"/>
      <c r="W75" s="1958"/>
      <c r="X75" s="1958"/>
      <c r="Y75" s="1958"/>
      <c r="Z75" s="1958"/>
      <c r="AA75" s="1958"/>
    </row>
    <row r="76" spans="1:27" ht="18" customHeight="1">
      <c r="A76" s="2286" t="s">
        <v>44</v>
      </c>
      <c r="B76" s="2287"/>
      <c r="C76" s="2288"/>
      <c r="D76" s="2022">
        <f>outputs_by_channel!E48</f>
        <v>0</v>
      </c>
      <c r="E76" s="1954"/>
      <c r="F76" s="1954"/>
      <c r="G76" s="1954"/>
      <c r="H76" s="1954"/>
      <c r="K76" s="2022">
        <f t="shared" si="29"/>
        <v>0</v>
      </c>
      <c r="L76" s="2022">
        <f t="shared" ref="L76:O76" si="34">K76</f>
        <v>0</v>
      </c>
      <c r="M76" s="2022">
        <f t="shared" si="34"/>
        <v>0</v>
      </c>
      <c r="N76" s="2022">
        <f t="shared" si="31"/>
        <v>0</v>
      </c>
      <c r="O76" s="2022">
        <f t="shared" si="34"/>
        <v>0</v>
      </c>
      <c r="P76" s="1966"/>
      <c r="Q76" s="1972">
        <f>K76*local_data_input!M76</f>
        <v>0</v>
      </c>
      <c r="R76" s="1972">
        <f>L76*local_data_input!N76</f>
        <v>0</v>
      </c>
      <c r="S76" s="1972">
        <f>M76*local_data_input!O76</f>
        <v>0</v>
      </c>
      <c r="T76" s="1972">
        <f>N76*local_data_input!P76</f>
        <v>0</v>
      </c>
      <c r="U76" s="1972">
        <f>O76*local_data_input!Q76</f>
        <v>0</v>
      </c>
      <c r="V76" s="1966"/>
      <c r="W76" s="1958"/>
      <c r="X76" s="1958"/>
      <c r="Y76" s="1958"/>
      <c r="Z76" s="1958"/>
      <c r="AA76" s="1958"/>
    </row>
    <row r="77" spans="1:27" ht="18" customHeight="1">
      <c r="A77" s="2286" t="s">
        <v>45</v>
      </c>
      <c r="B77" s="2287"/>
      <c r="C77" s="2288"/>
      <c r="D77" s="2022">
        <f>outputs_by_channel!E49</f>
        <v>0</v>
      </c>
      <c r="E77" s="1954"/>
      <c r="F77" s="1954"/>
      <c r="G77" s="1954"/>
      <c r="H77" s="1954"/>
      <c r="K77" s="2022">
        <f t="shared" si="29"/>
        <v>0</v>
      </c>
      <c r="L77" s="2022">
        <f t="shared" ref="L77:O77" si="35">K77</f>
        <v>0</v>
      </c>
      <c r="M77" s="2022">
        <f t="shared" si="35"/>
        <v>0</v>
      </c>
      <c r="N77" s="2022">
        <f t="shared" si="31"/>
        <v>0</v>
      </c>
      <c r="O77" s="2022">
        <f t="shared" si="35"/>
        <v>0</v>
      </c>
      <c r="P77" s="1966"/>
      <c r="Q77" s="1972">
        <f>K77*local_data_input!M77</f>
        <v>0</v>
      </c>
      <c r="R77" s="1972">
        <f>L77*local_data_input!N77</f>
        <v>0</v>
      </c>
      <c r="S77" s="1972">
        <f>M77*local_data_input!O77</f>
        <v>0</v>
      </c>
      <c r="T77" s="1972">
        <f>N77*local_data_input!P77</f>
        <v>0</v>
      </c>
      <c r="U77" s="1972">
        <f>O77*local_data_input!Q77</f>
        <v>0</v>
      </c>
      <c r="V77" s="1966"/>
      <c r="W77" s="1958"/>
      <c r="X77" s="1958"/>
      <c r="Y77" s="1958"/>
      <c r="Z77" s="1958"/>
      <c r="AA77" s="1958"/>
    </row>
    <row r="78" spans="1:27" ht="18" customHeight="1">
      <c r="A78" s="2286" t="s">
        <v>83</v>
      </c>
      <c r="B78" s="2287"/>
      <c r="C78" s="2288"/>
      <c r="D78" s="2022">
        <f>outputs_by_channel!E50</f>
        <v>0</v>
      </c>
      <c r="E78" s="1954"/>
      <c r="F78" s="1954"/>
      <c r="G78" s="1954"/>
      <c r="H78" s="1954"/>
      <c r="K78" s="2022">
        <f t="shared" si="29"/>
        <v>0</v>
      </c>
      <c r="L78" s="2022">
        <f t="shared" ref="L78:O78" si="36">K78</f>
        <v>0</v>
      </c>
      <c r="M78" s="2022">
        <f t="shared" si="36"/>
        <v>0</v>
      </c>
      <c r="N78" s="2022">
        <f t="shared" si="31"/>
        <v>0</v>
      </c>
      <c r="O78" s="2022">
        <f t="shared" si="36"/>
        <v>0</v>
      </c>
      <c r="P78" s="1966"/>
      <c r="Q78" s="1972">
        <f>K78*local_data_input!M78</f>
        <v>0</v>
      </c>
      <c r="R78" s="1972">
        <f>L78*local_data_input!N78</f>
        <v>0</v>
      </c>
      <c r="S78" s="1972">
        <f>M78*local_data_input!O78</f>
        <v>0</v>
      </c>
      <c r="T78" s="1972">
        <f>N78*local_data_input!P78</f>
        <v>0</v>
      </c>
      <c r="U78" s="1972">
        <f>O78*local_data_input!Q78</f>
        <v>0</v>
      </c>
      <c r="V78" s="1966"/>
      <c r="W78" s="1958"/>
      <c r="X78" s="1958"/>
      <c r="Y78" s="1958"/>
      <c r="Z78" s="1958"/>
      <c r="AA78" s="1958"/>
    </row>
    <row r="79" spans="1:27" ht="18" customHeight="1">
      <c r="A79" s="2286" t="s">
        <v>84</v>
      </c>
      <c r="B79" s="2287"/>
      <c r="C79" s="2288"/>
      <c r="D79" s="2022">
        <f>outputs_by_channel!E51</f>
        <v>28506.214876668248</v>
      </c>
      <c r="E79" s="1954"/>
      <c r="F79" s="1954"/>
      <c r="G79" s="1954"/>
      <c r="H79" s="1954"/>
      <c r="K79" s="2022">
        <f t="shared" si="29"/>
        <v>28506.214876668248</v>
      </c>
      <c r="L79" s="2022">
        <f t="shared" ref="L79:O79" si="37">K79</f>
        <v>28506.214876668248</v>
      </c>
      <c r="M79" s="2022">
        <f t="shared" si="37"/>
        <v>28506.214876668248</v>
      </c>
      <c r="N79" s="2022">
        <f t="shared" si="31"/>
        <v>28506.214876668248</v>
      </c>
      <c r="O79" s="2022">
        <f t="shared" si="37"/>
        <v>28506.214876668248</v>
      </c>
      <c r="P79" s="1966"/>
      <c r="Q79" s="1972">
        <f>K79*local_data_input!M79</f>
        <v>570124.29753336497</v>
      </c>
      <c r="R79" s="1972">
        <f>L79*local_data_input!N79</f>
        <v>583237.15637663228</v>
      </c>
      <c r="S79" s="1972">
        <f>M79*local_data_input!O79</f>
        <v>594901.89950416493</v>
      </c>
      <c r="T79" s="1972">
        <f>N79*local_data_input!P79</f>
        <v>606799.93749424838</v>
      </c>
      <c r="U79" s="1972">
        <f>O79*local_data_input!Q79</f>
        <v>624397.13568158145</v>
      </c>
      <c r="V79" s="1966"/>
      <c r="W79" s="1958"/>
      <c r="X79" s="1958"/>
      <c r="Y79" s="1958"/>
      <c r="Z79" s="1958"/>
      <c r="AA79" s="1958"/>
    </row>
    <row r="80" spans="1:27" ht="18" customHeight="1">
      <c r="A80" s="2286" t="s">
        <v>41</v>
      </c>
      <c r="B80" s="2287"/>
      <c r="C80" s="2288"/>
      <c r="D80" s="2022">
        <f>outputs_by_channel!E52</f>
        <v>25597.185622257737</v>
      </c>
      <c r="E80" s="1954"/>
      <c r="F80" s="1954"/>
      <c r="G80" s="1954"/>
      <c r="H80" s="1954"/>
      <c r="K80" s="2022">
        <f t="shared" si="29"/>
        <v>25597.185622257737</v>
      </c>
      <c r="L80" s="2022">
        <f t="shared" ref="L80:O80" si="38">K80</f>
        <v>25597.185622257737</v>
      </c>
      <c r="M80" s="2022">
        <f t="shared" si="38"/>
        <v>25597.185622257737</v>
      </c>
      <c r="N80" s="2022">
        <f t="shared" si="31"/>
        <v>25597.185622257737</v>
      </c>
      <c r="O80" s="2022">
        <f t="shared" si="38"/>
        <v>25597.185622257737</v>
      </c>
      <c r="P80" s="1966"/>
      <c r="Q80" s="1972">
        <f>K80*local_data_input!M80</f>
        <v>358360.59871160833</v>
      </c>
      <c r="R80" s="1972">
        <f>L80*local_data_input!N80</f>
        <v>366602.89248197532</v>
      </c>
      <c r="S80" s="1972">
        <f>M80*local_data_input!O80</f>
        <v>373934.95033161482</v>
      </c>
      <c r="T80" s="1972">
        <f>N80*local_data_input!P80</f>
        <v>381413.64933824714</v>
      </c>
      <c r="U80" s="1972">
        <f>O80*local_data_input!Q80</f>
        <v>392474.64516905625</v>
      </c>
      <c r="V80" s="1966"/>
      <c r="W80" s="1958"/>
      <c r="X80" s="1958"/>
      <c r="Y80" s="1958"/>
      <c r="Z80" s="1958"/>
      <c r="AA80" s="1958"/>
    </row>
    <row r="81" spans="1:27" ht="18" customHeight="1">
      <c r="A81" s="2286" t="s">
        <v>567</v>
      </c>
      <c r="B81" s="2287"/>
      <c r="C81" s="2288"/>
      <c r="D81" s="2022">
        <f>outputs_by_channel!E53</f>
        <v>1834.8827966591057</v>
      </c>
      <c r="E81" s="1954"/>
      <c r="F81" s="1954"/>
      <c r="G81" s="1954"/>
      <c r="H81" s="1954"/>
      <c r="K81" s="2022">
        <f t="shared" ref="K81:K88" si="39">D81</f>
        <v>1834.8827966591057</v>
      </c>
      <c r="L81" s="2022">
        <f t="shared" ref="L81:O81" si="40">K81</f>
        <v>1834.8827966591057</v>
      </c>
      <c r="M81" s="2022">
        <f t="shared" si="40"/>
        <v>1834.8827966591057</v>
      </c>
      <c r="N81" s="2022">
        <f t="shared" si="31"/>
        <v>1834.8827966591057</v>
      </c>
      <c r="O81" s="2022">
        <f t="shared" si="40"/>
        <v>1834.8827966591057</v>
      </c>
      <c r="P81" s="1966"/>
      <c r="Q81" s="1972">
        <f>K81*local_data_input!M88</f>
        <v>64678.891989471427</v>
      </c>
      <c r="R81" s="1972">
        <f>L81*local_data_input!N88</f>
        <v>66166.506505229263</v>
      </c>
      <c r="S81" s="1972">
        <f>M81*local_data_input!O88</f>
        <v>67489.83663533385</v>
      </c>
      <c r="T81" s="1972">
        <f>N81*local_data_input!P88</f>
        <v>68839.633368040522</v>
      </c>
      <c r="U81" s="1972">
        <f>O81*local_data_input!Q88</f>
        <v>70835.982735713682</v>
      </c>
      <c r="V81" s="1966"/>
      <c r="W81" s="1958"/>
      <c r="X81" s="1958"/>
      <c r="Y81" s="1958"/>
      <c r="Z81" s="1958"/>
      <c r="AA81" s="1958"/>
    </row>
    <row r="82" spans="1:27" ht="18" customHeight="1">
      <c r="A82" s="2286" t="s">
        <v>76</v>
      </c>
      <c r="B82" s="2287"/>
      <c r="C82" s="2288"/>
      <c r="D82" s="2022">
        <f>outputs_by_channel!E54</f>
        <v>891.95691504262072</v>
      </c>
      <c r="E82" s="1954"/>
      <c r="F82" s="1954"/>
      <c r="G82" s="1954"/>
      <c r="H82" s="1954"/>
      <c r="K82" s="2022">
        <f t="shared" si="39"/>
        <v>891.95691504262072</v>
      </c>
      <c r="L82" s="2022">
        <f t="shared" ref="L82:O82" si="41">K82</f>
        <v>891.95691504262072</v>
      </c>
      <c r="M82" s="2022">
        <f t="shared" si="41"/>
        <v>891.95691504262072</v>
      </c>
      <c r="N82" s="2022">
        <f t="shared" si="31"/>
        <v>891.95691504262072</v>
      </c>
      <c r="O82" s="2022">
        <f t="shared" si="41"/>
        <v>891.95691504262072</v>
      </c>
      <c r="P82" s="1966"/>
      <c r="Q82" s="1972">
        <f>K82*local_data_input!M81</f>
        <v>160402.0541102399</v>
      </c>
      <c r="R82" s="1972">
        <f>L82*local_data_input!N81</f>
        <v>164091.30135477541</v>
      </c>
      <c r="S82" s="1972">
        <f>M82*local_data_input!O81</f>
        <v>167373.12738187093</v>
      </c>
      <c r="T82" s="1972">
        <f>N82*local_data_input!P81</f>
        <v>170720.58992950834</v>
      </c>
      <c r="U82" s="1972">
        <f>O82*local_data_input!Q81</f>
        <v>175671.48703746407</v>
      </c>
      <c r="V82" s="1966"/>
      <c r="W82" s="1958"/>
      <c r="X82" s="1958"/>
      <c r="Y82" s="1958"/>
      <c r="Z82" s="1958"/>
      <c r="AA82" s="1958"/>
    </row>
    <row r="83" spans="1:27" ht="18" customHeight="1">
      <c r="A83" s="2286" t="s">
        <v>46</v>
      </c>
      <c r="B83" s="2287"/>
      <c r="C83" s="2288"/>
      <c r="D83" s="2022">
        <f>outputs_by_channel!E55</f>
        <v>0</v>
      </c>
      <c r="E83" s="1954"/>
      <c r="F83" s="1954"/>
      <c r="G83" s="1954"/>
      <c r="H83" s="1954"/>
      <c r="K83" s="2022">
        <f t="shared" si="39"/>
        <v>0</v>
      </c>
      <c r="L83" s="2022">
        <f t="shared" ref="L83:O83" si="42">K83</f>
        <v>0</v>
      </c>
      <c r="M83" s="2022">
        <f t="shared" si="42"/>
        <v>0</v>
      </c>
      <c r="N83" s="2022">
        <f t="shared" si="31"/>
        <v>0</v>
      </c>
      <c r="O83" s="2022">
        <f t="shared" si="42"/>
        <v>0</v>
      </c>
      <c r="P83" s="1966"/>
      <c r="Q83" s="1972">
        <f>K83*local_data_input!M82</f>
        <v>0</v>
      </c>
      <c r="R83" s="1972">
        <f>L83*local_data_input!N82</f>
        <v>0</v>
      </c>
      <c r="S83" s="1972">
        <f>M83*local_data_input!O82</f>
        <v>0</v>
      </c>
      <c r="T83" s="1972">
        <f>N83*local_data_input!P82</f>
        <v>0</v>
      </c>
      <c r="U83" s="1972">
        <f>O83*local_data_input!Q82</f>
        <v>0</v>
      </c>
      <c r="V83" s="1966"/>
      <c r="W83" s="1958"/>
      <c r="X83" s="1958"/>
      <c r="Y83" s="1958"/>
      <c r="Z83" s="1958"/>
      <c r="AA83" s="1958"/>
    </row>
    <row r="84" spans="1:27" ht="18" customHeight="1">
      <c r="A84" s="2286" t="s">
        <v>30</v>
      </c>
      <c r="B84" s="2287"/>
      <c r="C84" s="2288"/>
      <c r="D84" s="2022">
        <f>outputs_by_channel!E56</f>
        <v>8080.9289013247726</v>
      </c>
      <c r="E84" s="1954"/>
      <c r="F84" s="1954"/>
      <c r="G84" s="1954"/>
      <c r="H84" s="1954"/>
      <c r="K84" s="2022">
        <f t="shared" si="39"/>
        <v>8080.9289013247726</v>
      </c>
      <c r="L84" s="2022">
        <f t="shared" ref="L84:O84" si="43">K84</f>
        <v>8080.9289013247726</v>
      </c>
      <c r="M84" s="2022">
        <f t="shared" si="43"/>
        <v>8080.9289013247726</v>
      </c>
      <c r="N84" s="2022">
        <f t="shared" si="31"/>
        <v>8080.9289013247726</v>
      </c>
      <c r="O84" s="2022">
        <f t="shared" si="43"/>
        <v>8080.9289013247726</v>
      </c>
      <c r="P84" s="1966"/>
      <c r="Q84" s="1972">
        <f>K84*local_data_input!M83</f>
        <v>301131.38034573122</v>
      </c>
      <c r="R84" s="1972">
        <f>L84*local_data_input!N83</f>
        <v>308057.40209368302</v>
      </c>
      <c r="S84" s="1972">
        <f>M84*local_data_input!O83</f>
        <v>314218.55013555667</v>
      </c>
      <c r="T84" s="1972">
        <f>N84*local_data_input!P83</f>
        <v>320502.92113826785</v>
      </c>
      <c r="U84" s="1972">
        <f>O84*local_data_input!Q83</f>
        <v>329797.50585127756</v>
      </c>
      <c r="V84" s="1966"/>
      <c r="W84" s="1958"/>
      <c r="X84" s="1958"/>
      <c r="Y84" s="1958"/>
      <c r="Z84" s="1958"/>
      <c r="AA84" s="1958"/>
    </row>
    <row r="85" spans="1:27" ht="18" customHeight="1">
      <c r="A85" s="2286" t="s">
        <v>48</v>
      </c>
      <c r="B85" s="2287"/>
      <c r="C85" s="2288"/>
      <c r="D85" s="2022">
        <f>outputs_by_channel!E57</f>
        <v>0</v>
      </c>
      <c r="E85" s="1954"/>
      <c r="F85" s="1954"/>
      <c r="G85" s="1954"/>
      <c r="H85" s="1954"/>
      <c r="K85" s="2022">
        <f t="shared" si="39"/>
        <v>0</v>
      </c>
      <c r="L85" s="2022">
        <f t="shared" ref="L85:O85" si="44">K85</f>
        <v>0</v>
      </c>
      <c r="M85" s="2022">
        <f t="shared" si="44"/>
        <v>0</v>
      </c>
      <c r="N85" s="2022">
        <f t="shared" si="31"/>
        <v>0</v>
      </c>
      <c r="O85" s="2022">
        <f t="shared" si="44"/>
        <v>0</v>
      </c>
      <c r="P85" s="1966"/>
      <c r="Q85" s="1972">
        <f>K85*local_data_input!M84</f>
        <v>0</v>
      </c>
      <c r="R85" s="1972">
        <f>L85*local_data_input!N84</f>
        <v>0</v>
      </c>
      <c r="S85" s="1972">
        <f>M85*local_data_input!O84</f>
        <v>0</v>
      </c>
      <c r="T85" s="1972">
        <f>N85*local_data_input!P84</f>
        <v>0</v>
      </c>
      <c r="U85" s="1972">
        <f>O85*local_data_input!Q84</f>
        <v>0</v>
      </c>
      <c r="V85" s="1966"/>
      <c r="W85" s="1958"/>
      <c r="X85" s="1958"/>
      <c r="Y85" s="1958"/>
      <c r="Z85" s="1958"/>
      <c r="AA85" s="1958"/>
    </row>
    <row r="86" spans="1:27" ht="18" customHeight="1">
      <c r="A86" s="2286" t="s">
        <v>225</v>
      </c>
      <c r="B86" s="2287"/>
      <c r="C86" s="2288"/>
      <c r="D86" s="2022">
        <f>outputs_by_channel!E58</f>
        <v>0</v>
      </c>
      <c r="E86" s="1954"/>
      <c r="F86" s="1954"/>
      <c r="G86" s="1954"/>
      <c r="H86" s="1954"/>
      <c r="K86" s="2022">
        <f t="shared" si="39"/>
        <v>0</v>
      </c>
      <c r="L86" s="2022">
        <f t="shared" ref="L86:O86" si="45">K86</f>
        <v>0</v>
      </c>
      <c r="M86" s="2022">
        <f t="shared" si="45"/>
        <v>0</v>
      </c>
      <c r="N86" s="2022">
        <f t="shared" si="31"/>
        <v>0</v>
      </c>
      <c r="O86" s="2022">
        <f t="shared" si="45"/>
        <v>0</v>
      </c>
      <c r="P86" s="1966"/>
      <c r="Q86" s="1972">
        <f>K86*local_data_input!M85</f>
        <v>0</v>
      </c>
      <c r="R86" s="1972">
        <f>L86*local_data_input!N85</f>
        <v>0</v>
      </c>
      <c r="S86" s="1972">
        <f>M86*local_data_input!O85</f>
        <v>0</v>
      </c>
      <c r="T86" s="1972">
        <f>N86*local_data_input!P85</f>
        <v>0</v>
      </c>
      <c r="U86" s="1972">
        <f>O86*local_data_input!Q85</f>
        <v>0</v>
      </c>
      <c r="V86" s="1966"/>
      <c r="W86" s="1958"/>
      <c r="X86" s="1958"/>
      <c r="Y86" s="1958"/>
      <c r="Z86" s="1958"/>
      <c r="AA86" s="1958"/>
    </row>
    <row r="87" spans="1:27" ht="18" customHeight="1">
      <c r="A87" s="2286" t="s">
        <v>32</v>
      </c>
      <c r="B87" s="2287"/>
      <c r="C87" s="2288"/>
      <c r="D87" s="2022">
        <f>outputs_by_channel!E59</f>
        <v>14168.18454987388</v>
      </c>
      <c r="E87" s="1954"/>
      <c r="F87" s="1954"/>
      <c r="G87" s="1954"/>
      <c r="H87" s="1954"/>
      <c r="K87" s="2022">
        <f t="shared" si="39"/>
        <v>14168.18454987388</v>
      </c>
      <c r="L87" s="2022">
        <f t="shared" ref="L87:O87" si="46">K87</f>
        <v>14168.18454987388</v>
      </c>
      <c r="M87" s="2022">
        <f t="shared" si="46"/>
        <v>14168.18454987388</v>
      </c>
      <c r="N87" s="2022">
        <f t="shared" si="31"/>
        <v>14168.18454987388</v>
      </c>
      <c r="O87" s="2022">
        <f t="shared" si="46"/>
        <v>14168.18454987388</v>
      </c>
      <c r="P87" s="1966"/>
      <c r="Q87" s="1972">
        <f>K87*local_data_input!M86</f>
        <v>524222.82834533358</v>
      </c>
      <c r="R87" s="1972">
        <f>L87*local_data_input!N86</f>
        <v>536279.95339727623</v>
      </c>
      <c r="S87" s="1972">
        <f>M87*local_data_input!O86</f>
        <v>547005.55246522173</v>
      </c>
      <c r="T87" s="1972">
        <f>N87*local_data_input!P86</f>
        <v>557945.6635145261</v>
      </c>
      <c r="U87" s="1972">
        <f>O87*local_data_input!Q86</f>
        <v>574126.08775644726</v>
      </c>
      <c r="V87" s="1966"/>
      <c r="W87" s="1958"/>
      <c r="X87" s="1958"/>
      <c r="Y87" s="1958"/>
      <c r="Z87" s="1958"/>
      <c r="AA87" s="1958"/>
    </row>
    <row r="88" spans="1:27" ht="18" customHeight="1">
      <c r="A88" s="2297" t="s">
        <v>34</v>
      </c>
      <c r="B88" s="2298"/>
      <c r="C88" s="2299"/>
      <c r="D88" s="2022">
        <f>outputs_by_channel!E60</f>
        <v>0</v>
      </c>
      <c r="E88" s="1954"/>
      <c r="F88" s="1954"/>
      <c r="G88" s="1954"/>
      <c r="H88" s="1954"/>
      <c r="K88" s="2022">
        <f t="shared" si="39"/>
        <v>0</v>
      </c>
      <c r="L88" s="2022">
        <f t="shared" ref="L88:O88" si="47">K88</f>
        <v>0</v>
      </c>
      <c r="M88" s="2022">
        <f t="shared" si="47"/>
        <v>0</v>
      </c>
      <c r="N88" s="2022">
        <f t="shared" si="31"/>
        <v>0</v>
      </c>
      <c r="O88" s="2022">
        <f t="shared" si="47"/>
        <v>0</v>
      </c>
      <c r="P88" s="1966"/>
      <c r="Q88" s="1972">
        <f>K88*local_data_input!M87</f>
        <v>0</v>
      </c>
      <c r="R88" s="1972">
        <f>L88*local_data_input!N87</f>
        <v>0</v>
      </c>
      <c r="S88" s="1972">
        <f>M88*local_data_input!O87</f>
        <v>0</v>
      </c>
      <c r="T88" s="1972">
        <f>N88*local_data_input!P87</f>
        <v>0</v>
      </c>
      <c r="U88" s="1972">
        <f>O88*local_data_input!Q87</f>
        <v>0</v>
      </c>
      <c r="V88" s="1966"/>
      <c r="W88" s="1958"/>
      <c r="X88" s="1958"/>
      <c r="Y88" s="1958"/>
      <c r="Z88" s="1958"/>
      <c r="AA88" s="1958"/>
    </row>
    <row r="89" spans="1:27" ht="15">
      <c r="A89" s="2297" t="s">
        <v>98</v>
      </c>
      <c r="B89" s="2298"/>
      <c r="C89" s="2299"/>
      <c r="F89" s="1965"/>
      <c r="G89" s="1967"/>
      <c r="Q89" s="1970">
        <f>SUM(Q72:Q88)</f>
        <v>7983555.4193281196</v>
      </c>
      <c r="R89" s="1970">
        <f t="shared" ref="R89:U89" si="48">SUM(R72:R88)</f>
        <v>8167177.1939726658</v>
      </c>
      <c r="S89" s="1970">
        <f t="shared" si="48"/>
        <v>8330520.7378521189</v>
      </c>
      <c r="T89" s="1970">
        <f t="shared" si="48"/>
        <v>8497131.152609162</v>
      </c>
      <c r="U89" s="1970">
        <f t="shared" si="48"/>
        <v>8743547.956034828</v>
      </c>
    </row>
    <row r="90" spans="1:27">
      <c r="F90" s="1965"/>
      <c r="G90" s="1967"/>
      <c r="U90" s="1966"/>
    </row>
    <row r="91" spans="1:27" ht="20.25" customHeight="1" thickBot="1">
      <c r="A91" s="2296" t="s">
        <v>219</v>
      </c>
      <c r="B91" s="2296"/>
      <c r="C91" s="2296"/>
      <c r="D91" s="2296"/>
      <c r="E91" s="2296"/>
      <c r="F91" s="2296"/>
      <c r="G91" s="2296"/>
      <c r="H91" s="2296"/>
      <c r="I91" s="2296"/>
      <c r="J91" s="2296"/>
      <c r="U91" s="1966"/>
    </row>
    <row r="92" spans="1:27" ht="20.25" thickBot="1">
      <c r="D92" s="498"/>
      <c r="E92" s="1954"/>
      <c r="F92" s="1954"/>
      <c r="G92" s="1954"/>
      <c r="H92" s="1954"/>
      <c r="I92" s="1954"/>
      <c r="K92" s="2274" t="s">
        <v>594</v>
      </c>
      <c r="L92" s="2277"/>
      <c r="M92" s="2277"/>
      <c r="N92" s="2277"/>
      <c r="O92" s="2276"/>
      <c r="P92" s="1966"/>
      <c r="Q92" s="2309" t="s">
        <v>1271</v>
      </c>
      <c r="R92" s="2309"/>
      <c r="S92" s="2309"/>
      <c r="T92" s="2309"/>
      <c r="U92" s="2309"/>
      <c r="V92" s="1090"/>
      <c r="W92" s="2274" t="s">
        <v>1272</v>
      </c>
      <c r="X92" s="2277"/>
      <c r="Y92" s="2277"/>
      <c r="Z92" s="2277"/>
      <c r="AA92" s="2276"/>
    </row>
    <row r="93" spans="1:27" ht="18" customHeight="1" thickBot="1">
      <c r="A93" s="2289" t="s">
        <v>595</v>
      </c>
      <c r="B93" s="2304"/>
      <c r="C93" s="2305"/>
      <c r="D93" s="1950" t="s">
        <v>562</v>
      </c>
      <c r="E93" s="1954"/>
      <c r="F93" s="1954"/>
      <c r="G93" s="1954"/>
      <c r="H93" s="1954"/>
      <c r="I93" s="1954"/>
      <c r="K93" s="1950" t="s">
        <v>78</v>
      </c>
      <c r="L93" s="1951" t="s">
        <v>79</v>
      </c>
      <c r="M93" s="1952" t="s">
        <v>80</v>
      </c>
      <c r="N93" s="1952" t="s">
        <v>81</v>
      </c>
      <c r="O93" s="1019" t="s">
        <v>82</v>
      </c>
      <c r="P93" s="1957"/>
      <c r="Q93" s="2098" t="s">
        <v>78</v>
      </c>
      <c r="R93" s="2098" t="s">
        <v>79</v>
      </c>
      <c r="S93" s="2099" t="s">
        <v>80</v>
      </c>
      <c r="T93" s="2099" t="s">
        <v>81</v>
      </c>
      <c r="U93" s="2099" t="s">
        <v>82</v>
      </c>
      <c r="V93" s="1966"/>
      <c r="W93" s="1950" t="s">
        <v>78</v>
      </c>
      <c r="X93" s="1951" t="s">
        <v>79</v>
      </c>
      <c r="Y93" s="1952" t="s">
        <v>80</v>
      </c>
      <c r="Z93" s="1952" t="s">
        <v>81</v>
      </c>
      <c r="AA93" s="1019" t="s">
        <v>82</v>
      </c>
    </row>
    <row r="94" spans="1:27" ht="18" customHeight="1" thickBot="1">
      <c r="A94" s="2286" t="s">
        <v>73</v>
      </c>
      <c r="B94" s="2287"/>
      <c r="C94" s="2288"/>
      <c r="D94" s="1971">
        <f>outputs_by_channel!E14</f>
        <v>15024294.161598349</v>
      </c>
      <c r="E94" s="1971"/>
      <c r="F94" s="1954"/>
      <c r="G94" s="1954"/>
      <c r="H94" s="1954"/>
      <c r="I94" s="1954"/>
      <c r="K94" s="1954"/>
      <c r="L94" s="1954"/>
      <c r="M94" s="1954"/>
      <c r="N94" s="1954"/>
      <c r="O94" s="1954"/>
      <c r="P94" s="1966"/>
      <c r="Q94" s="2100">
        <v>0</v>
      </c>
      <c r="R94" s="2100">
        <v>0</v>
      </c>
      <c r="S94" s="2100">
        <v>0</v>
      </c>
      <c r="T94" s="2100">
        <v>0</v>
      </c>
      <c r="U94" s="2100">
        <v>0</v>
      </c>
      <c r="V94" s="1957"/>
      <c r="W94" s="1971">
        <f>D94</f>
        <v>15024294.161598349</v>
      </c>
      <c r="X94" s="1971">
        <f>W94*(1+(local_data_input!D$73))</f>
        <v>15369852.92731511</v>
      </c>
      <c r="Y94" s="1971">
        <f>X94*(1+(local_data_input!E$73))</f>
        <v>15677249.985861413</v>
      </c>
      <c r="Z94" s="1971">
        <f>Y94*(1+(local_data_input!F$73))</f>
        <v>15990794.985578641</v>
      </c>
      <c r="AA94" s="1971">
        <f>Z94*(1+(local_data_input!G$73))</f>
        <v>16454528.040160421</v>
      </c>
    </row>
    <row r="95" spans="1:27" ht="18" customHeight="1" thickBot="1">
      <c r="A95" s="2297" t="s">
        <v>63</v>
      </c>
      <c r="B95" s="2298"/>
      <c r="C95" s="2299"/>
      <c r="D95" s="1971">
        <f>outputs_by_channel!E12</f>
        <v>2937086.9001678457</v>
      </c>
      <c r="K95" s="1954"/>
      <c r="L95" s="1954"/>
      <c r="M95" s="1954"/>
      <c r="N95" s="1954"/>
      <c r="O95" s="1954"/>
      <c r="P95" s="1966"/>
      <c r="Q95" s="2101">
        <f>D95/5</f>
        <v>587417.38003356918</v>
      </c>
      <c r="R95" s="2102">
        <f>Q95</f>
        <v>587417.38003356918</v>
      </c>
      <c r="S95" s="2102">
        <f t="shared" ref="S95:U95" si="49">R95</f>
        <v>587417.38003356918</v>
      </c>
      <c r="T95" s="2102">
        <f t="shared" si="49"/>
        <v>587417.38003356918</v>
      </c>
      <c r="U95" s="2102">
        <f t="shared" si="49"/>
        <v>587417.38003356918</v>
      </c>
      <c r="V95" s="1966"/>
      <c r="W95" s="2060">
        <f>Q95</f>
        <v>587417.38003356918</v>
      </c>
      <c r="X95" s="2060">
        <f t="shared" ref="X95:AA95" si="50">R95</f>
        <v>587417.38003356918</v>
      </c>
      <c r="Y95" s="2060">
        <f t="shared" si="50"/>
        <v>587417.38003356918</v>
      </c>
      <c r="Z95" s="2060">
        <f t="shared" si="50"/>
        <v>587417.38003356918</v>
      </c>
      <c r="AA95" s="2060">
        <f t="shared" si="50"/>
        <v>587417.38003356918</v>
      </c>
    </row>
    <row r="96" spans="1:27" ht="18" customHeight="1" thickBot="1">
      <c r="A96" s="2197" t="s">
        <v>1306</v>
      </c>
      <c r="B96" s="2197"/>
      <c r="C96" s="2197"/>
      <c r="D96" s="2199"/>
      <c r="K96" s="1954"/>
      <c r="L96" s="1954"/>
      <c r="M96" s="1954"/>
      <c r="N96" s="1954"/>
      <c r="O96" s="1954"/>
      <c r="P96" s="1966"/>
      <c r="Q96" s="2101">
        <f>outputs_by_channel!G81</f>
        <v>2910781.2879036027</v>
      </c>
      <c r="R96" s="1971">
        <f>Q96*(1+(local_data_input!D73))</f>
        <v>2977729.2575253854</v>
      </c>
      <c r="S96" s="1971">
        <f>R96*(1+(local_data_input!E73))</f>
        <v>3037283.8426758931</v>
      </c>
      <c r="T96" s="1971">
        <f>S96*(1+(local_data_input!F73))</f>
        <v>3098029.5195294111</v>
      </c>
      <c r="U96" s="1971">
        <f>T96*(1+(local_data_input!G73))</f>
        <v>3187872.3755957638</v>
      </c>
      <c r="V96" s="1966"/>
      <c r="W96" s="2060">
        <v>0</v>
      </c>
      <c r="X96" s="2060">
        <v>0</v>
      </c>
      <c r="Y96" s="2060">
        <v>0</v>
      </c>
      <c r="Z96" s="2060">
        <v>0</v>
      </c>
      <c r="AA96" s="2060">
        <v>0</v>
      </c>
    </row>
    <row r="97" spans="1:27" ht="15" thickBot="1">
      <c r="Q97" s="2103"/>
      <c r="R97" s="2103"/>
      <c r="S97" s="2104"/>
      <c r="T97" s="2105"/>
      <c r="U97" s="2105"/>
      <c r="W97" s="2060"/>
      <c r="X97" s="2060"/>
      <c r="Y97" s="1351"/>
      <c r="Z97" s="1351"/>
      <c r="AA97" s="1351"/>
    </row>
    <row r="98" spans="1:27" ht="15" thickBot="1">
      <c r="A98" s="2286" t="s">
        <v>1266</v>
      </c>
      <c r="B98" s="2287"/>
      <c r="C98" s="2287"/>
      <c r="Q98" s="2106">
        <f>-Q89+Q65-Q96</f>
        <v>25435162.104394607</v>
      </c>
      <c r="R98" s="2106">
        <f t="shared" ref="R98:U98" si="51">-R89+R65-R96</f>
        <v>26020170.832795676</v>
      </c>
      <c r="S98" s="2106">
        <f t="shared" si="51"/>
        <v>26540574.249451585</v>
      </c>
      <c r="T98" s="2106">
        <f t="shared" si="51"/>
        <v>27071385.734440617</v>
      </c>
      <c r="U98" s="2106">
        <f t="shared" si="51"/>
        <v>27856455.920739394</v>
      </c>
      <c r="W98" s="2061">
        <f>W65-W94</f>
        <v>-9579795.1625535619</v>
      </c>
      <c r="X98" s="2061">
        <f t="shared" ref="X98:AA98" si="52">X65-X94</f>
        <v>-9800130.4512922931</v>
      </c>
      <c r="Y98" s="2061">
        <f t="shared" si="52"/>
        <v>-9996133.0603181403</v>
      </c>
      <c r="Z98" s="2061">
        <f t="shared" si="52"/>
        <v>-10196055.721524503</v>
      </c>
      <c r="AA98" s="2061">
        <f t="shared" si="52"/>
        <v>-10491741.337448716</v>
      </c>
    </row>
    <row r="99" spans="1:27" ht="15" thickBot="1">
      <c r="A99" s="2286" t="s">
        <v>1267</v>
      </c>
      <c r="B99" s="2287"/>
      <c r="C99" s="2287"/>
      <c r="Q99" s="2106">
        <f>Q98-Q95</f>
        <v>24847744.72436104</v>
      </c>
      <c r="R99" s="2106">
        <f t="shared" ref="R99:U99" si="53">R98-R95</f>
        <v>25432753.452762108</v>
      </c>
      <c r="S99" s="2106">
        <f t="shared" si="53"/>
        <v>25953156.869418018</v>
      </c>
      <c r="T99" s="2106">
        <f t="shared" si="53"/>
        <v>26483968.35440705</v>
      </c>
      <c r="U99" s="2106">
        <f t="shared" si="53"/>
        <v>27269038.540705826</v>
      </c>
      <c r="W99" s="2061">
        <f>W98-W95</f>
        <v>-10167212.542587131</v>
      </c>
      <c r="X99" s="2061">
        <f t="shared" ref="X99:AA99" si="54">X98-X95</f>
        <v>-10387547.831325863</v>
      </c>
      <c r="Y99" s="2061">
        <f t="shared" si="54"/>
        <v>-10583550.44035171</v>
      </c>
      <c r="Z99" s="2061">
        <f t="shared" si="54"/>
        <v>-10783473.101558072</v>
      </c>
      <c r="AA99" s="2061">
        <f t="shared" si="54"/>
        <v>-11079158.717482286</v>
      </c>
    </row>
    <row r="100" spans="1:27">
      <c r="T100" s="1948"/>
      <c r="U100" s="1948"/>
      <c r="Y100" s="1090"/>
      <c r="Z100" s="1090"/>
    </row>
  </sheetData>
  <mergeCells count="96">
    <mergeCell ref="W92:AA92"/>
    <mergeCell ref="Q92:U92"/>
    <mergeCell ref="K92:O92"/>
    <mergeCell ref="A95:C95"/>
    <mergeCell ref="A94:C94"/>
    <mergeCell ref="A93:C93"/>
    <mergeCell ref="K46:O46"/>
    <mergeCell ref="W46:AA46"/>
    <mergeCell ref="Q46:U46"/>
    <mergeCell ref="W70:AA70"/>
    <mergeCell ref="Q70:U70"/>
    <mergeCell ref="K70:O70"/>
    <mergeCell ref="A82:C82"/>
    <mergeCell ref="A80:C80"/>
    <mergeCell ref="A81:C81"/>
    <mergeCell ref="A79:C79"/>
    <mergeCell ref="A78:C78"/>
    <mergeCell ref="A72:C72"/>
    <mergeCell ref="A71:C71"/>
    <mergeCell ref="A70:C70"/>
    <mergeCell ref="A50:C50"/>
    <mergeCell ref="A77:C77"/>
    <mergeCell ref="A76:C76"/>
    <mergeCell ref="A75:C75"/>
    <mergeCell ref="A68:J68"/>
    <mergeCell ref="A51:C51"/>
    <mergeCell ref="A54:C54"/>
    <mergeCell ref="A53:C53"/>
    <mergeCell ref="A52:C52"/>
    <mergeCell ref="A59:C59"/>
    <mergeCell ref="A58:C58"/>
    <mergeCell ref="A98:C98"/>
    <mergeCell ref="A99:C99"/>
    <mergeCell ref="A91:J91"/>
    <mergeCell ref="A88:C88"/>
    <mergeCell ref="A89:C89"/>
    <mergeCell ref="A87:C87"/>
    <mergeCell ref="A86:C86"/>
    <mergeCell ref="A85:C85"/>
    <mergeCell ref="A84:C84"/>
    <mergeCell ref="A83:C83"/>
    <mergeCell ref="A47:C47"/>
    <mergeCell ref="A43:J43"/>
    <mergeCell ref="D46:H46"/>
    <mergeCell ref="A74:C74"/>
    <mergeCell ref="A73:C73"/>
    <mergeCell ref="A49:C49"/>
    <mergeCell ref="A48:C48"/>
    <mergeCell ref="A65:C65"/>
    <mergeCell ref="A64:C64"/>
    <mergeCell ref="A63:C63"/>
    <mergeCell ref="A62:C62"/>
    <mergeCell ref="A61:C61"/>
    <mergeCell ref="A60:C60"/>
    <mergeCell ref="A57:C57"/>
    <mergeCell ref="A55:C55"/>
    <mergeCell ref="A56:C56"/>
    <mergeCell ref="A40:C40"/>
    <mergeCell ref="A39:C39"/>
    <mergeCell ref="A38:C38"/>
    <mergeCell ref="D21:I21"/>
    <mergeCell ref="Q21:U21"/>
    <mergeCell ref="K21:O21"/>
    <mergeCell ref="A29:C29"/>
    <mergeCell ref="A28:C28"/>
    <mergeCell ref="A37:C37"/>
    <mergeCell ref="A36:C36"/>
    <mergeCell ref="A35:C35"/>
    <mergeCell ref="A34:C34"/>
    <mergeCell ref="A22:C22"/>
    <mergeCell ref="A23:C23"/>
    <mergeCell ref="A27:C27"/>
    <mergeCell ref="A26:C26"/>
    <mergeCell ref="A25:C25"/>
    <mergeCell ref="A33:C33"/>
    <mergeCell ref="A32:C32"/>
    <mergeCell ref="A31:C31"/>
    <mergeCell ref="A30:C30"/>
    <mergeCell ref="A24:C24"/>
    <mergeCell ref="W21:AA21"/>
    <mergeCell ref="A19:J19"/>
    <mergeCell ref="A4:J4"/>
    <mergeCell ref="A16:C16"/>
    <mergeCell ref="A15:C15"/>
    <mergeCell ref="A14:C14"/>
    <mergeCell ref="A13:C13"/>
    <mergeCell ref="A11:C11"/>
    <mergeCell ref="A10:C10"/>
    <mergeCell ref="A3:J3"/>
    <mergeCell ref="A12:C12"/>
    <mergeCell ref="E1:F1"/>
    <mergeCell ref="I1:J1"/>
    <mergeCell ref="O2:X2"/>
    <mergeCell ref="A9:C9"/>
    <mergeCell ref="A8:C8"/>
    <mergeCell ref="A7:C7"/>
  </mergeCells>
  <pageMargins left="0.7" right="0.7" top="0.75" bottom="0.75" header="0.3" footer="0.3"/>
  <pageSetup paperSize="9" scale="19" orientation="portrait" r:id="rId1"/>
  <rowBreaks count="1" manualBreakCount="1">
    <brk id="41" max="16383" man="1"/>
  </rowBreaks>
  <ignoredErrors>
    <ignoredError sqref="N48:N64" formula="1"/>
  </ignoredErrors>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W223"/>
  <sheetViews>
    <sheetView showGridLines="0" zoomScale="75" zoomScaleNormal="75" zoomScaleSheetLayoutView="100" zoomScalePageLayoutView="75" workbookViewId="0">
      <pane ySplit="1" topLeftCell="A2" activePane="bottomLeft" state="frozen"/>
      <selection activeCell="C3" sqref="C3"/>
      <selection pane="bottomLeft" activeCell="E4" sqref="E4"/>
    </sheetView>
  </sheetViews>
  <sheetFormatPr defaultColWidth="20.42578125" defaultRowHeight="14.25"/>
  <cols>
    <col min="1" max="1" width="11.42578125" style="1079" customWidth="1"/>
    <col min="2" max="16384" width="20.42578125" style="1079"/>
  </cols>
  <sheetData>
    <row r="1" spans="1:75" s="441" customFormat="1" ht="42.75" customHeight="1">
      <c r="A1" s="1913" t="str">
        <f>HYPERLINK("[.\]Menu!A1", "To Menu")</f>
        <v>To Menu</v>
      </c>
      <c r="B1" s="439"/>
      <c r="C1" s="2271" t="str">
        <f>HYPERLINK("[.\]control_sheet_and_graphs!A1", "To Control sheet and graphical results")</f>
        <v>To Control sheet and graphical results</v>
      </c>
      <c r="D1" s="2272"/>
      <c r="F1" s="2271" t="str">
        <f>HYPERLINK("[.\]outputs_by_channel!A1", "To Intervention data outputs by channel")</f>
        <v>To Intervention data outputs by channel</v>
      </c>
      <c r="G1" s="2272"/>
      <c r="H1" s="478"/>
      <c r="K1" s="1758"/>
      <c r="L1" s="1759"/>
      <c r="M1" s="1759"/>
      <c r="O1" s="440"/>
      <c r="Q1" s="440"/>
      <c r="R1" s="440"/>
      <c r="S1" s="440"/>
      <c r="T1" s="440"/>
      <c r="V1" s="440"/>
      <c r="W1" s="440"/>
      <c r="X1" s="440"/>
      <c r="Y1" s="440"/>
      <c r="AA1" s="440"/>
      <c r="AB1" s="440"/>
      <c r="AC1" s="440"/>
      <c r="AD1" s="440"/>
      <c r="AF1" s="440"/>
      <c r="AG1" s="440"/>
      <c r="AH1" s="440"/>
      <c r="AI1" s="440"/>
      <c r="AK1" s="440"/>
      <c r="AL1" s="440"/>
      <c r="AM1" s="440"/>
      <c r="AN1" s="440"/>
      <c r="AP1" s="440"/>
      <c r="AQ1" s="440"/>
      <c r="AR1" s="440"/>
      <c r="AS1" s="440"/>
      <c r="AU1" s="440"/>
      <c r="AV1" s="440"/>
      <c r="AW1" s="440"/>
      <c r="AX1" s="440"/>
      <c r="AZ1" s="440"/>
      <c r="BA1" s="440"/>
      <c r="BB1" s="440"/>
      <c r="BC1" s="440"/>
      <c r="BE1" s="440"/>
      <c r="BF1" s="440"/>
      <c r="BG1" s="440"/>
      <c r="BH1" s="440"/>
      <c r="BJ1" s="440"/>
      <c r="BK1" s="440"/>
      <c r="BL1" s="440"/>
      <c r="BM1" s="440"/>
      <c r="BO1" s="440"/>
      <c r="BP1" s="440"/>
      <c r="BQ1" s="440"/>
      <c r="BR1" s="440"/>
      <c r="BT1" s="440"/>
      <c r="BU1" s="440"/>
      <c r="BV1" s="440"/>
      <c r="BW1" s="440"/>
    </row>
    <row r="2" spans="1:75">
      <c r="A2" s="794"/>
      <c r="C2" s="528"/>
      <c r="D2" s="1078"/>
      <c r="F2" s="794"/>
      <c r="V2" s="1563"/>
      <c r="W2" s="1563"/>
      <c r="X2" s="1563"/>
      <c r="Y2" s="1563"/>
      <c r="Z2" s="1563"/>
    </row>
    <row r="3" spans="1:75" s="1737" customFormat="1" ht="45">
      <c r="A3" s="1733" t="s">
        <v>575</v>
      </c>
      <c r="B3" s="1733"/>
      <c r="C3" s="1734" t="s">
        <v>1237</v>
      </c>
      <c r="D3" s="1735" t="s">
        <v>26</v>
      </c>
      <c r="E3" s="1736" t="s">
        <v>1097</v>
      </c>
      <c r="F3" s="1735" t="s">
        <v>25</v>
      </c>
      <c r="G3" s="1735" t="s">
        <v>1098</v>
      </c>
      <c r="H3" s="1735" t="s">
        <v>1099</v>
      </c>
      <c r="J3" s="2310" t="s">
        <v>1100</v>
      </c>
      <c r="K3" s="2310"/>
    </row>
    <row r="4" spans="1:75" s="1741" customFormat="1">
      <c r="A4" s="1738"/>
      <c r="B4" s="1738" t="s">
        <v>36</v>
      </c>
      <c r="C4" s="1739"/>
      <c r="D4" s="1740">
        <v>0.24</v>
      </c>
      <c r="E4" s="1740">
        <v>0</v>
      </c>
      <c r="F4" s="1738"/>
      <c r="G4" s="1738"/>
      <c r="H4" s="1738"/>
      <c r="J4" s="1742" t="s">
        <v>38</v>
      </c>
      <c r="K4" s="1743">
        <v>0</v>
      </c>
    </row>
    <row r="5" spans="1:75" s="1746" customFormat="1">
      <c r="A5" s="1744">
        <v>1</v>
      </c>
      <c r="B5" s="1745" t="s">
        <v>9</v>
      </c>
      <c r="C5" s="1755">
        <v>15516</v>
      </c>
      <c r="D5" s="1756">
        <f t="shared" ref="D5:D22" si="0">$C5*$D$4</f>
        <v>3723.8399999999997</v>
      </c>
      <c r="E5" s="1739" t="str">
        <f>IF($E$4=0, "",IF($E$4=20%,IF(($E$4*$C5)&gt;6505,6505,IF(($E$4*$C5)&lt;4158,4158,$E$4*$C5)),IF($E$4=15%,IF(($E$4*$C5)&gt;4483,4483,IF(($E$4*$C5)&lt;3518,3158,$E$4*$C5)),IF($E$4=5%,IF(($E$4*$C5)&gt;1665,1665,IF(($E$4*$C5)&lt;961,961,$E$4*$C5))))))</f>
        <v/>
      </c>
      <c r="F5" s="1756">
        <f>IF(E$4=0,C5+D5,C5+E5+D5)</f>
        <v>19239.84</v>
      </c>
      <c r="G5" s="1757">
        <f t="shared" ref="G5:G22" si="1">(F5/37.5)/42</f>
        <v>12.215771428571429</v>
      </c>
      <c r="H5" s="1757">
        <f t="shared" ref="H5:H22" si="2">G5/60</f>
        <v>0.20359619047619049</v>
      </c>
      <c r="J5" s="1747" t="s">
        <v>40</v>
      </c>
      <c r="K5" s="1743">
        <v>0.05</v>
      </c>
    </row>
    <row r="6" spans="1:75" s="1746" customFormat="1">
      <c r="A6" s="1744">
        <v>2</v>
      </c>
      <c r="B6" s="1745" t="s">
        <v>10</v>
      </c>
      <c r="C6" s="1755">
        <v>16372</v>
      </c>
      <c r="D6" s="1756">
        <f t="shared" si="0"/>
        <v>3929.2799999999997</v>
      </c>
      <c r="E6" s="1739" t="str">
        <f t="shared" ref="E6:E16" si="3">IF($E$4=0, "",IF($E$4=20%,IF(($E$4*$C6)&gt;6505,6505,IF(($E$4*$C6)&lt;4158,4158,$E$4*$C6)),IF($E$4=15%,IF(($E$4*$C6)&gt;4483,4483,IF(($E$4*$C6)&lt;3518,3158,$E$4*$C6)),IF($E$4=5%,IF(($E$4*$C6)&gt;1665,1665,IF(($E$4*$C6)&lt;961,961,$E$4*$C6))))))</f>
        <v/>
      </c>
      <c r="F6" s="1756">
        <f t="shared" ref="F6:F22" si="4">IF(E$4=0,C6+D6,C6+E6+D6)</f>
        <v>20301.28</v>
      </c>
      <c r="G6" s="1757">
        <f t="shared" si="1"/>
        <v>12.889701587301586</v>
      </c>
      <c r="H6" s="1757">
        <f t="shared" si="2"/>
        <v>0.21482835978835976</v>
      </c>
      <c r="I6" s="1748"/>
      <c r="J6" s="1747" t="s">
        <v>39</v>
      </c>
      <c r="K6" s="1743">
        <v>0.15</v>
      </c>
    </row>
    <row r="7" spans="1:75" s="1746" customFormat="1">
      <c r="A7" s="1744">
        <v>3</v>
      </c>
      <c r="B7" s="1745" t="s">
        <v>11</v>
      </c>
      <c r="C7" s="1755">
        <v>18152</v>
      </c>
      <c r="D7" s="1756">
        <f t="shared" si="0"/>
        <v>4356.4799999999996</v>
      </c>
      <c r="E7" s="1739" t="str">
        <f t="shared" si="3"/>
        <v/>
      </c>
      <c r="F7" s="1756">
        <f t="shared" si="4"/>
        <v>22508.48</v>
      </c>
      <c r="G7" s="1757">
        <f t="shared" si="1"/>
        <v>14.291098412698412</v>
      </c>
      <c r="H7" s="1757">
        <f t="shared" si="2"/>
        <v>0.23818497354497353</v>
      </c>
      <c r="J7" s="1747" t="s">
        <v>40</v>
      </c>
      <c r="K7" s="1743">
        <v>0.2</v>
      </c>
    </row>
    <row r="8" spans="1:75" s="1746" customFormat="1">
      <c r="A8" s="1744">
        <v>4</v>
      </c>
      <c r="B8" s="1745" t="s">
        <v>12</v>
      </c>
      <c r="C8" s="1755">
        <v>21052</v>
      </c>
      <c r="D8" s="1756">
        <f t="shared" si="0"/>
        <v>5052.4799999999996</v>
      </c>
      <c r="E8" s="1739" t="str">
        <f t="shared" si="3"/>
        <v/>
      </c>
      <c r="F8" s="1756">
        <f t="shared" si="4"/>
        <v>26104.48</v>
      </c>
      <c r="G8" s="1757">
        <f t="shared" si="1"/>
        <v>16.574273015873015</v>
      </c>
      <c r="H8" s="1757">
        <f t="shared" si="2"/>
        <v>0.27623788359788359</v>
      </c>
    </row>
    <row r="9" spans="1:75" s="1746" customFormat="1">
      <c r="A9" s="1744">
        <v>5</v>
      </c>
      <c r="B9" s="1745" t="s">
        <v>13</v>
      </c>
      <c r="C9" s="1755">
        <v>25298</v>
      </c>
      <c r="D9" s="1756">
        <f t="shared" si="0"/>
        <v>6071.5199999999995</v>
      </c>
      <c r="E9" s="1739" t="str">
        <f t="shared" si="3"/>
        <v/>
      </c>
      <c r="F9" s="1756">
        <f t="shared" si="4"/>
        <v>31369.52</v>
      </c>
      <c r="G9" s="1757">
        <f t="shared" si="1"/>
        <v>19.917155555555556</v>
      </c>
      <c r="H9" s="1757">
        <f t="shared" si="2"/>
        <v>0.33195259259259263</v>
      </c>
    </row>
    <row r="10" spans="1:75" s="1746" customFormat="1">
      <c r="A10" s="1744">
        <v>6</v>
      </c>
      <c r="B10" s="1745" t="s">
        <v>14</v>
      </c>
      <c r="C10" s="1755">
        <v>30357</v>
      </c>
      <c r="D10" s="1756">
        <f t="shared" si="0"/>
        <v>7285.6799999999994</v>
      </c>
      <c r="E10" s="1739" t="str">
        <f t="shared" si="3"/>
        <v/>
      </c>
      <c r="F10" s="1756">
        <f t="shared" si="4"/>
        <v>37642.68</v>
      </c>
      <c r="G10" s="1757">
        <f t="shared" si="1"/>
        <v>23.900114285714285</v>
      </c>
      <c r="H10" s="1757">
        <f t="shared" si="2"/>
        <v>0.39833523809523808</v>
      </c>
    </row>
    <row r="11" spans="1:75" s="1746" customFormat="1">
      <c r="A11" s="1744">
        <v>7</v>
      </c>
      <c r="B11" s="1745" t="s">
        <v>15</v>
      </c>
      <c r="C11" s="1755">
        <v>36250</v>
      </c>
      <c r="D11" s="1756">
        <f t="shared" si="0"/>
        <v>8700</v>
      </c>
      <c r="E11" s="1739" t="str">
        <f t="shared" si="3"/>
        <v/>
      </c>
      <c r="F11" s="1756">
        <f t="shared" si="4"/>
        <v>44950</v>
      </c>
      <c r="G11" s="1757">
        <f t="shared" si="1"/>
        <v>28.539682539682541</v>
      </c>
      <c r="H11" s="1757">
        <f t="shared" si="2"/>
        <v>0.47566137566137567</v>
      </c>
    </row>
    <row r="12" spans="1:75" s="1746" customFormat="1">
      <c r="A12" s="1749" t="s">
        <v>0</v>
      </c>
      <c r="B12" s="1745" t="s">
        <v>16</v>
      </c>
      <c r="C12" s="1755">
        <v>44703</v>
      </c>
      <c r="D12" s="1756">
        <f t="shared" si="0"/>
        <v>10728.72</v>
      </c>
      <c r="E12" s="1739" t="str">
        <f t="shared" si="3"/>
        <v/>
      </c>
      <c r="F12" s="1756">
        <f t="shared" si="4"/>
        <v>55431.72</v>
      </c>
      <c r="G12" s="1757">
        <f t="shared" si="1"/>
        <v>35.194742857142856</v>
      </c>
      <c r="H12" s="1757">
        <f t="shared" si="2"/>
        <v>0.58657904761904756</v>
      </c>
      <c r="I12" s="1748"/>
      <c r="J12" s="1748"/>
    </row>
    <row r="13" spans="1:75" s="1746" customFormat="1">
      <c r="A13" s="1749" t="s">
        <v>1</v>
      </c>
      <c r="B13" s="1745" t="s">
        <v>17</v>
      </c>
      <c r="C13" s="1755">
        <v>53285</v>
      </c>
      <c r="D13" s="1756">
        <f t="shared" si="0"/>
        <v>12788.4</v>
      </c>
      <c r="E13" s="1739" t="str">
        <f t="shared" si="3"/>
        <v/>
      </c>
      <c r="F13" s="1756">
        <f t="shared" si="4"/>
        <v>66073.399999999994</v>
      </c>
      <c r="G13" s="1757">
        <f t="shared" si="1"/>
        <v>41.951365079365075</v>
      </c>
      <c r="H13" s="1757">
        <f t="shared" si="2"/>
        <v>0.69918941798941792</v>
      </c>
      <c r="I13" s="1748"/>
    </row>
    <row r="14" spans="1:75" s="1746" customFormat="1">
      <c r="A14" s="1749" t="s">
        <v>2</v>
      </c>
      <c r="B14" s="1745" t="s">
        <v>18</v>
      </c>
      <c r="C14" s="1755">
        <v>62397</v>
      </c>
      <c r="D14" s="1756">
        <f t="shared" si="0"/>
        <v>14975.279999999999</v>
      </c>
      <c r="E14" s="1739" t="str">
        <f t="shared" si="3"/>
        <v/>
      </c>
      <c r="F14" s="1756">
        <f t="shared" si="4"/>
        <v>77372.28</v>
      </c>
      <c r="G14" s="1757">
        <f t="shared" si="1"/>
        <v>49.125257142857144</v>
      </c>
      <c r="H14" s="1757">
        <f t="shared" si="2"/>
        <v>0.81875428571428577</v>
      </c>
    </row>
    <row r="15" spans="1:75" s="1746" customFormat="1">
      <c r="A15" s="1749" t="s">
        <v>3</v>
      </c>
      <c r="B15" s="1745" t="s">
        <v>19</v>
      </c>
      <c r="C15" s="1755">
        <v>74825</v>
      </c>
      <c r="D15" s="1756">
        <f t="shared" si="0"/>
        <v>17958</v>
      </c>
      <c r="E15" s="1739" t="str">
        <f t="shared" si="3"/>
        <v/>
      </c>
      <c r="F15" s="1756">
        <f t="shared" si="4"/>
        <v>92783</v>
      </c>
      <c r="G15" s="1757">
        <f t="shared" si="1"/>
        <v>58.909841269841266</v>
      </c>
      <c r="H15" s="1757">
        <f t="shared" si="2"/>
        <v>0.98183068783068772</v>
      </c>
    </row>
    <row r="16" spans="1:75" s="1746" customFormat="1">
      <c r="A16" s="1744">
        <v>9</v>
      </c>
      <c r="B16" s="1745" t="s">
        <v>20</v>
      </c>
      <c r="C16" s="1755">
        <v>90537</v>
      </c>
      <c r="D16" s="1756">
        <f t="shared" si="0"/>
        <v>21728.879999999997</v>
      </c>
      <c r="E16" s="1739" t="str">
        <f t="shared" si="3"/>
        <v/>
      </c>
      <c r="F16" s="1756">
        <f>IF(E$4=0,C16+D16,C16+E16+D16)</f>
        <v>112265.88</v>
      </c>
      <c r="G16" s="1757">
        <f t="shared" si="1"/>
        <v>71.279923809523808</v>
      </c>
      <c r="H16" s="1757">
        <f t="shared" si="2"/>
        <v>1.18799873015873</v>
      </c>
    </row>
    <row r="17" spans="1:11" s="1746" customFormat="1" ht="28.5">
      <c r="A17" s="1749" t="s">
        <v>4</v>
      </c>
      <c r="B17" s="1745" t="s">
        <v>21</v>
      </c>
      <c r="C17" s="1755">
        <v>24289</v>
      </c>
      <c r="D17" s="1756">
        <f t="shared" si="0"/>
        <v>5829.36</v>
      </c>
      <c r="E17" s="1739"/>
      <c r="F17" s="1756">
        <f t="shared" si="4"/>
        <v>30118.36</v>
      </c>
      <c r="G17" s="1757">
        <f t="shared" si="1"/>
        <v>19.122768253968257</v>
      </c>
      <c r="H17" s="1757">
        <f t="shared" si="2"/>
        <v>0.31871280423280429</v>
      </c>
    </row>
    <row r="18" spans="1:11" s="1746" customFormat="1" ht="28.5">
      <c r="A18" s="1749" t="s">
        <v>5</v>
      </c>
      <c r="B18" s="1745" t="s">
        <v>22</v>
      </c>
      <c r="C18" s="1755">
        <v>30211</v>
      </c>
      <c r="D18" s="1756">
        <f t="shared" si="0"/>
        <v>7250.6399999999994</v>
      </c>
      <c r="E18" s="1739"/>
      <c r="F18" s="1756">
        <f t="shared" si="4"/>
        <v>37461.64</v>
      </c>
      <c r="G18" s="1757">
        <f t="shared" si="1"/>
        <v>23.785168253968255</v>
      </c>
      <c r="H18" s="1757">
        <f t="shared" si="2"/>
        <v>0.39641947089947094</v>
      </c>
    </row>
    <row r="19" spans="1:11" s="1746" customFormat="1">
      <c r="A19" s="1749" t="s">
        <v>37</v>
      </c>
      <c r="B19" s="1745" t="s">
        <v>23</v>
      </c>
      <c r="C19" s="1755">
        <v>53059.729999999996</v>
      </c>
      <c r="D19" s="1756">
        <f t="shared" si="0"/>
        <v>12734.335199999998</v>
      </c>
      <c r="E19" s="1739"/>
      <c r="F19" s="1756">
        <f t="shared" si="4"/>
        <v>65794.065199999997</v>
      </c>
      <c r="G19" s="1757">
        <f t="shared" si="1"/>
        <v>41.774009650793651</v>
      </c>
      <c r="H19" s="1757">
        <f t="shared" si="2"/>
        <v>0.69623349417989422</v>
      </c>
      <c r="J19" s="1750" t="s">
        <v>94</v>
      </c>
    </row>
    <row r="20" spans="1:11" s="1746" customFormat="1">
      <c r="A20" s="1749" t="s">
        <v>6</v>
      </c>
      <c r="B20" s="1745" t="s">
        <v>24</v>
      </c>
      <c r="C20" s="1755">
        <v>73544</v>
      </c>
      <c r="D20" s="1756">
        <f t="shared" si="0"/>
        <v>17650.559999999998</v>
      </c>
      <c r="E20" s="1739"/>
      <c r="F20" s="1756">
        <f t="shared" si="4"/>
        <v>91194.559999999998</v>
      </c>
      <c r="G20" s="1757">
        <f t="shared" si="1"/>
        <v>57.901307936507934</v>
      </c>
      <c r="H20" s="1757">
        <f t="shared" si="2"/>
        <v>0.96502179894179885</v>
      </c>
      <c r="J20" s="1750" t="s">
        <v>93</v>
      </c>
      <c r="K20" s="1079"/>
    </row>
    <row r="21" spans="1:11" s="1746" customFormat="1">
      <c r="A21" s="1749" t="s">
        <v>7</v>
      </c>
      <c r="B21" s="1745" t="s">
        <v>211</v>
      </c>
      <c r="C21" s="1755">
        <v>111862.74999999999</v>
      </c>
      <c r="D21" s="1756">
        <f t="shared" si="0"/>
        <v>26847.059999999994</v>
      </c>
      <c r="E21" s="1739"/>
      <c r="F21" s="1756">
        <f t="shared" si="4"/>
        <v>138709.80999999997</v>
      </c>
      <c r="G21" s="1757">
        <f t="shared" si="1"/>
        <v>88.069720634920614</v>
      </c>
      <c r="H21" s="1757">
        <f t="shared" si="2"/>
        <v>1.4678286772486768</v>
      </c>
      <c r="I21" s="1751"/>
      <c r="J21" s="1750" t="s">
        <v>94</v>
      </c>
    </row>
    <row r="22" spans="1:11" s="1746" customFormat="1">
      <c r="A22" s="1749" t="s">
        <v>8</v>
      </c>
      <c r="B22" s="1745" t="s">
        <v>8</v>
      </c>
      <c r="C22" s="1755">
        <v>90200</v>
      </c>
      <c r="D22" s="1756">
        <f t="shared" si="0"/>
        <v>21648</v>
      </c>
      <c r="E22" s="1739"/>
      <c r="F22" s="1756">
        <f t="shared" si="4"/>
        <v>111848</v>
      </c>
      <c r="G22" s="1757">
        <f t="shared" si="1"/>
        <v>71.014603174603167</v>
      </c>
      <c r="H22" s="1757">
        <f t="shared" si="2"/>
        <v>1.1835767195767195</v>
      </c>
      <c r="I22" s="1751"/>
      <c r="J22" s="1750" t="s">
        <v>94</v>
      </c>
    </row>
    <row r="23" spans="1:11" s="1752" customFormat="1" ht="15"/>
    <row r="24" spans="1:11" s="1753" customFormat="1" ht="15"/>
    <row r="25" spans="1:11" s="1754" customFormat="1" ht="15"/>
    <row r="26" spans="1:11" s="1121" customFormat="1"/>
    <row r="27" spans="1:11" s="1121" customFormat="1"/>
    <row r="28" spans="1:11" s="1121" customFormat="1" ht="15">
      <c r="B28" s="742" t="s">
        <v>1225</v>
      </c>
      <c r="C28" s="1121" t="s">
        <v>1234</v>
      </c>
    </row>
    <row r="29" spans="1:11" s="1121" customFormat="1">
      <c r="B29" s="1745" t="s">
        <v>211</v>
      </c>
    </row>
    <row r="30" spans="1:11" s="1121" customFormat="1">
      <c r="B30" s="1745" t="s">
        <v>24</v>
      </c>
    </row>
    <row r="31" spans="1:11" s="1121" customFormat="1">
      <c r="B31" s="1745" t="s">
        <v>23</v>
      </c>
    </row>
    <row r="32" spans="1:11" s="1121" customFormat="1" ht="28.5">
      <c r="B32" s="1745" t="s">
        <v>1233</v>
      </c>
    </row>
    <row r="33" spans="2:2" s="1121" customFormat="1">
      <c r="B33" s="1745" t="s">
        <v>8</v>
      </c>
    </row>
    <row r="34" spans="2:2" s="1121" customFormat="1">
      <c r="B34" s="1745" t="s">
        <v>1226</v>
      </c>
    </row>
    <row r="35" spans="2:2" s="1121" customFormat="1" ht="28.5">
      <c r="B35" s="1745" t="s">
        <v>1232</v>
      </c>
    </row>
    <row r="36" spans="2:2" s="1121" customFormat="1" ht="28.5">
      <c r="B36" s="1745" t="s">
        <v>1229</v>
      </c>
    </row>
    <row r="37" spans="2:2" s="1121" customFormat="1" ht="28.5">
      <c r="B37" s="1745" t="s">
        <v>1115</v>
      </c>
    </row>
    <row r="38" spans="2:2" s="1121" customFormat="1" ht="28.5">
      <c r="B38" s="1745" t="s">
        <v>538</v>
      </c>
    </row>
    <row r="39" spans="2:2" s="1121" customFormat="1" ht="28.5">
      <c r="B39" s="1745" t="s">
        <v>235</v>
      </c>
    </row>
    <row r="40" spans="2:2" s="1121" customFormat="1">
      <c r="B40" s="1745" t="s">
        <v>1227</v>
      </c>
    </row>
    <row r="41" spans="2:2" s="1121" customFormat="1">
      <c r="B41" s="1745" t="s">
        <v>154</v>
      </c>
    </row>
    <row r="42" spans="2:2" s="1121" customFormat="1" ht="28.5">
      <c r="B42" s="1745" t="s">
        <v>1231</v>
      </c>
    </row>
    <row r="43" spans="2:2" s="1121" customFormat="1">
      <c r="B43" s="1745" t="s">
        <v>1230</v>
      </c>
    </row>
    <row r="44" spans="2:2" s="1121" customFormat="1">
      <c r="B44" s="1745" t="s">
        <v>700</v>
      </c>
    </row>
    <row r="45" spans="2:2" s="1121" customFormat="1">
      <c r="B45" s="1745" t="s">
        <v>1228</v>
      </c>
    </row>
    <row r="46" spans="2:2" s="1121" customFormat="1">
      <c r="B46" s="1745" t="s">
        <v>155</v>
      </c>
    </row>
    <row r="47" spans="2:2" s="1121" customFormat="1" ht="28.5">
      <c r="B47" s="1745" t="s">
        <v>234</v>
      </c>
    </row>
    <row r="48" spans="2:2" s="1121" customFormat="1">
      <c r="B48" s="1745" t="s">
        <v>313</v>
      </c>
    </row>
    <row r="49" spans="2:2" s="1121" customFormat="1">
      <c r="B49" s="1745" t="s">
        <v>1048</v>
      </c>
    </row>
    <row r="50" spans="2:2" s="1121" customFormat="1"/>
    <row r="51" spans="2:2" s="1121" customFormat="1"/>
    <row r="52" spans="2:2" s="1121" customFormat="1"/>
    <row r="53" spans="2:2" s="1121" customFormat="1"/>
    <row r="54" spans="2:2" s="1121" customFormat="1"/>
    <row r="55" spans="2:2" s="1121" customFormat="1"/>
    <row r="56" spans="2:2" s="1121" customFormat="1"/>
    <row r="57" spans="2:2" s="1121" customFormat="1"/>
    <row r="58" spans="2:2" s="1121" customFormat="1"/>
    <row r="59" spans="2:2" s="1121" customFormat="1"/>
    <row r="60" spans="2:2" s="1121" customFormat="1"/>
    <row r="61" spans="2:2" s="1121" customFormat="1"/>
    <row r="62" spans="2:2" s="1121" customFormat="1"/>
    <row r="63" spans="2:2" s="1121" customFormat="1"/>
    <row r="64" spans="2:2" s="1121" customFormat="1"/>
    <row r="65" s="1121" customFormat="1"/>
    <row r="66" s="1121" customFormat="1"/>
    <row r="67" s="1121" customFormat="1"/>
    <row r="68" s="1121" customFormat="1"/>
    <row r="69" s="1121" customFormat="1"/>
    <row r="70" s="1121" customFormat="1"/>
    <row r="71" s="1121" customFormat="1"/>
    <row r="72" s="1121" customFormat="1"/>
    <row r="73" s="1121" customFormat="1"/>
    <row r="74" s="1121" customFormat="1"/>
    <row r="75" s="1121" customFormat="1"/>
    <row r="76" s="1121" customFormat="1"/>
    <row r="77" s="1121" customFormat="1"/>
    <row r="78" s="1121" customFormat="1"/>
    <row r="79" s="1121" customFormat="1"/>
    <row r="80" s="1121" customFormat="1"/>
    <row r="81" s="1121" customFormat="1"/>
    <row r="82" s="1121" customFormat="1"/>
    <row r="83" s="1121" customFormat="1"/>
    <row r="84" s="1121" customFormat="1"/>
    <row r="85" s="1121" customFormat="1"/>
    <row r="86" s="1121" customFormat="1"/>
    <row r="87" s="1121" customFormat="1"/>
    <row r="88" s="1121" customFormat="1"/>
    <row r="89" s="1121" customFormat="1"/>
    <row r="90" s="1121" customFormat="1"/>
    <row r="91" s="1121" customFormat="1"/>
    <row r="92" s="1121" customFormat="1"/>
    <row r="93" s="1121" customFormat="1"/>
    <row r="94" s="1121" customFormat="1"/>
    <row r="95" s="1121" customFormat="1"/>
    <row r="96" s="1121" customFormat="1"/>
    <row r="97" s="1121" customFormat="1"/>
    <row r="98" s="1121" customFormat="1"/>
    <row r="99" s="1121" customFormat="1"/>
    <row r="100" s="1121" customFormat="1"/>
    <row r="101" s="1121" customFormat="1"/>
    <row r="102" s="1121" customFormat="1"/>
    <row r="103" s="1121" customFormat="1"/>
    <row r="104" s="1121" customFormat="1"/>
    <row r="105" s="1121" customFormat="1"/>
    <row r="106" s="1121" customFormat="1"/>
    <row r="107" s="1121" customFormat="1"/>
    <row r="108" s="1121" customFormat="1"/>
    <row r="109" s="1121" customFormat="1"/>
    <row r="110" s="1121" customFormat="1"/>
    <row r="111" s="1121" customFormat="1"/>
    <row r="112" s="1121" customFormat="1"/>
    <row r="113" s="1121" customFormat="1"/>
    <row r="114" s="1121" customFormat="1"/>
    <row r="115" s="1121" customFormat="1"/>
    <row r="116" s="1121" customFormat="1"/>
    <row r="117" s="1121" customFormat="1"/>
    <row r="118" s="1121" customFormat="1"/>
    <row r="119" s="1121" customFormat="1"/>
    <row r="120" s="1121" customFormat="1"/>
    <row r="121" s="1121" customFormat="1"/>
    <row r="122" s="1121" customFormat="1"/>
    <row r="123" s="1121" customFormat="1"/>
    <row r="124" s="1121" customFormat="1"/>
    <row r="125" s="1121" customFormat="1"/>
    <row r="126" s="1121" customFormat="1"/>
    <row r="127" s="1121" customFormat="1"/>
    <row r="128" s="1121" customFormat="1"/>
    <row r="129" s="1121" customFormat="1"/>
    <row r="130" s="1121" customFormat="1"/>
    <row r="131" s="1121" customFormat="1"/>
    <row r="132" s="1121" customFormat="1"/>
    <row r="133" s="1121" customFormat="1"/>
    <row r="134" s="1121" customFormat="1"/>
    <row r="135" s="1121" customFormat="1"/>
    <row r="136" s="1121" customFormat="1"/>
    <row r="137" s="1121" customFormat="1"/>
    <row r="138" s="1121" customFormat="1"/>
    <row r="139" s="1121" customFormat="1"/>
    <row r="140" s="1121" customFormat="1"/>
    <row r="141" s="1121" customFormat="1"/>
    <row r="142" s="1121" customFormat="1"/>
    <row r="143" s="1121" customFormat="1"/>
    <row r="144" s="1121" customFormat="1"/>
    <row r="145" s="1121" customFormat="1"/>
    <row r="146" s="1121" customFormat="1"/>
    <row r="147" s="1121" customFormat="1"/>
    <row r="148" s="1121" customFormat="1"/>
    <row r="149" s="1121" customFormat="1"/>
    <row r="150" s="1121" customFormat="1"/>
    <row r="151" s="1121" customFormat="1"/>
    <row r="152" s="1121" customFormat="1"/>
    <row r="153" s="1121" customFormat="1"/>
    <row r="154" s="1121" customFormat="1"/>
    <row r="155" s="1121" customFormat="1"/>
    <row r="156" s="1121" customFormat="1"/>
    <row r="157" s="1121" customFormat="1"/>
    <row r="158" s="1121" customFormat="1"/>
    <row r="159" s="1121" customFormat="1"/>
    <row r="160" s="1121" customFormat="1"/>
    <row r="161" s="1121" customFormat="1"/>
    <row r="162" s="1121" customFormat="1"/>
    <row r="163" s="1121" customFormat="1"/>
    <row r="164" s="1121" customFormat="1"/>
    <row r="165" s="1121" customFormat="1"/>
    <row r="166" s="1121" customFormat="1"/>
    <row r="167" s="1121" customFormat="1"/>
    <row r="168" s="1121" customFormat="1"/>
    <row r="169" s="1121" customFormat="1"/>
    <row r="170" s="1121" customFormat="1"/>
    <row r="171" s="1121" customFormat="1"/>
    <row r="172" s="1121" customFormat="1"/>
    <row r="173" s="1121" customFormat="1"/>
    <row r="174" s="1121" customFormat="1"/>
    <row r="175" s="1121" customFormat="1"/>
    <row r="176" s="1121" customFormat="1"/>
    <row r="177" s="1121" customFormat="1"/>
    <row r="178" s="1121" customFormat="1"/>
    <row r="179" s="1121" customFormat="1"/>
    <row r="180" s="1121" customFormat="1"/>
    <row r="181" s="1121" customFormat="1"/>
    <row r="182" s="1121" customFormat="1"/>
    <row r="183" s="1121" customFormat="1"/>
    <row r="184" s="1121" customFormat="1"/>
    <row r="185" s="1121" customFormat="1"/>
    <row r="186" s="1121" customFormat="1"/>
    <row r="187" s="1121" customFormat="1"/>
    <row r="188" s="1121" customFormat="1"/>
    <row r="189" s="1121" customFormat="1"/>
    <row r="190" s="1121" customFormat="1"/>
    <row r="191" s="1121" customFormat="1"/>
    <row r="192" s="1121" customFormat="1"/>
    <row r="193" s="1121" customFormat="1"/>
    <row r="194" s="1121" customFormat="1"/>
    <row r="195" s="1121" customFormat="1"/>
    <row r="196" s="1121" customFormat="1"/>
    <row r="197" s="1121" customFormat="1"/>
    <row r="198" s="1121" customFormat="1"/>
    <row r="199" s="1121" customFormat="1"/>
    <row r="200" s="1121" customFormat="1"/>
    <row r="201" s="1121" customFormat="1"/>
    <row r="202" s="1121" customFormat="1"/>
    <row r="203" s="1121" customFormat="1"/>
    <row r="204" s="1121" customFormat="1"/>
    <row r="205" s="1121" customFormat="1"/>
    <row r="206" s="1121" customFormat="1"/>
    <row r="207" s="1121" customFormat="1"/>
    <row r="208" s="1121" customFormat="1"/>
    <row r="209" s="1121" customFormat="1"/>
    <row r="210" s="1121" customFormat="1"/>
    <row r="211" s="1121" customFormat="1"/>
    <row r="212" s="1121" customFormat="1"/>
    <row r="213" s="1121" customFormat="1"/>
    <row r="214" s="1121" customFormat="1"/>
    <row r="215" s="1121" customFormat="1"/>
    <row r="216" s="1121" customFormat="1"/>
    <row r="217" s="1121" customFormat="1"/>
    <row r="218" s="1121" customFormat="1"/>
    <row r="219" s="1121" customFormat="1"/>
    <row r="220" s="1121" customFormat="1"/>
    <row r="221" s="1121" customFormat="1"/>
    <row r="222" s="1121" customFormat="1"/>
    <row r="223" s="1121" customFormat="1"/>
  </sheetData>
  <mergeCells count="3">
    <mergeCell ref="J3:K3"/>
    <mergeCell ref="C1:D1"/>
    <mergeCell ref="F1:G1"/>
  </mergeCells>
  <dataValidations count="1">
    <dataValidation type="list" allowBlank="1" showInputMessage="1" showErrorMessage="1" sqref="E4">
      <formula1>uplift</formula1>
    </dataValidation>
  </dataValidations>
  <pageMargins left="0.70866141732283472" right="0.70866141732283472" top="0.74803149606299213" bottom="0.74803149606299213" header="0.31496062992125984" footer="0.31496062992125984"/>
  <pageSetup paperSize="9" scale="51" orientation="landscape"/>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388D0358201234AAE2C247D7BC419EE" ma:contentTypeVersion="0" ma:contentTypeDescription="Create a new document." ma:contentTypeScope="" ma:versionID="d461c44da1538617670b823e68c4bf0b">
  <xsd:schema xmlns:xsd="http://www.w3.org/2001/XMLSchema" xmlns:xs="http://www.w3.org/2001/XMLSchema" xmlns:p="http://schemas.microsoft.com/office/2006/metadata/properties" targetNamespace="http://schemas.microsoft.com/office/2006/metadata/properties" ma:root="true" ma:fieldsID="abc59ee2edf01cfb808cadb27e045d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670077E-D9E7-415D-A273-EAE8C9A883CF}">
  <ds:schemaRefs>
    <ds:schemaRef ds:uri="http://schemas.microsoft.com/sharepoint/v3/contenttype/forms"/>
  </ds:schemaRefs>
</ds:datastoreItem>
</file>

<file path=customXml/itemProps2.xml><?xml version="1.0" encoding="utf-8"?>
<ds:datastoreItem xmlns:ds="http://schemas.openxmlformats.org/officeDocument/2006/customXml" ds:itemID="{87EB80FF-ABAF-4FB8-926F-666FFC2477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03115503-8B5D-43CB-87C3-FAA76D15D8BF}">
  <ds:schemaRefs>
    <ds:schemaRef ds:uri="http://purl.org/dc/dcmitype/"/>
    <ds:schemaRef ds:uri="http://purl.org/dc/elements/1.1/"/>
    <ds:schemaRef ds:uri="http://www.w3.org/XML/1998/namespace"/>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49</vt:i4>
      </vt:variant>
    </vt:vector>
  </HeadingPairs>
  <TitlesOfParts>
    <vt:vector size="114" baseType="lpstr">
      <vt:lpstr>Welcome</vt:lpstr>
      <vt:lpstr>Menu</vt:lpstr>
      <vt:lpstr>local_data_input</vt:lpstr>
      <vt:lpstr>Data Sheet</vt:lpstr>
      <vt:lpstr>control_sheet_and_graphs</vt:lpstr>
      <vt:lpstr>outputs_by_channel</vt:lpstr>
      <vt:lpstr>Graph Data Sheet</vt:lpstr>
      <vt:lpstr>projections</vt:lpstr>
      <vt:lpstr>staff_costs</vt:lpstr>
      <vt:lpstr>hear_and_treat</vt:lpstr>
      <vt:lpstr>see_and_treat</vt:lpstr>
      <vt:lpstr>Clinical_advisor_consultations</vt:lpstr>
      <vt:lpstr>Integration_of_hubs</vt:lpstr>
      <vt:lpstr>AEC</vt:lpstr>
      <vt:lpstr>Care_planning</vt:lpstr>
      <vt:lpstr>Colocate_UTC</vt:lpstr>
      <vt:lpstr>Enhanced_UCS</vt:lpstr>
      <vt:lpstr>PGD_Minor_ailments</vt:lpstr>
      <vt:lpstr>GP_Hours</vt:lpstr>
      <vt:lpstr>Emergency_medication_supply</vt:lpstr>
      <vt:lpstr>IP_drug_reconciliation</vt:lpstr>
      <vt:lpstr>SCR_in_ED</vt:lpstr>
      <vt:lpstr>IR_in_AS</vt:lpstr>
      <vt:lpstr>IR_in_ED</vt:lpstr>
      <vt:lpstr>IR_in_CH</vt:lpstr>
      <vt:lpstr>D2A</vt:lpstr>
      <vt:lpstr>Dis_Pl</vt:lpstr>
      <vt:lpstr>Rapid_Response</vt:lpstr>
      <vt:lpstr>Falls</vt:lpstr>
      <vt:lpstr>CHE</vt:lpstr>
      <vt:lpstr>EWS_in_CH</vt:lpstr>
      <vt:lpstr>other_intervention</vt:lpstr>
      <vt:lpstr>Set_up_hear_and_treat</vt:lpstr>
      <vt:lpstr>Set_up_ICH</vt:lpstr>
      <vt:lpstr>Set_up_AEC</vt:lpstr>
      <vt:lpstr>Set_up_PCP</vt:lpstr>
      <vt:lpstr>Set_up_Co_UTC</vt:lpstr>
      <vt:lpstr>Set_up_Ad_UCS</vt:lpstr>
      <vt:lpstr>Set_Up_GP_hrs</vt:lpstr>
      <vt:lpstr>Set_up_MAS</vt:lpstr>
      <vt:lpstr>Set_up_SCR</vt:lpstr>
      <vt:lpstr>Set_up_IR</vt:lpstr>
      <vt:lpstr>Set_Up_RR</vt:lpstr>
      <vt:lpstr>D2A Comm_Ward</vt:lpstr>
      <vt:lpstr>Run_D2A</vt:lpstr>
      <vt:lpstr>Set_up_Dis_Pl</vt:lpstr>
      <vt:lpstr>Set_up_Falls</vt:lpstr>
      <vt:lpstr>Set_up_CHE</vt:lpstr>
      <vt:lpstr>Set_up_EWS_in_CH</vt:lpstr>
      <vt:lpstr>E_Ambulance</vt:lpstr>
      <vt:lpstr>E_ICH</vt:lpstr>
      <vt:lpstr>E_AEC</vt:lpstr>
      <vt:lpstr>E_care_plan</vt:lpstr>
      <vt:lpstr>E_colocation_UCC_ED</vt:lpstr>
      <vt:lpstr>E_UCC_standards</vt:lpstr>
      <vt:lpstr>E_GP_hrs</vt:lpstr>
      <vt:lpstr>E_MAS</vt:lpstr>
      <vt:lpstr>E_SCR</vt:lpstr>
      <vt:lpstr>E_IR</vt:lpstr>
      <vt:lpstr>E_D2A</vt:lpstr>
      <vt:lpstr>E_Dis_Pl</vt:lpstr>
      <vt:lpstr>E_RR</vt:lpstr>
      <vt:lpstr>E_Falls</vt:lpstr>
      <vt:lpstr>E_CHE</vt:lpstr>
      <vt:lpstr>E_EWS_in_CH</vt:lpstr>
      <vt:lpstr>AFC</vt:lpstr>
      <vt:lpstr>AFC_list</vt:lpstr>
      <vt:lpstr>channels</vt:lpstr>
      <vt:lpstr>AEC!Print_Area</vt:lpstr>
      <vt:lpstr>Care_planning!Print_Area</vt:lpstr>
      <vt:lpstr>CHE!Print_Area</vt:lpstr>
      <vt:lpstr>Clinical_advisor_consultations!Print_Area</vt:lpstr>
      <vt:lpstr>Colocate_UTC!Print_Area</vt:lpstr>
      <vt:lpstr>control_sheet_and_graphs!Print_Area</vt:lpstr>
      <vt:lpstr>D2A!Print_Area</vt:lpstr>
      <vt:lpstr>Dis_Pl!Print_Area</vt:lpstr>
      <vt:lpstr>E_AEC!Print_Area</vt:lpstr>
      <vt:lpstr>E_Ambulance!Print_Area</vt:lpstr>
      <vt:lpstr>E_CHE!Print_Area</vt:lpstr>
      <vt:lpstr>E_D2A!Print_Area</vt:lpstr>
      <vt:lpstr>E_Dis_Pl!Print_Area</vt:lpstr>
      <vt:lpstr>E_EWS_in_CH!Print_Area</vt:lpstr>
      <vt:lpstr>E_Falls!Print_Area</vt:lpstr>
      <vt:lpstr>E_GP_hrs!Print_Area</vt:lpstr>
      <vt:lpstr>E_MAS!Print_Area</vt:lpstr>
      <vt:lpstr>E_RR!Print_Area</vt:lpstr>
      <vt:lpstr>E_UCC_standards!Print_Area</vt:lpstr>
      <vt:lpstr>Emergency_medication_supply!Print_Area</vt:lpstr>
      <vt:lpstr>Enhanced_UCS!Print_Area</vt:lpstr>
      <vt:lpstr>EWS_in_CH!Print_Area</vt:lpstr>
      <vt:lpstr>Falls!Print_Area</vt:lpstr>
      <vt:lpstr>GP_Hours!Print_Area</vt:lpstr>
      <vt:lpstr>hear_and_treat!Print_Area</vt:lpstr>
      <vt:lpstr>Integration_of_hubs!Print_Area</vt:lpstr>
      <vt:lpstr>IP_drug_reconciliation!Print_Area</vt:lpstr>
      <vt:lpstr>IR_in_AS!Print_Area</vt:lpstr>
      <vt:lpstr>IR_in_CH!Print_Area</vt:lpstr>
      <vt:lpstr>IR_in_ED!Print_Area</vt:lpstr>
      <vt:lpstr>local_data_input!Print_Area</vt:lpstr>
      <vt:lpstr>other_intervention!Print_Area</vt:lpstr>
      <vt:lpstr>outputs_by_channel!Print_Area</vt:lpstr>
      <vt:lpstr>PGD_Minor_ailments!Print_Area</vt:lpstr>
      <vt:lpstr>projections!Print_Area</vt:lpstr>
      <vt:lpstr>Rapid_Response!Print_Area</vt:lpstr>
      <vt:lpstr>SCR_in_ED!Print_Area</vt:lpstr>
      <vt:lpstr>see_and_treat!Print_Area</vt:lpstr>
      <vt:lpstr>Set_up_IR!Print_Area</vt:lpstr>
      <vt:lpstr>Set_up_PCP!Print_Area</vt:lpstr>
      <vt:lpstr>Set_Up_RR!Print_Area</vt:lpstr>
      <vt:lpstr>Set_up_SCR!Print_Area</vt:lpstr>
      <vt:lpstr>staff_costs!Print_Area</vt:lpstr>
      <vt:lpstr>Welcome!Print_Area</vt:lpstr>
      <vt:lpstr>Staff_List</vt:lpstr>
      <vt:lpstr>uplift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Jacqui Bobby</dc:creator>
  <cp:lastModifiedBy>Belsey, Alex</cp:lastModifiedBy>
  <cp:lastPrinted>2016-10-16T18:26:29Z</cp:lastPrinted>
  <dcterms:created xsi:type="dcterms:W3CDTF">2016-06-20T10:09:44Z</dcterms:created>
  <dcterms:modified xsi:type="dcterms:W3CDTF">2017-02-23T16:58:24Z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0x010100B388D0358201234AAE2C247D7BC419EE</vt:lpwstr>
  </property>
</Properties>
</file>