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2300" windowHeight="8580" tabRatio="728"/>
  </bookViews>
  <sheets>
    <sheet name="INPUT_OUTPUT_SHEET" sheetId="21" r:id="rId1"/>
    <sheet name="Initial Calcs" sheetId="1" state="hidden" r:id="rId2"/>
    <sheet name="staffing for 3 shift system" sheetId="18" state="hidden" r:id="rId3"/>
    <sheet name="staffing for 2 shift system" sheetId="23" state="hidden" r:id="rId4"/>
  </sheets>
  <calcPr calcId="145621"/>
</workbook>
</file>

<file path=xl/calcChain.xml><?xml version="1.0" encoding="utf-8"?>
<calcChain xmlns="http://schemas.openxmlformats.org/spreadsheetml/2006/main">
  <c r="K7" i="21" l="1"/>
  <c r="K24" i="21" l="1"/>
  <c r="K23" i="21"/>
  <c r="N17" i="1" l="1"/>
  <c r="N18" i="1"/>
  <c r="N19" i="1"/>
  <c r="N20" i="1"/>
  <c r="N21" i="1"/>
  <c r="N23" i="1"/>
  <c r="N24" i="1"/>
  <c r="D38" i="21" l="1"/>
  <c r="E36" i="21"/>
  <c r="D36" i="21"/>
  <c r="M12" i="21"/>
  <c r="M14" i="21" s="1"/>
  <c r="L12" i="21"/>
  <c r="L14" i="21" s="1"/>
  <c r="K12" i="21"/>
  <c r="K14" i="21" s="1"/>
  <c r="M11" i="21"/>
  <c r="M13" i="21" s="1"/>
  <c r="L11" i="21"/>
  <c r="L13" i="21" s="1"/>
  <c r="K11" i="21"/>
  <c r="K13" i="21" s="1"/>
  <c r="N7" i="21"/>
  <c r="M7" i="21"/>
  <c r="L7" i="21"/>
  <c r="N6" i="21"/>
  <c r="M6" i="21"/>
  <c r="L6" i="21"/>
  <c r="K6" i="21"/>
  <c r="N12" i="21" l="1"/>
  <c r="N11" i="21"/>
  <c r="D12" i="1"/>
  <c r="E12" i="1" s="1"/>
  <c r="H12" i="1" s="1"/>
  <c r="F12" i="1"/>
  <c r="I12" i="1" s="1"/>
  <c r="G12" i="1"/>
  <c r="J12" i="1" s="1"/>
  <c r="G17" i="1" s="1"/>
  <c r="G26" i="1" l="1"/>
  <c r="G21" i="1"/>
  <c r="G18" i="1"/>
  <c r="I18" i="1" s="1"/>
  <c r="G27" i="1"/>
  <c r="G28" i="1"/>
  <c r="G19" i="1"/>
  <c r="G23" i="1"/>
  <c r="G25" i="1"/>
  <c r="G20" i="1"/>
  <c r="I20" i="1" s="1"/>
  <c r="G24" i="1"/>
  <c r="G30" i="1"/>
  <c r="H30" i="1" s="1"/>
  <c r="N13" i="21"/>
  <c r="N14" i="21"/>
  <c r="I17" i="1"/>
  <c r="G22" i="1"/>
  <c r="G29" i="1"/>
  <c r="G31" i="1"/>
  <c r="H18" i="1" l="1"/>
  <c r="E20" i="18" s="1"/>
  <c r="I30" i="1"/>
  <c r="H20" i="1"/>
  <c r="G6" i="18" s="1"/>
  <c r="G20" i="23"/>
  <c r="G6" i="23"/>
  <c r="H28" i="1"/>
  <c r="I28" i="1"/>
  <c r="H26" i="1"/>
  <c r="I26" i="1"/>
  <c r="H8" i="18"/>
  <c r="H22" i="18"/>
  <c r="H22" i="1"/>
  <c r="I22" i="1"/>
  <c r="I25" i="1"/>
  <c r="H25" i="1"/>
  <c r="H27" i="1"/>
  <c r="I27" i="1"/>
  <c r="H8" i="23"/>
  <c r="D6" i="23"/>
  <c r="D20" i="23"/>
  <c r="I23" i="1"/>
  <c r="H23" i="1"/>
  <c r="E6" i="23"/>
  <c r="E20" i="23"/>
  <c r="H24" i="1"/>
  <c r="I24" i="1"/>
  <c r="I19" i="1"/>
  <c r="H19" i="1"/>
  <c r="I21" i="1"/>
  <c r="H21" i="1"/>
  <c r="H17" i="1"/>
  <c r="D20" i="18" s="1"/>
  <c r="I31" i="1"/>
  <c r="H31" i="1"/>
  <c r="G32" i="1"/>
  <c r="I29" i="1"/>
  <c r="H29" i="1"/>
  <c r="H22" i="23" l="1"/>
  <c r="E6" i="18"/>
  <c r="G20" i="18"/>
  <c r="G8" i="18"/>
  <c r="G22" i="18"/>
  <c r="I22" i="23"/>
  <c r="I26" i="23" s="1"/>
  <c r="I8" i="23"/>
  <c r="I12" i="23" s="1"/>
  <c r="I13" i="23" s="1"/>
  <c r="F6" i="18"/>
  <c r="F20" i="18"/>
  <c r="H21" i="23"/>
  <c r="H7" i="23"/>
  <c r="H12" i="23" s="1"/>
  <c r="H13" i="23" s="1"/>
  <c r="F8" i="18"/>
  <c r="F22" i="18"/>
  <c r="G22" i="23"/>
  <c r="G8" i="23"/>
  <c r="F6" i="23"/>
  <c r="F20" i="23"/>
  <c r="E8" i="23"/>
  <c r="E22" i="23"/>
  <c r="E21" i="23"/>
  <c r="E7" i="23"/>
  <c r="D8" i="23"/>
  <c r="D22" i="23"/>
  <c r="I34" i="1"/>
  <c r="D7" i="18"/>
  <c r="D21" i="18"/>
  <c r="G7" i="23"/>
  <c r="G21" i="23"/>
  <c r="F7" i="18"/>
  <c r="F21" i="18"/>
  <c r="I33" i="1"/>
  <c r="E22" i="18"/>
  <c r="E8" i="18"/>
  <c r="E7" i="18"/>
  <c r="E21" i="18"/>
  <c r="D8" i="18"/>
  <c r="D22" i="18"/>
  <c r="I8" i="18"/>
  <c r="I12" i="18" s="1"/>
  <c r="I13" i="18" s="1"/>
  <c r="I22" i="18"/>
  <c r="I26" i="18" s="1"/>
  <c r="I27" i="18" s="1"/>
  <c r="D7" i="23"/>
  <c r="D21" i="23"/>
  <c r="G21" i="18"/>
  <c r="G7" i="18"/>
  <c r="F7" i="23"/>
  <c r="F21" i="23"/>
  <c r="H7" i="18"/>
  <c r="H12" i="18" s="1"/>
  <c r="H13" i="18" s="1"/>
  <c r="H21" i="18"/>
  <c r="H26" i="18" s="1"/>
  <c r="H27" i="18" s="1"/>
  <c r="F8" i="23"/>
  <c r="F22" i="23"/>
  <c r="H33" i="1"/>
  <c r="D10" i="23" s="1"/>
  <c r="D6" i="18"/>
  <c r="H34" i="1"/>
  <c r="E10" i="23" s="1"/>
  <c r="H26" i="23" l="1"/>
  <c r="H27" i="23" s="1"/>
  <c r="I27" i="23"/>
  <c r="K33" i="21"/>
  <c r="M33" i="21" s="1"/>
  <c r="G26" i="23"/>
  <c r="E12" i="23"/>
  <c r="E13" i="23" s="1"/>
  <c r="G26" i="18"/>
  <c r="G27" i="18" s="1"/>
  <c r="D12" i="23"/>
  <c r="F26" i="18"/>
  <c r="F27" i="18" s="1"/>
  <c r="G12" i="23"/>
  <c r="G13" i="23" s="1"/>
  <c r="F12" i="18"/>
  <c r="F13" i="18" s="1"/>
  <c r="G12" i="18"/>
  <c r="G13" i="18" s="1"/>
  <c r="D24" i="23"/>
  <c r="D26" i="23" s="1"/>
  <c r="D24" i="18"/>
  <c r="D26" i="18" s="1"/>
  <c r="F26" i="23"/>
  <c r="F12" i="23"/>
  <c r="F13" i="23" s="1"/>
  <c r="E24" i="23"/>
  <c r="E26" i="23" s="1"/>
  <c r="E24" i="18"/>
  <c r="E26" i="18" s="1"/>
  <c r="E27" i="18" s="1"/>
  <c r="D10" i="18"/>
  <c r="D12" i="18" s="1"/>
  <c r="E10" i="18"/>
  <c r="E12" i="18" s="1"/>
  <c r="K32" i="21" l="1"/>
  <c r="M32" i="21" s="1"/>
  <c r="K28" i="21"/>
  <c r="M28" i="21" s="1"/>
  <c r="M36" i="21" s="1"/>
  <c r="E27" i="23"/>
  <c r="K29" i="21"/>
  <c r="F27" i="23"/>
  <c r="K30" i="21"/>
  <c r="M30" i="21" s="1"/>
  <c r="G27" i="23"/>
  <c r="K31" i="21"/>
  <c r="M31" i="21" s="1"/>
  <c r="O26" i="23"/>
  <c r="N26" i="23"/>
  <c r="O12" i="18"/>
  <c r="N12" i="18"/>
  <c r="D13" i="23"/>
  <c r="K13" i="23" s="1"/>
  <c r="O12" i="23"/>
  <c r="N12" i="23"/>
  <c r="O26" i="18"/>
  <c r="N26" i="18"/>
  <c r="D27" i="18"/>
  <c r="K27" i="18" s="1"/>
  <c r="K26" i="18"/>
  <c r="D27" i="23"/>
  <c r="K26" i="23"/>
  <c r="K12" i="23"/>
  <c r="K12" i="18"/>
  <c r="E13" i="18"/>
  <c r="D13" i="18"/>
  <c r="K37" i="21" l="1"/>
  <c r="K18" i="21"/>
  <c r="K21" i="21" s="1"/>
  <c r="K27" i="23"/>
  <c r="L20" i="21" s="1"/>
  <c r="L18" i="21"/>
  <c r="L19" i="21" s="1"/>
  <c r="K38" i="21"/>
  <c r="K36" i="21"/>
  <c r="M29" i="21"/>
  <c r="K13" i="18"/>
  <c r="K20" i="21" s="1"/>
  <c r="K19" i="21" l="1"/>
  <c r="L21" i="21"/>
</calcChain>
</file>

<file path=xl/sharedStrings.xml><?xml version="1.0" encoding="utf-8"?>
<sst xmlns="http://schemas.openxmlformats.org/spreadsheetml/2006/main" count="203" uniqueCount="100">
  <si>
    <t>Hours per year</t>
  </si>
  <si>
    <t>Nurse works</t>
  </si>
  <si>
    <t>WTE</t>
  </si>
  <si>
    <t>Hours/week</t>
  </si>
  <si>
    <t>new</t>
  </si>
  <si>
    <t>at 5 years</t>
  </si>
  <si>
    <t>at 10 years</t>
  </si>
  <si>
    <t>Annual leave entitlement  DAYS                             (includes 8 bank holidays)</t>
  </si>
  <si>
    <t>Annual leave adjusted</t>
  </si>
  <si>
    <t>1 cot =</t>
  </si>
  <si>
    <t>hours per year</t>
  </si>
  <si>
    <t>ICU</t>
  </si>
  <si>
    <t>HDU</t>
  </si>
  <si>
    <t>SCBU</t>
  </si>
  <si>
    <t>1:4</t>
  </si>
  <si>
    <t>1:2</t>
  </si>
  <si>
    <t>1:1</t>
  </si>
  <si>
    <t>supervisor per shift</t>
  </si>
  <si>
    <t>1</t>
  </si>
  <si>
    <t>Grade</t>
  </si>
  <si>
    <t>Sickness  absence at 4% Training at 6%</t>
  </si>
  <si>
    <t>Grade 6</t>
  </si>
  <si>
    <t>Grade 5</t>
  </si>
  <si>
    <t>Grade 3</t>
  </si>
  <si>
    <t>Grade 4</t>
  </si>
  <si>
    <t>nurse per grade per cot day</t>
  </si>
  <si>
    <t>shift supervisor per shift=</t>
  </si>
  <si>
    <t>Shift supervision per day</t>
  </si>
  <si>
    <t>Grade 7</t>
  </si>
  <si>
    <t xml:space="preserve"> </t>
  </si>
  <si>
    <t>WTE's</t>
  </si>
  <si>
    <r>
      <t>uplift for shift handover (13%</t>
    </r>
    <r>
      <rPr>
        <sz val="10"/>
        <rFont val="Arial"/>
        <family val="2"/>
      </rPr>
      <t>≡</t>
    </r>
    <r>
      <rPr>
        <sz val="10"/>
        <rFont val="Arial"/>
        <family val="2"/>
      </rPr>
      <t xml:space="preserve"> 1 hour per shift x3 shift pattern)</t>
    </r>
  </si>
  <si>
    <t>Current</t>
  </si>
  <si>
    <t>Grade 8a</t>
  </si>
  <si>
    <t>Grade 2</t>
  </si>
  <si>
    <t>3 or 2</t>
  </si>
  <si>
    <t>Trained</t>
  </si>
  <si>
    <t>Qualified</t>
  </si>
  <si>
    <t>Skill mix assumption per cot per care level</t>
  </si>
  <si>
    <t>+ on costs</t>
  </si>
  <si>
    <t>Toolkit requirement</t>
  </si>
  <si>
    <t xml:space="preserve">Toolkit Nurse staffing </t>
  </si>
  <si>
    <t>AUDIT INPUTS</t>
  </si>
  <si>
    <t>AUDIT OUTPUTS</t>
  </si>
  <si>
    <t>TRUST</t>
  </si>
  <si>
    <t>OCCUPANCY AGAINST DECLARED COTS</t>
  </si>
  <si>
    <t>UNIT</t>
  </si>
  <si>
    <t>NICU</t>
  </si>
  <si>
    <t>TOTAL</t>
  </si>
  <si>
    <t>COMPLETED BY</t>
  </si>
  <si>
    <t>BAPM 2001</t>
  </si>
  <si>
    <t>DECLARED COTS</t>
  </si>
  <si>
    <t>COTS REQUIRED AGAINST ACTIVITY AT 80% OCCUPANCY</t>
  </si>
  <si>
    <t>CRITERIA</t>
  </si>
  <si>
    <t>NURSE STAFFING AGAINST TOOLKIT</t>
  </si>
  <si>
    <t>ANNUAL CARE LEVEL DAYS</t>
  </si>
  <si>
    <t>WTE REQUIRED AGAINST ACTIVITY</t>
  </si>
  <si>
    <t>CURRENT UNIT STAFFING: DIRECT CARE ONLY</t>
  </si>
  <si>
    <t>CURRENT QIS/REG</t>
  </si>
  <si>
    <t>WTE BUDGET</t>
  </si>
  <si>
    <t>WTE IN POST</t>
  </si>
  <si>
    <t>CURRENT REG/TRAINED</t>
  </si>
  <si>
    <t>BAND 7</t>
  </si>
  <si>
    <t>BAND 6</t>
  </si>
  <si>
    <t>SUGGESTED SKILL MIX: DIRECT CARE ONLY</t>
  </si>
  <si>
    <t>WTE CHANGE</t>
  </si>
  <si>
    <t>BAND 5 QIS</t>
  </si>
  <si>
    <t>BAND 5</t>
  </si>
  <si>
    <t>BAND 4</t>
  </si>
  <si>
    <t>BAND 3</t>
  </si>
  <si>
    <t>TOTAL NUMBER OF NURSES</t>
  </si>
  <si>
    <r>
      <t>uplift for shift handover (8%</t>
    </r>
    <r>
      <rPr>
        <sz val="10"/>
        <rFont val="Arial"/>
        <family val="2"/>
      </rPr>
      <t>≡ 1 hour per shift x2 shift pattern)</t>
    </r>
  </si>
  <si>
    <t>Grade 5 QIS</t>
  </si>
  <si>
    <t>5 QIS</t>
  </si>
  <si>
    <t xml:space="preserve">  </t>
  </si>
  <si>
    <t>Grade 3/2</t>
  </si>
  <si>
    <t>ICU COVER</t>
  </si>
  <si>
    <t>HDU COVER</t>
  </si>
  <si>
    <t>SCBU COVER</t>
  </si>
  <si>
    <t>INCREASE FOR SHIFT SUPERVISION</t>
  </si>
  <si>
    <t>TOTAL WTE REQUIRED AT BAPM 2001</t>
  </si>
  <si>
    <t>COST AT MIDPOINT OF SCALE</t>
  </si>
  <si>
    <t>DIRECT CARE NURSE ESTABLISHMENT REQUIRED AGAINST ACTIVITY FOR  BAPM 2001 CARE CRITERIA</t>
  </si>
  <si>
    <t>BAPM 2O11</t>
  </si>
  <si>
    <t>BAPM 2011</t>
  </si>
  <si>
    <t>DIFFERENCE TO DECLARED COTS  @ BAPM 2001</t>
  </si>
  <si>
    <t>DIFFERENCE TO DECLARED COTS @ BAPM 2011</t>
  </si>
  <si>
    <t>NUMBER OF SHIFTS PER DAY</t>
  </si>
  <si>
    <t>INDICATIVE BUDGET AT MID POINTS INCLUDING ON COSTS</t>
  </si>
  <si>
    <t>BUDGET POSITION</t>
  </si>
  <si>
    <t>DIRECT CARE NURSE ESTABLISHMENT REQUIRED AGAINST ACTIVITY FOR  BAPM 2011 CARE CRITERIA</t>
  </si>
  <si>
    <t>QIS/REG</t>
  </si>
  <si>
    <t xml:space="preserve"> REG/TRAINED</t>
  </si>
  <si>
    <t>Band 5 QIS</t>
  </si>
  <si>
    <t>WTE POSITION AGAINST IN POST</t>
  </si>
  <si>
    <t>WTE POSITION AGAINST BUDGET</t>
  </si>
  <si>
    <t>SKILL MIX</t>
  </si>
  <si>
    <t>REG/TRAINED</t>
  </si>
  <si>
    <t>DATE COMPLETED</t>
  </si>
  <si>
    <t>AFC Pay at midpoint of scale 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</si>
</sst>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0.0"/>
    <numFmt numFmtId="166" formatCode="&quot;£&quot;#,##0"/>
  </numFmts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horizontal="right"/>
    </xf>
    <xf numFmtId="20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/>
    <xf numFmtId="9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0" xfId="0" applyFill="1" applyBorder="1" applyAlignment="1">
      <alignment horizontal="right"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3" borderId="0" xfId="0" applyFill="1" applyBorder="1"/>
    <xf numFmtId="0" fontId="3" fillId="0" borderId="0" xfId="0" applyFont="1"/>
    <xf numFmtId="0" fontId="0" fillId="0" borderId="14" xfId="0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1" fontId="0" fillId="0" borderId="0" xfId="0" applyNumberFormat="1" applyBorder="1"/>
    <xf numFmtId="0" fontId="0" fillId="2" borderId="0" xfId="0" applyFill="1" applyBorder="1"/>
    <xf numFmtId="0" fontId="0" fillId="2" borderId="12" xfId="0" applyFill="1" applyBorder="1"/>
    <xf numFmtId="0" fontId="0" fillId="0" borderId="13" xfId="0" applyBorder="1" applyAlignment="1">
      <alignment wrapText="1"/>
    </xf>
    <xf numFmtId="0" fontId="0" fillId="0" borderId="13" xfId="0" applyBorder="1"/>
    <xf numFmtId="0" fontId="0" fillId="4" borderId="15" xfId="0" applyFill="1" applyBorder="1"/>
    <xf numFmtId="0" fontId="0" fillId="0" borderId="0" xfId="0" applyAlignment="1">
      <alignment horizontal="right" wrapText="1"/>
    </xf>
    <xf numFmtId="0" fontId="0" fillId="0" borderId="13" xfId="0" applyBorder="1" applyAlignment="1">
      <alignment horizontal="right" wrapText="1"/>
    </xf>
    <xf numFmtId="0" fontId="0" fillId="3" borderId="12" xfId="0" applyFill="1" applyBorder="1"/>
    <xf numFmtId="0" fontId="0" fillId="5" borderId="12" xfId="0" applyFill="1" applyBorder="1" applyAlignment="1">
      <alignment vertical="center"/>
    </xf>
    <xf numFmtId="0" fontId="0" fillId="5" borderId="0" xfId="0" applyFill="1" applyBorder="1"/>
    <xf numFmtId="0" fontId="0" fillId="5" borderId="8" xfId="0" applyFill="1" applyBorder="1"/>
    <xf numFmtId="0" fontId="0" fillId="5" borderId="9" xfId="0" applyFill="1" applyBorder="1"/>
    <xf numFmtId="0" fontId="2" fillId="0" borderId="0" xfId="0" applyFont="1"/>
    <xf numFmtId="1" fontId="0" fillId="0" borderId="0" xfId="0" applyNumberFormat="1" applyFill="1" applyBorder="1"/>
    <xf numFmtId="1" fontId="0" fillId="0" borderId="0" xfId="0" applyNumberFormat="1"/>
    <xf numFmtId="165" fontId="0" fillId="0" borderId="0" xfId="0" applyNumberFormat="1"/>
    <xf numFmtId="0" fontId="0" fillId="0" borderId="0" xfId="0" quotePrefix="1"/>
    <xf numFmtId="0" fontId="0" fillId="0" borderId="0" xfId="0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6" borderId="0" xfId="1" applyFill="1"/>
    <xf numFmtId="0" fontId="5" fillId="0" borderId="0" xfId="1"/>
    <xf numFmtId="0" fontId="5" fillId="0" borderId="0" xfId="1" applyAlignment="1">
      <alignment horizontal="center"/>
    </xf>
    <xf numFmtId="0" fontId="5" fillId="0" borderId="0" xfId="1" applyAlignment="1">
      <alignment horizontal="left"/>
    </xf>
    <xf numFmtId="10" fontId="5" fillId="0" borderId="19" xfId="1" applyNumberFormat="1" applyBorder="1" applyAlignment="1">
      <alignment horizontal="center"/>
    </xf>
    <xf numFmtId="1" fontId="5" fillId="0" borderId="19" xfId="1" applyNumberFormat="1" applyBorder="1" applyAlignment="1">
      <alignment horizontal="center"/>
    </xf>
    <xf numFmtId="0" fontId="5" fillId="0" borderId="0" xfId="1" applyFill="1"/>
    <xf numFmtId="0" fontId="5" fillId="0" borderId="19" xfId="1" applyBorder="1"/>
    <xf numFmtId="0" fontId="5" fillId="0" borderId="0" xfId="1" applyAlignment="1">
      <alignment horizontal="center" vertical="top" wrapText="1"/>
    </xf>
    <xf numFmtId="0" fontId="5" fillId="0" borderId="0" xfId="1" applyFill="1" applyAlignment="1">
      <alignment horizontal="center" vertical="center"/>
    </xf>
    <xf numFmtId="0" fontId="2" fillId="0" borderId="0" xfId="0" applyFont="1" applyAlignment="1">
      <alignment wrapText="1"/>
    </xf>
    <xf numFmtId="0" fontId="0" fillId="2" borderId="0" xfId="0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0" fillId="5" borderId="12" xfId="0" applyFill="1" applyBorder="1"/>
    <xf numFmtId="2" fontId="0" fillId="2" borderId="15" xfId="0" applyNumberFormat="1" applyFill="1" applyBorder="1"/>
    <xf numFmtId="2" fontId="2" fillId="8" borderId="15" xfId="0" applyNumberFormat="1" applyFont="1" applyFill="1" applyBorder="1"/>
    <xf numFmtId="2" fontId="0" fillId="3" borderId="15" xfId="0" applyNumberFormat="1" applyFill="1" applyBorder="1"/>
    <xf numFmtId="2" fontId="0" fillId="9" borderId="15" xfId="0" applyNumberFormat="1" applyFill="1" applyBorder="1"/>
    <xf numFmtId="2" fontId="2" fillId="9" borderId="15" xfId="0" applyNumberFormat="1" applyFont="1" applyFill="1" applyBorder="1"/>
    <xf numFmtId="2" fontId="0" fillId="10" borderId="15" xfId="0" applyNumberFormat="1" applyFill="1" applyBorder="1"/>
    <xf numFmtId="2" fontId="0" fillId="5" borderId="15" xfId="0" applyNumberFormat="1" applyFill="1" applyBorder="1"/>
    <xf numFmtId="2" fontId="2" fillId="10" borderId="15" xfId="0" applyNumberFormat="1" applyFont="1" applyFill="1" applyBorder="1"/>
    <xf numFmtId="2" fontId="0" fillId="0" borderId="0" xfId="0" applyNumberFormat="1" applyFill="1"/>
    <xf numFmtId="2" fontId="0" fillId="11" borderId="0" xfId="0" applyNumberFormat="1" applyFill="1"/>
    <xf numFmtId="0" fontId="0" fillId="10" borderId="6" xfId="0" applyFill="1" applyBorder="1"/>
    <xf numFmtId="0" fontId="0" fillId="10" borderId="7" xfId="0" applyFill="1" applyBorder="1"/>
    <xf numFmtId="0" fontId="0" fillId="10" borderId="10" xfId="0" applyFill="1" applyBorder="1"/>
    <xf numFmtId="0" fontId="0" fillId="5" borderId="13" xfId="0" applyFill="1" applyBorder="1"/>
    <xf numFmtId="0" fontId="2" fillId="5" borderId="13" xfId="0" applyFont="1" applyFill="1" applyBorder="1" applyAlignment="1">
      <alignment horizontal="right"/>
    </xf>
    <xf numFmtId="16" fontId="0" fillId="5" borderId="11" xfId="0" quotePrefix="1" applyNumberForma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14" xfId="0" applyBorder="1" applyAlignment="1">
      <alignment horizontal="right"/>
    </xf>
    <xf numFmtId="0" fontId="5" fillId="0" borderId="0" xfId="1" applyFill="1" applyBorder="1" applyAlignment="1">
      <alignment horizontal="center" vertical="center"/>
    </xf>
    <xf numFmtId="2" fontId="5" fillId="0" borderId="19" xfId="1" applyNumberFormat="1" applyBorder="1" applyAlignment="1">
      <alignment horizontal="center" vertical="center"/>
    </xf>
    <xf numFmtId="166" fontId="5" fillId="0" borderId="0" xfId="1" applyNumberFormat="1"/>
    <xf numFmtId="166" fontId="5" fillId="0" borderId="19" xfId="1" applyNumberFormat="1" applyBorder="1" applyAlignment="1">
      <alignment horizontal="center" vertical="center"/>
    </xf>
    <xf numFmtId="0" fontId="5" fillId="0" borderId="0" xfId="1" applyBorder="1" applyAlignment="1">
      <alignment horizontal="center" vertical="center"/>
    </xf>
    <xf numFmtId="10" fontId="5" fillId="0" borderId="15" xfId="1" applyNumberFormat="1" applyBorder="1" applyAlignment="1">
      <alignment horizontal="center" vertical="center"/>
    </xf>
    <xf numFmtId="10" fontId="5" fillId="0" borderId="0" xfId="1" applyNumberFormat="1"/>
    <xf numFmtId="0" fontId="4" fillId="0" borderId="0" xfId="0" applyFont="1" applyFill="1" applyBorder="1"/>
    <xf numFmtId="10" fontId="4" fillId="0" borderId="0" xfId="0" applyNumberFormat="1" applyFont="1" applyFill="1" applyBorder="1"/>
    <xf numFmtId="10" fontId="0" fillId="0" borderId="0" xfId="0" applyNumberFormat="1"/>
    <xf numFmtId="0" fontId="5" fillId="0" borderId="0" xfId="1" applyBorder="1"/>
    <xf numFmtId="0" fontId="5" fillId="0" borderId="0" xfId="1" applyFill="1" applyBorder="1"/>
    <xf numFmtId="2" fontId="5" fillId="0" borderId="22" xfId="1" applyNumberFormat="1" applyBorder="1" applyAlignment="1">
      <alignment horizontal="center" vertical="center"/>
    </xf>
    <xf numFmtId="2" fontId="5" fillId="0" borderId="20" xfId="1" applyNumberFormat="1" applyBorder="1" applyAlignment="1">
      <alignment horizontal="center" vertical="center"/>
    </xf>
    <xf numFmtId="2" fontId="5" fillId="0" borderId="15" xfId="1" applyNumberFormat="1" applyBorder="1" applyAlignment="1">
      <alignment horizontal="center" vertical="center"/>
    </xf>
    <xf numFmtId="2" fontId="5" fillId="0" borderId="15" xfId="1" applyNumberFormat="1" applyBorder="1" applyAlignment="1">
      <alignment horizontal="center"/>
    </xf>
    <xf numFmtId="2" fontId="5" fillId="0" borderId="0" xfId="1" applyNumberFormat="1" applyAlignment="1">
      <alignment horizontal="center" vertical="center"/>
    </xf>
    <xf numFmtId="2" fontId="5" fillId="0" borderId="0" xfId="1" applyNumberFormat="1"/>
    <xf numFmtId="0" fontId="5" fillId="7" borderId="19" xfId="1" applyFill="1" applyBorder="1" applyAlignment="1" applyProtection="1">
      <alignment horizontal="center"/>
      <protection locked="0"/>
    </xf>
    <xf numFmtId="0" fontId="5" fillId="7" borderId="20" xfId="1" applyFill="1" applyBorder="1" applyAlignment="1" applyProtection="1">
      <alignment horizontal="center" vertical="center"/>
      <protection locked="0"/>
    </xf>
    <xf numFmtId="0" fontId="5" fillId="7" borderId="19" xfId="1" applyFill="1" applyBorder="1" applyAlignment="1" applyProtection="1">
      <alignment horizontal="center" vertical="center"/>
      <protection locked="0"/>
    </xf>
    <xf numFmtId="0" fontId="5" fillId="7" borderId="22" xfId="1" applyFill="1" applyBorder="1" applyAlignment="1" applyProtection="1">
      <alignment horizontal="center" vertical="center"/>
      <protection locked="0"/>
    </xf>
    <xf numFmtId="0" fontId="5" fillId="7" borderId="15" xfId="1" applyFill="1" applyBorder="1" applyAlignment="1" applyProtection="1">
      <alignment horizontal="center" vertical="center"/>
      <protection locked="0"/>
    </xf>
    <xf numFmtId="164" fontId="7" fillId="13" borderId="0" xfId="0" applyNumberFormat="1" applyFont="1" applyFill="1"/>
    <xf numFmtId="164" fontId="7" fillId="15" borderId="15" xfId="0" applyNumberFormat="1" applyFont="1" applyFill="1" applyBorder="1"/>
    <xf numFmtId="0" fontId="5" fillId="0" borderId="26" xfId="1" applyBorder="1"/>
    <xf numFmtId="0" fontId="5" fillId="0" borderId="15" xfId="1" applyBorder="1"/>
    <xf numFmtId="0" fontId="6" fillId="0" borderId="0" xfId="1" applyFont="1" applyAlignment="1"/>
    <xf numFmtId="9" fontId="0" fillId="12" borderId="15" xfId="0" applyNumberFormat="1" applyFill="1" applyBorder="1" applyProtection="1"/>
    <xf numFmtId="164" fontId="0" fillId="14" borderId="15" xfId="0" applyNumberFormat="1" applyFill="1" applyBorder="1" applyProtection="1">
      <protection locked="0"/>
    </xf>
    <xf numFmtId="164" fontId="0" fillId="13" borderId="0" xfId="0" applyNumberFormat="1" applyFill="1" applyBorder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5" fillId="0" borderId="0" xfId="1" applyAlignment="1">
      <alignment horizontal="right" vertical="top" wrapText="1"/>
    </xf>
    <xf numFmtId="0" fontId="5" fillId="7" borderId="22" xfId="1" applyFill="1" applyBorder="1" applyProtection="1">
      <protection locked="0"/>
    </xf>
    <xf numFmtId="0" fontId="5" fillId="0" borderId="0" xfId="1" applyAlignment="1">
      <alignment horizontal="center"/>
    </xf>
    <xf numFmtId="0" fontId="5" fillId="0" borderId="21" xfId="1" applyBorder="1" applyAlignment="1">
      <alignment horizontal="center"/>
    </xf>
    <xf numFmtId="0" fontId="6" fillId="0" borderId="0" xfId="1" applyFont="1" applyAlignment="1">
      <alignment horizontal="center"/>
    </xf>
    <xf numFmtId="0" fontId="5" fillId="7" borderId="19" xfId="1" applyFill="1" applyBorder="1" applyProtection="1">
      <protection locked="0"/>
    </xf>
    <xf numFmtId="0" fontId="5" fillId="0" borderId="0" xfId="1" applyFont="1" applyAlignment="1">
      <alignment horizontal="center"/>
    </xf>
    <xf numFmtId="0" fontId="5" fillId="0" borderId="0" xfId="1" applyAlignment="1">
      <alignment horizontal="center" vertical="top" wrapText="1"/>
    </xf>
    <xf numFmtId="0" fontId="5" fillId="12" borderId="23" xfId="1" applyNumberFormat="1" applyFill="1" applyBorder="1" applyAlignment="1" applyProtection="1">
      <alignment horizontal="center"/>
      <protection locked="0"/>
    </xf>
    <xf numFmtId="0" fontId="5" fillId="12" borderId="24" xfId="1" applyNumberFormat="1" applyFill="1" applyBorder="1" applyAlignment="1" applyProtection="1">
      <alignment horizontal="center"/>
      <protection locked="0"/>
    </xf>
    <xf numFmtId="0" fontId="5" fillId="12" borderId="25" xfId="1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CCFF"/>
      <color rgb="FFCCFFCC"/>
      <color rgb="FFFF99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32</xdr:row>
      <xdr:rowOff>95250</xdr:rowOff>
    </xdr:from>
    <xdr:to>
      <xdr:col>7</xdr:col>
      <xdr:colOff>219075</xdr:colOff>
      <xdr:row>32</xdr:row>
      <xdr:rowOff>95250</xdr:rowOff>
    </xdr:to>
    <xdr:sp macro="" textlink="">
      <xdr:nvSpPr>
        <xdr:cNvPr id="1036" name="Line 1">
          <a:extLst>
            <a:ext uri="{FF2B5EF4-FFF2-40B4-BE49-F238E27FC236}">
              <a16:creationId xmlns:a16="http://schemas.microsoft.com/office/drawing/2014/main" xmlns="" id="{00000000-0008-0000-0100-00000C040000}"/>
            </a:ext>
          </a:extLst>
        </xdr:cNvPr>
        <xdr:cNvSpPr>
          <a:spLocks noChangeShapeType="1"/>
        </xdr:cNvSpPr>
      </xdr:nvSpPr>
      <xdr:spPr bwMode="auto">
        <a:xfrm>
          <a:off x="3810000" y="5857875"/>
          <a:ext cx="1504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33</xdr:row>
      <xdr:rowOff>85725</xdr:rowOff>
    </xdr:from>
    <xdr:to>
      <xdr:col>7</xdr:col>
      <xdr:colOff>219075</xdr:colOff>
      <xdr:row>33</xdr:row>
      <xdr:rowOff>85725</xdr:rowOff>
    </xdr:to>
    <xdr:sp macro="" textlink="">
      <xdr:nvSpPr>
        <xdr:cNvPr id="1037" name="Line 2">
          <a:extLst>
            <a:ext uri="{FF2B5EF4-FFF2-40B4-BE49-F238E27FC236}">
              <a16:creationId xmlns:a16="http://schemas.microsoft.com/office/drawing/2014/main" xmlns="" id="{00000000-0008-0000-0100-00000D040000}"/>
            </a:ext>
          </a:extLst>
        </xdr:cNvPr>
        <xdr:cNvSpPr>
          <a:spLocks noChangeShapeType="1"/>
        </xdr:cNvSpPr>
      </xdr:nvSpPr>
      <xdr:spPr bwMode="auto">
        <a:xfrm>
          <a:off x="3829050" y="6010275"/>
          <a:ext cx="1485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83344</xdr:colOff>
      <xdr:row>35</xdr:row>
      <xdr:rowOff>95248</xdr:rowOff>
    </xdr:from>
    <xdr:to>
      <xdr:col>5</xdr:col>
      <xdr:colOff>47625</xdr:colOff>
      <xdr:row>44</xdr:row>
      <xdr:rowOff>59530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690563" y="7643811"/>
          <a:ext cx="3119437" cy="146446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the skill mix % in the yellow section above</a:t>
          </a:r>
          <a:r>
            <a:rPr lang="en-GB" sz="1100" b="1" baseline="0"/>
            <a:t> ,</a:t>
          </a:r>
          <a:r>
            <a:rPr lang="en-GB" sz="1100" b="1"/>
            <a:t>can be adjusted to meet local need. Please ensure that each</a:t>
          </a:r>
          <a:r>
            <a:rPr lang="en-GB" sz="1100" b="1" baseline="0"/>
            <a:t>  acuity section total; is 100% . </a:t>
          </a:r>
        </a:p>
        <a:p>
          <a:endParaRPr lang="en-GB" sz="1100" b="1" baseline="0"/>
        </a:p>
        <a:p>
          <a:r>
            <a:rPr lang="en-GB" sz="1100" b="1" baseline="0"/>
            <a:t>You can quickly check this by highlighting each yellow section and checking that 'sum' below is 100%</a:t>
          </a:r>
          <a:endParaRPr lang="en-GB" sz="1100" b="1"/>
        </a:p>
      </xdr:txBody>
    </xdr:sp>
    <xdr:clientData/>
  </xdr:twoCellAnchor>
  <xdr:twoCellAnchor>
    <xdr:from>
      <xdr:col>3</xdr:col>
      <xdr:colOff>881063</xdr:colOff>
      <xdr:row>31</xdr:row>
      <xdr:rowOff>23812</xdr:rowOff>
    </xdr:from>
    <xdr:to>
      <xdr:col>4</xdr:col>
      <xdr:colOff>202406</xdr:colOff>
      <xdr:row>36</xdr:row>
      <xdr:rowOff>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 flipV="1">
          <a:off x="3119438" y="6905625"/>
          <a:ext cx="214312" cy="8096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500062</xdr:colOff>
      <xdr:row>41</xdr:row>
      <xdr:rowOff>71437</xdr:rowOff>
    </xdr:from>
    <xdr:to>
      <xdr:col>15</xdr:col>
      <xdr:colOff>309562</xdr:colOff>
      <xdr:row>41</xdr:row>
      <xdr:rowOff>83343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3631406" y="8620125"/>
          <a:ext cx="8001000" cy="119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321469</xdr:colOff>
      <xdr:row>41</xdr:row>
      <xdr:rowOff>83343</xdr:rowOff>
    </xdr:from>
    <xdr:to>
      <xdr:col>15</xdr:col>
      <xdr:colOff>321469</xdr:colOff>
      <xdr:row>43</xdr:row>
      <xdr:rowOff>154781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CxnSpPr/>
      </xdr:nvCxnSpPr>
      <xdr:spPr>
        <a:xfrm>
          <a:off x="11644313" y="8632031"/>
          <a:ext cx="0" cy="40481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zoomScale="80" zoomScaleNormal="80" zoomScalePageLayoutView="40" workbookViewId="0">
      <selection activeCell="D29" sqref="D29"/>
    </sheetView>
  </sheetViews>
  <sheetFormatPr defaultColWidth="9.1328125" defaultRowHeight="14.25" x14ac:dyDescent="0.45"/>
  <cols>
    <col min="1" max="1" width="9.1328125" style="48" customWidth="1"/>
    <col min="2" max="2" width="25.265625" style="48" bestFit="1" customWidth="1"/>
    <col min="3" max="3" width="9.1328125" style="48" customWidth="1"/>
    <col min="4" max="4" width="13.59765625" style="48" bestFit="1" customWidth="1"/>
    <col min="5" max="5" width="13.73046875" style="48" customWidth="1"/>
    <col min="6" max="8" width="9.1328125" style="48" customWidth="1"/>
    <col min="9" max="9" width="2.265625" style="47" customWidth="1"/>
    <col min="10" max="10" width="50.265625" style="48" customWidth="1"/>
    <col min="11" max="11" width="11.265625" style="48" customWidth="1"/>
    <col min="12" max="12" width="13" style="48" bestFit="1" customWidth="1"/>
    <col min="13" max="13" width="12" style="48" customWidth="1"/>
    <col min="14" max="14" width="9.1328125" style="48" customWidth="1"/>
    <col min="15" max="16384" width="9.1328125" style="48"/>
  </cols>
  <sheetData>
    <row r="1" spans="1:16" ht="15" customHeight="1" x14ac:dyDescent="0.55000000000000004">
      <c r="A1" s="115" t="s">
        <v>42</v>
      </c>
      <c r="B1" s="115"/>
      <c r="C1" s="115"/>
      <c r="D1" s="115"/>
      <c r="E1" s="115"/>
      <c r="F1" s="115"/>
      <c r="G1" s="115"/>
      <c r="H1" s="115"/>
      <c r="J1" s="115" t="s">
        <v>43</v>
      </c>
      <c r="K1" s="115"/>
      <c r="L1" s="115"/>
      <c r="M1" s="115"/>
      <c r="N1" s="115"/>
      <c r="O1" s="106"/>
      <c r="P1" s="106"/>
    </row>
    <row r="2" spans="1:16" ht="15" customHeight="1" x14ac:dyDescent="0.55000000000000004">
      <c r="A2" s="115"/>
      <c r="B2" s="115"/>
      <c r="C2" s="115"/>
      <c r="D2" s="115"/>
      <c r="E2" s="115"/>
      <c r="F2" s="115"/>
      <c r="G2" s="115"/>
      <c r="H2" s="115"/>
      <c r="J2" s="115"/>
      <c r="K2" s="115"/>
      <c r="L2" s="115"/>
      <c r="M2" s="115"/>
      <c r="N2" s="115"/>
      <c r="O2" s="106"/>
      <c r="P2" s="106"/>
    </row>
    <row r="3" spans="1:16" ht="15" customHeight="1" x14ac:dyDescent="0.55000000000000004">
      <c r="A3" s="49"/>
      <c r="B3" s="49"/>
      <c r="C3" s="49"/>
      <c r="D3" s="49"/>
      <c r="E3" s="49"/>
      <c r="F3" s="49"/>
      <c r="G3" s="49"/>
      <c r="H3" s="49"/>
      <c r="J3" s="106"/>
      <c r="K3" s="106"/>
      <c r="L3" s="106"/>
      <c r="M3" s="106"/>
      <c r="N3" s="106"/>
      <c r="O3" s="49"/>
      <c r="P3" s="49"/>
    </row>
    <row r="4" spans="1:16" x14ac:dyDescent="0.45">
      <c r="A4" s="49"/>
      <c r="B4" s="49" t="s">
        <v>44</v>
      </c>
      <c r="C4" s="116"/>
      <c r="D4" s="116"/>
      <c r="E4" s="116"/>
      <c r="F4" s="116"/>
      <c r="G4" s="116"/>
      <c r="H4" s="116"/>
      <c r="J4" s="113" t="s">
        <v>45</v>
      </c>
      <c r="K4" s="113"/>
      <c r="L4" s="113"/>
      <c r="M4" s="113"/>
      <c r="N4" s="113"/>
      <c r="O4" s="49"/>
      <c r="P4" s="49"/>
    </row>
    <row r="5" spans="1:16" x14ac:dyDescent="0.45">
      <c r="A5" s="49"/>
      <c r="B5" s="49" t="s">
        <v>46</v>
      </c>
      <c r="C5" s="116"/>
      <c r="D5" s="116"/>
      <c r="E5" s="116"/>
      <c r="F5" s="116"/>
      <c r="G5" s="116"/>
      <c r="H5" s="116"/>
      <c r="K5" s="49" t="s">
        <v>47</v>
      </c>
      <c r="L5" s="49" t="s">
        <v>12</v>
      </c>
      <c r="M5" s="49" t="s">
        <v>13</v>
      </c>
      <c r="N5" s="49" t="s">
        <v>48</v>
      </c>
      <c r="O5" s="49"/>
      <c r="P5" s="49"/>
    </row>
    <row r="6" spans="1:16" x14ac:dyDescent="0.45">
      <c r="A6" s="49"/>
      <c r="B6" s="49" t="s">
        <v>49</v>
      </c>
      <c r="C6" s="112"/>
      <c r="D6" s="112"/>
      <c r="E6" s="112"/>
      <c r="F6" s="112"/>
      <c r="G6" s="112"/>
      <c r="H6" s="112"/>
      <c r="J6" s="50" t="s">
        <v>50</v>
      </c>
      <c r="K6" s="51" t="e">
        <f>D16/(D10*365)</f>
        <v>#DIV/0!</v>
      </c>
      <c r="L6" s="51" t="e">
        <f>D17/(D11*365)</f>
        <v>#DIV/0!</v>
      </c>
      <c r="M6" s="51" t="e">
        <f>D18/(D12*365)</f>
        <v>#DIV/0!</v>
      </c>
      <c r="N6" s="51" t="e">
        <f>SUM(D16:D18)/(SUM(D10:D12)*365)</f>
        <v>#DIV/0!</v>
      </c>
      <c r="O6" s="49"/>
      <c r="P6" s="49"/>
    </row>
    <row r="7" spans="1:16" x14ac:dyDescent="0.45">
      <c r="A7" s="49"/>
      <c r="B7" s="49" t="s">
        <v>98</v>
      </c>
      <c r="C7" s="119"/>
      <c r="D7" s="120"/>
      <c r="E7" s="120"/>
      <c r="F7" s="120"/>
      <c r="G7" s="120"/>
      <c r="H7" s="121"/>
      <c r="J7" s="50" t="s">
        <v>84</v>
      </c>
      <c r="K7" s="51" t="e">
        <f>E16/(D10*365)</f>
        <v>#DIV/0!</v>
      </c>
      <c r="L7" s="51" t="e">
        <f>E17/(D11*365)</f>
        <v>#DIV/0!</v>
      </c>
      <c r="M7" s="51" t="e">
        <f>E18/(D12*365)</f>
        <v>#DIV/0!</v>
      </c>
      <c r="N7" s="51" t="e">
        <f>SUM(E16:E18)/(SUM(D10:D12)*365)</f>
        <v>#DIV/0!</v>
      </c>
      <c r="O7" s="49"/>
      <c r="P7" s="49"/>
    </row>
    <row r="8" spans="1:16" x14ac:dyDescent="0.45">
      <c r="A8" s="49"/>
      <c r="B8" s="49"/>
      <c r="C8" s="49"/>
      <c r="D8" s="49"/>
      <c r="E8" s="49"/>
      <c r="F8" s="49"/>
      <c r="G8" s="49"/>
      <c r="H8" s="49"/>
      <c r="J8" s="49"/>
      <c r="K8" s="49"/>
      <c r="L8" s="49"/>
      <c r="M8" s="49"/>
      <c r="N8" s="49"/>
      <c r="O8" s="49"/>
      <c r="P8" s="49"/>
    </row>
    <row r="9" spans="1:16" x14ac:dyDescent="0.45">
      <c r="A9" s="49"/>
      <c r="B9" s="117" t="s">
        <v>51</v>
      </c>
      <c r="C9" s="117"/>
      <c r="D9" s="117"/>
      <c r="E9" s="49"/>
      <c r="F9" s="49"/>
      <c r="G9" s="49"/>
      <c r="H9" s="49"/>
      <c r="J9" s="113" t="s">
        <v>52</v>
      </c>
      <c r="K9" s="113"/>
      <c r="L9" s="113"/>
      <c r="M9" s="113"/>
      <c r="N9" s="113"/>
      <c r="O9" s="49"/>
      <c r="P9" s="49"/>
    </row>
    <row r="10" spans="1:16" x14ac:dyDescent="0.45">
      <c r="A10" s="49"/>
      <c r="B10" s="50" t="s">
        <v>47</v>
      </c>
      <c r="C10" s="49"/>
      <c r="D10" s="97"/>
      <c r="E10" s="49"/>
      <c r="F10" s="49"/>
      <c r="G10" s="49"/>
      <c r="H10" s="49"/>
      <c r="K10" s="48" t="s">
        <v>47</v>
      </c>
      <c r="L10" s="48" t="s">
        <v>12</v>
      </c>
      <c r="M10" s="49" t="s">
        <v>13</v>
      </c>
      <c r="N10" s="49" t="s">
        <v>48</v>
      </c>
      <c r="O10" s="49"/>
      <c r="P10" s="49"/>
    </row>
    <row r="11" spans="1:16" x14ac:dyDescent="0.45">
      <c r="A11" s="49"/>
      <c r="B11" s="50" t="s">
        <v>12</v>
      </c>
      <c r="D11" s="97"/>
      <c r="H11" s="49"/>
      <c r="J11" s="48" t="s">
        <v>50</v>
      </c>
      <c r="K11" s="52">
        <f>(D16/365)/0.8</f>
        <v>0</v>
      </c>
      <c r="L11" s="52">
        <f>(D17/365)/0.8</f>
        <v>0</v>
      </c>
      <c r="M11" s="52">
        <f>(D18/365)/0.8</f>
        <v>0</v>
      </c>
      <c r="N11" s="52">
        <f>SUM(K11:M11)</f>
        <v>0</v>
      </c>
      <c r="O11" s="49"/>
      <c r="P11" s="49"/>
    </row>
    <row r="12" spans="1:16" x14ac:dyDescent="0.45">
      <c r="A12" s="49"/>
      <c r="B12" s="50" t="s">
        <v>13</v>
      </c>
      <c r="D12" s="97"/>
      <c r="H12" s="49"/>
      <c r="J12" s="48" t="s">
        <v>84</v>
      </c>
      <c r="K12" s="52">
        <f>E16/365/0.8</f>
        <v>0</v>
      </c>
      <c r="L12" s="52">
        <f>E17/365/0.8</f>
        <v>0</v>
      </c>
      <c r="M12" s="52">
        <f>(E18/365)/0.8</f>
        <v>0</v>
      </c>
      <c r="N12" s="52">
        <f>SUM(K12:M12)</f>
        <v>0</v>
      </c>
      <c r="O12" s="49"/>
      <c r="P12" s="49"/>
    </row>
    <row r="13" spans="1:16" x14ac:dyDescent="0.45">
      <c r="B13" s="50"/>
      <c r="D13" s="53"/>
      <c r="J13" s="48" t="s">
        <v>85</v>
      </c>
      <c r="K13" s="52">
        <f>K11-D10</f>
        <v>0</v>
      </c>
      <c r="L13" s="52">
        <f>L11-D11</f>
        <v>0</v>
      </c>
      <c r="M13" s="52">
        <f>M11-D12</f>
        <v>0</v>
      </c>
      <c r="N13" s="52">
        <f>SUM(K13:M13)</f>
        <v>0</v>
      </c>
    </row>
    <row r="14" spans="1:16" x14ac:dyDescent="0.45">
      <c r="D14" s="114" t="s">
        <v>53</v>
      </c>
      <c r="E14" s="114"/>
      <c r="J14" s="48" t="s">
        <v>86</v>
      </c>
      <c r="K14" s="52">
        <f>K12-D10</f>
        <v>0</v>
      </c>
      <c r="L14" s="52">
        <f>L12-D11</f>
        <v>0</v>
      </c>
      <c r="M14" s="52">
        <f>M12-D12</f>
        <v>0</v>
      </c>
      <c r="N14" s="52">
        <f>SUM(K14:M14)</f>
        <v>0</v>
      </c>
    </row>
    <row r="15" spans="1:16" x14ac:dyDescent="0.45">
      <c r="B15" s="48" t="s">
        <v>55</v>
      </c>
      <c r="D15" s="54" t="s">
        <v>50</v>
      </c>
      <c r="E15" s="54" t="s">
        <v>83</v>
      </c>
    </row>
    <row r="16" spans="1:16" x14ac:dyDescent="0.45">
      <c r="B16" s="48" t="s">
        <v>47</v>
      </c>
      <c r="D16" s="98"/>
      <c r="E16" s="98"/>
      <c r="J16" s="118" t="s">
        <v>54</v>
      </c>
      <c r="K16" s="118"/>
      <c r="L16" s="118"/>
    </row>
    <row r="17" spans="2:13" x14ac:dyDescent="0.45">
      <c r="B17" s="48" t="s">
        <v>12</v>
      </c>
      <c r="D17" s="99"/>
      <c r="E17" s="99"/>
      <c r="K17" s="48" t="s">
        <v>50</v>
      </c>
      <c r="L17" s="48" t="s">
        <v>84</v>
      </c>
    </row>
    <row r="18" spans="2:13" ht="15" customHeight="1" x14ac:dyDescent="0.45">
      <c r="B18" s="48" t="s">
        <v>13</v>
      </c>
      <c r="D18" s="99"/>
      <c r="E18" s="99"/>
      <c r="J18" s="48" t="s">
        <v>56</v>
      </c>
      <c r="K18" s="80">
        <f>IF(D23=2,'staffing for 2 shift system'!K12,'staffing for 3 shift system'!K12)</f>
        <v>6.6245488346343349</v>
      </c>
      <c r="L18" s="80">
        <f>IF(D23=2,'staffing for 2 shift system'!K26,'staffing for 3 shift system'!K26)</f>
        <v>6.3314272047832585</v>
      </c>
    </row>
    <row r="19" spans="2:13" x14ac:dyDescent="0.45">
      <c r="J19" s="48" t="s">
        <v>95</v>
      </c>
      <c r="K19" s="80">
        <f>D36-K18</f>
        <v>-6.6245488346343349</v>
      </c>
      <c r="L19" s="80">
        <f>D36-L18</f>
        <v>-6.3314272047832585</v>
      </c>
    </row>
    <row r="20" spans="2:13" x14ac:dyDescent="0.45">
      <c r="J20" s="48" t="s">
        <v>89</v>
      </c>
      <c r="K20" s="82">
        <f>IF(D23=2,D38-'staffing for 2 shift system'!K13,D38-'staffing for 3 shift system'!K13)</f>
        <v>-247725.0897902858</v>
      </c>
      <c r="L20" s="82">
        <f>IF(D23=2,D38-'staffing for 2 shift system'!K27,D38-'staffing for 3 shift system'!K27)</f>
        <v>-236763.80263142363</v>
      </c>
    </row>
    <row r="21" spans="2:13" x14ac:dyDescent="0.45">
      <c r="J21" s="48" t="s">
        <v>94</v>
      </c>
      <c r="K21" s="80">
        <f>E36-K18</f>
        <v>-6.6245488346343349</v>
      </c>
      <c r="L21" s="80">
        <f>E36-L18</f>
        <v>-6.3314272047832585</v>
      </c>
    </row>
    <row r="23" spans="2:13" x14ac:dyDescent="0.45">
      <c r="B23" s="48" t="s">
        <v>87</v>
      </c>
      <c r="D23" s="101">
        <v>2</v>
      </c>
      <c r="E23" s="79"/>
      <c r="J23" s="48" t="s">
        <v>58</v>
      </c>
      <c r="K23" s="84" t="e">
        <f>SUM(D28:D30)/SUM(D28:D31)</f>
        <v>#DIV/0!</v>
      </c>
      <c r="L23" s="83"/>
    </row>
    <row r="24" spans="2:13" x14ac:dyDescent="0.45">
      <c r="J24" s="48" t="s">
        <v>61</v>
      </c>
      <c r="K24" s="84" t="e">
        <f>SUM(D28:D31)/SUM(D28:D34)</f>
        <v>#DIV/0!</v>
      </c>
      <c r="L24" s="83"/>
    </row>
    <row r="25" spans="2:13" ht="15" customHeight="1" x14ac:dyDescent="0.45"/>
    <row r="26" spans="2:13" x14ac:dyDescent="0.45">
      <c r="B26" s="118" t="s">
        <v>57</v>
      </c>
      <c r="C26" s="118"/>
      <c r="D26" s="118"/>
      <c r="E26" s="118"/>
      <c r="J26" s="113" t="s">
        <v>64</v>
      </c>
      <c r="K26" s="113"/>
      <c r="L26" s="113"/>
      <c r="M26" s="113"/>
    </row>
    <row r="27" spans="2:13" x14ac:dyDescent="0.45">
      <c r="B27" s="55"/>
      <c r="D27" s="104" t="s">
        <v>59</v>
      </c>
      <c r="E27" s="105" t="s">
        <v>60</v>
      </c>
      <c r="K27" s="48" t="s">
        <v>84</v>
      </c>
      <c r="M27" s="48" t="s">
        <v>65</v>
      </c>
    </row>
    <row r="28" spans="2:13" x14ac:dyDescent="0.45">
      <c r="B28" s="48" t="s">
        <v>62</v>
      </c>
      <c r="D28" s="98"/>
      <c r="E28" s="98"/>
      <c r="J28" s="48" t="s">
        <v>62</v>
      </c>
      <c r="K28" s="80">
        <f>IF(D23=2,'staffing for 2 shift system'!D26,'staffing for 3 shift system'!D26)</f>
        <v>0.31657136023916299</v>
      </c>
      <c r="M28" s="80">
        <f>K28-D28</f>
        <v>0.31657136023916299</v>
      </c>
    </row>
    <row r="29" spans="2:13" x14ac:dyDescent="0.45">
      <c r="B29" s="48" t="s">
        <v>63</v>
      </c>
      <c r="D29" s="99"/>
      <c r="E29" s="99"/>
      <c r="J29" s="48" t="s">
        <v>63</v>
      </c>
      <c r="K29" s="91">
        <f>IF(D23=2,'staffing for 2 shift system'!E26,'staffing for 3 shift system'!E26)</f>
        <v>6.0148558445440958</v>
      </c>
      <c r="M29" s="80">
        <f t="shared" ref="M29:M33" si="0">K29-D29</f>
        <v>6.0148558445440958</v>
      </c>
    </row>
    <row r="30" spans="2:13" x14ac:dyDescent="0.45">
      <c r="B30" s="48" t="s">
        <v>66</v>
      </c>
      <c r="D30" s="99"/>
      <c r="E30" s="99"/>
      <c r="J30" s="48" t="s">
        <v>93</v>
      </c>
      <c r="K30" s="94">
        <f>IF(D23=2,'staffing for 2 shift system'!F26,'staffing for 3 shift system'!F26)</f>
        <v>0</v>
      </c>
      <c r="M30" s="80">
        <f t="shared" si="0"/>
        <v>0</v>
      </c>
    </row>
    <row r="31" spans="2:13" x14ac:dyDescent="0.45">
      <c r="B31" s="48" t="s">
        <v>67</v>
      </c>
      <c r="D31" s="99"/>
      <c r="E31" s="99"/>
      <c r="J31" s="48" t="s">
        <v>67</v>
      </c>
      <c r="K31" s="92">
        <f>IF(D23=2,'staffing for 2 shift system'!G26,'staffing for 3 shift system'!G26)</f>
        <v>0</v>
      </c>
      <c r="M31" s="80">
        <f t="shared" si="0"/>
        <v>0</v>
      </c>
    </row>
    <row r="32" spans="2:13" x14ac:dyDescent="0.45">
      <c r="B32" s="48" t="s">
        <v>68</v>
      </c>
      <c r="D32" s="100"/>
      <c r="E32" s="100"/>
      <c r="J32" s="48" t="s">
        <v>68</v>
      </c>
      <c r="K32" s="91">
        <f>IF(D23=2,'staffing for 2 shift system'!H26,'staffing for 3 shift system'!H26)</f>
        <v>0</v>
      </c>
      <c r="M32" s="80">
        <f t="shared" si="0"/>
        <v>0</v>
      </c>
    </row>
    <row r="33" spans="2:13" x14ac:dyDescent="0.45">
      <c r="B33" s="48" t="s">
        <v>69</v>
      </c>
      <c r="D33" s="101"/>
      <c r="E33" s="101"/>
      <c r="J33" s="48" t="s">
        <v>69</v>
      </c>
      <c r="K33" s="93">
        <f>IF(D23=2,'staffing for 2 shift system'!I26,'staffing for 3 shift system'!I26)</f>
        <v>0</v>
      </c>
      <c r="M33" s="80">
        <f t="shared" si="0"/>
        <v>0</v>
      </c>
    </row>
    <row r="34" spans="2:13" x14ac:dyDescent="0.45">
      <c r="B34" s="90"/>
      <c r="C34" s="90"/>
      <c r="D34" s="79"/>
      <c r="E34" s="79"/>
      <c r="J34" s="90"/>
      <c r="K34" s="79"/>
      <c r="L34" s="90"/>
      <c r="M34" s="79"/>
    </row>
    <row r="35" spans="2:13" x14ac:dyDescent="0.45">
      <c r="D35" s="53"/>
      <c r="J35" s="89"/>
      <c r="K35" s="83"/>
      <c r="L35" s="89"/>
      <c r="M35" s="83"/>
    </row>
    <row r="36" spans="2:13" x14ac:dyDescent="0.45">
      <c r="B36" s="48" t="s">
        <v>70</v>
      </c>
      <c r="D36" s="56">
        <f>SUM(D28:D34)</f>
        <v>0</v>
      </c>
      <c r="E36" s="56">
        <f>SUM(E28:E34)</f>
        <v>0</v>
      </c>
      <c r="J36" s="48" t="s">
        <v>70</v>
      </c>
      <c r="K36" s="95">
        <f>SUM(K28:K35)</f>
        <v>6.3314272047832585</v>
      </c>
      <c r="L36" s="96"/>
      <c r="M36" s="95">
        <f>SUM(M28)</f>
        <v>0.31657136023916299</v>
      </c>
    </row>
    <row r="37" spans="2:13" x14ac:dyDescent="0.45">
      <c r="J37" s="48" t="s">
        <v>91</v>
      </c>
      <c r="K37" s="85">
        <f>IF(D23=2,'staffing for 2 shift system'!N26,'staffing for 3 shift system'!N26)</f>
        <v>1</v>
      </c>
    </row>
    <row r="38" spans="2:13" x14ac:dyDescent="0.45">
      <c r="B38" s="111" t="s">
        <v>88</v>
      </c>
      <c r="C38" s="111"/>
      <c r="D38" s="81">
        <f>D28*'Initial Calcs'!N18+INPUT_OUTPUT_SHEET!D29*'Initial Calcs'!N19+INPUT_OUTPUT_SHEET!D30*'Initial Calcs'!N20+INPUT_OUTPUT_SHEET!D31*'Initial Calcs'!N20+INPUT_OUTPUT_SHEET!D32*'Initial Calcs'!N21+INPUT_OUTPUT_SHEET!D33*'Initial Calcs'!N23+INPUT_OUTPUT_SHEET!D34*'Initial Calcs'!N24</f>
        <v>0</v>
      </c>
      <c r="J38" s="48" t="s">
        <v>92</v>
      </c>
      <c r="K38" s="85">
        <f>IF(D23=2,'staffing for 2 shift system'!O26,'staffing for 3 shift system'!O26)</f>
        <v>1</v>
      </c>
    </row>
    <row r="39" spans="2:13" x14ac:dyDescent="0.45">
      <c r="B39" s="111"/>
      <c r="C39" s="111"/>
    </row>
    <row r="40" spans="2:13" x14ac:dyDescent="0.45">
      <c r="J40" s="48" t="s">
        <v>29</v>
      </c>
    </row>
    <row r="44" spans="2:13" x14ac:dyDescent="0.45">
      <c r="G44" s="48" t="s">
        <v>29</v>
      </c>
    </row>
  </sheetData>
  <sheetProtection password="F3EB" sheet="1" objects="1" scenarios="1"/>
  <mergeCells count="14">
    <mergeCell ref="B38:C39"/>
    <mergeCell ref="C6:H6"/>
    <mergeCell ref="J26:M26"/>
    <mergeCell ref="D14:E14"/>
    <mergeCell ref="A1:H2"/>
    <mergeCell ref="C4:H4"/>
    <mergeCell ref="J4:N4"/>
    <mergeCell ref="C5:H5"/>
    <mergeCell ref="B9:D9"/>
    <mergeCell ref="J9:N9"/>
    <mergeCell ref="J16:L16"/>
    <mergeCell ref="B26:E26"/>
    <mergeCell ref="C7:H7"/>
    <mergeCell ref="J1:N2"/>
  </mergeCell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B2:S42"/>
  <sheetViews>
    <sheetView topLeftCell="A4" zoomScale="80" zoomScaleNormal="80" workbookViewId="0">
      <selection activeCell="R28" sqref="R28"/>
    </sheetView>
  </sheetViews>
  <sheetFormatPr defaultRowHeight="12.75" x14ac:dyDescent="0.35"/>
  <cols>
    <col min="2" max="2" width="12.73046875" customWidth="1"/>
    <col min="3" max="3" width="11.86328125" bestFit="1" customWidth="1"/>
    <col min="4" max="4" width="13.3984375" bestFit="1" customWidth="1"/>
    <col min="5" max="5" width="9.3984375" customWidth="1"/>
    <col min="6" max="6" width="9.3984375" bestFit="1" customWidth="1"/>
    <col min="7" max="7" width="10.3984375" bestFit="1" customWidth="1"/>
    <col min="8" max="8" width="10.86328125" customWidth="1"/>
    <col min="9" max="9" width="9.265625" bestFit="1" customWidth="1"/>
    <col min="10" max="10" width="10.3984375" customWidth="1"/>
    <col min="11" max="11" width="17.73046875" bestFit="1" customWidth="1"/>
    <col min="12" max="12" width="11" bestFit="1" customWidth="1"/>
    <col min="13" max="13" width="12.59765625" customWidth="1"/>
    <col min="14" max="14" width="12.73046875" customWidth="1"/>
  </cols>
  <sheetData>
    <row r="2" spans="2:14" ht="23.25" customHeight="1" x14ac:dyDescent="0.35">
      <c r="E2" s="2" t="s">
        <v>11</v>
      </c>
      <c r="F2" s="2" t="s">
        <v>12</v>
      </c>
      <c r="G2" s="2" t="s">
        <v>13</v>
      </c>
      <c r="H2" s="1" t="s">
        <v>17</v>
      </c>
      <c r="I2" s="12"/>
    </row>
    <row r="3" spans="2:14" x14ac:dyDescent="0.35">
      <c r="B3" t="s">
        <v>41</v>
      </c>
      <c r="E3" s="10" t="s">
        <v>16</v>
      </c>
      <c r="F3" s="10" t="s">
        <v>15</v>
      </c>
      <c r="G3" s="11" t="s">
        <v>14</v>
      </c>
      <c r="H3" s="11" t="s">
        <v>18</v>
      </c>
      <c r="I3" s="2"/>
    </row>
    <row r="4" spans="2:14" ht="13.15" thickBot="1" x14ac:dyDescent="0.4"/>
    <row r="5" spans="2:14" s="1" customFormat="1" ht="24.75" customHeight="1" x14ac:dyDescent="0.35">
      <c r="E5" s="123" t="s">
        <v>7</v>
      </c>
      <c r="F5" s="124"/>
      <c r="G5" s="125"/>
    </row>
    <row r="6" spans="2:14" x14ac:dyDescent="0.35">
      <c r="E6" s="3" t="s">
        <v>4</v>
      </c>
      <c r="F6" s="4" t="s">
        <v>5</v>
      </c>
      <c r="G6" s="5" t="s">
        <v>6</v>
      </c>
      <c r="I6" s="9" t="s">
        <v>9</v>
      </c>
      <c r="J6">
        <v>8760</v>
      </c>
      <c r="K6" t="s">
        <v>10</v>
      </c>
    </row>
    <row r="7" spans="2:14" ht="13.15" thickBot="1" x14ac:dyDescent="0.4">
      <c r="E7" s="6">
        <v>35</v>
      </c>
      <c r="F7" s="7">
        <v>37</v>
      </c>
      <c r="G7" s="8">
        <v>41</v>
      </c>
      <c r="I7" s="127" t="s">
        <v>26</v>
      </c>
      <c r="J7" s="127"/>
      <c r="K7" s="127"/>
      <c r="L7" s="16">
        <v>8760</v>
      </c>
      <c r="M7" t="s">
        <v>10</v>
      </c>
    </row>
    <row r="8" spans="2:14" ht="16.5" customHeight="1" x14ac:dyDescent="0.35">
      <c r="B8" s="126" t="s">
        <v>1</v>
      </c>
    </row>
    <row r="9" spans="2:14" x14ac:dyDescent="0.35">
      <c r="B9" s="126"/>
    </row>
    <row r="10" spans="2:14" ht="24.75" customHeight="1" x14ac:dyDescent="0.35">
      <c r="E10" s="122" t="s">
        <v>8</v>
      </c>
      <c r="F10" s="122"/>
      <c r="G10" s="122"/>
      <c r="H10" s="126" t="s">
        <v>20</v>
      </c>
      <c r="I10" s="126"/>
      <c r="J10" s="126"/>
    </row>
    <row r="11" spans="2:14" s="1" customFormat="1" ht="14.25" customHeight="1" x14ac:dyDescent="0.35">
      <c r="B11" s="1" t="s">
        <v>2</v>
      </c>
      <c r="C11" s="1" t="s">
        <v>3</v>
      </c>
      <c r="D11" s="29" t="s">
        <v>0</v>
      </c>
      <c r="E11" s="32" t="s">
        <v>4</v>
      </c>
      <c r="F11" s="32" t="s">
        <v>5</v>
      </c>
      <c r="G11" s="33" t="s">
        <v>6</v>
      </c>
      <c r="H11" s="32" t="s">
        <v>4</v>
      </c>
      <c r="I11" s="32" t="s">
        <v>5</v>
      </c>
      <c r="J11" s="33" t="s">
        <v>6</v>
      </c>
    </row>
    <row r="12" spans="2:14" x14ac:dyDescent="0.35">
      <c r="B12">
        <v>1</v>
      </c>
      <c r="C12">
        <v>37.5</v>
      </c>
      <c r="D12" s="30">
        <f>C12*52</f>
        <v>1950</v>
      </c>
      <c r="E12">
        <f>D12-(E7*7.5)</f>
        <v>1687.5</v>
      </c>
      <c r="F12">
        <f>D12-(F7*7.5)</f>
        <v>1672.5</v>
      </c>
      <c r="G12" s="30">
        <f>D12-(G7*7.5)</f>
        <v>1642.5</v>
      </c>
      <c r="H12" s="31">
        <f>E12*0.9</f>
        <v>1518.75</v>
      </c>
      <c r="I12" s="31">
        <f>F12*0.9</f>
        <v>1505.25</v>
      </c>
      <c r="J12" s="31">
        <f>G12*0.9</f>
        <v>1478.25</v>
      </c>
    </row>
    <row r="14" spans="2:14" ht="12.75" customHeight="1" x14ac:dyDescent="0.35"/>
    <row r="15" spans="2:14" ht="111" customHeight="1" x14ac:dyDescent="0.35">
      <c r="B15" s="122" t="s">
        <v>38</v>
      </c>
      <c r="C15" s="122"/>
      <c r="D15" s="122"/>
      <c r="E15" s="122"/>
      <c r="G15" s="1" t="s">
        <v>25</v>
      </c>
      <c r="H15" s="1" t="s">
        <v>31</v>
      </c>
      <c r="I15" s="57" t="s">
        <v>71</v>
      </c>
      <c r="M15" s="110" t="s">
        <v>99</v>
      </c>
      <c r="N15" s="43" t="s">
        <v>39</v>
      </c>
    </row>
    <row r="16" spans="2:14" x14ac:dyDescent="0.35">
      <c r="D16" t="s">
        <v>19</v>
      </c>
    </row>
    <row r="17" spans="2:19" ht="13.15" x14ac:dyDescent="0.4">
      <c r="B17" s="17"/>
      <c r="C17" s="18"/>
      <c r="D17" s="18">
        <v>7</v>
      </c>
      <c r="E17" s="107">
        <v>0.14000000000000001</v>
      </c>
      <c r="G17" s="61">
        <f>J6/J12*E17</f>
        <v>0.82962962962962972</v>
      </c>
      <c r="H17" s="61">
        <f t="shared" ref="H17:H31" si="0">G17*1.13</f>
        <v>0.93748148148148147</v>
      </c>
      <c r="I17" s="62">
        <f>G17*1.08</f>
        <v>0.89600000000000013</v>
      </c>
      <c r="L17" t="s">
        <v>33</v>
      </c>
      <c r="M17" s="108">
        <v>44703</v>
      </c>
      <c r="N17" s="103">
        <f>M17*1.23</f>
        <v>54984.69</v>
      </c>
    </row>
    <row r="18" spans="2:19" ht="13.15" x14ac:dyDescent="0.4">
      <c r="B18" s="28" t="s">
        <v>11</v>
      </c>
      <c r="C18" s="27"/>
      <c r="D18" s="27">
        <v>6</v>
      </c>
      <c r="E18" s="107">
        <v>0.36</v>
      </c>
      <c r="G18" s="61">
        <f>J6/J12*E18</f>
        <v>2.1333333333333333</v>
      </c>
      <c r="H18" s="61">
        <f t="shared" si="0"/>
        <v>2.4106666666666663</v>
      </c>
      <c r="I18" s="62">
        <f t="shared" ref="I18:I31" si="1">G18*1.08</f>
        <v>2.3040000000000003</v>
      </c>
      <c r="L18" t="s">
        <v>28</v>
      </c>
      <c r="M18" s="108">
        <v>36250</v>
      </c>
      <c r="N18" s="103">
        <f>M18*1.22</f>
        <v>44225</v>
      </c>
      <c r="O18" s="1"/>
    </row>
    <row r="19" spans="2:19" ht="13.15" x14ac:dyDescent="0.4">
      <c r="B19" s="28"/>
      <c r="C19" s="27"/>
      <c r="D19" s="58" t="s">
        <v>73</v>
      </c>
      <c r="E19" s="107">
        <v>0.3</v>
      </c>
      <c r="G19" s="61">
        <f>J6/I12*E19</f>
        <v>1.7458893871449925</v>
      </c>
      <c r="H19" s="61">
        <f t="shared" si="0"/>
        <v>1.9728550074738413</v>
      </c>
      <c r="I19" s="62">
        <f t="shared" si="1"/>
        <v>1.8855605381165921</v>
      </c>
      <c r="L19" t="s">
        <v>21</v>
      </c>
      <c r="M19" s="108">
        <v>30357</v>
      </c>
      <c r="N19" s="103">
        <f>M19*1.22</f>
        <v>37035.54</v>
      </c>
      <c r="S19" s="15"/>
    </row>
    <row r="20" spans="2:19" ht="13.15" x14ac:dyDescent="0.4">
      <c r="B20" s="19"/>
      <c r="C20" s="20"/>
      <c r="D20" s="20">
        <v>5</v>
      </c>
      <c r="E20" s="107">
        <v>0.2</v>
      </c>
      <c r="G20" s="61">
        <f>J6/H12*E20</f>
        <v>1.1535802469135803</v>
      </c>
      <c r="H20" s="61">
        <f t="shared" si="0"/>
        <v>1.3035456790123456</v>
      </c>
      <c r="I20" s="62">
        <f t="shared" si="1"/>
        <v>1.2458666666666669</v>
      </c>
      <c r="L20" t="s">
        <v>22</v>
      </c>
      <c r="M20" s="108">
        <v>25298</v>
      </c>
      <c r="N20" s="103">
        <f>M20*1.22</f>
        <v>30863.559999999998</v>
      </c>
      <c r="S20" s="15"/>
    </row>
    <row r="21" spans="2:19" ht="13.15" x14ac:dyDescent="0.4">
      <c r="B21" s="34" t="s">
        <v>12</v>
      </c>
      <c r="C21" s="21"/>
      <c r="D21" s="21">
        <v>7</v>
      </c>
      <c r="E21" s="107">
        <v>0.06</v>
      </c>
      <c r="G21" s="63">
        <f>J6/2/J12*E21</f>
        <v>0.17777777777777776</v>
      </c>
      <c r="H21" s="64">
        <f t="shared" si="0"/>
        <v>0.20088888888888884</v>
      </c>
      <c r="I21" s="65">
        <f t="shared" si="1"/>
        <v>0.19199999999999998</v>
      </c>
      <c r="L21" t="s">
        <v>24</v>
      </c>
      <c r="M21" s="108">
        <v>21052</v>
      </c>
      <c r="N21" s="103">
        <f>M21*1.22</f>
        <v>25683.439999999999</v>
      </c>
    </row>
    <row r="22" spans="2:19" ht="13.15" x14ac:dyDescent="0.4">
      <c r="B22" s="34"/>
      <c r="C22" s="21"/>
      <c r="D22" s="21">
        <v>6</v>
      </c>
      <c r="E22" s="107">
        <v>0.24</v>
      </c>
      <c r="G22" s="63">
        <f>J6/2/J12*E22</f>
        <v>0.71111111111111103</v>
      </c>
      <c r="H22" s="64">
        <f t="shared" si="0"/>
        <v>0.80355555555555536</v>
      </c>
      <c r="I22" s="65">
        <f t="shared" si="1"/>
        <v>0.7679999999999999</v>
      </c>
      <c r="M22" s="109"/>
      <c r="N22" s="102"/>
    </row>
    <row r="23" spans="2:19" ht="13.15" x14ac:dyDescent="0.4">
      <c r="B23" s="34"/>
      <c r="C23" s="21"/>
      <c r="D23" s="59" t="s">
        <v>73</v>
      </c>
      <c r="E23" s="107">
        <v>0.5</v>
      </c>
      <c r="G23" s="63">
        <f>J6/2/I12*E23</f>
        <v>1.4549078226208272</v>
      </c>
      <c r="H23" s="64">
        <f t="shared" si="0"/>
        <v>1.6440458395615345</v>
      </c>
      <c r="I23" s="65">
        <f t="shared" si="1"/>
        <v>1.5713004484304935</v>
      </c>
      <c r="L23" t="s">
        <v>23</v>
      </c>
      <c r="M23" s="108">
        <v>18152</v>
      </c>
      <c r="N23" s="103">
        <f>M23*1.22</f>
        <v>22145.439999999999</v>
      </c>
    </row>
    <row r="24" spans="2:19" ht="13.15" x14ac:dyDescent="0.4">
      <c r="B24" s="34"/>
      <c r="C24" s="21"/>
      <c r="D24" s="59">
        <v>5</v>
      </c>
      <c r="E24" s="107">
        <v>0.2</v>
      </c>
      <c r="G24" s="63">
        <f>J6/2/H12*E24</f>
        <v>0.57679012345679015</v>
      </c>
      <c r="H24" s="64">
        <f t="shared" si="0"/>
        <v>0.65177283950617282</v>
      </c>
      <c r="I24" s="65">
        <f t="shared" si="1"/>
        <v>0.62293333333333345</v>
      </c>
      <c r="L24" t="s">
        <v>34</v>
      </c>
      <c r="M24" s="108">
        <v>16372</v>
      </c>
      <c r="N24" s="103">
        <f>M24*1.22</f>
        <v>19973.84</v>
      </c>
      <c r="O24" s="1"/>
    </row>
    <row r="25" spans="2:19" x14ac:dyDescent="0.35">
      <c r="B25" s="34"/>
      <c r="C25" s="21" t="s">
        <v>36</v>
      </c>
      <c r="D25" s="21">
        <v>4</v>
      </c>
      <c r="E25" s="107">
        <v>0</v>
      </c>
      <c r="G25" s="63">
        <f>J6/2/H12*E25</f>
        <v>0</v>
      </c>
      <c r="H25" s="64">
        <f t="shared" si="0"/>
        <v>0</v>
      </c>
      <c r="I25" s="65">
        <f t="shared" si="1"/>
        <v>0</v>
      </c>
    </row>
    <row r="26" spans="2:19" x14ac:dyDescent="0.35">
      <c r="B26" s="71"/>
      <c r="C26" s="72"/>
      <c r="D26" s="73">
        <v>7</v>
      </c>
      <c r="E26" s="107">
        <v>0</v>
      </c>
      <c r="G26" s="66">
        <f>J6/4/J12*E26</f>
        <v>0</v>
      </c>
      <c r="H26" s="66">
        <f t="shared" ref="H26" si="2">G26*1.13</f>
        <v>0</v>
      </c>
      <c r="I26" s="68">
        <f t="shared" ref="I26" si="3">G26*1.08</f>
        <v>0</v>
      </c>
    </row>
    <row r="27" spans="2:19" x14ac:dyDescent="0.35">
      <c r="B27" s="60"/>
      <c r="C27" s="36" t="s">
        <v>37</v>
      </c>
      <c r="D27" s="74">
        <v>6</v>
      </c>
      <c r="E27" s="107">
        <v>0.05</v>
      </c>
      <c r="G27" s="66">
        <f>J6/4/I12*E27</f>
        <v>7.2745391131041365E-2</v>
      </c>
      <c r="H27" s="66">
        <f t="shared" si="0"/>
        <v>8.2202291978076741E-2</v>
      </c>
      <c r="I27" s="68">
        <f t="shared" si="1"/>
        <v>7.8565022421524675E-2</v>
      </c>
    </row>
    <row r="28" spans="2:19" x14ac:dyDescent="0.35">
      <c r="B28" s="60"/>
      <c r="C28" s="36"/>
      <c r="D28" s="75" t="s">
        <v>73</v>
      </c>
      <c r="E28" s="107">
        <v>0.32</v>
      </c>
      <c r="G28" s="66">
        <f>J6/4/I12*E28</f>
        <v>0.46557050323866472</v>
      </c>
      <c r="H28" s="66">
        <f t="shared" ref="H28" si="4">G28*1.13</f>
        <v>0.52609466865969112</v>
      </c>
      <c r="I28" s="68">
        <f t="shared" ref="I28" si="5">G28*1.08</f>
        <v>0.50281614349775794</v>
      </c>
    </row>
    <row r="29" spans="2:19" x14ac:dyDescent="0.35">
      <c r="B29" s="60"/>
      <c r="C29" s="36"/>
      <c r="D29" s="74">
        <v>5</v>
      </c>
      <c r="E29" s="107">
        <v>0.33</v>
      </c>
      <c r="G29" s="67">
        <f>J6/4/H12*E29</f>
        <v>0.47585185185185186</v>
      </c>
      <c r="H29" s="67">
        <f>G29*1.13</f>
        <v>0.53771259259259252</v>
      </c>
      <c r="I29" s="68">
        <f>G29*1.08</f>
        <v>0.51392000000000004</v>
      </c>
      <c r="L29" s="15"/>
      <c r="Q29" s="88"/>
    </row>
    <row r="30" spans="2:19" x14ac:dyDescent="0.35">
      <c r="B30" s="35" t="s">
        <v>13</v>
      </c>
      <c r="C30" s="36" t="s">
        <v>36</v>
      </c>
      <c r="D30" s="74">
        <v>4</v>
      </c>
      <c r="E30" s="107">
        <v>0.3</v>
      </c>
      <c r="G30" s="67">
        <f>J6/4/H12*E30</f>
        <v>0.43259259259259258</v>
      </c>
      <c r="H30" s="67">
        <f t="shared" si="0"/>
        <v>0.48882962962962956</v>
      </c>
      <c r="I30" s="68">
        <f t="shared" si="1"/>
        <v>0.4672</v>
      </c>
      <c r="L30" s="15"/>
      <c r="Q30" s="88"/>
    </row>
    <row r="31" spans="2:19" x14ac:dyDescent="0.35">
      <c r="B31" s="37"/>
      <c r="C31" s="38"/>
      <c r="D31" s="76" t="s">
        <v>35</v>
      </c>
      <c r="E31" s="107">
        <v>0</v>
      </c>
      <c r="G31" s="67">
        <f>J6/4/H12*E31</f>
        <v>0</v>
      </c>
      <c r="H31" s="66">
        <f t="shared" si="0"/>
        <v>0</v>
      </c>
      <c r="I31" s="68">
        <f t="shared" si="1"/>
        <v>0</v>
      </c>
      <c r="L31" s="15"/>
    </row>
    <row r="32" spans="2:19" x14ac:dyDescent="0.35">
      <c r="G32" s="15">
        <f>SUM(G17:G31)</f>
        <v>10.229779770802194</v>
      </c>
      <c r="L32" s="15"/>
    </row>
    <row r="33" spans="2:12" x14ac:dyDescent="0.35">
      <c r="B33" t="s">
        <v>27</v>
      </c>
      <c r="D33">
        <v>7</v>
      </c>
      <c r="E33" s="13">
        <v>0.05</v>
      </c>
      <c r="H33" s="15">
        <f>SUM(H17:H20)*E33</f>
        <v>0.33122744173171675</v>
      </c>
      <c r="I33" s="15">
        <f>SUM(I17:I20)*E33</f>
        <v>0.31657136023916299</v>
      </c>
      <c r="K33" s="86"/>
      <c r="L33" s="87"/>
    </row>
    <row r="34" spans="2:12" x14ac:dyDescent="0.35">
      <c r="D34">
        <v>6</v>
      </c>
      <c r="E34" s="13">
        <v>0.95</v>
      </c>
      <c r="H34" s="15">
        <f>SUM(H17:H20)*E34</f>
        <v>6.2933213929026177</v>
      </c>
      <c r="I34" s="15">
        <f>SUM(I17:I20)*E34</f>
        <v>6.0148558445440958</v>
      </c>
      <c r="J34" s="15"/>
      <c r="K34" s="86"/>
      <c r="L34" s="87"/>
    </row>
    <row r="37" spans="2:12" x14ac:dyDescent="0.35">
      <c r="E37" s="39" t="s">
        <v>74</v>
      </c>
    </row>
    <row r="42" spans="2:12" x14ac:dyDescent="0.35">
      <c r="F42" s="39" t="s">
        <v>29</v>
      </c>
      <c r="K42" s="39" t="s">
        <v>29</v>
      </c>
    </row>
  </sheetData>
  <mergeCells count="6">
    <mergeCell ref="B15:E15"/>
    <mergeCell ref="E5:G5"/>
    <mergeCell ref="B8:B9"/>
    <mergeCell ref="H10:J10"/>
    <mergeCell ref="I7:K7"/>
    <mergeCell ref="E10:G10"/>
  </mergeCells>
  <phoneticPr fontId="1" type="noConversion"/>
  <pageMargins left="0.75" right="0.75" top="1" bottom="1" header="0.5" footer="0.5"/>
  <pageSetup orientation="portrait" r:id="rId1"/>
  <headerFooter alignWithMargins="0"/>
  <ignoredErrors>
    <ignoredError sqref="H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O34"/>
  <sheetViews>
    <sheetView zoomScale="80" zoomScaleNormal="80" workbookViewId="0">
      <selection activeCell="D13" sqref="D13"/>
    </sheetView>
  </sheetViews>
  <sheetFormatPr defaultRowHeight="12.75" x14ac:dyDescent="0.35"/>
  <cols>
    <col min="1" max="1" width="18" customWidth="1"/>
    <col min="2" max="2" width="34.59765625" style="46" bestFit="1" customWidth="1"/>
    <col min="3" max="3" width="9.3984375" bestFit="1" customWidth="1"/>
    <col min="4" max="4" width="12.1328125" bestFit="1" customWidth="1"/>
    <col min="5" max="5" width="13.86328125" bestFit="1" customWidth="1"/>
    <col min="6" max="6" width="13.86328125" customWidth="1"/>
    <col min="7" max="8" width="13.1328125" bestFit="1" customWidth="1"/>
    <col min="9" max="9" width="12.1328125" bestFit="1" customWidth="1"/>
    <col min="11" max="11" width="14.73046875" bestFit="1" customWidth="1"/>
    <col min="12" max="12" width="11.1328125" customWidth="1"/>
    <col min="15" max="15" width="13.59765625" bestFit="1" customWidth="1"/>
  </cols>
  <sheetData>
    <row r="1" spans="1:15" ht="12.75" customHeight="1" x14ac:dyDescent="0.35"/>
    <row r="2" spans="1:15" x14ac:dyDescent="0.35">
      <c r="L2" s="1"/>
    </row>
    <row r="3" spans="1:15" ht="13.15" x14ac:dyDescent="0.4">
      <c r="B3" s="77"/>
      <c r="C3" s="128" t="s">
        <v>82</v>
      </c>
      <c r="D3" s="128"/>
      <c r="E3" s="128"/>
      <c r="F3" s="128"/>
      <c r="G3" s="128"/>
      <c r="H3" s="128"/>
      <c r="I3" s="128"/>
      <c r="J3" s="128"/>
      <c r="K3" s="12"/>
      <c r="L3" s="1"/>
      <c r="M3" s="1"/>
      <c r="N3" s="4"/>
    </row>
    <row r="4" spans="1:15" ht="15.75" customHeight="1" x14ac:dyDescent="0.4">
      <c r="C4" s="128" t="s">
        <v>30</v>
      </c>
      <c r="D4" s="128"/>
      <c r="E4" s="128"/>
      <c r="F4" s="128"/>
      <c r="G4" s="128"/>
      <c r="H4" s="128"/>
      <c r="I4" s="128"/>
      <c r="J4" s="12"/>
      <c r="K4" s="2"/>
      <c r="L4" s="1"/>
      <c r="M4" s="1"/>
      <c r="N4" s="1"/>
    </row>
    <row r="5" spans="1:15" x14ac:dyDescent="0.35">
      <c r="D5" t="s">
        <v>28</v>
      </c>
      <c r="E5" t="s">
        <v>21</v>
      </c>
      <c r="F5" t="s">
        <v>72</v>
      </c>
      <c r="G5" t="s">
        <v>22</v>
      </c>
      <c r="H5" t="s">
        <v>24</v>
      </c>
      <c r="I5" s="39" t="s">
        <v>75</v>
      </c>
      <c r="L5" s="25"/>
      <c r="M5" s="25"/>
      <c r="N5" s="4"/>
    </row>
    <row r="6" spans="1:15" x14ac:dyDescent="0.35">
      <c r="B6" s="77" t="s">
        <v>76</v>
      </c>
      <c r="C6" s="44"/>
      <c r="D6" s="15">
        <f>'Initial Calcs'!H17*INPUT_OUTPUT_SHEET!K11</f>
        <v>0</v>
      </c>
      <c r="E6" s="15">
        <f>'Initial Calcs'!H18*INPUT_OUTPUT_SHEET!K11</f>
        <v>0</v>
      </c>
      <c r="F6" s="15">
        <f>'Initial Calcs'!H19*INPUT_OUTPUT_SHEET!K11</f>
        <v>0</v>
      </c>
      <c r="G6" s="15">
        <f>'Initial Calcs'!H20*INPUT_OUTPUT_SHEET!K11</f>
        <v>0</v>
      </c>
      <c r="H6" s="70"/>
      <c r="I6" s="70"/>
      <c r="J6" s="15"/>
      <c r="K6" s="15"/>
      <c r="L6" s="40"/>
      <c r="M6" s="24"/>
      <c r="O6" s="42"/>
    </row>
    <row r="7" spans="1:15" x14ac:dyDescent="0.35">
      <c r="B7" s="77" t="s">
        <v>77</v>
      </c>
      <c r="C7" s="44"/>
      <c r="D7" s="15">
        <f>'Initial Calcs'!H21*INPUT_OUTPUT_SHEET!L11</f>
        <v>0</v>
      </c>
      <c r="E7" s="15">
        <f>'Initial Calcs'!H22*INPUT_OUTPUT_SHEET!L11</f>
        <v>0</v>
      </c>
      <c r="F7" s="15">
        <f>'Initial Calcs'!H23*INPUT_OUTPUT_SHEET!L11</f>
        <v>0</v>
      </c>
      <c r="G7" s="15">
        <f>'Initial Calcs'!H24*INPUT_OUTPUT_SHEET!L11</f>
        <v>0</v>
      </c>
      <c r="H7" s="69">
        <f>'Initial Calcs'!H25*INPUT_OUTPUT_SHEET!L11</f>
        <v>0</v>
      </c>
      <c r="I7" s="70"/>
      <c r="J7" s="15"/>
      <c r="K7" s="15"/>
      <c r="L7" s="40"/>
      <c r="M7" s="24"/>
      <c r="O7" s="42"/>
    </row>
    <row r="8" spans="1:15" x14ac:dyDescent="0.35">
      <c r="B8" s="77" t="s">
        <v>78</v>
      </c>
      <c r="C8" s="44"/>
      <c r="D8" s="15">
        <f>'Initial Calcs'!H26*INPUT_OUTPUT_SHEET!M11</f>
        <v>0</v>
      </c>
      <c r="E8" s="69">
        <f>'Initial Calcs'!H27*INPUT_OUTPUT_SHEET!M11</f>
        <v>0</v>
      </c>
      <c r="F8" s="69">
        <f>'Initial Calcs'!H28*INPUT_OUTPUT_SHEET!M11</f>
        <v>0</v>
      </c>
      <c r="G8" s="15">
        <f>'Initial Calcs'!H29*INPUT_OUTPUT_SHEET!M11</f>
        <v>0</v>
      </c>
      <c r="H8" s="15">
        <f>'Initial Calcs'!H30*INPUT_OUTPUT_SHEET!M11</f>
        <v>0</v>
      </c>
      <c r="I8" s="15">
        <f>'Initial Calcs'!H31*INPUT_OUTPUT_SHEET!M11</f>
        <v>0</v>
      </c>
      <c r="J8" s="15"/>
      <c r="K8" s="15"/>
      <c r="L8" s="40"/>
      <c r="M8" s="24"/>
      <c r="O8" s="42"/>
    </row>
    <row r="9" spans="1:15" x14ac:dyDescent="0.35">
      <c r="C9" s="44"/>
      <c r="D9" s="15"/>
      <c r="E9" s="15"/>
      <c r="F9" s="15"/>
      <c r="G9" s="15"/>
      <c r="H9" s="15"/>
      <c r="I9" s="15"/>
      <c r="J9" s="15"/>
      <c r="K9" s="15"/>
      <c r="L9" s="26"/>
      <c r="M9" s="4"/>
      <c r="O9" s="41"/>
    </row>
    <row r="10" spans="1:15" x14ac:dyDescent="0.35">
      <c r="B10" s="77" t="s">
        <v>79</v>
      </c>
      <c r="D10" s="15">
        <f>'Initial Calcs'!H33</f>
        <v>0.33122744173171675</v>
      </c>
      <c r="E10" s="15">
        <f>'Initial Calcs'!H34</f>
        <v>6.2933213929026177</v>
      </c>
      <c r="F10" s="15"/>
      <c r="G10" s="15"/>
      <c r="H10" s="15"/>
      <c r="I10" s="15"/>
      <c r="J10" s="15"/>
      <c r="K10" s="15"/>
      <c r="L10" s="41"/>
      <c r="M10" s="24"/>
      <c r="O10" s="15"/>
    </row>
    <row r="11" spans="1:15" x14ac:dyDescent="0.35">
      <c r="D11" s="15"/>
      <c r="E11" s="15"/>
      <c r="F11" s="15"/>
      <c r="G11" s="15"/>
      <c r="H11" s="15"/>
      <c r="I11" s="15"/>
      <c r="J11" s="15"/>
      <c r="K11" s="15"/>
      <c r="N11" s="39" t="s">
        <v>91</v>
      </c>
      <c r="O11" s="39" t="s">
        <v>97</v>
      </c>
    </row>
    <row r="12" spans="1:15" ht="13.15" x14ac:dyDescent="0.4">
      <c r="A12" s="22" t="s">
        <v>40</v>
      </c>
      <c r="B12" s="77" t="s">
        <v>80</v>
      </c>
      <c r="D12" s="15">
        <f t="shared" ref="D12:I12" si="0">SUM(D6:D11)</f>
        <v>0.33122744173171675</v>
      </c>
      <c r="E12" s="15">
        <f t="shared" si="0"/>
        <v>6.2933213929026177</v>
      </c>
      <c r="F12" s="15">
        <f t="shared" si="0"/>
        <v>0</v>
      </c>
      <c r="G12" s="15">
        <f t="shared" si="0"/>
        <v>0</v>
      </c>
      <c r="H12" s="15">
        <f t="shared" si="0"/>
        <v>0</v>
      </c>
      <c r="I12" s="15">
        <f t="shared" si="0"/>
        <v>0</v>
      </c>
      <c r="K12" s="15">
        <f>SUM(D12:I12)</f>
        <v>6.6245488346343349</v>
      </c>
      <c r="M12" s="39" t="s">
        <v>96</v>
      </c>
      <c r="N12" s="88">
        <f>SUM(D12:F12)/SUM(D12:G12)</f>
        <v>1</v>
      </c>
      <c r="O12" s="88">
        <f>SUM(D12:G12)/SUM(D12:I12)</f>
        <v>1</v>
      </c>
    </row>
    <row r="13" spans="1:15" x14ac:dyDescent="0.35">
      <c r="B13" s="77" t="s">
        <v>81</v>
      </c>
      <c r="D13" s="14">
        <f>D12*'Initial Calcs'!N18</f>
        <v>14648.533610585173</v>
      </c>
      <c r="E13" s="14">
        <f>E12*'Initial Calcs'!N19</f>
        <v>233076.55617970062</v>
      </c>
      <c r="F13" s="14">
        <f>F12*'Initial Calcs'!N20</f>
        <v>0</v>
      </c>
      <c r="G13" s="14">
        <f>G12*'Initial Calcs'!N20</f>
        <v>0</v>
      </c>
      <c r="H13" s="14">
        <f>H12*'Initial Calcs'!N21</f>
        <v>0</v>
      </c>
      <c r="I13" s="14">
        <f>I12*'Initial Calcs'!N23</f>
        <v>0</v>
      </c>
      <c r="J13" s="14"/>
      <c r="K13" s="14">
        <f>SUM(D13:I13)</f>
        <v>247725.0897902858</v>
      </c>
    </row>
    <row r="14" spans="1:15" s="23" customFormat="1" ht="13.15" thickBot="1" x14ac:dyDescent="0.4">
      <c r="B14" s="78"/>
    </row>
    <row r="15" spans="1:15" ht="13.15" thickTop="1" x14ac:dyDescent="0.35"/>
    <row r="16" spans="1:15" ht="13.15" x14ac:dyDescent="0.4">
      <c r="A16" s="22" t="s">
        <v>32</v>
      </c>
      <c r="C16" s="44"/>
      <c r="D16" s="44"/>
      <c r="E16" s="44"/>
      <c r="F16" s="44"/>
      <c r="G16" s="44"/>
      <c r="H16" s="44"/>
      <c r="I16" s="44"/>
    </row>
    <row r="17" spans="2:15" ht="13.15" x14ac:dyDescent="0.4">
      <c r="B17" s="77"/>
      <c r="C17" s="128" t="s">
        <v>90</v>
      </c>
      <c r="D17" s="128"/>
      <c r="E17" s="128"/>
      <c r="F17" s="128"/>
      <c r="G17" s="128"/>
      <c r="H17" s="128"/>
      <c r="I17" s="128"/>
      <c r="J17" s="128"/>
      <c r="K17" s="12"/>
    </row>
    <row r="18" spans="2:15" ht="13.15" x14ac:dyDescent="0.4">
      <c r="C18" s="128" t="s">
        <v>30</v>
      </c>
      <c r="D18" s="128"/>
      <c r="E18" s="128"/>
      <c r="F18" s="128"/>
      <c r="G18" s="128"/>
      <c r="H18" s="128"/>
      <c r="I18" s="128"/>
      <c r="J18" s="128"/>
      <c r="K18" s="45"/>
    </row>
    <row r="19" spans="2:15" x14ac:dyDescent="0.35">
      <c r="D19" t="s">
        <v>28</v>
      </c>
      <c r="E19" t="s">
        <v>21</v>
      </c>
      <c r="F19" t="s">
        <v>72</v>
      </c>
      <c r="G19" t="s">
        <v>22</v>
      </c>
      <c r="H19" t="s">
        <v>24</v>
      </c>
      <c r="I19" s="39" t="s">
        <v>75</v>
      </c>
    </row>
    <row r="20" spans="2:15" x14ac:dyDescent="0.35">
      <c r="B20" s="77" t="s">
        <v>76</v>
      </c>
      <c r="C20" s="44"/>
      <c r="D20" s="15">
        <f>'Initial Calcs'!H17*INPUT_OUTPUT_SHEET!K12</f>
        <v>0</v>
      </c>
      <c r="E20" s="15">
        <f>'Initial Calcs'!H18*INPUT_OUTPUT_SHEET!K12</f>
        <v>0</v>
      </c>
      <c r="F20" s="15">
        <f>'Initial Calcs'!H19*INPUT_OUTPUT_SHEET!K12</f>
        <v>0</v>
      </c>
      <c r="G20" s="15">
        <f>'Initial Calcs'!H20*INPUT_OUTPUT_SHEET!K12</f>
        <v>0</v>
      </c>
      <c r="H20" s="70"/>
      <c r="I20" s="70"/>
      <c r="J20" s="15"/>
      <c r="K20" s="15"/>
    </row>
    <row r="21" spans="2:15" x14ac:dyDescent="0.35">
      <c r="B21" s="77" t="s">
        <v>77</v>
      </c>
      <c r="C21" s="44"/>
      <c r="D21" s="15">
        <f>'Initial Calcs'!H21*INPUT_OUTPUT_SHEET!L12</f>
        <v>0</v>
      </c>
      <c r="E21" s="15">
        <f>'Initial Calcs'!H22*INPUT_OUTPUT_SHEET!L12</f>
        <v>0</v>
      </c>
      <c r="F21" s="15">
        <f>'Initial Calcs'!H23*INPUT_OUTPUT_SHEET!L12</f>
        <v>0</v>
      </c>
      <c r="G21" s="15">
        <f>'Initial Calcs'!H24*INPUT_OUTPUT_SHEET!L12</f>
        <v>0</v>
      </c>
      <c r="H21" s="69">
        <f>'Initial Calcs'!H25*INPUT_OUTPUT_SHEET!L12</f>
        <v>0</v>
      </c>
      <c r="I21" s="70"/>
      <c r="J21" s="15"/>
      <c r="K21" s="15"/>
    </row>
    <row r="22" spans="2:15" x14ac:dyDescent="0.35">
      <c r="B22" s="77" t="s">
        <v>78</v>
      </c>
      <c r="C22" s="44"/>
      <c r="D22" s="15">
        <f>'Initial Calcs'!H26*INPUT_OUTPUT_SHEET!M12</f>
        <v>0</v>
      </c>
      <c r="E22" s="69">
        <f>'Initial Calcs'!H27*INPUT_OUTPUT_SHEET!M12</f>
        <v>0</v>
      </c>
      <c r="F22" s="69">
        <f>'Initial Calcs'!H28*INPUT_OUTPUT_SHEET!M12</f>
        <v>0</v>
      </c>
      <c r="G22" s="15">
        <f>'Initial Calcs'!H29*INPUT_OUTPUT_SHEET!M12</f>
        <v>0</v>
      </c>
      <c r="H22" s="15">
        <f>'Initial Calcs'!H30*INPUT_OUTPUT_SHEET!M12</f>
        <v>0</v>
      </c>
      <c r="I22" s="15">
        <f>'Initial Calcs'!H31*INPUT_OUTPUT_SHEET!M12</f>
        <v>0</v>
      </c>
      <c r="J22" s="15"/>
      <c r="K22" s="15"/>
    </row>
    <row r="23" spans="2:15" x14ac:dyDescent="0.35">
      <c r="C23" s="44"/>
      <c r="D23" s="15"/>
      <c r="E23" s="15"/>
      <c r="F23" s="15"/>
      <c r="G23" s="15"/>
      <c r="H23" s="15"/>
      <c r="I23" s="15"/>
      <c r="J23" s="15"/>
      <c r="K23" s="15"/>
    </row>
    <row r="24" spans="2:15" x14ac:dyDescent="0.35">
      <c r="B24" s="77" t="s">
        <v>79</v>
      </c>
      <c r="D24" s="15">
        <f>'Initial Calcs'!I33</f>
        <v>0.31657136023916299</v>
      </c>
      <c r="E24" s="15">
        <f>'Initial Calcs'!I34</f>
        <v>6.0148558445440958</v>
      </c>
      <c r="F24" s="15"/>
      <c r="G24" s="15"/>
      <c r="H24" s="15"/>
      <c r="I24" s="15"/>
      <c r="J24" s="15"/>
      <c r="K24" s="15"/>
    </row>
    <row r="25" spans="2:15" x14ac:dyDescent="0.35">
      <c r="D25" s="15"/>
      <c r="E25" s="15"/>
      <c r="F25" s="15"/>
      <c r="G25" s="15"/>
      <c r="H25" s="15"/>
      <c r="I25" s="15"/>
      <c r="J25" s="15"/>
      <c r="K25" s="15"/>
      <c r="N25" s="39" t="s">
        <v>91</v>
      </c>
      <c r="O25" s="39" t="s">
        <v>97</v>
      </c>
    </row>
    <row r="26" spans="2:15" x14ac:dyDescent="0.35">
      <c r="B26" s="77" t="s">
        <v>80</v>
      </c>
      <c r="D26" s="15">
        <f t="shared" ref="D26:I26" si="1">SUM(D20:D25)</f>
        <v>0.31657136023916299</v>
      </c>
      <c r="E26" s="15">
        <f t="shared" si="1"/>
        <v>6.0148558445440958</v>
      </c>
      <c r="F26" s="15">
        <f t="shared" si="1"/>
        <v>0</v>
      </c>
      <c r="G26" s="15">
        <f t="shared" si="1"/>
        <v>0</v>
      </c>
      <c r="H26" s="15">
        <f t="shared" si="1"/>
        <v>0</v>
      </c>
      <c r="I26" s="15">
        <f t="shared" si="1"/>
        <v>0</v>
      </c>
      <c r="K26" s="15">
        <f>SUM(D26:I26)</f>
        <v>6.3314272047832585</v>
      </c>
      <c r="M26" s="39" t="s">
        <v>96</v>
      </c>
      <c r="N26" s="88">
        <f>SUM(D26:F26)/SUM(D26:G26)</f>
        <v>1</v>
      </c>
      <c r="O26" s="88">
        <f>SUM(D26:G26)/SUM(D26:I26)</f>
        <v>1</v>
      </c>
    </row>
    <row r="27" spans="2:15" x14ac:dyDescent="0.35">
      <c r="B27" s="77" t="s">
        <v>81</v>
      </c>
      <c r="D27" s="14">
        <f>D26*'Initial Calcs'!N18</f>
        <v>14000.368406576983</v>
      </c>
      <c r="E27" s="14">
        <f>E26*'Initial Calcs'!N19</f>
        <v>222763.43422484666</v>
      </c>
      <c r="F27" s="14">
        <f>F26*'Initial Calcs'!N20</f>
        <v>0</v>
      </c>
      <c r="G27" s="14">
        <f>G26*'Initial Calcs'!N20</f>
        <v>0</v>
      </c>
      <c r="H27" s="14">
        <f>H26*'Initial Calcs'!N21</f>
        <v>0</v>
      </c>
      <c r="I27" s="14">
        <f>I26*'Initial Calcs'!N23</f>
        <v>0</v>
      </c>
      <c r="J27" s="14"/>
      <c r="K27" s="14">
        <f>SUM(D27:I27)</f>
        <v>236763.80263142363</v>
      </c>
    </row>
    <row r="30" spans="2:15" x14ac:dyDescent="0.35">
      <c r="O30" s="39" t="s">
        <v>29</v>
      </c>
    </row>
    <row r="31" spans="2:15" x14ac:dyDescent="0.35">
      <c r="B31" s="77" t="s">
        <v>29</v>
      </c>
    </row>
    <row r="34" spans="4:4" x14ac:dyDescent="0.35">
      <c r="D34" s="39" t="s">
        <v>29</v>
      </c>
    </row>
  </sheetData>
  <sheetProtection password="F3EB" sheet="1" objects="1" scenarios="1"/>
  <mergeCells count="4">
    <mergeCell ref="C18:J18"/>
    <mergeCell ref="C4:I4"/>
    <mergeCell ref="C3:J3"/>
    <mergeCell ref="C17:J17"/>
  </mergeCells>
  <phoneticPr fontId="1" type="noConversion"/>
  <pageMargins left="0.75" right="0.75" top="1" bottom="1" header="0.5" footer="0.5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O41"/>
  <sheetViews>
    <sheetView workbookViewId="0">
      <selection activeCell="D6" sqref="D6"/>
    </sheetView>
  </sheetViews>
  <sheetFormatPr defaultRowHeight="12.75" x14ac:dyDescent="0.35"/>
  <cols>
    <col min="1" max="1" width="18" customWidth="1"/>
    <col min="2" max="2" width="34.59765625" style="46" bestFit="1" customWidth="1"/>
    <col min="3" max="3" width="9.3984375" bestFit="1" customWidth="1"/>
    <col min="4" max="4" width="12.1328125" bestFit="1" customWidth="1"/>
    <col min="5" max="5" width="13.86328125" bestFit="1" customWidth="1"/>
    <col min="6" max="6" width="13.86328125" customWidth="1"/>
    <col min="7" max="8" width="13.1328125" bestFit="1" customWidth="1"/>
    <col min="9" max="9" width="12.1328125" bestFit="1" customWidth="1"/>
    <col min="11" max="11" width="14.73046875" bestFit="1" customWidth="1"/>
    <col min="12" max="12" width="11.1328125" customWidth="1"/>
    <col min="15" max="15" width="12.86328125" customWidth="1"/>
  </cols>
  <sheetData>
    <row r="1" spans="1:15" ht="12.75" customHeight="1" x14ac:dyDescent="0.35"/>
    <row r="2" spans="1:15" x14ac:dyDescent="0.35">
      <c r="L2" s="1"/>
    </row>
    <row r="3" spans="1:15" ht="13.15" x14ac:dyDescent="0.4">
      <c r="B3" s="77"/>
      <c r="C3" s="128" t="s">
        <v>82</v>
      </c>
      <c r="D3" s="128"/>
      <c r="E3" s="128"/>
      <c r="F3" s="128"/>
      <c r="G3" s="128"/>
      <c r="H3" s="128"/>
      <c r="I3" s="128"/>
      <c r="J3" s="128"/>
      <c r="K3" s="12"/>
      <c r="L3" s="1"/>
      <c r="M3" s="1"/>
      <c r="N3" s="4"/>
    </row>
    <row r="4" spans="1:15" ht="15.75" customHeight="1" x14ac:dyDescent="0.4">
      <c r="C4" s="128" t="s">
        <v>30</v>
      </c>
      <c r="D4" s="128"/>
      <c r="E4" s="128"/>
      <c r="F4" s="128"/>
      <c r="G4" s="128"/>
      <c r="H4" s="128"/>
      <c r="I4" s="128"/>
      <c r="J4" s="12"/>
      <c r="K4" s="45"/>
      <c r="L4" s="1"/>
      <c r="M4" s="1"/>
      <c r="N4" s="1"/>
    </row>
    <row r="5" spans="1:15" x14ac:dyDescent="0.35">
      <c r="D5" t="s">
        <v>28</v>
      </c>
      <c r="E5" t="s">
        <v>21</v>
      </c>
      <c r="F5" t="s">
        <v>72</v>
      </c>
      <c r="G5" t="s">
        <v>22</v>
      </c>
      <c r="H5" t="s">
        <v>24</v>
      </c>
      <c r="I5" s="39" t="s">
        <v>75</v>
      </c>
      <c r="L5" s="25"/>
      <c r="M5" s="25"/>
      <c r="N5" s="4"/>
    </row>
    <row r="6" spans="1:15" x14ac:dyDescent="0.35">
      <c r="B6" s="77" t="s">
        <v>76</v>
      </c>
      <c r="C6" s="44"/>
      <c r="D6" s="15">
        <f>'Initial Calcs'!I17*INPUT_OUTPUT_SHEET!K11</f>
        <v>0</v>
      </c>
      <c r="E6" s="15">
        <f>'Initial Calcs'!I18*INPUT_OUTPUT_SHEET!K11</f>
        <v>0</v>
      </c>
      <c r="F6" s="15">
        <f>'Initial Calcs'!I19*INPUT_OUTPUT_SHEET!K11</f>
        <v>0</v>
      </c>
      <c r="G6" s="15">
        <f>'Initial Calcs'!I20*INPUT_OUTPUT_SHEET!K11</f>
        <v>0</v>
      </c>
      <c r="H6" s="70"/>
      <c r="I6" s="70"/>
      <c r="J6" s="15"/>
      <c r="K6" s="15"/>
      <c r="L6" s="40"/>
      <c r="M6" s="24"/>
      <c r="O6" s="42"/>
    </row>
    <row r="7" spans="1:15" x14ac:dyDescent="0.35">
      <c r="B7" s="77" t="s">
        <v>77</v>
      </c>
      <c r="C7" s="44"/>
      <c r="D7" s="15">
        <f>'Initial Calcs'!I21*INPUT_OUTPUT_SHEET!L11</f>
        <v>0</v>
      </c>
      <c r="E7" s="15">
        <f>'Initial Calcs'!I22*INPUT_OUTPUT_SHEET!L11</f>
        <v>0</v>
      </c>
      <c r="F7" s="15">
        <f>'Initial Calcs'!I23*INPUT_OUTPUT_SHEET!L11</f>
        <v>0</v>
      </c>
      <c r="G7" s="15">
        <f>'Initial Calcs'!I24*INPUT_OUTPUT_SHEET!L11</f>
        <v>0</v>
      </c>
      <c r="H7" s="69">
        <f>'Initial Calcs'!I25*INPUT_OUTPUT_SHEET!L11</f>
        <v>0</v>
      </c>
      <c r="I7" s="70"/>
      <c r="J7" s="15"/>
      <c r="K7" s="15"/>
      <c r="L7" s="40"/>
      <c r="M7" s="24"/>
      <c r="O7" s="42"/>
    </row>
    <row r="8" spans="1:15" x14ac:dyDescent="0.35">
      <c r="B8" s="77" t="s">
        <v>78</v>
      </c>
      <c r="C8" s="44"/>
      <c r="D8" s="15">
        <f>'Initial Calcs'!I26*INPUT_OUTPUT_SHEET!M11</f>
        <v>0</v>
      </c>
      <c r="E8" s="69">
        <f>'Initial Calcs'!I27*INPUT_OUTPUT_SHEET!M11</f>
        <v>0</v>
      </c>
      <c r="F8" s="69">
        <f>'Initial Calcs'!I28*INPUT_OUTPUT_SHEET!M11</f>
        <v>0</v>
      </c>
      <c r="G8" s="15">
        <f>'Initial Calcs'!I29*INPUT_OUTPUT_SHEET!M11</f>
        <v>0</v>
      </c>
      <c r="H8" s="15">
        <f>'Initial Calcs'!I30*INPUT_OUTPUT_SHEET!M11</f>
        <v>0</v>
      </c>
      <c r="I8" s="15">
        <f>'Initial Calcs'!I31*INPUT_OUTPUT_SHEET!M11</f>
        <v>0</v>
      </c>
      <c r="J8" s="15"/>
      <c r="K8" s="15"/>
      <c r="L8" s="40"/>
      <c r="M8" s="24"/>
      <c r="O8" s="42"/>
    </row>
    <row r="9" spans="1:15" x14ac:dyDescent="0.35">
      <c r="C9" s="44"/>
      <c r="D9" s="15"/>
      <c r="E9" s="15"/>
      <c r="F9" s="15"/>
      <c r="G9" s="15"/>
      <c r="H9" s="15"/>
      <c r="I9" s="15"/>
      <c r="J9" s="15"/>
      <c r="K9" s="15"/>
      <c r="L9" s="26"/>
      <c r="M9" s="4"/>
      <c r="O9" s="41"/>
    </row>
    <row r="10" spans="1:15" x14ac:dyDescent="0.35">
      <c r="B10" s="77" t="s">
        <v>79</v>
      </c>
      <c r="D10" s="15">
        <f>'Initial Calcs'!H33</f>
        <v>0.33122744173171675</v>
      </c>
      <c r="E10" s="15">
        <f>'Initial Calcs'!H34</f>
        <v>6.2933213929026177</v>
      </c>
      <c r="F10" s="15"/>
      <c r="G10" s="15"/>
      <c r="H10" s="15"/>
      <c r="I10" s="15"/>
      <c r="J10" s="15"/>
      <c r="K10" s="15"/>
      <c r="L10" s="41"/>
      <c r="M10" s="24"/>
      <c r="O10" s="15"/>
    </row>
    <row r="11" spans="1:15" x14ac:dyDescent="0.35">
      <c r="D11" s="15"/>
      <c r="E11" s="15"/>
      <c r="F11" s="15"/>
      <c r="G11" s="15"/>
      <c r="H11" s="15"/>
      <c r="I11" s="15"/>
      <c r="J11" s="15"/>
      <c r="K11" s="15"/>
      <c r="N11" s="39" t="s">
        <v>91</v>
      </c>
      <c r="O11" s="39" t="s">
        <v>97</v>
      </c>
    </row>
    <row r="12" spans="1:15" ht="13.15" x14ac:dyDescent="0.4">
      <c r="A12" s="22" t="s">
        <v>40</v>
      </c>
      <c r="B12" s="77" t="s">
        <v>80</v>
      </c>
      <c r="D12" s="15">
        <f t="shared" ref="D12:I12" si="0">SUM(D6:D11)</f>
        <v>0.33122744173171675</v>
      </c>
      <c r="E12" s="15">
        <f t="shared" si="0"/>
        <v>6.2933213929026177</v>
      </c>
      <c r="F12" s="15">
        <f t="shared" si="0"/>
        <v>0</v>
      </c>
      <c r="G12" s="15">
        <f t="shared" si="0"/>
        <v>0</v>
      </c>
      <c r="H12" s="15">
        <f t="shared" si="0"/>
        <v>0</v>
      </c>
      <c r="I12" s="15">
        <f t="shared" si="0"/>
        <v>0</v>
      </c>
      <c r="K12" s="15">
        <f>SUM(D12:I12)</f>
        <v>6.6245488346343349</v>
      </c>
      <c r="M12" s="39" t="s">
        <v>96</v>
      </c>
      <c r="N12" s="88">
        <f>SUM(D12:F12)/SUM(D12:G12)</f>
        <v>1</v>
      </c>
      <c r="O12" s="88">
        <f>SUM(D12:G12)/SUM(D12:I12)</f>
        <v>1</v>
      </c>
    </row>
    <row r="13" spans="1:15" x14ac:dyDescent="0.35">
      <c r="B13" s="77" t="s">
        <v>81</v>
      </c>
      <c r="D13" s="14">
        <f>D12*'Initial Calcs'!N18</f>
        <v>14648.533610585173</v>
      </c>
      <c r="E13" s="14">
        <f>E12*'Initial Calcs'!N19</f>
        <v>233076.55617970062</v>
      </c>
      <c r="F13" s="14">
        <f>F12*'Initial Calcs'!N20</f>
        <v>0</v>
      </c>
      <c r="G13" s="14">
        <f>G12*'Initial Calcs'!N20</f>
        <v>0</v>
      </c>
      <c r="H13" s="14">
        <f>H12*'Initial Calcs'!N21</f>
        <v>0</v>
      </c>
      <c r="I13" s="14">
        <f>I12*'Initial Calcs'!N23</f>
        <v>0</v>
      </c>
      <c r="J13" s="14"/>
      <c r="K13" s="14">
        <f>SUM(D13:I13)</f>
        <v>247725.0897902858</v>
      </c>
    </row>
    <row r="14" spans="1:15" s="23" customFormat="1" ht="13.15" thickBot="1" x14ac:dyDescent="0.4">
      <c r="B14" s="78"/>
    </row>
    <row r="15" spans="1:15" ht="13.15" thickTop="1" x14ac:dyDescent="0.35"/>
    <row r="16" spans="1:15" ht="13.15" x14ac:dyDescent="0.4">
      <c r="A16" s="22" t="s">
        <v>32</v>
      </c>
      <c r="C16" s="44"/>
      <c r="D16" s="44"/>
      <c r="E16" s="44"/>
      <c r="F16" s="44"/>
      <c r="G16" s="44"/>
      <c r="H16" s="44"/>
      <c r="I16" s="44"/>
    </row>
    <row r="17" spans="2:15" ht="13.15" x14ac:dyDescent="0.4">
      <c r="B17" s="77"/>
      <c r="C17" s="128" t="s">
        <v>90</v>
      </c>
      <c r="D17" s="128"/>
      <c r="E17" s="128"/>
      <c r="F17" s="128"/>
      <c r="G17" s="128"/>
      <c r="H17" s="128"/>
      <c r="I17" s="128"/>
      <c r="J17" s="128"/>
      <c r="K17" s="12"/>
    </row>
    <row r="18" spans="2:15" ht="13.15" x14ac:dyDescent="0.4">
      <c r="C18" s="128" t="s">
        <v>30</v>
      </c>
      <c r="D18" s="128"/>
      <c r="E18" s="128"/>
      <c r="F18" s="128"/>
      <c r="G18" s="128"/>
      <c r="H18" s="128"/>
      <c r="I18" s="128"/>
      <c r="J18" s="128"/>
      <c r="K18" s="45"/>
    </row>
    <row r="19" spans="2:15" x14ac:dyDescent="0.35">
      <c r="D19" t="s">
        <v>28</v>
      </c>
      <c r="E19" t="s">
        <v>21</v>
      </c>
      <c r="F19" t="s">
        <v>72</v>
      </c>
      <c r="G19" t="s">
        <v>22</v>
      </c>
      <c r="H19" t="s">
        <v>24</v>
      </c>
      <c r="I19" s="39" t="s">
        <v>75</v>
      </c>
    </row>
    <row r="20" spans="2:15" x14ac:dyDescent="0.35">
      <c r="B20" s="77" t="s">
        <v>76</v>
      </c>
      <c r="C20" s="44"/>
      <c r="D20" s="15">
        <f>'Initial Calcs'!I17*INPUT_OUTPUT_SHEET!K12</f>
        <v>0</v>
      </c>
      <c r="E20" s="15">
        <f>'Initial Calcs'!I18*INPUT_OUTPUT_SHEET!K12</f>
        <v>0</v>
      </c>
      <c r="F20" s="15">
        <f>'Initial Calcs'!I19*INPUT_OUTPUT_SHEET!K12</f>
        <v>0</v>
      </c>
      <c r="G20" s="15">
        <f>'Initial Calcs'!I20*INPUT_OUTPUT_SHEET!K12</f>
        <v>0</v>
      </c>
      <c r="H20" s="70"/>
      <c r="I20" s="70"/>
      <c r="J20" s="15"/>
      <c r="K20" s="15"/>
    </row>
    <row r="21" spans="2:15" x14ac:dyDescent="0.35">
      <c r="B21" s="77" t="s">
        <v>77</v>
      </c>
      <c r="C21" s="44"/>
      <c r="D21" s="15">
        <f>'Initial Calcs'!I21*INPUT_OUTPUT_SHEET!L12</f>
        <v>0</v>
      </c>
      <c r="E21" s="15">
        <f>'Initial Calcs'!I22*INPUT_OUTPUT_SHEET!L12</f>
        <v>0</v>
      </c>
      <c r="F21" s="15">
        <f>'Initial Calcs'!I23*INPUT_OUTPUT_SHEET!L12</f>
        <v>0</v>
      </c>
      <c r="G21" s="15">
        <f>'Initial Calcs'!I24*INPUT_OUTPUT_SHEET!L12</f>
        <v>0</v>
      </c>
      <c r="H21" s="69">
        <f>'Initial Calcs'!I25*INPUT_OUTPUT_SHEET!L12</f>
        <v>0</v>
      </c>
      <c r="I21" s="70"/>
      <c r="J21" s="15"/>
      <c r="K21" s="15"/>
    </row>
    <row r="22" spans="2:15" x14ac:dyDescent="0.35">
      <c r="B22" s="77" t="s">
        <v>78</v>
      </c>
      <c r="C22" s="44"/>
      <c r="D22" s="15">
        <f>'Initial Calcs'!I26*INPUT_OUTPUT_SHEET!M12</f>
        <v>0</v>
      </c>
      <c r="E22" s="69">
        <f>'Initial Calcs'!I27*INPUT_OUTPUT_SHEET!M12</f>
        <v>0</v>
      </c>
      <c r="F22" s="69">
        <f>'Initial Calcs'!I28*INPUT_OUTPUT_SHEET!M12</f>
        <v>0</v>
      </c>
      <c r="G22" s="15">
        <f>'Initial Calcs'!I29*INPUT_OUTPUT_SHEET!M12</f>
        <v>0</v>
      </c>
      <c r="H22" s="15">
        <f>'Initial Calcs'!I30*INPUT_OUTPUT_SHEET!M12</f>
        <v>0</v>
      </c>
      <c r="I22" s="15">
        <f>'Initial Calcs'!I31*INPUT_OUTPUT_SHEET!M12</f>
        <v>0</v>
      </c>
      <c r="J22" s="15"/>
      <c r="K22" s="15"/>
    </row>
    <row r="23" spans="2:15" x14ac:dyDescent="0.35">
      <c r="C23" s="44"/>
      <c r="D23" s="15"/>
      <c r="E23" s="15"/>
      <c r="F23" s="15"/>
      <c r="G23" s="15"/>
      <c r="H23" s="15"/>
      <c r="I23" s="15"/>
      <c r="J23" s="15"/>
      <c r="K23" s="15"/>
    </row>
    <row r="24" spans="2:15" x14ac:dyDescent="0.35">
      <c r="B24" s="77" t="s">
        <v>79</v>
      </c>
      <c r="D24" s="15">
        <f>'Initial Calcs'!I33</f>
        <v>0.31657136023916299</v>
      </c>
      <c r="E24" s="15">
        <f>'Initial Calcs'!I34</f>
        <v>6.0148558445440958</v>
      </c>
      <c r="F24" s="15"/>
      <c r="G24" s="15"/>
      <c r="H24" s="15"/>
      <c r="I24" s="15"/>
      <c r="J24" s="15"/>
      <c r="K24" s="15"/>
    </row>
    <row r="25" spans="2:15" x14ac:dyDescent="0.35">
      <c r="D25" s="15"/>
      <c r="E25" s="15"/>
      <c r="F25" s="15"/>
      <c r="G25" s="15"/>
      <c r="H25" s="15"/>
      <c r="I25" s="15"/>
      <c r="J25" s="15"/>
      <c r="K25" s="15"/>
      <c r="N25" s="39" t="s">
        <v>91</v>
      </c>
      <c r="O25" s="39" t="s">
        <v>97</v>
      </c>
    </row>
    <row r="26" spans="2:15" x14ac:dyDescent="0.35">
      <c r="B26" s="77" t="s">
        <v>80</v>
      </c>
      <c r="D26" s="15">
        <f t="shared" ref="D26:I26" si="1">SUM(D20:D25)</f>
        <v>0.31657136023916299</v>
      </c>
      <c r="E26" s="15">
        <f t="shared" si="1"/>
        <v>6.0148558445440958</v>
      </c>
      <c r="F26" s="15">
        <f t="shared" si="1"/>
        <v>0</v>
      </c>
      <c r="G26" s="15">
        <f t="shared" si="1"/>
        <v>0</v>
      </c>
      <c r="H26" s="15">
        <f t="shared" si="1"/>
        <v>0</v>
      </c>
      <c r="I26" s="15">
        <f t="shared" si="1"/>
        <v>0</v>
      </c>
      <c r="K26" s="15">
        <f>SUM(D26:I26)</f>
        <v>6.3314272047832585</v>
      </c>
      <c r="M26" s="39" t="s">
        <v>96</v>
      </c>
      <c r="N26" s="88">
        <f>SUM(D26:F26)/SUM(D26:G26)</f>
        <v>1</v>
      </c>
      <c r="O26" s="88">
        <f>SUM(D26:G26)/SUM(D26:I26)</f>
        <v>1</v>
      </c>
    </row>
    <row r="27" spans="2:15" x14ac:dyDescent="0.35">
      <c r="B27" s="77" t="s">
        <v>81</v>
      </c>
      <c r="D27" s="14">
        <f>D26*'Initial Calcs'!N18</f>
        <v>14000.368406576983</v>
      </c>
      <c r="E27" s="14">
        <f>E26*'Initial Calcs'!N19</f>
        <v>222763.43422484666</v>
      </c>
      <c r="F27" s="14">
        <f>F26*'Initial Calcs'!N20</f>
        <v>0</v>
      </c>
      <c r="G27" s="14">
        <f>G26*'Initial Calcs'!N20</f>
        <v>0</v>
      </c>
      <c r="H27" s="14">
        <f>H26*'Initial Calcs'!N21</f>
        <v>0</v>
      </c>
      <c r="I27" s="14">
        <f>I26*'Initial Calcs'!N23</f>
        <v>0</v>
      </c>
      <c r="J27" s="14"/>
      <c r="K27" s="14">
        <f>SUM(D27:I27)</f>
        <v>236763.80263142363</v>
      </c>
    </row>
    <row r="31" spans="2:15" x14ac:dyDescent="0.35">
      <c r="B31" s="77" t="s">
        <v>29</v>
      </c>
    </row>
    <row r="34" spans="4:12" x14ac:dyDescent="0.35">
      <c r="D34" s="39" t="s">
        <v>29</v>
      </c>
    </row>
    <row r="41" spans="4:12" x14ac:dyDescent="0.35">
      <c r="L41" s="39" t="s">
        <v>29</v>
      </c>
    </row>
  </sheetData>
  <sheetProtection password="F3EB" sheet="1" objects="1" scenarios="1"/>
  <mergeCells count="4">
    <mergeCell ref="C3:J3"/>
    <mergeCell ref="C4:I4"/>
    <mergeCell ref="C17:J17"/>
    <mergeCell ref="C18:J18"/>
  </mergeCells>
  <pageMargins left="0.75" right="0.75" top="1" bottom="1" header="0.5" footer="0.5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INPUT_OUTPUT_SHEET</vt:lpstr>
      <vt:lpstr>Initial Calcs</vt:lpstr>
      <vt:lpstr>staffing for 3 shift system</vt:lpstr>
      <vt:lpstr>staffing for 2 shift system</vt:lpstr>
    </vt:vector>
  </TitlesOfParts>
  <Company>Nottingham HIS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Dinning</dc:creator>
  <cp:lastModifiedBy>Toni Meyers</cp:lastModifiedBy>
  <cp:lastPrinted>2012-02-27T12:19:49Z</cp:lastPrinted>
  <dcterms:created xsi:type="dcterms:W3CDTF">2008-01-23T11:15:20Z</dcterms:created>
  <dcterms:modified xsi:type="dcterms:W3CDTF">2018-05-25T08:40:23Z</dcterms:modified>
</cp:coreProperties>
</file>