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defaultThemeVersion="124226"/>
  <bookViews>
    <workbookView xWindow="8760" yWindow="30" windowWidth="9780" windowHeight="6870" tabRatio="492"/>
  </bookViews>
  <sheets>
    <sheet name="Welcome" sheetId="11" r:id="rId1"/>
    <sheet name="Demand" sheetId="21" r:id="rId2"/>
    <sheet name="SPC" sheetId="24" r:id="rId3"/>
    <sheet name="Capacity" sheetId="20" r:id="rId4"/>
    <sheet name="Parameters" sheetId="18" r:id="rId5"/>
    <sheet name="Summary" sheetId="12" r:id="rId6"/>
    <sheet name="Graphs" sheetId="19" r:id="rId7"/>
    <sheet name="Calculations" sheetId="23" r:id="rId8"/>
    <sheet name="Notes" sheetId="25" r:id="rId9"/>
  </sheets>
  <definedNames>
    <definedName name="_LCL1">Mean1-3*Sigma1</definedName>
    <definedName name="_LCL2">Mean2-3*Sigma2</definedName>
    <definedName name="_UCL1">Mean1+3*Sigma1</definedName>
    <definedName name="_UCL2">Mean2+3*Sigma2</definedName>
    <definedName name="AdHocCapacityAverage">IF(SUM(AdHocCapacityRange)=0,0,AVERAGE(AdHocCapacityRange))</definedName>
    <definedName name="AdHocCapacityRange">OFFSET(Capacity!$M$98:$M$149,IF(Split=0,0,Split-1),0,MaxWeeks-IF(Split=0,0,Split-1),1)</definedName>
    <definedName name="AdHocMeanSlots">Capacity!$K$13</definedName>
    <definedName name="AdHocSlots">Capacity!$O$15</definedName>
    <definedName name="BookingPeriod">DailyMaxWait-DailyMinWait+1</definedName>
    <definedName name="BookingWeek1">(7-DailyMinWait+1)/DailyBookingPeriod</definedName>
    <definedName name="BookingWeek2">(DailyMaxWait-7)/DailyBookingPeriod</definedName>
    <definedName name="CalculatedRange">OFFSET(Demand!$C$25,IF(Split&gt;0,Split-1,0),0,IF(Split&gt;0,MaxWeeks-Split+1,MaxWeeks),1)</definedName>
    <definedName name="ChooseAndBook">Parameters!$F$20</definedName>
    <definedName name="CoreCapacityAverage">IF(SUM(CoreCapacityRange)=0,0,AVERAGE(CoreCapacityRange))</definedName>
    <definedName name="CoreCapacityRange">OFFSET(Capacity!$D$98:$D$149,IF(Split=0,0,Split-1),0,MaxWeeks-IF(Split=0,0,Split-1),1)</definedName>
    <definedName name="DailyBookingPeriod">DailyMaxWait-DailyMinWait+1</definedName>
    <definedName name="DailyDNAsDischarged">DNAsDischarged/7</definedName>
    <definedName name="DailyDNAsRebooked">DNAsRebooked/7</definedName>
    <definedName name="DailyMaxWait">Parameters!$N$14</definedName>
    <definedName name="DailyMinWait">Parameters!$J$14</definedName>
    <definedName name="DateSeenRange">OFFSET(Demand!$N$25,0,0,COUNTIF(Demand!$N$25:$N$524,"&gt;0"),1)</definedName>
    <definedName name="DaysWaitedRange">OFFSET(Demand!$O$25,0,0,ROWS(DateSeenRange),1)</definedName>
    <definedName name="Deviation">STDEV(ReferralsRange)</definedName>
    <definedName name="DNADischargeRate">Parameters!$J$19</definedName>
    <definedName name="DNARate">Parameters!$F$25</definedName>
    <definedName name="DNAsDischarged">RefsPerWeek*DNARate*DNADischargeRate</definedName>
    <definedName name="DNAsRebooked">RefsPerWeek*DNARate*(1-DNADischargeRate)</definedName>
    <definedName name="GraphDaysWaited">OFFSET(Demand!$P$25,0,0,MAX(Demand!$R$25:$R$45),1)</definedName>
    <definedName name="GraphLower2SDRange">OFFSET(Graphs!$A$54,0,0,1,MaxWeeks)</definedName>
    <definedName name="GraphMeanRange">OFFSET(Graphs!$A$8,0,0,1,MaxWeeks)</definedName>
    <definedName name="GraphPercentile75Range">OFFSET(Graphs!$A$4,0,0,1,MaxWeeks)</definedName>
    <definedName name="GraphPercentile85Range">OFFSET(Graphs!$A$53,0,0,1,MaxWeeks)</definedName>
    <definedName name="GraphReferralsRange">OFFSET(Graphs!$A$9,0,0,1,MaxWeeks)</definedName>
    <definedName name="GraphUpper2SDRange">OFFSET(Graphs!$A$7,0,0,1,MaxWeeks)</definedName>
    <definedName name="LCL">Mean-3*Sigma</definedName>
    <definedName name="LCLRange">OFFSET(SPC!$O$2,0,0,ROWS(ReferralsRange),1)</definedName>
    <definedName name="MaxWaitingList">CEILING(MAX(Calculations!$L$14:$M$39),1)</definedName>
    <definedName name="MaxWeeks">MAX(Demand!$A$25:$A$76)</definedName>
    <definedName name="Mean">IF(MaxWeeks&gt;0,AVERAGE(ReferralsRange),0)</definedName>
    <definedName name="Mean1">IF(MaxWeeks&gt;0,AVERAGE(OFFSET(Demand!$C$25,0,0,Split,1)),0)</definedName>
    <definedName name="Mean2">IF(MaxWeeks&gt;0,AVERAGE(CalculatedRange),0)</definedName>
    <definedName name="MeanWait">AVERAGE(DaysWaitedRange)</definedName>
    <definedName name="MedianWait">PERCENTILE(DaysWaitedRange,0.5)</definedName>
    <definedName name="MinWait">IF(DailyMinWait&lt;=7,1,2)</definedName>
    <definedName name="ModelName">Welcome!$B$1</definedName>
    <definedName name="NormDistProbRange">OFFSET(Demand!$H$25,IF(Split=0,0,Split-1),0,MaxWeeks-IF(Split=0,0,Split-1),1)</definedName>
    <definedName name="NormDistValueRange">OFFSET(Demand!$I$25,IF(Split=0,0,Split-1),0,MaxWeeks-IF(Split=0,0,Split-1),1)</definedName>
    <definedName name="Over13">COUNTIF(Demand!$O$25:$O$524,"&gt;=13")/ROWS(DateSeenRange)</definedName>
    <definedName name="Over8">COUNTIF(Demand!$O$25:$O$524,"&gt;=8")/ROWS(DateSeenRange)</definedName>
    <definedName name="Percentile75">PERCENTILE(CalculatedRange,0.75)*(1+DNARate*(1-DNADischargeRate))</definedName>
    <definedName name="Percentile85">PERCENTILE(CalculatedRange,0.85)*(1+DNARate*(1-DNADischargeRate))</definedName>
    <definedName name="_xlnm.Print_Area" localSheetId="7">Calculations!$A$2:$M$41</definedName>
    <definedName name="_xlnm.Print_Area" localSheetId="3">Capacity!$A:$P</definedName>
    <definedName name="_xlnm.Print_Area" localSheetId="1">Demand!$A$2:$O$524</definedName>
    <definedName name="_xlnm.Print_Area" localSheetId="6">Graphs!$A$2:$O$34</definedName>
    <definedName name="_xlnm.Print_Area" localSheetId="4">Parameters!$A$2:$Q$27</definedName>
    <definedName name="_xlnm.Print_Area" localSheetId="2">SPC!$A$2:$AE$36</definedName>
    <definedName name="_xlnm.Print_Area" localSheetId="5">Summary!$A$2:$O$91</definedName>
    <definedName name="_xlnm.Print_Area" localSheetId="0">Welcome!$A:$O</definedName>
    <definedName name="_xlnm.Print_Titles" localSheetId="3">Capacity!$16:$16</definedName>
    <definedName name="PTLGraphData">OFFSET(Calculations!$J$14,0,0,DailyMaxWait+DailyMinWait+1,1)</definedName>
    <definedName name="RearrangedRate">Parameters!$B$24</definedName>
    <definedName name="ReferralsRange">OFFSET(Demand!$C$25,0,0,MaxWeeks,1)</definedName>
    <definedName name="RefsPerDay">RefsPerWeek/7</definedName>
    <definedName name="RefsPerWeek">Parameters!$B$15</definedName>
    <definedName name="RoutineMeanSlots">Capacity!$B$13</definedName>
    <definedName name="RoutineSlots">Capacity!$F$15</definedName>
    <definedName name="SCV1Range">OFFSET(SPC!$B$2,0,0,ROWS(ReferralsRange),1)</definedName>
    <definedName name="SCV2Range">OFFSET(SPC!$D$2,0,0,ROWS(ReferralsRange),1)</definedName>
    <definedName name="SCV3Range">OFFSET(SPC!$F$2,0,0,ROWS(ReferralsRange),1)</definedName>
    <definedName name="SCV4Range">OFFSET(SPC!$H$2,0,0,ROWS(ReferralsRange),1)</definedName>
    <definedName name="Sigma">AVERAGE(SPC!$A$3:$A$53)/1.128</definedName>
    <definedName name="Sigma1">(SUM(OFFSET(SPC!$A$3,0,0,Split-1,1))/Split)/1.128</definedName>
    <definedName name="Sigma1Minus">Mean-Sigma</definedName>
    <definedName name="Sigma1Minus1">Mean1-Sigma1</definedName>
    <definedName name="Sigma1Minus2">Mean2-Sigma2</definedName>
    <definedName name="Sigma1MinusRange">OFFSET(SPC!$M$2,0,0,ROWS(ReferralsRange),1)</definedName>
    <definedName name="Sigma1Plus">Mean+Sigma</definedName>
    <definedName name="Sigma1Plus1">Mean1+Sigma1</definedName>
    <definedName name="Sigma1Plus2">Mean2+Sigma2</definedName>
    <definedName name="Sigma1PlusRange">OFFSET(SPC!$K$2,0,0,ROWS(ReferralsRange),1)</definedName>
    <definedName name="Sigma2">(SUM(OFFSET(SPC!$A$3,Split-1,0,MaxWeeks-Split,1))/(MaxWeeks-Split))/1.128</definedName>
    <definedName name="Sigma2Minus">Mean-2*Sigma</definedName>
    <definedName name="Sigma2Minus1">Mean1-2*Sigma1</definedName>
    <definedName name="Sigma2Minus2">Mean2-2*Sigma2</definedName>
    <definedName name="Sigma2MinusRange">OFFSET(SPC!$N$2,0,0,ROWS(ReferralsRange),1)</definedName>
    <definedName name="Sigma2Plus">Mean+2*Sigma</definedName>
    <definedName name="Sigma2Plus1">Mean1+2*Sigma1</definedName>
    <definedName name="Sigma2Plus2">Mean2+2*Sigma2</definedName>
    <definedName name="Sigma2PlusRange">OFFSET(SPC!$J$2,0,0,ROWS(ReferralsRange),1)</definedName>
    <definedName name="SPCMeanRange">OFFSET(SPC!$L$2,0,0,ROWS(ReferralsRange),1)</definedName>
    <definedName name="Split">SPC!$S$31-1</definedName>
    <definedName name="SplitRange">Summary!$R$42</definedName>
    <definedName name="TargetMaxWait">DailyMaxWait/7</definedName>
    <definedName name="UCL">Mean+3*Sigma</definedName>
    <definedName name="UCLRange">OFFSET(SPC!$I$2,0,0,ROWS(ReferralsRange),1)</definedName>
    <definedName name="WaitingList">Demand!$K$7</definedName>
    <definedName name="Weeks">OFFSET(Demand!$B$25,0,0,ROWS(ReferralsRange),1)</definedName>
  </definedNames>
  <calcPr calcId="145621"/>
</workbook>
</file>

<file path=xl/calcChain.xml><?xml version="1.0" encoding="utf-8"?>
<calcChain xmlns="http://schemas.openxmlformats.org/spreadsheetml/2006/main">
  <c r="A2" i="11" l="1"/>
  <c r="D20" i="18" l="1"/>
  <c r="H25" i="18"/>
  <c r="A65" i="12" l="1"/>
  <c r="A33" i="12"/>
  <c r="C5" i="19"/>
  <c r="D5" i="19" s="1"/>
  <c r="E5" i="19" s="1"/>
  <c r="F5" i="19" s="1"/>
  <c r="G5" i="19" s="1"/>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AG5" i="19" s="1"/>
  <c r="AH5" i="19" s="1"/>
  <c r="AI5" i="19" s="1"/>
  <c r="AJ5" i="19" s="1"/>
  <c r="AK5" i="19" s="1"/>
  <c r="AL5" i="19" s="1"/>
  <c r="AM5" i="19" s="1"/>
  <c r="AN5" i="19" s="1"/>
  <c r="AO5" i="19" s="1"/>
  <c r="AP5" i="19" s="1"/>
  <c r="AQ5" i="19" s="1"/>
  <c r="AR5" i="19" s="1"/>
  <c r="AS5" i="19" s="1"/>
  <c r="AT5" i="19" s="1"/>
  <c r="AU5" i="19" s="1"/>
  <c r="AV5" i="19" s="1"/>
  <c r="AW5" i="19" s="1"/>
  <c r="AX5" i="19" s="1"/>
  <c r="AY5" i="19" s="1"/>
  <c r="AZ5" i="19" s="1"/>
  <c r="B5" i="19"/>
  <c r="B22" i="21" l="1"/>
  <c r="A3" i="23" l="1"/>
  <c r="A3" i="12" l="1"/>
  <c r="A2" i="25" l="1"/>
  <c r="A2" i="23"/>
  <c r="A2" i="19"/>
  <c r="A2" i="12"/>
  <c r="A2" i="18"/>
  <c r="A2" i="20"/>
  <c r="Q2" i="24"/>
  <c r="A2" i="21"/>
  <c r="Q42" i="12" l="1"/>
  <c r="B24" i="18" l="1"/>
  <c r="B19" i="18" l="1"/>
  <c r="B20" i="18"/>
  <c r="E21" i="12" s="1"/>
  <c r="O59" i="20"/>
  <c r="P59" i="20" s="1"/>
  <c r="F59" i="20"/>
  <c r="G59" i="20" s="1"/>
  <c r="P58" i="20"/>
  <c r="O58" i="20"/>
  <c r="F58" i="20"/>
  <c r="G58" i="20" s="1"/>
  <c r="O57" i="20"/>
  <c r="P57" i="20" s="1"/>
  <c r="F57" i="20"/>
  <c r="G57" i="20" s="1"/>
  <c r="P56" i="20"/>
  <c r="O56" i="20"/>
  <c r="F56" i="20"/>
  <c r="G56" i="20" s="1"/>
  <c r="O55" i="20"/>
  <c r="P55" i="20" s="1"/>
  <c r="F55" i="20"/>
  <c r="G55" i="20" s="1"/>
  <c r="P54" i="20"/>
  <c r="O54" i="20"/>
  <c r="F54" i="20"/>
  <c r="G54" i="20" s="1"/>
  <c r="O53" i="20"/>
  <c r="P53" i="20" s="1"/>
  <c r="F53" i="20"/>
  <c r="G53" i="20" s="1"/>
  <c r="P52" i="20"/>
  <c r="O52" i="20"/>
  <c r="F52" i="20"/>
  <c r="G52" i="20" s="1"/>
  <c r="O51" i="20"/>
  <c r="P51" i="20" s="1"/>
  <c r="F51" i="20"/>
  <c r="G51" i="20" s="1"/>
  <c r="P50" i="20"/>
  <c r="O50" i="20"/>
  <c r="F50" i="20"/>
  <c r="G50" i="20" s="1"/>
  <c r="O69" i="20"/>
  <c r="P69" i="20" s="1"/>
  <c r="F69" i="20"/>
  <c r="G69" i="20" s="1"/>
  <c r="O68" i="20"/>
  <c r="P68" i="20" s="1"/>
  <c r="F68" i="20"/>
  <c r="G68" i="20" s="1"/>
  <c r="O67" i="20"/>
  <c r="P67" i="20" s="1"/>
  <c r="F67" i="20"/>
  <c r="G67" i="20" s="1"/>
  <c r="O66" i="20"/>
  <c r="P66" i="20" s="1"/>
  <c r="F66" i="20"/>
  <c r="G66" i="20" s="1"/>
  <c r="O65" i="20"/>
  <c r="P65" i="20" s="1"/>
  <c r="F65" i="20"/>
  <c r="G65" i="20" s="1"/>
  <c r="O64" i="20"/>
  <c r="P64" i="20" s="1"/>
  <c r="F64" i="20"/>
  <c r="G64" i="20" s="1"/>
  <c r="O63" i="20"/>
  <c r="P63" i="20" s="1"/>
  <c r="F63" i="20"/>
  <c r="G63" i="20" s="1"/>
  <c r="O62" i="20"/>
  <c r="P62" i="20" s="1"/>
  <c r="F62" i="20"/>
  <c r="G62" i="20" s="1"/>
  <c r="O61" i="20"/>
  <c r="P61" i="20" s="1"/>
  <c r="F61" i="20"/>
  <c r="G61" i="20" s="1"/>
  <c r="O60" i="20"/>
  <c r="P60" i="20" s="1"/>
  <c r="F60" i="20"/>
  <c r="G60" i="20" s="1"/>
  <c r="O49" i="20"/>
  <c r="P49" i="20" s="1"/>
  <c r="F49" i="20"/>
  <c r="G49" i="20" s="1"/>
  <c r="O48" i="20"/>
  <c r="P48" i="20" s="1"/>
  <c r="F48" i="20"/>
  <c r="G48" i="20" s="1"/>
  <c r="O47" i="20"/>
  <c r="P47" i="20" s="1"/>
  <c r="F47" i="20"/>
  <c r="G47" i="20" s="1"/>
  <c r="O46" i="20"/>
  <c r="P46" i="20" s="1"/>
  <c r="F46" i="20"/>
  <c r="G46" i="20" s="1"/>
  <c r="O45" i="20"/>
  <c r="P45" i="20" s="1"/>
  <c r="F45" i="20"/>
  <c r="G45" i="20" s="1"/>
  <c r="O44" i="20"/>
  <c r="P44" i="20" s="1"/>
  <c r="F44" i="20"/>
  <c r="G44" i="20" s="1"/>
  <c r="O43" i="20"/>
  <c r="P43" i="20" s="1"/>
  <c r="F43" i="20"/>
  <c r="G43" i="20" s="1"/>
  <c r="O42" i="20"/>
  <c r="P42" i="20" s="1"/>
  <c r="F42" i="20"/>
  <c r="G42" i="20" s="1"/>
  <c r="O41" i="20"/>
  <c r="P41" i="20" s="1"/>
  <c r="F41" i="20"/>
  <c r="G41" i="20" s="1"/>
  <c r="O40" i="20"/>
  <c r="P40" i="20" s="1"/>
  <c r="F40" i="20"/>
  <c r="G40" i="20" s="1"/>
  <c r="O39" i="20"/>
  <c r="P39" i="20" s="1"/>
  <c r="F39" i="20"/>
  <c r="G39" i="20" s="1"/>
  <c r="P38" i="20"/>
  <c r="O38" i="20"/>
  <c r="F38" i="20"/>
  <c r="G38" i="20" s="1"/>
  <c r="O37" i="20"/>
  <c r="P37" i="20" s="1"/>
  <c r="F37" i="20"/>
  <c r="G37" i="20" s="1"/>
  <c r="P36" i="20"/>
  <c r="O36" i="20"/>
  <c r="F36" i="20"/>
  <c r="G36" i="20" s="1"/>
  <c r="O35" i="20"/>
  <c r="P35" i="20" s="1"/>
  <c r="F35" i="20"/>
  <c r="G35" i="20" s="1"/>
  <c r="P34" i="20"/>
  <c r="O34" i="20"/>
  <c r="F34" i="20"/>
  <c r="G34" i="20" s="1"/>
  <c r="O33" i="20"/>
  <c r="P33" i="20" s="1"/>
  <c r="F33" i="20"/>
  <c r="G33" i="20" s="1"/>
  <c r="P32" i="20"/>
  <c r="O32" i="20"/>
  <c r="F32" i="20"/>
  <c r="G32" i="20" s="1"/>
  <c r="O31" i="20"/>
  <c r="P31" i="20" s="1"/>
  <c r="F31" i="20"/>
  <c r="G31" i="20" s="1"/>
  <c r="P30" i="20"/>
  <c r="O30" i="20"/>
  <c r="F30" i="20"/>
  <c r="G30" i="20" s="1"/>
  <c r="O79" i="20"/>
  <c r="P79" i="20" s="1"/>
  <c r="F79" i="20"/>
  <c r="G79" i="20" s="1"/>
  <c r="O78" i="20"/>
  <c r="P78" i="20" s="1"/>
  <c r="F78" i="20"/>
  <c r="G78" i="20" s="1"/>
  <c r="O77" i="20"/>
  <c r="P77" i="20" s="1"/>
  <c r="F77" i="20"/>
  <c r="G77" i="20" s="1"/>
  <c r="O76" i="20"/>
  <c r="P76" i="20" s="1"/>
  <c r="F76" i="20"/>
  <c r="G76" i="20" s="1"/>
  <c r="O75" i="20"/>
  <c r="P75" i="20" s="1"/>
  <c r="F75" i="20"/>
  <c r="G75" i="20" s="1"/>
  <c r="O74" i="20"/>
  <c r="P74" i="20" s="1"/>
  <c r="F74" i="20"/>
  <c r="G74" i="20" s="1"/>
  <c r="O73" i="20"/>
  <c r="P73" i="20" s="1"/>
  <c r="F73" i="20"/>
  <c r="G73" i="20" s="1"/>
  <c r="O72" i="20"/>
  <c r="P72" i="20" s="1"/>
  <c r="F72" i="20"/>
  <c r="G72" i="20" s="1"/>
  <c r="O71" i="20"/>
  <c r="P71" i="20" s="1"/>
  <c r="F71" i="20"/>
  <c r="G71" i="20" s="1"/>
  <c r="O70" i="20"/>
  <c r="P70" i="20" s="1"/>
  <c r="F70" i="20"/>
  <c r="G70" i="20" s="1"/>
  <c r="O20" i="20" l="1"/>
  <c r="P20" i="20" s="1"/>
  <c r="O21" i="20"/>
  <c r="P21" i="20"/>
  <c r="O22" i="20"/>
  <c r="P22" i="20" s="1"/>
  <c r="O23" i="20"/>
  <c r="P23" i="20"/>
  <c r="O24" i="20"/>
  <c r="P24" i="20" s="1"/>
  <c r="O25" i="20"/>
  <c r="P25" i="20"/>
  <c r="O26" i="20"/>
  <c r="P26" i="20" s="1"/>
  <c r="O27" i="20"/>
  <c r="P27" i="20"/>
  <c r="O28" i="20"/>
  <c r="P28" i="20" s="1"/>
  <c r="O29" i="20"/>
  <c r="P29" i="20"/>
  <c r="O80" i="20"/>
  <c r="P80" i="20" s="1"/>
  <c r="O81" i="20"/>
  <c r="P81" i="20"/>
  <c r="O82" i="20"/>
  <c r="P82" i="20" s="1"/>
  <c r="O83" i="20"/>
  <c r="P83" i="20"/>
  <c r="O84" i="20"/>
  <c r="P84" i="20" s="1"/>
  <c r="O85" i="20"/>
  <c r="P85" i="20"/>
  <c r="F29" i="20" l="1"/>
  <c r="G29" i="20" s="1"/>
  <c r="F28" i="20"/>
  <c r="G28" i="20" s="1"/>
  <c r="F27" i="20"/>
  <c r="G27" i="20" s="1"/>
  <c r="F26" i="20"/>
  <c r="G26" i="20" s="1"/>
  <c r="F25" i="20"/>
  <c r="G25" i="20" s="1"/>
  <c r="F24" i="20"/>
  <c r="G24" i="20" s="1"/>
  <c r="F23" i="20"/>
  <c r="G23" i="20" s="1"/>
  <c r="F22" i="20"/>
  <c r="G22" i="20" s="1"/>
  <c r="F21" i="20"/>
  <c r="G21" i="20" s="1"/>
  <c r="A5" i="23"/>
  <c r="B5" i="18"/>
  <c r="G9" i="23"/>
  <c r="J9" i="23"/>
  <c r="J19" i="18"/>
  <c r="E23" i="12"/>
  <c r="B6" i="19"/>
  <c r="B5" i="12"/>
  <c r="E68" i="12"/>
  <c r="B5" i="20"/>
  <c r="F17" i="20"/>
  <c r="G17" i="20" s="1"/>
  <c r="O17" i="20"/>
  <c r="P17" i="20"/>
  <c r="F18" i="20"/>
  <c r="G18" i="20" s="1"/>
  <c r="O18" i="20"/>
  <c r="P18" i="20"/>
  <c r="F19" i="20"/>
  <c r="G19" i="20" s="1"/>
  <c r="O19" i="20"/>
  <c r="F20" i="20"/>
  <c r="G20" i="20" s="1"/>
  <c r="F80" i="20"/>
  <c r="G80" i="20"/>
  <c r="F81" i="20"/>
  <c r="G81" i="20"/>
  <c r="F82" i="20"/>
  <c r="G82" i="20"/>
  <c r="F83" i="20"/>
  <c r="G83" i="20"/>
  <c r="F84" i="20"/>
  <c r="G84" i="20"/>
  <c r="F85" i="20"/>
  <c r="G85" i="20"/>
  <c r="F86" i="20"/>
  <c r="G86" i="20"/>
  <c r="O86" i="20"/>
  <c r="P86" i="20"/>
  <c r="F87" i="20"/>
  <c r="G87" i="20"/>
  <c r="O87" i="20"/>
  <c r="P87" i="20"/>
  <c r="F88" i="20"/>
  <c r="G88" i="20"/>
  <c r="O88" i="20"/>
  <c r="P88" i="20"/>
  <c r="F89" i="20"/>
  <c r="G89" i="20"/>
  <c r="O89" i="20"/>
  <c r="P89" i="20"/>
  <c r="F90" i="20"/>
  <c r="G90" i="20"/>
  <c r="O90" i="20"/>
  <c r="P90" i="20"/>
  <c r="F91" i="20"/>
  <c r="G91" i="20"/>
  <c r="O91" i="20"/>
  <c r="P91" i="20"/>
  <c r="E82" i="12"/>
  <c r="C25" i="21" a="1"/>
  <c r="O25" i="21" a="1"/>
  <c r="O25" i="21" s="1"/>
  <c r="O59" i="21"/>
  <c r="O67" i="21"/>
  <c r="O75" i="21"/>
  <c r="O82" i="21"/>
  <c r="O90" i="21"/>
  <c r="O98" i="21"/>
  <c r="O106" i="21"/>
  <c r="O114" i="21"/>
  <c r="O122" i="21"/>
  <c r="O130" i="21"/>
  <c r="O138" i="21"/>
  <c r="O146" i="21"/>
  <c r="O154" i="21"/>
  <c r="O162" i="21"/>
  <c r="O170" i="21"/>
  <c r="O178" i="21"/>
  <c r="O186" i="21"/>
  <c r="O194" i="21"/>
  <c r="O202" i="21"/>
  <c r="O210" i="21"/>
  <c r="O218" i="21"/>
  <c r="O226" i="21"/>
  <c r="O234" i="21"/>
  <c r="O242" i="21"/>
  <c r="O250" i="21"/>
  <c r="O258" i="21"/>
  <c r="O266" i="21"/>
  <c r="O274" i="21"/>
  <c r="O282" i="21"/>
  <c r="O290" i="21"/>
  <c r="O298" i="21"/>
  <c r="O306" i="21"/>
  <c r="O314" i="21"/>
  <c r="O322" i="21"/>
  <c r="O330" i="21"/>
  <c r="O338" i="21"/>
  <c r="O346" i="21"/>
  <c r="O354" i="21"/>
  <c r="O362" i="21"/>
  <c r="O370" i="21"/>
  <c r="O378" i="21"/>
  <c r="O386" i="21"/>
  <c r="O392" i="21"/>
  <c r="O396" i="21"/>
  <c r="O400" i="21"/>
  <c r="O404" i="21"/>
  <c r="O408" i="21"/>
  <c r="O412" i="21"/>
  <c r="O416" i="21"/>
  <c r="O420" i="21"/>
  <c r="O424" i="21"/>
  <c r="O428" i="21"/>
  <c r="O432" i="21"/>
  <c r="O436" i="21"/>
  <c r="O440" i="21"/>
  <c r="O444" i="21"/>
  <c r="O448" i="21"/>
  <c r="O452" i="21"/>
  <c r="O456" i="21"/>
  <c r="O460" i="21"/>
  <c r="O464" i="21"/>
  <c r="O468" i="21"/>
  <c r="O472" i="21"/>
  <c r="O476" i="21"/>
  <c r="O480" i="21"/>
  <c r="O484" i="21"/>
  <c r="O488" i="21"/>
  <c r="O492" i="21"/>
  <c r="O495" i="21"/>
  <c r="O497" i="21"/>
  <c r="O499" i="21"/>
  <c r="O501" i="21"/>
  <c r="O503" i="21"/>
  <c r="O505" i="21"/>
  <c r="O507" i="21"/>
  <c r="O509" i="21"/>
  <c r="O511" i="21"/>
  <c r="O513" i="21"/>
  <c r="O515" i="21"/>
  <c r="O517" i="21"/>
  <c r="O519" i="21"/>
  <c r="O521" i="21"/>
  <c r="O523" i="21"/>
  <c r="D11" i="23"/>
  <c r="E69" i="12"/>
  <c r="N15" i="18"/>
  <c r="O493" i="21"/>
  <c r="O489" i="21"/>
  <c r="O487" i="21"/>
  <c r="O485" i="21"/>
  <c r="O481" i="21"/>
  <c r="O479" i="21"/>
  <c r="O477" i="21"/>
  <c r="O473" i="21"/>
  <c r="O471" i="21"/>
  <c r="O469" i="21"/>
  <c r="O465" i="21"/>
  <c r="O463" i="21"/>
  <c r="O461" i="21"/>
  <c r="O457" i="21"/>
  <c r="O455" i="21"/>
  <c r="O453" i="21"/>
  <c r="O449" i="21"/>
  <c r="O447" i="21"/>
  <c r="O445" i="21"/>
  <c r="O441" i="21"/>
  <c r="O439" i="21"/>
  <c r="O437" i="21"/>
  <c r="O433" i="21"/>
  <c r="O431" i="21"/>
  <c r="O429" i="21"/>
  <c r="O425" i="21"/>
  <c r="O423" i="21"/>
  <c r="O421" i="21"/>
  <c r="O417" i="21"/>
  <c r="O415" i="21"/>
  <c r="O413" i="21"/>
  <c r="O409" i="21"/>
  <c r="O407" i="21"/>
  <c r="O405" i="21"/>
  <c r="O401" i="21"/>
  <c r="O399" i="21"/>
  <c r="O397" i="21"/>
  <c r="O393" i="21"/>
  <c r="O391" i="21"/>
  <c r="O389" i="21"/>
  <c r="O385" i="21"/>
  <c r="O383" i="21"/>
  <c r="O381" i="21"/>
  <c r="O377" i="21"/>
  <c r="O375" i="21"/>
  <c r="O373" i="21"/>
  <c r="O369" i="21"/>
  <c r="O367" i="21"/>
  <c r="O365" i="21"/>
  <c r="O361" i="21"/>
  <c r="O359" i="21"/>
  <c r="O357" i="21"/>
  <c r="O353" i="21"/>
  <c r="O351" i="21"/>
  <c r="O349" i="21"/>
  <c r="O345" i="21"/>
  <c r="O343" i="21"/>
  <c r="O341" i="21"/>
  <c r="O337" i="21"/>
  <c r="O335" i="21"/>
  <c r="O333" i="21"/>
  <c r="O329" i="21"/>
  <c r="O327" i="21"/>
  <c r="O325" i="21"/>
  <c r="O321" i="21"/>
  <c r="O319" i="21"/>
  <c r="O317" i="21"/>
  <c r="O313" i="21"/>
  <c r="O311" i="21"/>
  <c r="O309" i="21"/>
  <c r="O305" i="21"/>
  <c r="O303" i="21"/>
  <c r="O301" i="21"/>
  <c r="O297" i="21"/>
  <c r="O295" i="21"/>
  <c r="O293" i="21"/>
  <c r="O289" i="21"/>
  <c r="O287" i="21"/>
  <c r="O285" i="21"/>
  <c r="O281" i="21"/>
  <c r="O279" i="21"/>
  <c r="O277" i="21"/>
  <c r="O273" i="21"/>
  <c r="O271" i="21"/>
  <c r="O269" i="21"/>
  <c r="O265" i="21"/>
  <c r="O263" i="21"/>
  <c r="O261" i="21"/>
  <c r="O259" i="21"/>
  <c r="O257" i="21"/>
  <c r="O255" i="21"/>
  <c r="O253" i="21"/>
  <c r="O251" i="21"/>
  <c r="O249" i="21"/>
  <c r="O247" i="21"/>
  <c r="O245" i="21"/>
  <c r="O243" i="21"/>
  <c r="O241" i="21"/>
  <c r="O239" i="21"/>
  <c r="O237" i="21"/>
  <c r="O235" i="21"/>
  <c r="O233" i="21"/>
  <c r="O231" i="21"/>
  <c r="O229" i="21"/>
  <c r="O227" i="21"/>
  <c r="O225" i="21"/>
  <c r="O223" i="21"/>
  <c r="O221" i="21"/>
  <c r="O219" i="21"/>
  <c r="O217" i="21"/>
  <c r="O215" i="21"/>
  <c r="O213" i="21"/>
  <c r="O211" i="21"/>
  <c r="O209" i="21"/>
  <c r="O207" i="21"/>
  <c r="O205" i="21"/>
  <c r="O203" i="21"/>
  <c r="O201" i="21"/>
  <c r="O199" i="21"/>
  <c r="O197" i="21"/>
  <c r="O195" i="21"/>
  <c r="O193" i="21"/>
  <c r="O191" i="21"/>
  <c r="O189" i="21"/>
  <c r="O187" i="21"/>
  <c r="O185" i="21"/>
  <c r="O183" i="21"/>
  <c r="O181" i="21"/>
  <c r="O179" i="21"/>
  <c r="O177" i="21"/>
  <c r="O175" i="21"/>
  <c r="O173" i="21"/>
  <c r="O171" i="21"/>
  <c r="O169" i="21"/>
  <c r="O167" i="21"/>
  <c r="O165" i="21"/>
  <c r="O163" i="21"/>
  <c r="O161" i="21"/>
  <c r="O159" i="21"/>
  <c r="O157" i="21"/>
  <c r="O155" i="21"/>
  <c r="O153" i="21"/>
  <c r="O151" i="21"/>
  <c r="O149" i="21"/>
  <c r="O147" i="21"/>
  <c r="O145" i="21"/>
  <c r="O143" i="21"/>
  <c r="O141" i="21"/>
  <c r="O139" i="21"/>
  <c r="O137" i="21"/>
  <c r="O135" i="21"/>
  <c r="O133" i="21"/>
  <c r="O131" i="21"/>
  <c r="O129" i="21"/>
  <c r="O127" i="21"/>
  <c r="O125" i="21"/>
  <c r="O123" i="21"/>
  <c r="O121" i="21"/>
  <c r="O119" i="21"/>
  <c r="O117" i="21"/>
  <c r="O115" i="21"/>
  <c r="O113" i="21"/>
  <c r="O111" i="21"/>
  <c r="O109" i="21"/>
  <c r="O107" i="21"/>
  <c r="O105" i="21"/>
  <c r="O103" i="21"/>
  <c r="O101" i="21"/>
  <c r="O99" i="21"/>
  <c r="O97" i="21"/>
  <c r="O95" i="21"/>
  <c r="O93" i="21"/>
  <c r="O91" i="21"/>
  <c r="O89" i="21"/>
  <c r="O87" i="21"/>
  <c r="O85" i="21"/>
  <c r="O83" i="21"/>
  <c r="O81" i="21"/>
  <c r="O79" i="21"/>
  <c r="O77" i="21"/>
  <c r="O73" i="21"/>
  <c r="O72" i="21"/>
  <c r="O71" i="21"/>
  <c r="O70" i="21"/>
  <c r="O65" i="21"/>
  <c r="O64" i="21"/>
  <c r="O63" i="21"/>
  <c r="O62" i="21"/>
  <c r="O57" i="21"/>
  <c r="O56" i="21"/>
  <c r="O55"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B98" i="20" a="1"/>
  <c r="Q25" i="21" a="1"/>
  <c r="A14" i="23" a="1"/>
  <c r="K98" i="20" a="1"/>
  <c r="P2" i="24" a="1"/>
  <c r="B25" i="21" a="1"/>
  <c r="F25" i="18" l="1"/>
  <c r="F24" i="18"/>
  <c r="C25" i="21"/>
  <c r="C71" i="21"/>
  <c r="C55" i="21"/>
  <c r="C48" i="21"/>
  <c r="C40" i="21"/>
  <c r="C32" i="21"/>
  <c r="C76" i="21"/>
  <c r="C70" i="21"/>
  <c r="C66" i="21"/>
  <c r="C60" i="21"/>
  <c r="C53" i="21"/>
  <c r="C45" i="21"/>
  <c r="C37" i="21"/>
  <c r="C29" i="21"/>
  <c r="C41" i="21"/>
  <c r="C61" i="21"/>
  <c r="C75" i="21"/>
  <c r="C44" i="21"/>
  <c r="C54" i="21"/>
  <c r="C73" i="21"/>
  <c r="C33" i="21"/>
  <c r="C43" i="21"/>
  <c r="C56" i="21"/>
  <c r="C62" i="21"/>
  <c r="C69" i="21"/>
  <c r="C26" i="21"/>
  <c r="C36" i="21"/>
  <c r="C46" i="21"/>
  <c r="C57" i="21"/>
  <c r="C31" i="21"/>
  <c r="C51" i="21"/>
  <c r="C68" i="21"/>
  <c r="C34" i="21"/>
  <c r="C35" i="21"/>
  <c r="C47" i="21"/>
  <c r="C58" i="21"/>
  <c r="C64" i="21"/>
  <c r="C72" i="21"/>
  <c r="C28" i="21"/>
  <c r="C38" i="21"/>
  <c r="C50" i="21"/>
  <c r="C63" i="21"/>
  <c r="C27" i="21"/>
  <c r="C39" i="21"/>
  <c r="C49" i="21"/>
  <c r="C59" i="21"/>
  <c r="C67" i="21"/>
  <c r="C74" i="21"/>
  <c r="C30" i="21"/>
  <c r="C42" i="21"/>
  <c r="C52" i="21"/>
  <c r="C65" i="21"/>
  <c r="P19" i="20"/>
  <c r="O15" i="20"/>
  <c r="P15" i="20" s="1"/>
  <c r="O267" i="21"/>
  <c r="O275" i="21"/>
  <c r="O283" i="21"/>
  <c r="O291" i="21"/>
  <c r="O299" i="21"/>
  <c r="O307" i="21"/>
  <c r="O315" i="21"/>
  <c r="O323" i="21"/>
  <c r="O331" i="21"/>
  <c r="O339" i="21"/>
  <c r="O347" i="21"/>
  <c r="O355" i="21"/>
  <c r="O363" i="21"/>
  <c r="O371" i="21"/>
  <c r="O379" i="21"/>
  <c r="O387" i="21"/>
  <c r="O395" i="21"/>
  <c r="O403" i="21"/>
  <c r="O411" i="21"/>
  <c r="O419" i="21"/>
  <c r="O427" i="21"/>
  <c r="O435" i="21"/>
  <c r="O443" i="21"/>
  <c r="O451" i="21"/>
  <c r="O459" i="21"/>
  <c r="O467" i="21"/>
  <c r="O475" i="21"/>
  <c r="O483" i="21"/>
  <c r="O491" i="21"/>
  <c r="O522" i="21"/>
  <c r="O518" i="21"/>
  <c r="O514" i="21"/>
  <c r="O510" i="21"/>
  <c r="O506" i="21"/>
  <c r="O502" i="21"/>
  <c r="O498" i="21"/>
  <c r="O494" i="21"/>
  <c r="O486" i="21"/>
  <c r="O478" i="21"/>
  <c r="O470" i="21"/>
  <c r="O462" i="21"/>
  <c r="O454" i="21"/>
  <c r="O446" i="21"/>
  <c r="O438" i="21"/>
  <c r="O430" i="21"/>
  <c r="O422" i="21"/>
  <c r="O414" i="21"/>
  <c r="O406" i="21"/>
  <c r="O398" i="21"/>
  <c r="O390" i="21"/>
  <c r="O374" i="21"/>
  <c r="O358" i="21"/>
  <c r="O342" i="21"/>
  <c r="O326" i="21"/>
  <c r="O310" i="21"/>
  <c r="O294" i="21"/>
  <c r="O278" i="21"/>
  <c r="O262" i="21"/>
  <c r="O246" i="21"/>
  <c r="O230" i="21"/>
  <c r="O214" i="21"/>
  <c r="O198" i="21"/>
  <c r="O182" i="21"/>
  <c r="O166" i="21"/>
  <c r="O150" i="21"/>
  <c r="O134" i="21"/>
  <c r="O118" i="21"/>
  <c r="O102" i="21"/>
  <c r="O86" i="21"/>
  <c r="O69" i="21"/>
  <c r="O54" i="21"/>
  <c r="O524" i="21"/>
  <c r="O520" i="21"/>
  <c r="O516" i="21"/>
  <c r="O512" i="21"/>
  <c r="O508" i="21"/>
  <c r="O504" i="21"/>
  <c r="O500" i="21"/>
  <c r="O496" i="21"/>
  <c r="O490" i="21"/>
  <c r="O482" i="21"/>
  <c r="O474" i="21"/>
  <c r="O466" i="21"/>
  <c r="O458" i="21"/>
  <c r="O450" i="21"/>
  <c r="O442" i="21"/>
  <c r="O434" i="21"/>
  <c r="O426" i="21"/>
  <c r="O418" i="21"/>
  <c r="O410" i="21"/>
  <c r="O402" i="21"/>
  <c r="O394" i="21"/>
  <c r="O382" i="21"/>
  <c r="O366" i="21"/>
  <c r="O350" i="21"/>
  <c r="O334" i="21"/>
  <c r="O318" i="21"/>
  <c r="O302" i="21"/>
  <c r="O286" i="21"/>
  <c r="O270" i="21"/>
  <c r="O254" i="21"/>
  <c r="O238" i="21"/>
  <c r="O222" i="21"/>
  <c r="O206" i="21"/>
  <c r="O190" i="21"/>
  <c r="O174" i="21"/>
  <c r="O158" i="21"/>
  <c r="O142" i="21"/>
  <c r="O126" i="21"/>
  <c r="O110" i="21"/>
  <c r="O94" i="21"/>
  <c r="O78" i="21"/>
  <c r="O61" i="21"/>
  <c r="F15" i="20"/>
  <c r="G15" i="20" s="1"/>
  <c r="O388" i="21"/>
  <c r="O384" i="21"/>
  <c r="O380" i="21"/>
  <c r="O376" i="21"/>
  <c r="O372" i="21"/>
  <c r="O368" i="21"/>
  <c r="O364" i="21"/>
  <c r="O360" i="21"/>
  <c r="O356" i="21"/>
  <c r="O352" i="21"/>
  <c r="O348" i="21"/>
  <c r="O344" i="21"/>
  <c r="O340" i="21"/>
  <c r="O336" i="21"/>
  <c r="O332" i="21"/>
  <c r="O328" i="21"/>
  <c r="O324" i="21"/>
  <c r="O320" i="21"/>
  <c r="O316" i="21"/>
  <c r="O312" i="21"/>
  <c r="O308" i="21"/>
  <c r="O304" i="21"/>
  <c r="O300" i="21"/>
  <c r="O296" i="21"/>
  <c r="O292" i="21"/>
  <c r="O288" i="21"/>
  <c r="O284" i="21"/>
  <c r="O280" i="21"/>
  <c r="O276" i="21"/>
  <c r="O272" i="21"/>
  <c r="O268" i="21"/>
  <c r="O264" i="21"/>
  <c r="O260" i="21"/>
  <c r="O256" i="21"/>
  <c r="O252" i="21"/>
  <c r="O248" i="21"/>
  <c r="O244" i="21"/>
  <c r="O240" i="21"/>
  <c r="O236" i="21"/>
  <c r="O232" i="21"/>
  <c r="O228" i="21"/>
  <c r="O224" i="21"/>
  <c r="O220" i="21"/>
  <c r="O216" i="21"/>
  <c r="O212" i="21"/>
  <c r="O208" i="21"/>
  <c r="O204" i="21"/>
  <c r="O200" i="21"/>
  <c r="O196" i="21"/>
  <c r="O192" i="21"/>
  <c r="O188" i="21"/>
  <c r="O184" i="21"/>
  <c r="O180" i="21"/>
  <c r="O176" i="21"/>
  <c r="O172" i="21"/>
  <c r="O168" i="21"/>
  <c r="O164" i="21"/>
  <c r="O160" i="21"/>
  <c r="O156" i="21"/>
  <c r="O152" i="21"/>
  <c r="O148" i="21"/>
  <c r="O144" i="21"/>
  <c r="O140" i="21"/>
  <c r="O136" i="21"/>
  <c r="O132" i="21"/>
  <c r="O128" i="21"/>
  <c r="O124" i="21"/>
  <c r="O120" i="21"/>
  <c r="O116" i="21"/>
  <c r="O112" i="21"/>
  <c r="O108" i="21"/>
  <c r="O104" i="21"/>
  <c r="O100" i="21"/>
  <c r="O96" i="21"/>
  <c r="O92" i="21"/>
  <c r="O88" i="21"/>
  <c r="O84" i="21"/>
  <c r="O80" i="21"/>
  <c r="O76" i="21"/>
  <c r="O74" i="21"/>
  <c r="O68" i="21"/>
  <c r="O66" i="21"/>
  <c r="O60" i="21"/>
  <c r="O58" i="21"/>
  <c r="E17" i="12" s="1"/>
  <c r="B125" i="20"/>
  <c r="B112" i="20"/>
  <c r="B102" i="20"/>
  <c r="B129" i="20"/>
  <c r="B110" i="20"/>
  <c r="B124" i="20"/>
  <c r="B98" i="20"/>
  <c r="B101" i="20"/>
  <c r="B131" i="20"/>
  <c r="B106" i="20"/>
  <c r="B132" i="20"/>
  <c r="B130" i="20"/>
  <c r="B107" i="20"/>
  <c r="B109" i="20"/>
  <c r="B138" i="20"/>
  <c r="B143" i="20"/>
  <c r="B149" i="20"/>
  <c r="B99" i="20"/>
  <c r="B103" i="20"/>
  <c r="B141" i="20"/>
  <c r="B134" i="20"/>
  <c r="B123" i="20"/>
  <c r="B122" i="20"/>
  <c r="B104" i="20"/>
  <c r="B146" i="20"/>
  <c r="B121" i="20"/>
  <c r="B144" i="20"/>
  <c r="B127" i="20"/>
  <c r="B137" i="20"/>
  <c r="B133" i="20"/>
  <c r="B118" i="20"/>
  <c r="B142" i="20"/>
  <c r="B111" i="20"/>
  <c r="B148" i="20"/>
  <c r="B136" i="20"/>
  <c r="B108" i="20"/>
  <c r="B114" i="20"/>
  <c r="B117" i="20"/>
  <c r="B100" i="20"/>
  <c r="B115" i="20"/>
  <c r="B126" i="20"/>
  <c r="B120" i="20"/>
  <c r="B140" i="20"/>
  <c r="B139" i="20"/>
  <c r="B113" i="20"/>
  <c r="B105" i="20"/>
  <c r="B135" i="20"/>
  <c r="B116" i="20"/>
  <c r="B145" i="20"/>
  <c r="B147" i="20"/>
  <c r="B128" i="20"/>
  <c r="B119" i="20"/>
  <c r="P21" i="24"/>
  <c r="P26" i="24"/>
  <c r="P17" i="24"/>
  <c r="P2" i="24"/>
  <c r="P29" i="24"/>
  <c r="P41" i="24"/>
  <c r="P37" i="24"/>
  <c r="P12" i="24"/>
  <c r="P40" i="24"/>
  <c r="P15" i="24"/>
  <c r="P35" i="24"/>
  <c r="P23" i="24"/>
  <c r="P20" i="24"/>
  <c r="P51" i="24"/>
  <c r="P27" i="24"/>
  <c r="P16" i="24"/>
  <c r="P49" i="24"/>
  <c r="P11" i="24"/>
  <c r="P10" i="24"/>
  <c r="P36" i="24"/>
  <c r="P50" i="24"/>
  <c r="P42" i="24"/>
  <c r="P28" i="24"/>
  <c r="P8" i="24"/>
  <c r="P13" i="24"/>
  <c r="P32" i="24"/>
  <c r="P6" i="24"/>
  <c r="P5" i="24"/>
  <c r="P46" i="24"/>
  <c r="P24" i="24"/>
  <c r="P7" i="24"/>
  <c r="P39" i="24"/>
  <c r="P3" i="24"/>
  <c r="P4" i="24"/>
  <c r="P38" i="24"/>
  <c r="P52" i="24"/>
  <c r="P48" i="24"/>
  <c r="P45" i="24"/>
  <c r="P30" i="24"/>
  <c r="P33" i="24"/>
  <c r="P14" i="24"/>
  <c r="P43" i="24"/>
  <c r="P53" i="24"/>
  <c r="P9" i="24"/>
  <c r="P47" i="24"/>
  <c r="P19" i="24"/>
  <c r="P31" i="24"/>
  <c r="P34" i="24"/>
  <c r="P22" i="24"/>
  <c r="P18" i="24"/>
  <c r="P44" i="24"/>
  <c r="P25" i="24"/>
  <c r="B64" i="21"/>
  <c r="A64" i="21" s="1"/>
  <c r="B72" i="21"/>
  <c r="B31" i="21"/>
  <c r="B52" i="21"/>
  <c r="A52" i="21" s="1"/>
  <c r="B29" i="21"/>
  <c r="A29" i="21" s="1"/>
  <c r="B39" i="21"/>
  <c r="A39" i="21" s="1"/>
  <c r="B58" i="21"/>
  <c r="A58" i="21" s="1"/>
  <c r="B65" i="21"/>
  <c r="A65" i="21" s="1"/>
  <c r="B71" i="21"/>
  <c r="A71" i="21" s="1"/>
  <c r="B66" i="21"/>
  <c r="B47" i="21"/>
  <c r="A47" i="21" s="1"/>
  <c r="B40" i="21"/>
  <c r="A40" i="21" s="1"/>
  <c r="B26" i="21"/>
  <c r="A26" i="21" s="1"/>
  <c r="B56" i="21"/>
  <c r="A56" i="21" s="1"/>
  <c r="B54" i="21"/>
  <c r="A54" i="21" s="1"/>
  <c r="B46" i="21"/>
  <c r="A46" i="21" s="1"/>
  <c r="B34" i="21"/>
  <c r="A34" i="21" s="1"/>
  <c r="B37" i="21"/>
  <c r="B43" i="21"/>
  <c r="B74" i="21"/>
  <c r="A74" i="21" s="1"/>
  <c r="B61" i="21"/>
  <c r="A61" i="21" s="1"/>
  <c r="B76" i="21"/>
  <c r="A76" i="21" s="1"/>
  <c r="B25" i="21"/>
  <c r="B27" i="21"/>
  <c r="A27" i="21" s="1"/>
  <c r="B69" i="21"/>
  <c r="A69" i="21" s="1"/>
  <c r="B75" i="21"/>
  <c r="B48" i="21"/>
  <c r="A48" i="21" s="1"/>
  <c r="B38" i="21"/>
  <c r="A38" i="21" s="1"/>
  <c r="B68" i="21"/>
  <c r="A68" i="21" s="1"/>
  <c r="B44" i="21"/>
  <c r="B57" i="21"/>
  <c r="B60" i="21"/>
  <c r="B30" i="21"/>
  <c r="A30" i="21" s="1"/>
  <c r="B59" i="21"/>
  <c r="B42" i="21"/>
  <c r="B33" i="21"/>
  <c r="A33" i="21" s="1"/>
  <c r="B67" i="21"/>
  <c r="A67" i="21" s="1"/>
  <c r="B51" i="21"/>
  <c r="A51" i="21" s="1"/>
  <c r="B53" i="21"/>
  <c r="A53" i="21" s="1"/>
  <c r="B49" i="21"/>
  <c r="A49" i="21" s="1"/>
  <c r="B55" i="21"/>
  <c r="A55" i="21" s="1"/>
  <c r="B36" i="21"/>
  <c r="A36" i="21" s="1"/>
  <c r="B32" i="21"/>
  <c r="B50" i="21"/>
  <c r="A50" i="21" s="1"/>
  <c r="B62" i="21"/>
  <c r="A62" i="21" s="1"/>
  <c r="B73" i="21"/>
  <c r="A73" i="21" s="1"/>
  <c r="B28" i="21"/>
  <c r="A28" i="21" s="1"/>
  <c r="B45" i="21"/>
  <c r="A45" i="21" s="1"/>
  <c r="B41" i="21"/>
  <c r="A41" i="21" s="1"/>
  <c r="B35" i="21"/>
  <c r="B70" i="21"/>
  <c r="A70" i="21" s="1"/>
  <c r="B63" i="21"/>
  <c r="Q28" i="21"/>
  <c r="Q38" i="21"/>
  <c r="Q29" i="21"/>
  <c r="Q37" i="21"/>
  <c r="Q45" i="21"/>
  <c r="Q25" i="21"/>
  <c r="Q34" i="21"/>
  <c r="Q27" i="21"/>
  <c r="Q35" i="21"/>
  <c r="Q43" i="21"/>
  <c r="Q42" i="21"/>
  <c r="Q32" i="21"/>
  <c r="Q44" i="21"/>
  <c r="Q33" i="21"/>
  <c r="Q41" i="21"/>
  <c r="Q36" i="21"/>
  <c r="Q30" i="21"/>
  <c r="Q40" i="21"/>
  <c r="Q31" i="21"/>
  <c r="Q39" i="21"/>
  <c r="Q26" i="21"/>
  <c r="K125" i="20"/>
  <c r="K112" i="20"/>
  <c r="K102" i="20"/>
  <c r="K121" i="20"/>
  <c r="K143" i="20"/>
  <c r="K132" i="20"/>
  <c r="K138" i="20"/>
  <c r="K101" i="20"/>
  <c r="K131" i="20"/>
  <c r="K114" i="20"/>
  <c r="K124" i="20"/>
  <c r="K106" i="20"/>
  <c r="K123" i="20"/>
  <c r="K141" i="20"/>
  <c r="K128" i="20"/>
  <c r="K134" i="20"/>
  <c r="K122" i="20"/>
  <c r="K107" i="20"/>
  <c r="K113" i="20"/>
  <c r="K111" i="20"/>
  <c r="K117" i="20"/>
  <c r="K104" i="20"/>
  <c r="K127" i="20"/>
  <c r="K139" i="20"/>
  <c r="K129" i="20"/>
  <c r="K110" i="20"/>
  <c r="K144" i="20"/>
  <c r="K135" i="20"/>
  <c r="K145" i="20"/>
  <c r="K133" i="20"/>
  <c r="K118" i="20"/>
  <c r="K126" i="20"/>
  <c r="K98" i="20"/>
  <c r="K147" i="20"/>
  <c r="K140" i="20"/>
  <c r="K100" i="20"/>
  <c r="K136" i="20"/>
  <c r="K103" i="20"/>
  <c r="K116" i="20"/>
  <c r="K108" i="20"/>
  <c r="K120" i="20"/>
  <c r="K148" i="20"/>
  <c r="K146" i="20"/>
  <c r="K149" i="20"/>
  <c r="K130" i="20"/>
  <c r="K105" i="20"/>
  <c r="K115" i="20"/>
  <c r="K142" i="20"/>
  <c r="K137" i="20"/>
  <c r="K109" i="20"/>
  <c r="K119" i="20"/>
  <c r="K99" i="20"/>
  <c r="A38" i="23"/>
  <c r="A18" i="23"/>
  <c r="A27" i="23"/>
  <c r="A30" i="23"/>
  <c r="A37" i="23"/>
  <c r="A19" i="23"/>
  <c r="A35" i="23"/>
  <c r="A31" i="23"/>
  <c r="A34" i="23"/>
  <c r="A22" i="23"/>
  <c r="A36" i="23"/>
  <c r="A28" i="23"/>
  <c r="A20" i="23"/>
  <c r="A15" i="23"/>
  <c r="A24" i="23"/>
  <c r="A26" i="23"/>
  <c r="A17" i="23"/>
  <c r="A23" i="23"/>
  <c r="A29" i="23"/>
  <c r="A25" i="23"/>
  <c r="A21" i="23"/>
  <c r="A16" i="23"/>
  <c r="A32" i="23"/>
  <c r="A33" i="23"/>
  <c r="A39" i="23"/>
  <c r="A14" i="23"/>
  <c r="H20" i="18" l="1"/>
  <c r="A32" i="21"/>
  <c r="A42" i="21"/>
  <c r="A57" i="21"/>
  <c r="A43" i="21"/>
  <c r="A31" i="21"/>
  <c r="A63" i="21"/>
  <c r="A60" i="21"/>
  <c r="A35" i="21"/>
  <c r="A59" i="21"/>
  <c r="A44" i="21"/>
  <c r="A75" i="21"/>
  <c r="A37" i="21"/>
  <c r="A66" i="21"/>
  <c r="A72" i="21"/>
  <c r="A25" i="21"/>
  <c r="A53" i="19" s="1" a="1"/>
  <c r="K12" i="20"/>
  <c r="B12" i="20"/>
  <c r="K13" i="20"/>
  <c r="E29" i="12" s="1"/>
  <c r="B13" i="20"/>
  <c r="E28" i="12" s="1"/>
  <c r="E30" i="12" s="1"/>
  <c r="E20" i="12"/>
  <c r="A3" i="24" a="1"/>
  <c r="A9" i="19" a="1"/>
  <c r="E18" i="12"/>
  <c r="E19" i="12"/>
  <c r="P25" i="21" a="1"/>
  <c r="P39" i="21" s="1"/>
  <c r="C33" i="23"/>
  <c r="E33" i="23"/>
  <c r="D33" i="23"/>
  <c r="F33" i="23"/>
  <c r="F15" i="23"/>
  <c r="D28" i="23"/>
  <c r="C28" i="23"/>
  <c r="E28" i="23"/>
  <c r="D31" i="23"/>
  <c r="C31" i="23"/>
  <c r="E31" i="23"/>
  <c r="F31" i="23"/>
  <c r="E30" i="23"/>
  <c r="C30" i="23"/>
  <c r="D30" i="23"/>
  <c r="F30" i="23"/>
  <c r="F39" i="23"/>
  <c r="D39" i="23"/>
  <c r="E39" i="23"/>
  <c r="L39" i="23"/>
  <c r="J39" i="23"/>
  <c r="C39" i="23"/>
  <c r="C32" i="23"/>
  <c r="E32" i="23"/>
  <c r="F32" i="23"/>
  <c r="D32" i="23"/>
  <c r="C29" i="23"/>
  <c r="D29" i="23"/>
  <c r="F29" i="23"/>
  <c r="E29" i="23"/>
  <c r="L36" i="23"/>
  <c r="C36" i="23"/>
  <c r="E36" i="23"/>
  <c r="J36" i="23"/>
  <c r="D36" i="23"/>
  <c r="F36" i="23"/>
  <c r="E34" i="23"/>
  <c r="C34" i="23"/>
  <c r="D34" i="23"/>
  <c r="F34" i="23"/>
  <c r="L34" i="23"/>
  <c r="J34" i="23"/>
  <c r="J35" i="23"/>
  <c r="F35" i="23"/>
  <c r="E35" i="23"/>
  <c r="C35" i="23"/>
  <c r="L35" i="23"/>
  <c r="D35" i="23"/>
  <c r="L37" i="23"/>
  <c r="F37" i="23"/>
  <c r="C37" i="23"/>
  <c r="J37" i="23"/>
  <c r="E37" i="23"/>
  <c r="D37" i="23"/>
  <c r="D27" i="23"/>
  <c r="J38" i="23"/>
  <c r="D38" i="23"/>
  <c r="L38" i="23"/>
  <c r="E38" i="23"/>
  <c r="C38" i="23"/>
  <c r="F38" i="23"/>
  <c r="F19" i="18" l="1"/>
  <c r="F20" i="18"/>
  <c r="E22" i="12" s="1"/>
  <c r="A53" i="19"/>
  <c r="E53" i="19"/>
  <c r="I53" i="19"/>
  <c r="M53" i="19"/>
  <c r="Q53" i="19"/>
  <c r="U53" i="19"/>
  <c r="Y53" i="19"/>
  <c r="AC53" i="19"/>
  <c r="AG53" i="19"/>
  <c r="AK53" i="19"/>
  <c r="AO53" i="19"/>
  <c r="AS53" i="19"/>
  <c r="AW53" i="19"/>
  <c r="AZ53" i="19"/>
  <c r="B53" i="19"/>
  <c r="F53" i="19"/>
  <c r="J53" i="19"/>
  <c r="N53" i="19"/>
  <c r="R53" i="19"/>
  <c r="V53" i="19"/>
  <c r="Z53" i="19"/>
  <c r="AD53" i="19"/>
  <c r="AH53" i="19"/>
  <c r="AL53" i="19"/>
  <c r="AP53" i="19"/>
  <c r="AT53" i="19"/>
  <c r="AX53" i="19"/>
  <c r="C53" i="19"/>
  <c r="G53" i="19"/>
  <c r="K53" i="19"/>
  <c r="O53" i="19"/>
  <c r="S53" i="19"/>
  <c r="W53" i="19"/>
  <c r="AA53" i="19"/>
  <c r="AE53" i="19"/>
  <c r="AI53" i="19"/>
  <c r="AM53" i="19"/>
  <c r="AQ53" i="19"/>
  <c r="AU53" i="19"/>
  <c r="AY53" i="19"/>
  <c r="D53" i="19"/>
  <c r="H53" i="19"/>
  <c r="L53" i="19"/>
  <c r="P53" i="19"/>
  <c r="T53" i="19"/>
  <c r="X53" i="19"/>
  <c r="AB53" i="19"/>
  <c r="AF53" i="19"/>
  <c r="AJ53" i="19"/>
  <c r="AN53" i="19"/>
  <c r="AR53" i="19"/>
  <c r="AV53" i="19"/>
  <c r="A4" i="19" a="1"/>
  <c r="P4" i="19" s="1"/>
  <c r="F80" i="21"/>
  <c r="F79" i="21"/>
  <c r="H79" i="21" s="1"/>
  <c r="F77" i="21"/>
  <c r="H77" i="21" s="1"/>
  <c r="F78" i="21"/>
  <c r="F82" i="21" s="1"/>
  <c r="H52" i="24"/>
  <c r="D96" i="20"/>
  <c r="H49" i="24"/>
  <c r="H53" i="24"/>
  <c r="G2" i="24"/>
  <c r="G3" i="24" s="1"/>
  <c r="G4" i="24" s="1"/>
  <c r="G5" i="24" s="1"/>
  <c r="G6" i="24" s="1"/>
  <c r="G7" i="24" s="1"/>
  <c r="G8" i="24" s="1"/>
  <c r="G9" i="24" s="1"/>
  <c r="G10" i="24" s="1"/>
  <c r="G11" i="24" s="1"/>
  <c r="G12" i="24" s="1"/>
  <c r="G13" i="24" s="1"/>
  <c r="G14" i="24" s="1"/>
  <c r="G15" i="24" s="1"/>
  <c r="G16" i="24" s="1"/>
  <c r="G17" i="24" s="1"/>
  <c r="G18" i="24" s="1"/>
  <c r="G19" i="24" s="1"/>
  <c r="G20" i="24" s="1"/>
  <c r="G21" i="24" s="1"/>
  <c r="G22" i="24" s="1"/>
  <c r="G23" i="24" s="1"/>
  <c r="G24" i="24" s="1"/>
  <c r="G25" i="24" s="1"/>
  <c r="G26" i="24" s="1"/>
  <c r="G27" i="24" s="1"/>
  <c r="G28" i="24" s="1"/>
  <c r="G29" i="24" s="1"/>
  <c r="G30" i="24" s="1"/>
  <c r="G31" i="24" s="1"/>
  <c r="H23" i="24" s="1"/>
  <c r="L98" i="20" a="1"/>
  <c r="L103" i="20" s="1"/>
  <c r="H51" i="24"/>
  <c r="H50" i="24"/>
  <c r="H47" i="24"/>
  <c r="L2" i="24" a="1"/>
  <c r="L27" i="24" s="1"/>
  <c r="C98" i="20" a="1"/>
  <c r="C139" i="20" s="1"/>
  <c r="E39" i="12"/>
  <c r="H46" i="24"/>
  <c r="F39" i="12"/>
  <c r="E40" i="12"/>
  <c r="H48" i="24"/>
  <c r="D15" i="18"/>
  <c r="B14" i="18" s="1"/>
  <c r="F40" i="12"/>
  <c r="M96" i="20"/>
  <c r="A49" i="24"/>
  <c r="A35" i="24"/>
  <c r="A36" i="24"/>
  <c r="A28" i="24"/>
  <c r="A42" i="24"/>
  <c r="A22" i="24"/>
  <c r="A18" i="24"/>
  <c r="A23" i="24"/>
  <c r="A3" i="24"/>
  <c r="A13" i="24"/>
  <c r="A11" i="24"/>
  <c r="A46" i="24"/>
  <c r="A5" i="24"/>
  <c r="A51" i="24"/>
  <c r="A25" i="24"/>
  <c r="A4" i="24"/>
  <c r="A52" i="24"/>
  <c r="A44" i="24"/>
  <c r="A50" i="24"/>
  <c r="A19" i="24"/>
  <c r="A12" i="24"/>
  <c r="A8" i="24"/>
  <c r="A7" i="24"/>
  <c r="A53" i="24"/>
  <c r="A33" i="24"/>
  <c r="A43" i="24"/>
  <c r="A47" i="24"/>
  <c r="A29" i="24"/>
  <c r="A30" i="24"/>
  <c r="A41" i="24"/>
  <c r="A48" i="24"/>
  <c r="A38" i="24"/>
  <c r="A26" i="24"/>
  <c r="A37" i="24"/>
  <c r="A39" i="24"/>
  <c r="A21" i="24"/>
  <c r="A31" i="24"/>
  <c r="A40" i="24"/>
  <c r="A10" i="24"/>
  <c r="A34" i="24"/>
  <c r="A15" i="24"/>
  <c r="A27" i="24"/>
  <c r="A20" i="24"/>
  <c r="A24" i="24"/>
  <c r="A14" i="24"/>
  <c r="A9" i="24"/>
  <c r="A32" i="24"/>
  <c r="A6" i="24"/>
  <c r="A45" i="24"/>
  <c r="A9" i="19"/>
  <c r="L9" i="19"/>
  <c r="AB9" i="19"/>
  <c r="AR9" i="19"/>
  <c r="P9" i="19"/>
  <c r="AF9" i="19"/>
  <c r="AV9" i="19"/>
  <c r="D9" i="19"/>
  <c r="T9" i="19"/>
  <c r="AJ9" i="19"/>
  <c r="AZ9" i="19"/>
  <c r="H9" i="19"/>
  <c r="X9" i="19"/>
  <c r="AN9" i="19"/>
  <c r="AQ9" i="19"/>
  <c r="AA9" i="19"/>
  <c r="K9" i="19"/>
  <c r="AT9" i="19"/>
  <c r="AD9" i="19"/>
  <c r="N9" i="19"/>
  <c r="AW9" i="19"/>
  <c r="AG9" i="19"/>
  <c r="Q9" i="19"/>
  <c r="AY9" i="19"/>
  <c r="S9" i="19"/>
  <c r="AL9" i="19"/>
  <c r="F9" i="19"/>
  <c r="Y9" i="19"/>
  <c r="AU9" i="19"/>
  <c r="O9" i="19"/>
  <c r="AH9" i="19"/>
  <c r="AK9" i="19"/>
  <c r="E9" i="19"/>
  <c r="AM9" i="19"/>
  <c r="W9" i="19"/>
  <c r="G9" i="19"/>
  <c r="AP9" i="19"/>
  <c r="Z9" i="19"/>
  <c r="J9" i="19"/>
  <c r="AS9" i="19"/>
  <c r="AC9" i="19"/>
  <c r="M9" i="19"/>
  <c r="AI9" i="19"/>
  <c r="C9" i="19"/>
  <c r="V9" i="19"/>
  <c r="AO9" i="19"/>
  <c r="I9" i="19"/>
  <c r="AE9" i="19"/>
  <c r="AX9" i="19"/>
  <c r="R9" i="19"/>
  <c r="B9" i="19"/>
  <c r="U9" i="19"/>
  <c r="A16" i="24"/>
  <c r="A17" i="24"/>
  <c r="E27" i="23"/>
  <c r="C27" i="23"/>
  <c r="F28" i="23"/>
  <c r="H28" i="23" s="1"/>
  <c r="D25" i="23"/>
  <c r="F24" i="23"/>
  <c r="E26" i="23"/>
  <c r="E24" i="23"/>
  <c r="F22" i="23"/>
  <c r="C26" i="23"/>
  <c r="D20" i="23"/>
  <c r="F17" i="23"/>
  <c r="F18" i="23"/>
  <c r="F19" i="23"/>
  <c r="F23" i="23"/>
  <c r="F27" i="23"/>
  <c r="C20" i="23"/>
  <c r="D21" i="23"/>
  <c r="D18" i="23"/>
  <c r="C23" i="23"/>
  <c r="C16" i="23"/>
  <c r="F25" i="23"/>
  <c r="D23" i="23"/>
  <c r="D26" i="23"/>
  <c r="E22" i="23"/>
  <c r="E19" i="23"/>
  <c r="E18" i="23"/>
  <c r="C21" i="23"/>
  <c r="D17" i="23"/>
  <c r="D24" i="23"/>
  <c r="F20" i="23"/>
  <c r="E20" i="23"/>
  <c r="C17" i="23"/>
  <c r="E21" i="23"/>
  <c r="C18" i="23"/>
  <c r="C19" i="23"/>
  <c r="D22" i="23"/>
  <c r="F26" i="23"/>
  <c r="E25" i="23"/>
  <c r="D16" i="23"/>
  <c r="C24" i="23"/>
  <c r="E17" i="23"/>
  <c r="F21" i="23"/>
  <c r="D19" i="23"/>
  <c r="C22" i="23"/>
  <c r="E23" i="23"/>
  <c r="C25" i="23"/>
  <c r="E16" i="23"/>
  <c r="P42" i="21"/>
  <c r="P29" i="21"/>
  <c r="P31" i="21"/>
  <c r="P34" i="21"/>
  <c r="P41" i="21"/>
  <c r="P38" i="21"/>
  <c r="P28" i="21"/>
  <c r="P45" i="21"/>
  <c r="P35" i="21"/>
  <c r="P44" i="21"/>
  <c r="P30" i="21"/>
  <c r="P26" i="21"/>
  <c r="P37" i="21"/>
  <c r="P25" i="21"/>
  <c r="P43" i="21"/>
  <c r="P33" i="21"/>
  <c r="P40" i="21"/>
  <c r="P27" i="21"/>
  <c r="P32" i="21"/>
  <c r="P36" i="21"/>
  <c r="H38" i="23"/>
  <c r="H35" i="23"/>
  <c r="H34" i="23"/>
  <c r="H36" i="23"/>
  <c r="H39" i="23"/>
  <c r="H33" i="23"/>
  <c r="H37" i="23"/>
  <c r="H29" i="23"/>
  <c r="H32" i="23"/>
  <c r="H30" i="23"/>
  <c r="H31" i="23"/>
  <c r="AQ4" i="19" l="1"/>
  <c r="K4" i="19"/>
  <c r="AH4" i="19"/>
  <c r="J4" i="19"/>
  <c r="AC4" i="19"/>
  <c r="A4" i="19"/>
  <c r="AB4" i="19"/>
  <c r="AA4" i="19"/>
  <c r="AX4" i="19"/>
  <c r="R4" i="19"/>
  <c r="AS4" i="19"/>
  <c r="Q4" i="19"/>
  <c r="AN4" i="19"/>
  <c r="L4" i="19"/>
  <c r="AE4" i="19"/>
  <c r="G4" i="19"/>
  <c r="AD4" i="19"/>
  <c r="AW4" i="19"/>
  <c r="U4" i="19"/>
  <c r="AZ4" i="19"/>
  <c r="T4" i="19"/>
  <c r="AU4" i="19"/>
  <c r="W4" i="19"/>
  <c r="AP4" i="19"/>
  <c r="N4" i="19"/>
  <c r="AK4" i="19"/>
  <c r="E4" i="19"/>
  <c r="AJ4" i="19"/>
  <c r="H4" i="19"/>
  <c r="AM4" i="19"/>
  <c r="O4" i="19"/>
  <c r="AT4" i="19"/>
  <c r="Z4" i="19"/>
  <c r="B4" i="19"/>
  <c r="AG4" i="19"/>
  <c r="M4" i="19"/>
  <c r="AR4" i="19"/>
  <c r="X4" i="19"/>
  <c r="D4" i="19"/>
  <c r="AY4" i="19"/>
  <c r="AI4" i="19"/>
  <c r="S4" i="19"/>
  <c r="C4" i="19"/>
  <c r="AL4" i="19"/>
  <c r="V4" i="19"/>
  <c r="F4" i="19"/>
  <c r="AO4" i="19"/>
  <c r="Y4" i="19"/>
  <c r="I4" i="19"/>
  <c r="AV4" i="19"/>
  <c r="AF4" i="19"/>
  <c r="F81" i="21"/>
  <c r="H81" i="21" s="1"/>
  <c r="L105" i="20"/>
  <c r="L118" i="20"/>
  <c r="L134" i="20"/>
  <c r="C140" i="20"/>
  <c r="E36" i="12"/>
  <c r="L123" i="20"/>
  <c r="C113" i="20"/>
  <c r="C144" i="20"/>
  <c r="C131" i="20"/>
  <c r="C133" i="20"/>
  <c r="C117" i="20"/>
  <c r="L4" i="24"/>
  <c r="L33" i="24"/>
  <c r="L15" i="24"/>
  <c r="L46" i="24"/>
  <c r="L24" i="24"/>
  <c r="L42" i="24"/>
  <c r="L32" i="24"/>
  <c r="L20" i="24"/>
  <c r="L21" i="24"/>
  <c r="L3" i="24"/>
  <c r="L34" i="24"/>
  <c r="L28" i="24"/>
  <c r="L2" i="24"/>
  <c r="L14" i="24"/>
  <c r="L18" i="24"/>
  <c r="L49" i="24"/>
  <c r="L38" i="24"/>
  <c r="L6" i="24"/>
  <c r="L48" i="24"/>
  <c r="L43" i="24"/>
  <c r="L7" i="24"/>
  <c r="L25" i="24"/>
  <c r="L5" i="24"/>
  <c r="L53" i="24"/>
  <c r="L19" i="24"/>
  <c r="L40" i="24"/>
  <c r="L52" i="24"/>
  <c r="L16" i="24"/>
  <c r="L51" i="24"/>
  <c r="L22" i="24"/>
  <c r="L26" i="24"/>
  <c r="L35" i="24"/>
  <c r="L9" i="24"/>
  <c r="L23" i="24"/>
  <c r="L12" i="24"/>
  <c r="L41" i="24"/>
  <c r="L50" i="24"/>
  <c r="L13" i="24"/>
  <c r="L8" i="24"/>
  <c r="C145" i="20"/>
  <c r="C127" i="20"/>
  <c r="C141" i="20"/>
  <c r="L10" i="24"/>
  <c r="L30" i="24"/>
  <c r="L37" i="24"/>
  <c r="L31" i="24"/>
  <c r="L17" i="24"/>
  <c r="L45" i="24"/>
  <c r="L36" i="24"/>
  <c r="L44" i="24"/>
  <c r="L47" i="24"/>
  <c r="L11" i="24"/>
  <c r="L29" i="24"/>
  <c r="L39" i="24"/>
  <c r="C132" i="20"/>
  <c r="C137" i="20"/>
  <c r="L149" i="20"/>
  <c r="L131" i="20"/>
  <c r="L102" i="20"/>
  <c r="L108" i="20"/>
  <c r="L109" i="20"/>
  <c r="L104" i="20"/>
  <c r="L142" i="20"/>
  <c r="L141" i="20"/>
  <c r="L117" i="20"/>
  <c r="C116" i="20"/>
  <c r="C110" i="20"/>
  <c r="C109" i="20"/>
  <c r="C146" i="20"/>
  <c r="C98" i="20"/>
  <c r="C104" i="20"/>
  <c r="C123" i="20"/>
  <c r="C135" i="20"/>
  <c r="C99" i="20"/>
  <c r="C107" i="20"/>
  <c r="C114" i="20"/>
  <c r="C125" i="20"/>
  <c r="C147" i="20"/>
  <c r="C100" i="20"/>
  <c r="C112" i="20"/>
  <c r="B15" i="18"/>
  <c r="B21" i="21" s="1"/>
  <c r="L129" i="20"/>
  <c r="L122" i="20"/>
  <c r="L148" i="20"/>
  <c r="L136" i="20"/>
  <c r="L100" i="20"/>
  <c r="L127" i="20"/>
  <c r="L139" i="20"/>
  <c r="L140" i="20"/>
  <c r="L138" i="20"/>
  <c r="L121" i="20"/>
  <c r="L113" i="20"/>
  <c r="L130" i="20"/>
  <c r="L114" i="20"/>
  <c r="L125" i="20"/>
  <c r="L124" i="20"/>
  <c r="L128" i="20"/>
  <c r="L110" i="20"/>
  <c r="L120" i="20"/>
  <c r="L111" i="20"/>
  <c r="L99" i="20"/>
  <c r="L126" i="20"/>
  <c r="L107" i="20"/>
  <c r="L115" i="20"/>
  <c r="L101" i="20"/>
  <c r="L144" i="20"/>
  <c r="L116" i="20"/>
  <c r="L135" i="20"/>
  <c r="L112" i="20"/>
  <c r="L119" i="20"/>
  <c r="L98" i="20"/>
  <c r="L145" i="20"/>
  <c r="L137" i="20"/>
  <c r="L133" i="20"/>
  <c r="L132" i="20"/>
  <c r="L147" i="20"/>
  <c r="L146" i="20"/>
  <c r="L106" i="20"/>
  <c r="L143" i="20"/>
  <c r="C102" i="20"/>
  <c r="C143" i="20"/>
  <c r="C103" i="20"/>
  <c r="C115" i="20"/>
  <c r="C106" i="20"/>
  <c r="C148" i="20"/>
  <c r="C122" i="20"/>
  <c r="C126" i="20"/>
  <c r="C130" i="20"/>
  <c r="C118" i="20"/>
  <c r="C119" i="20"/>
  <c r="C101" i="20"/>
  <c r="C128" i="20"/>
  <c r="C138" i="20"/>
  <c r="C124" i="20"/>
  <c r="C121" i="20"/>
  <c r="C149" i="20"/>
  <c r="C142" i="20"/>
  <c r="C129" i="20"/>
  <c r="C134" i="20"/>
  <c r="C111" i="20"/>
  <c r="H3" i="24"/>
  <c r="H5" i="24"/>
  <c r="H4" i="24"/>
  <c r="H8" i="24"/>
  <c r="H6" i="24"/>
  <c r="H19" i="24"/>
  <c r="H10" i="24"/>
  <c r="H13" i="24"/>
  <c r="H12" i="24"/>
  <c r="H16" i="24"/>
  <c r="H14" i="24"/>
  <c r="H22" i="24"/>
  <c r="H18" i="24"/>
  <c r="H7" i="24"/>
  <c r="H2" i="24"/>
  <c r="H17" i="24"/>
  <c r="H9" i="24"/>
  <c r="H21" i="24"/>
  <c r="G32" i="24"/>
  <c r="G33" i="24" s="1"/>
  <c r="G34" i="24" s="1"/>
  <c r="G35" i="24" s="1"/>
  <c r="G36" i="24" s="1"/>
  <c r="G37" i="24" s="1"/>
  <c r="G38" i="24" s="1"/>
  <c r="G39" i="24" s="1"/>
  <c r="H31" i="24" s="1"/>
  <c r="H20" i="24"/>
  <c r="H11" i="24"/>
  <c r="H15" i="24"/>
  <c r="C108" i="20"/>
  <c r="C136" i="20"/>
  <c r="C105" i="20"/>
  <c r="C120" i="20"/>
  <c r="E39" i="24"/>
  <c r="E42" i="24"/>
  <c r="C53" i="24"/>
  <c r="D53" i="24" s="1"/>
  <c r="E44" i="24"/>
  <c r="B37" i="24"/>
  <c r="C40" i="24"/>
  <c r="C46" i="24"/>
  <c r="C48" i="24"/>
  <c r="E41" i="24"/>
  <c r="C44" i="24"/>
  <c r="B38" i="24"/>
  <c r="B42" i="24"/>
  <c r="B51" i="24"/>
  <c r="E40" i="24"/>
  <c r="B43" i="24"/>
  <c r="E52" i="24"/>
  <c r="E53" i="24"/>
  <c r="F53" i="24" s="1"/>
  <c r="B50" i="24"/>
  <c r="B47" i="24"/>
  <c r="E48" i="24"/>
  <c r="E43" i="24"/>
  <c r="B49" i="24"/>
  <c r="B44" i="24"/>
  <c r="C38" i="24"/>
  <c r="B46" i="24"/>
  <c r="B52" i="24"/>
  <c r="E50" i="24"/>
  <c r="E51" i="24"/>
  <c r="C50" i="24"/>
  <c r="E46" i="24"/>
  <c r="C49" i="24"/>
  <c r="E47" i="24"/>
  <c r="E38" i="24"/>
  <c r="C45" i="24"/>
  <c r="C47" i="24"/>
  <c r="E37" i="24"/>
  <c r="B41" i="24"/>
  <c r="B48" i="24"/>
  <c r="C51" i="24"/>
  <c r="C37" i="24"/>
  <c r="C39" i="24"/>
  <c r="C43" i="24"/>
  <c r="C42" i="24"/>
  <c r="B53" i="24"/>
  <c r="B40" i="24"/>
  <c r="C41" i="24"/>
  <c r="C52" i="24"/>
  <c r="E49" i="24"/>
  <c r="E45" i="24"/>
  <c r="B45" i="24"/>
  <c r="B39" i="24"/>
  <c r="H27" i="23"/>
  <c r="H24" i="23"/>
  <c r="H26" i="23"/>
  <c r="H23" i="23"/>
  <c r="H25" i="23"/>
  <c r="H17" i="23"/>
  <c r="H20" i="23"/>
  <c r="H19" i="23"/>
  <c r="H22" i="23"/>
  <c r="H18" i="23"/>
  <c r="H21" i="23"/>
  <c r="R25" i="21" a="1"/>
  <c r="D9" i="23" l="1"/>
  <c r="A8" i="19" a="1"/>
  <c r="AX8" i="19" s="1"/>
  <c r="D43" i="24"/>
  <c r="B14" i="23"/>
  <c r="J14" i="23" s="1"/>
  <c r="L14" i="23" s="1"/>
  <c r="E10" i="12"/>
  <c r="E15" i="23"/>
  <c r="E40" i="23" s="1"/>
  <c r="D10" i="23"/>
  <c r="D15" i="23"/>
  <c r="D40" i="23" s="1"/>
  <c r="E14" i="12"/>
  <c r="F37" i="12"/>
  <c r="D8" i="23"/>
  <c r="E11" i="12"/>
  <c r="F14" i="18"/>
  <c r="A7" i="19" a="1"/>
  <c r="AK7" i="19" s="1"/>
  <c r="E37" i="12"/>
  <c r="E31" i="12" s="1"/>
  <c r="E38" i="12"/>
  <c r="E8" i="12"/>
  <c r="A54" i="19" a="1"/>
  <c r="AQ54" i="19" s="1"/>
  <c r="F16" i="23"/>
  <c r="F51" i="24"/>
  <c r="E13" i="12"/>
  <c r="E12" i="12"/>
  <c r="C15" i="23"/>
  <c r="C40" i="23" s="1"/>
  <c r="E9" i="12"/>
  <c r="H26" i="24"/>
  <c r="H25" i="24"/>
  <c r="D42" i="24"/>
  <c r="F38" i="24"/>
  <c r="D47" i="24"/>
  <c r="H28" i="24"/>
  <c r="G40" i="24"/>
  <c r="H32" i="24" s="1"/>
  <c r="H30" i="24"/>
  <c r="H27" i="24"/>
  <c r="H24" i="24"/>
  <c r="H29" i="24"/>
  <c r="F50" i="24"/>
  <c r="F45" i="24"/>
  <c r="D52" i="24"/>
  <c r="F49" i="24"/>
  <c r="D37" i="24"/>
  <c r="F37" i="24"/>
  <c r="F47" i="24"/>
  <c r="D38" i="24"/>
  <c r="F48" i="24"/>
  <c r="F52" i="24"/>
  <c r="D48" i="24"/>
  <c r="F44" i="24"/>
  <c r="D51" i="24"/>
  <c r="D49" i="24"/>
  <c r="D46" i="24"/>
  <c r="D41" i="24"/>
  <c r="D45" i="24"/>
  <c r="F46" i="24"/>
  <c r="F40" i="24"/>
  <c r="D44" i="24"/>
  <c r="D40" i="24"/>
  <c r="F42" i="24"/>
  <c r="D39" i="24"/>
  <c r="D50" i="24"/>
  <c r="F43" i="24"/>
  <c r="F41" i="24"/>
  <c r="F39" i="24"/>
  <c r="G41" i="24"/>
  <c r="G42" i="24" s="1"/>
  <c r="E71" i="12"/>
  <c r="R36" i="21"/>
  <c r="R30" i="21"/>
  <c r="R39" i="21"/>
  <c r="R41" i="21"/>
  <c r="R44" i="21"/>
  <c r="R25" i="21"/>
  <c r="R29" i="21"/>
  <c r="R38" i="21"/>
  <c r="R27" i="21"/>
  <c r="R43" i="21"/>
  <c r="R32" i="21"/>
  <c r="R34" i="21"/>
  <c r="R40" i="21"/>
  <c r="R42" i="21"/>
  <c r="R28" i="21"/>
  <c r="R45" i="21"/>
  <c r="R37" i="21"/>
  <c r="R35" i="21"/>
  <c r="R31" i="21"/>
  <c r="R33" i="21"/>
  <c r="R26" i="21"/>
  <c r="AT8" i="19" l="1"/>
  <c r="J8" i="19"/>
  <c r="I8" i="19"/>
  <c r="C8" i="19"/>
  <c r="AS8" i="19"/>
  <c r="AF8" i="19"/>
  <c r="AU8" i="19"/>
  <c r="AC8" i="19"/>
  <c r="O8" i="19"/>
  <c r="AD8" i="19"/>
  <c r="Q8" i="19"/>
  <c r="AL8" i="19"/>
  <c r="P8" i="19"/>
  <c r="F8" i="19"/>
  <c r="W8" i="19"/>
  <c r="AP8" i="19"/>
  <c r="U8" i="19"/>
  <c r="AA8" i="19"/>
  <c r="S8" i="19"/>
  <c r="AE8" i="19"/>
  <c r="B8" i="19"/>
  <c r="Z8" i="19"/>
  <c r="E8" i="19"/>
  <c r="K8" i="19"/>
  <c r="Y8" i="19"/>
  <c r="T8" i="19"/>
  <c r="AG8" i="19"/>
  <c r="V8" i="19"/>
  <c r="G8" i="19"/>
  <c r="AB8" i="19"/>
  <c r="AK8" i="19"/>
  <c r="AN8" i="19"/>
  <c r="AI8" i="19"/>
  <c r="AY8" i="19"/>
  <c r="H8" i="19"/>
  <c r="AH8" i="19"/>
  <c r="AZ8" i="19"/>
  <c r="AJ8" i="19"/>
  <c r="R8" i="19"/>
  <c r="AO8" i="19"/>
  <c r="D8" i="19"/>
  <c r="L8" i="19"/>
  <c r="M8" i="19"/>
  <c r="X8" i="19"/>
  <c r="AM8" i="19"/>
  <c r="AW8" i="19"/>
  <c r="AQ8" i="19"/>
  <c r="AV8" i="19"/>
  <c r="N8" i="19"/>
  <c r="A8" i="19"/>
  <c r="AR8" i="19"/>
  <c r="AC7" i="19"/>
  <c r="Y7" i="19"/>
  <c r="K7" i="19"/>
  <c r="M7" i="19"/>
  <c r="AW7" i="19"/>
  <c r="A7" i="19"/>
  <c r="T7" i="19"/>
  <c r="N7" i="19"/>
  <c r="W7" i="19"/>
  <c r="S7" i="19"/>
  <c r="AA7" i="19"/>
  <c r="F7" i="19"/>
  <c r="AJ7" i="19"/>
  <c r="Z7" i="19"/>
  <c r="AT7" i="19"/>
  <c r="V7" i="19"/>
  <c r="X7" i="19"/>
  <c r="AG7" i="19"/>
  <c r="AZ7" i="19"/>
  <c r="AM7" i="19"/>
  <c r="AD7" i="19"/>
  <c r="AU7" i="19"/>
  <c r="AL7" i="19"/>
  <c r="AH7" i="19"/>
  <c r="E7" i="19"/>
  <c r="AX7" i="19"/>
  <c r="H7" i="19"/>
  <c r="U7" i="19"/>
  <c r="AN7" i="19"/>
  <c r="AB7" i="19"/>
  <c r="AY7" i="19"/>
  <c r="P7" i="19"/>
  <c r="AR7" i="19"/>
  <c r="L7" i="19"/>
  <c r="AF7" i="19"/>
  <c r="AP7" i="19"/>
  <c r="Q7" i="19"/>
  <c r="D7" i="19"/>
  <c r="AE7" i="19"/>
  <c r="C7" i="19"/>
  <c r="AQ7" i="19"/>
  <c r="O7" i="19"/>
  <c r="AO7" i="19"/>
  <c r="AS7" i="19"/>
  <c r="AI7" i="19"/>
  <c r="G7" i="19"/>
  <c r="B7" i="19"/>
  <c r="I7" i="19"/>
  <c r="R7" i="19"/>
  <c r="J7" i="19"/>
  <c r="AV7" i="19"/>
  <c r="AO54" i="19"/>
  <c r="AE54" i="19"/>
  <c r="M54" i="19"/>
  <c r="O54" i="19"/>
  <c r="AS54" i="19"/>
  <c r="AW54" i="19"/>
  <c r="AN54" i="19"/>
  <c r="AJ54" i="19"/>
  <c r="T54" i="19"/>
  <c r="A54" i="19"/>
  <c r="Q54" i="19"/>
  <c r="AH54" i="19"/>
  <c r="V54" i="19"/>
  <c r="F40" i="23"/>
  <c r="H16" i="23"/>
  <c r="AG54" i="19"/>
  <c r="I54" i="19"/>
  <c r="X54" i="19"/>
  <c r="AV54" i="19"/>
  <c r="C54" i="19"/>
  <c r="AB54" i="19"/>
  <c r="H54" i="19"/>
  <c r="U54" i="19"/>
  <c r="E54" i="19"/>
  <c r="G54" i="19"/>
  <c r="AP54" i="19"/>
  <c r="AL54" i="19"/>
  <c r="P54" i="19"/>
  <c r="AM54" i="19"/>
  <c r="Z54" i="19"/>
  <c r="L54" i="19"/>
  <c r="B54" i="19"/>
  <c r="AD54" i="19"/>
  <c r="AZ54" i="19"/>
  <c r="AX54" i="19"/>
  <c r="AR54" i="19"/>
  <c r="AA54" i="19"/>
  <c r="K54" i="19"/>
  <c r="AC54" i="19"/>
  <c r="J54" i="19"/>
  <c r="Y54" i="19"/>
  <c r="R54" i="19"/>
  <c r="N54" i="19"/>
  <c r="AF54" i="19"/>
  <c r="AU54" i="19"/>
  <c r="AY54" i="19"/>
  <c r="AI54" i="19"/>
  <c r="W54" i="19"/>
  <c r="D54" i="19"/>
  <c r="AK54" i="19"/>
  <c r="S54" i="19"/>
  <c r="F54" i="19"/>
  <c r="AT54" i="19"/>
  <c r="H15" i="23"/>
  <c r="H33" i="24"/>
  <c r="G43" i="24"/>
  <c r="H34" i="24"/>
  <c r="J15" i="23" l="1"/>
  <c r="E70" i="12"/>
  <c r="H40" i="23"/>
  <c r="G44" i="24"/>
  <c r="H35" i="24"/>
  <c r="J16" i="23" l="1"/>
  <c r="J17" i="23" s="1"/>
  <c r="J18" i="23" s="1"/>
  <c r="J19" i="23" s="1"/>
  <c r="J20" i="23" s="1"/>
  <c r="J21" i="23" s="1"/>
  <c r="J22" i="23" s="1"/>
  <c r="J23" i="23" s="1"/>
  <c r="J24" i="23" s="1"/>
  <c r="J25" i="23" s="1"/>
  <c r="J26" i="23" s="1"/>
  <c r="J27" i="23" s="1"/>
  <c r="J28" i="23" s="1"/>
  <c r="J29" i="23" s="1"/>
  <c r="J30" i="23" s="1"/>
  <c r="J31" i="23" s="1"/>
  <c r="J32" i="23" s="1"/>
  <c r="J33" i="23" s="1"/>
  <c r="L15" i="23"/>
  <c r="G45" i="24"/>
  <c r="H36" i="24"/>
  <c r="L16" i="23" l="1"/>
  <c r="G46" i="24"/>
  <c r="H37" i="24"/>
  <c r="L17" i="23" l="1"/>
  <c r="G47" i="24"/>
  <c r="H38" i="24"/>
  <c r="L18" i="23" l="1"/>
  <c r="G48" i="24"/>
  <c r="H39" i="24"/>
  <c r="L19" i="23" l="1"/>
  <c r="G49" i="24"/>
  <c r="H40" i="24"/>
  <c r="L20" i="23" l="1"/>
  <c r="G50" i="24"/>
  <c r="H41" i="24"/>
  <c r="L21" i="23" l="1"/>
  <c r="L22" i="23" s="1"/>
  <c r="L23" i="23" s="1"/>
  <c r="L24" i="23" s="1"/>
  <c r="L25" i="23" s="1"/>
  <c r="L26" i="23" s="1"/>
  <c r="L27" i="23" s="1"/>
  <c r="L28" i="23" s="1"/>
  <c r="L29" i="23" s="1"/>
  <c r="L30" i="23" s="1"/>
  <c r="L31" i="23" s="1"/>
  <c r="L32" i="23" s="1"/>
  <c r="L33" i="23" s="1"/>
  <c r="L40" i="23" s="1"/>
  <c r="G51" i="24"/>
  <c r="H42" i="24"/>
  <c r="E83" i="12" l="1"/>
  <c r="J41" i="23"/>
  <c r="E81" i="12"/>
  <c r="G52" i="24"/>
  <c r="H43" i="24"/>
  <c r="G53" i="24" l="1"/>
  <c r="H45" i="24" s="1"/>
  <c r="H44" i="24"/>
  <c r="B25" i="24" l="1"/>
  <c r="B29" i="24"/>
  <c r="B22" i="24"/>
  <c r="B20" i="24"/>
  <c r="B35" i="24"/>
  <c r="B27" i="24"/>
  <c r="B30" i="24"/>
  <c r="B21" i="24"/>
  <c r="B28" i="24"/>
  <c r="B23" i="24"/>
  <c r="B36" i="24"/>
  <c r="B26" i="24"/>
  <c r="B31" i="24"/>
  <c r="B24" i="24"/>
  <c r="B34" i="24"/>
  <c r="B33" i="24"/>
  <c r="B32" i="24"/>
  <c r="C31" i="24"/>
  <c r="C29" i="24"/>
  <c r="C35" i="24"/>
  <c r="E20" i="24"/>
  <c r="C20" i="24"/>
  <c r="C22" i="24"/>
  <c r="C30" i="24"/>
  <c r="E23" i="24"/>
  <c r="E29" i="24"/>
  <c r="C32" i="24"/>
  <c r="E25" i="24"/>
  <c r="C24" i="24"/>
  <c r="E31" i="24"/>
  <c r="C34" i="24"/>
  <c r="C36" i="24"/>
  <c r="D36" i="24" s="1"/>
  <c r="E35" i="24"/>
  <c r="C28" i="24"/>
  <c r="E33" i="24"/>
  <c r="C27" i="24"/>
  <c r="E27" i="24"/>
  <c r="E22" i="24"/>
  <c r="E30" i="24"/>
  <c r="C21" i="24"/>
  <c r="C23" i="24"/>
  <c r="E24" i="24"/>
  <c r="C26" i="24"/>
  <c r="E36" i="24"/>
  <c r="F36" i="24" s="1"/>
  <c r="E28" i="24"/>
  <c r="C33" i="24"/>
  <c r="E34" i="24"/>
  <c r="C25" i="24"/>
  <c r="E26" i="24"/>
  <c r="E32" i="24"/>
  <c r="E21" i="24"/>
  <c r="D25" i="24" l="1"/>
  <c r="D27" i="24"/>
  <c r="F26" i="24"/>
  <c r="F34" i="24"/>
  <c r="F21" i="24"/>
  <c r="D26" i="24"/>
  <c r="F32" i="24"/>
  <c r="D33" i="24"/>
  <c r="D28" i="24"/>
  <c r="F24" i="24"/>
  <c r="D21" i="24"/>
  <c r="F22" i="24"/>
  <c r="F31" i="24"/>
  <c r="F25" i="24"/>
  <c r="F29" i="24"/>
  <c r="D30" i="24"/>
  <c r="F28" i="24"/>
  <c r="D23" i="24"/>
  <c r="F30" i="24"/>
  <c r="F27" i="24"/>
  <c r="F33" i="24"/>
  <c r="F35" i="24"/>
  <c r="D34" i="24"/>
  <c r="D24" i="24"/>
  <c r="D32" i="24"/>
  <c r="F23" i="24"/>
  <c r="D22" i="24"/>
  <c r="D20" i="24"/>
  <c r="F20" i="24"/>
  <c r="D29" i="24"/>
  <c r="D35" i="24"/>
  <c r="D31" i="24"/>
  <c r="B11" i="24"/>
  <c r="B10" i="24"/>
  <c r="B18" i="24"/>
  <c r="B14" i="24"/>
  <c r="B8" i="24"/>
  <c r="I2" i="24" a="1"/>
  <c r="I25" i="24" s="1"/>
  <c r="O2" i="24" a="1"/>
  <c r="O33" i="24" s="1"/>
  <c r="B17" i="24"/>
  <c r="K2" i="24" a="1"/>
  <c r="K53" i="24" s="1"/>
  <c r="M2" i="24" a="1"/>
  <c r="B7" i="24"/>
  <c r="B19" i="24"/>
  <c r="B2" i="24"/>
  <c r="B13" i="24"/>
  <c r="B6" i="24"/>
  <c r="N2" i="24" a="1"/>
  <c r="N6" i="24" s="1"/>
  <c r="B9" i="24"/>
  <c r="B5" i="24"/>
  <c r="B12" i="24"/>
  <c r="B16" i="24"/>
  <c r="B15" i="24"/>
  <c r="J2" i="24" a="1"/>
  <c r="J49" i="24" s="1"/>
  <c r="B4" i="24"/>
  <c r="E6" i="24"/>
  <c r="C19" i="24"/>
  <c r="D19" i="24" s="1"/>
  <c r="E9" i="24"/>
  <c r="C17" i="24"/>
  <c r="E18" i="24"/>
  <c r="C13" i="24"/>
  <c r="C12" i="24"/>
  <c r="C16" i="24"/>
  <c r="C8" i="24"/>
  <c r="C7" i="24"/>
  <c r="E17" i="24"/>
  <c r="E8" i="24"/>
  <c r="E16" i="24"/>
  <c r="C15" i="24"/>
  <c r="E11" i="24"/>
  <c r="C9" i="24"/>
  <c r="C10" i="24"/>
  <c r="E4" i="24"/>
  <c r="E15" i="24"/>
  <c r="E12" i="24"/>
  <c r="E10" i="24"/>
  <c r="E14" i="24"/>
  <c r="E19" i="24"/>
  <c r="F19" i="24" s="1"/>
  <c r="C18" i="24"/>
  <c r="E2" i="24"/>
  <c r="E5" i="24"/>
  <c r="C5" i="24"/>
  <c r="C11" i="24"/>
  <c r="C4" i="24"/>
  <c r="E3" i="24"/>
  <c r="E7" i="24"/>
  <c r="C6" i="24"/>
  <c r="C3" i="24"/>
  <c r="C14" i="24"/>
  <c r="E13" i="24"/>
  <c r="B3" i="24"/>
  <c r="C2" i="24"/>
  <c r="D2" i="24" l="1"/>
  <c r="D3" i="24"/>
  <c r="D6" i="24"/>
  <c r="D11" i="24"/>
  <c r="D18" i="24"/>
  <c r="D14" i="24"/>
  <c r="F14" i="24"/>
  <c r="D15" i="24"/>
  <c r="F13" i="24"/>
  <c r="F7" i="24"/>
  <c r="F3" i="24"/>
  <c r="F5" i="24"/>
  <c r="F12" i="24"/>
  <c r="F4" i="24"/>
  <c r="D9" i="24"/>
  <c r="F8" i="24"/>
  <c r="D7" i="24"/>
  <c r="D16" i="24"/>
  <c r="D13" i="24"/>
  <c r="D17" i="24"/>
  <c r="D4" i="24"/>
  <c r="D5" i="24"/>
  <c r="F2" i="24"/>
  <c r="F10" i="24"/>
  <c r="F15" i="24"/>
  <c r="D10" i="24"/>
  <c r="F11" i="24"/>
  <c r="F16" i="24"/>
  <c r="F17" i="24"/>
  <c r="D8" i="24"/>
  <c r="D12" i="24"/>
  <c r="F18" i="24"/>
  <c r="F9" i="24"/>
  <c r="F6" i="24"/>
  <c r="J9" i="24"/>
  <c r="J30" i="24"/>
  <c r="J53" i="24"/>
  <c r="J15" i="24"/>
  <c r="J37" i="24"/>
  <c r="J45" i="24"/>
  <c r="J13" i="24"/>
  <c r="J17" i="24"/>
  <c r="J18" i="24"/>
  <c r="J26" i="24"/>
  <c r="J5" i="24"/>
  <c r="J42" i="24"/>
  <c r="J48" i="24"/>
  <c r="J11" i="24"/>
  <c r="J27" i="24"/>
  <c r="J51" i="24"/>
  <c r="J12" i="24"/>
  <c r="J32" i="24"/>
  <c r="J28" i="24"/>
  <c r="J35" i="24"/>
  <c r="J6" i="24"/>
  <c r="J39" i="24"/>
  <c r="J38" i="24"/>
  <c r="J34" i="24"/>
  <c r="J29" i="24"/>
  <c r="J7" i="24"/>
  <c r="N7" i="24"/>
  <c r="N43" i="24"/>
  <c r="N36" i="24"/>
  <c r="N47" i="24"/>
  <c r="N11" i="24"/>
  <c r="N45" i="24"/>
  <c r="N9" i="24"/>
  <c r="N8" i="24"/>
  <c r="N13" i="24"/>
  <c r="N40" i="24"/>
  <c r="N42" i="24"/>
  <c r="N12" i="24"/>
  <c r="N39" i="24"/>
  <c r="N34" i="24"/>
  <c r="N15" i="24"/>
  <c r="N49" i="24"/>
  <c r="N33" i="24"/>
  <c r="N16" i="24"/>
  <c r="N10" i="24"/>
  <c r="N30" i="24"/>
  <c r="N28" i="24"/>
  <c r="N20" i="24"/>
  <c r="N17" i="24"/>
  <c r="N38" i="24"/>
  <c r="N29" i="24"/>
  <c r="N18" i="24"/>
  <c r="M53" i="24"/>
  <c r="M3" i="24"/>
  <c r="M49" i="24"/>
  <c r="M52" i="24"/>
  <c r="M5" i="24"/>
  <c r="M34" i="24"/>
  <c r="M6" i="24"/>
  <c r="M16" i="24"/>
  <c r="M33" i="24"/>
  <c r="M23" i="24"/>
  <c r="M41" i="24"/>
  <c r="M27" i="24"/>
  <c r="M39" i="24"/>
  <c r="M9" i="24"/>
  <c r="M22" i="24"/>
  <c r="M19" i="24"/>
  <c r="M38" i="24"/>
  <c r="M43" i="24"/>
  <c r="M30" i="24"/>
  <c r="M48" i="24"/>
  <c r="M8" i="24"/>
  <c r="M35" i="24"/>
  <c r="M2" i="24"/>
  <c r="M31" i="24"/>
  <c r="M45" i="24"/>
  <c r="M37" i="24"/>
  <c r="M51" i="24"/>
  <c r="M40" i="24"/>
  <c r="M7" i="24"/>
  <c r="J16" i="24"/>
  <c r="J36" i="24"/>
  <c r="J19" i="24"/>
  <c r="J14" i="24"/>
  <c r="J44" i="24"/>
  <c r="J21" i="24"/>
  <c r="J4" i="24"/>
  <c r="J23" i="24"/>
  <c r="J50" i="24"/>
  <c r="J2" i="24"/>
  <c r="J31" i="24"/>
  <c r="J47" i="24"/>
  <c r="J33" i="24"/>
  <c r="J24" i="24"/>
  <c r="J40" i="24"/>
  <c r="J43" i="24"/>
  <c r="J25" i="24"/>
  <c r="J46" i="24"/>
  <c r="J10" i="24"/>
  <c r="J20" i="24"/>
  <c r="J22" i="24"/>
  <c r="J8" i="24"/>
  <c r="J52" i="24"/>
  <c r="J41" i="24"/>
  <c r="J3" i="24"/>
  <c r="N23" i="24"/>
  <c r="N37" i="24"/>
  <c r="N5" i="24"/>
  <c r="N52" i="24"/>
  <c r="N22" i="24"/>
  <c r="N4" i="24"/>
  <c r="N50" i="24"/>
  <c r="N48" i="24"/>
  <c r="N26" i="24"/>
  <c r="N19" i="24"/>
  <c r="N35" i="24"/>
  <c r="N46" i="24"/>
  <c r="N51" i="24"/>
  <c r="N31" i="24"/>
  <c r="N14" i="24"/>
  <c r="N32" i="24"/>
  <c r="N44" i="24"/>
  <c r="N2" i="24"/>
  <c r="N27" i="24"/>
  <c r="N24" i="24"/>
  <c r="N3" i="24"/>
  <c r="N21" i="24"/>
  <c r="N41" i="24"/>
  <c r="N25" i="24"/>
  <c r="N53" i="24"/>
  <c r="M20" i="24"/>
  <c r="M46" i="24"/>
  <c r="M11" i="24"/>
  <c r="M28" i="24"/>
  <c r="M26" i="24"/>
  <c r="M42" i="24"/>
  <c r="M18" i="24"/>
  <c r="M10" i="24"/>
  <c r="M21" i="24"/>
  <c r="M17" i="24"/>
  <c r="M24" i="24"/>
  <c r="M32" i="24"/>
  <c r="M36" i="24"/>
  <c r="M47" i="24"/>
  <c r="M13" i="24"/>
  <c r="M44" i="24"/>
  <c r="M25" i="24"/>
  <c r="M14" i="24"/>
  <c r="M4" i="24"/>
  <c r="M29" i="24"/>
  <c r="M50" i="24"/>
  <c r="M12" i="24"/>
  <c r="M15" i="24"/>
  <c r="K29" i="24"/>
  <c r="K48" i="24"/>
  <c r="K24" i="24"/>
  <c r="K12" i="24"/>
  <c r="K42" i="24"/>
  <c r="K34" i="24"/>
  <c r="K36" i="24"/>
  <c r="K31" i="24"/>
  <c r="K21" i="24"/>
  <c r="K5" i="24"/>
  <c r="K27" i="24"/>
  <c r="K20" i="24"/>
  <c r="K28" i="24"/>
  <c r="K2" i="24"/>
  <c r="K25" i="24"/>
  <c r="K47" i="24"/>
  <c r="K8" i="24"/>
  <c r="K51" i="24"/>
  <c r="K32" i="24"/>
  <c r="K49" i="24"/>
  <c r="K40" i="24"/>
  <c r="K45" i="24"/>
  <c r="K30" i="24"/>
  <c r="K4" i="24"/>
  <c r="K9" i="24"/>
  <c r="K22" i="24"/>
  <c r="O27" i="24"/>
  <c r="O6" i="24"/>
  <c r="O36" i="24"/>
  <c r="O39" i="24"/>
  <c r="O20" i="24"/>
  <c r="O37" i="24"/>
  <c r="O22" i="24"/>
  <c r="O30" i="24"/>
  <c r="O15" i="24"/>
  <c r="O16" i="24"/>
  <c r="O42" i="24"/>
  <c r="O23" i="24"/>
  <c r="O35" i="24"/>
  <c r="O46" i="24"/>
  <c r="O13" i="24"/>
  <c r="O12" i="24"/>
  <c r="O38" i="24"/>
  <c r="O44" i="24"/>
  <c r="O2" i="24"/>
  <c r="O47" i="24"/>
  <c r="O51" i="24"/>
  <c r="O29" i="24"/>
  <c r="O53" i="24"/>
  <c r="O10" i="24"/>
  <c r="O3" i="24"/>
  <c r="O4" i="24"/>
  <c r="I41" i="24"/>
  <c r="I46" i="24"/>
  <c r="I37" i="24"/>
  <c r="I45" i="24"/>
  <c r="I11" i="24"/>
  <c r="I29" i="24"/>
  <c r="I34" i="24"/>
  <c r="I21" i="24"/>
  <c r="I35" i="24"/>
  <c r="I17" i="24"/>
  <c r="I24" i="24"/>
  <c r="I9" i="24"/>
  <c r="I15" i="24"/>
  <c r="I36" i="24"/>
  <c r="I33" i="24"/>
  <c r="I42" i="24"/>
  <c r="I51" i="24"/>
  <c r="I38" i="24"/>
  <c r="I12" i="24"/>
  <c r="I23" i="24"/>
  <c r="I40" i="24"/>
  <c r="I3" i="24"/>
  <c r="I6" i="24"/>
  <c r="I49" i="24"/>
  <c r="I20" i="24"/>
  <c r="I7" i="24"/>
  <c r="K6" i="24"/>
  <c r="K41" i="24"/>
  <c r="K18" i="24"/>
  <c r="K52" i="24"/>
  <c r="K14" i="24"/>
  <c r="K44" i="24"/>
  <c r="K13" i="24"/>
  <c r="K26" i="24"/>
  <c r="K17" i="24"/>
  <c r="K23" i="24"/>
  <c r="K19" i="24"/>
  <c r="K46" i="24"/>
  <c r="K35" i="24"/>
  <c r="K11" i="24"/>
  <c r="K15" i="24"/>
  <c r="K16" i="24"/>
  <c r="K39" i="24"/>
  <c r="K37" i="24"/>
  <c r="K33" i="24"/>
  <c r="K38" i="24"/>
  <c r="K7" i="24"/>
  <c r="K10" i="24"/>
  <c r="K43" i="24"/>
  <c r="K3" i="24"/>
  <c r="K50" i="24"/>
  <c r="O26" i="24"/>
  <c r="O24" i="24"/>
  <c r="O52" i="24"/>
  <c r="O50" i="24"/>
  <c r="O11" i="24"/>
  <c r="O18" i="24"/>
  <c r="O7" i="24"/>
  <c r="O43" i="24"/>
  <c r="O14" i="24"/>
  <c r="O17" i="24"/>
  <c r="O41" i="24"/>
  <c r="O9" i="24"/>
  <c r="O32" i="24"/>
  <c r="O5" i="24"/>
  <c r="O19" i="24"/>
  <c r="O25" i="24"/>
  <c r="O34" i="24"/>
  <c r="O31" i="24"/>
  <c r="O21" i="24"/>
  <c r="O45" i="24"/>
  <c r="O49" i="24"/>
  <c r="O28" i="24"/>
  <c r="O8" i="24"/>
  <c r="O48" i="24"/>
  <c r="O40" i="24"/>
  <c r="I47" i="24"/>
  <c r="I19" i="24"/>
  <c r="I39" i="24"/>
  <c r="I16" i="24"/>
  <c r="I44" i="24"/>
  <c r="I52" i="24"/>
  <c r="I50" i="24"/>
  <c r="I22" i="24"/>
  <c r="I13" i="24"/>
  <c r="I5" i="24"/>
  <c r="I31" i="24"/>
  <c r="I14" i="24"/>
  <c r="I10" i="24"/>
  <c r="I32" i="24"/>
  <c r="I30" i="24"/>
  <c r="I43" i="24"/>
  <c r="I53" i="24"/>
  <c r="I48" i="24"/>
  <c r="I8" i="24"/>
  <c r="I4" i="24"/>
  <c r="I2" i="24"/>
  <c r="I26" i="24"/>
  <c r="I27" i="24"/>
  <c r="I28" i="24"/>
  <c r="I18" i="24"/>
  <c r="F25" i="21" l="1" a="1"/>
  <c r="F25" i="2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H25" i="21" l="1" a="1"/>
  <c r="H25" i="21" l="1"/>
  <c r="H29" i="21"/>
  <c r="H33" i="21"/>
  <c r="H37" i="21"/>
  <c r="H41" i="21"/>
  <c r="H45" i="21"/>
  <c r="H49" i="21"/>
  <c r="H53" i="21"/>
  <c r="H57" i="21"/>
  <c r="H61" i="21"/>
  <c r="H65" i="21"/>
  <c r="H69" i="21"/>
  <c r="H73" i="21"/>
  <c r="H31" i="21"/>
  <c r="H39" i="21"/>
  <c r="H47" i="21"/>
  <c r="H55" i="21"/>
  <c r="H63" i="21"/>
  <c r="H71" i="21"/>
  <c r="H28" i="21"/>
  <c r="H36" i="21"/>
  <c r="H44" i="21"/>
  <c r="H52" i="21"/>
  <c r="H60" i="21"/>
  <c r="H72" i="21"/>
  <c r="H26" i="21"/>
  <c r="H30" i="21"/>
  <c r="H34" i="21"/>
  <c r="H38" i="21"/>
  <c r="H42" i="21"/>
  <c r="H46" i="21"/>
  <c r="H50" i="21"/>
  <c r="H54" i="21"/>
  <c r="H58" i="21"/>
  <c r="H62" i="21"/>
  <c r="H66" i="21"/>
  <c r="H70" i="21"/>
  <c r="H74" i="21"/>
  <c r="H27" i="21"/>
  <c r="H35" i="21"/>
  <c r="H43" i="21"/>
  <c r="H51" i="21"/>
  <c r="H59" i="21"/>
  <c r="H67" i="21"/>
  <c r="H75" i="21"/>
  <c r="H32" i="21"/>
  <c r="H40" i="21"/>
  <c r="H48" i="21"/>
  <c r="H56" i="21"/>
  <c r="H64" i="21"/>
  <c r="H68" i="21"/>
  <c r="H76" i="21"/>
  <c r="I25" i="21" l="1" a="1"/>
  <c r="I25" i="21" l="1"/>
  <c r="I41" i="21"/>
  <c r="I49" i="21"/>
  <c r="I57" i="21"/>
  <c r="I65" i="21"/>
  <c r="I26" i="21"/>
  <c r="I30" i="21"/>
  <c r="I34" i="21"/>
  <c r="I38" i="21"/>
  <c r="I42" i="21"/>
  <c r="I46" i="21"/>
  <c r="I50" i="21"/>
  <c r="I54" i="21"/>
  <c r="I58" i="21"/>
  <c r="I62" i="21"/>
  <c r="I66" i="21"/>
  <c r="I70" i="21"/>
  <c r="I74" i="21"/>
  <c r="I28" i="21"/>
  <c r="I32" i="21"/>
  <c r="I36" i="21"/>
  <c r="I40" i="21"/>
  <c r="I44" i="21"/>
  <c r="I48" i="21"/>
  <c r="I52" i="21"/>
  <c r="I56" i="21"/>
  <c r="I60" i="21"/>
  <c r="I64" i="21"/>
  <c r="I68" i="21"/>
  <c r="I72" i="21"/>
  <c r="I76" i="21"/>
  <c r="I29" i="21"/>
  <c r="I33" i="21"/>
  <c r="I37" i="21"/>
  <c r="I45" i="21"/>
  <c r="I53" i="21"/>
  <c r="I61" i="21"/>
  <c r="I69" i="21"/>
  <c r="I73" i="21"/>
  <c r="I27" i="21"/>
  <c r="I31" i="21"/>
  <c r="I35" i="21"/>
  <c r="I39" i="21"/>
  <c r="I43" i="21"/>
  <c r="I47" i="21"/>
  <c r="I51" i="21"/>
  <c r="I55" i="21"/>
  <c r="I59" i="21"/>
  <c r="I63" i="21"/>
  <c r="I67" i="21"/>
  <c r="I71" i="21"/>
  <c r="I75" i="21"/>
</calcChain>
</file>

<file path=xl/sharedStrings.xml><?xml version="1.0" encoding="utf-8"?>
<sst xmlns="http://schemas.openxmlformats.org/spreadsheetml/2006/main" count="668" uniqueCount="647">
  <si>
    <t>Purpose</t>
  </si>
  <si>
    <t>Scope</t>
  </si>
  <si>
    <t>Requirements</t>
  </si>
  <si>
    <t>To use this model you need:</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</si>
  <si>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</si>
  <si>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</si>
  <si>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</si>
  <si>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</si>
  <si>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</si>
  <si>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</si>
  <si>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Description 2 e.g. day of week, site</t>
  </si>
  <si>
    <t>Average per week (52 weeks)</t>
  </si>
  <si>
    <t>Totals</t>
  </si>
  <si>
    <t>Weeks Per Year</t>
  </si>
  <si>
    <t>Clinic Name on PAS</t>
  </si>
  <si>
    <t>Description 1 e.g. cons. name</t>
  </si>
  <si>
    <t>DNAs Discharged</t>
  </si>
  <si>
    <t>DNA discharged</t>
  </si>
  <si>
    <t>DNA Rebooked</t>
  </si>
  <si>
    <t>Week</t>
  </si>
  <si>
    <t>DNAs Rebooked</t>
  </si>
  <si>
    <t>Total removals</t>
  </si>
  <si>
    <t>Patients remaining</t>
  </si>
  <si>
    <t>Cumulative</t>
  </si>
  <si>
    <t>Total</t>
  </si>
  <si>
    <t>DNAs to be Rebooked</t>
  </si>
  <si>
    <t>First Appointments</t>
  </si>
  <si>
    <t>Maximum waiting list size to deliver the desired waiting time:</t>
  </si>
  <si>
    <t>Referrals received in service</t>
  </si>
  <si>
    <t>Calculations</t>
  </si>
  <si>
    <t>Description of Tabs</t>
  </si>
  <si>
    <t>Period for appointments</t>
  </si>
  <si>
    <t>Mean refs received</t>
  </si>
  <si>
    <t>Mean core capacity</t>
  </si>
  <si>
    <t>Mean ad-hoc capacity</t>
  </si>
  <si>
    <t>Indicator</t>
  </si>
  <si>
    <t>Current Capacity</t>
  </si>
  <si>
    <t>Of Which Discharged</t>
  </si>
  <si>
    <t>Of Which Reappointed</t>
  </si>
  <si>
    <t>Mean Core Slots Per Week*</t>
  </si>
  <si>
    <t>Mean Ad-Hoc Slots Per Week*</t>
  </si>
  <si>
    <t>If you create additional capacity for new slots on a regular basis please enter those here; for example overbooking of clinics or ad hoc clinics.  For the purpose of the model, you need to assume this will  continue for a year.</t>
  </si>
  <si>
    <t>Enter Your Capacity to See New Patients</t>
  </si>
  <si>
    <t>Details of Your Service</t>
  </si>
  <si>
    <t>Day Appointments Commence</t>
  </si>
  <si>
    <t>Target Waiting Time (Days)</t>
  </si>
  <si>
    <t>Mean Referrals</t>
  </si>
  <si>
    <t>Enables you to set values for your capacity, either by inputting clinic-by-clinic or directly choosing a value.</t>
  </si>
  <si>
    <t>A summary of your service and the conclusions of the model: your demand, capacity, any surplus/shortfall and what you need for a sustainable service.</t>
  </si>
  <si>
    <t>Clearing a Backlog</t>
  </si>
  <si>
    <r>
      <t>85</t>
    </r>
    <r>
      <rPr>
        <vertAlign val="superscript"/>
        <sz val="9"/>
        <rFont val="Arial"/>
        <family val="2"/>
      </rPr>
      <t>th</t>
    </r>
    <r>
      <rPr>
        <sz val="9"/>
        <rFont val="Arial"/>
        <family val="2"/>
      </rPr>
      <t xml:space="preserve"> Percentile</t>
    </r>
  </si>
  <si>
    <t>Estimated Maximum PTL Size</t>
  </si>
  <si>
    <t>Approximate Required Reduction</t>
  </si>
  <si>
    <t>Approximate Sustainable Range</t>
  </si>
  <si>
    <r>
      <t xml:space="preserve">This model helps you to understand how many patients are referred to your Trust (your </t>
    </r>
    <r>
      <rPr>
        <b/>
        <sz val="10"/>
        <color indexed="8"/>
        <rFont val="Arial"/>
        <family val="2"/>
      </rPr>
      <t>demand</t>
    </r>
    <r>
      <rPr>
        <sz val="10"/>
        <color indexed="8"/>
        <rFont val="Arial"/>
        <family val="2"/>
      </rPr>
      <t xml:space="preserve">), how this changes from day to day and week to week (the </t>
    </r>
    <r>
      <rPr>
        <b/>
        <sz val="10"/>
        <color indexed="8"/>
        <rFont val="Arial"/>
        <family val="2"/>
      </rPr>
      <t>variation</t>
    </r>
    <r>
      <rPr>
        <sz val="10"/>
        <color indexed="8"/>
        <rFont val="Arial"/>
        <family val="2"/>
      </rPr>
      <t>).</t>
    </r>
  </si>
  <si>
    <t>This model is aimed primarily at operational managers as users, with the summary and conclusions intended for a mixed audience of managers and clinicians.</t>
  </si>
  <si>
    <t>This model assumes no growth in referrals, i.e. that the same number will be received in the coming year as were received over the past year.</t>
  </si>
  <si>
    <t>Per Week</t>
  </si>
  <si>
    <t>Week Number</t>
  </si>
  <si>
    <t>By Fax/ Other</t>
  </si>
  <si>
    <t>Total Referrals Received</t>
  </si>
  <si>
    <t>Referral Date</t>
  </si>
  <si>
    <t>First Seen</t>
  </si>
  <si>
    <t>Enter Your Referral Data and First Seen Data</t>
  </si>
  <si>
    <t>Offer Date
(If Available)</t>
  </si>
  <si>
    <t>Choice Given?</t>
  </si>
  <si>
    <t>Referral Data</t>
  </si>
  <si>
    <t>Attendance Data</t>
  </si>
  <si>
    <t xml:space="preserve"> Per Week</t>
  </si>
  <si>
    <t>By Paper/Fax</t>
  </si>
  <si>
    <t>Mean DNAs</t>
  </si>
  <si>
    <t>Mean Rearranged Slots</t>
  </si>
  <si>
    <t>Step-by-step calculations showing how the model arrives at your estimated sustainable PTL.</t>
  </si>
  <si>
    <t>A selection of graphs showing key information about your service and your PTL.</t>
  </si>
  <si>
    <t>Any model is by definition a theoretical guide and should be used as one of a number of tools to help you to better understand, plan and manage your service.</t>
  </si>
  <si>
    <t>Mean waiting time</t>
  </si>
  <si>
    <t>Median waiting time</t>
  </si>
  <si>
    <t>% attending on/after day 13</t>
  </si>
  <si>
    <t>% attending on/after day 8</t>
  </si>
  <si>
    <t>Patient Experience</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</si>
  <si>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85th percentile):
- The very short waiting standard itself
- High variation in demand
- High variation in clinic capacity e.g. no absence cover, bank holidays
- 'Carve-out' e.g. different hospital sites 
- High levels of rebookings and DNAs 
- Not offering patient choice</t>
    </r>
  </si>
  <si>
    <t>Understanding and Managing Risk</t>
  </si>
  <si>
    <t>The chart on the right shows how the referrals received on one day are appointed over the course of a typical two week period.  This is based on the figures you have entered for the Day Appointments Commence and Target Maximum Waiting Time.  The earlier you appoint your first patients the more can be seen in week one, the lower your mean and median waiting time and the more flexibility you have around cancellations and DNAs.</t>
  </si>
  <si>
    <t>Day appointments commence</t>
  </si>
  <si>
    <t>Maximum waiting time</t>
  </si>
  <si>
    <t>Patients seen in week 1</t>
  </si>
  <si>
    <t>Patients seen in week 2</t>
  </si>
  <si>
    <t>All 2WW services need to establish early warning indicators to compare your sustainable position with actual demand and activity data. This will allows teams to respond as required as soon as there is a significant increase in the PTL i.e. before there is  a significant increase in the length of wait for appointments. 
Examples of Early Warning Indicators are: 
         1) Actual PTL size vs. sustainable PTL
         2) Rolling average of demand vs. expected average demand
         3) Clinic utilisation (slot capacity vs. actual activity)</t>
  </si>
  <si>
    <t>This model is intended for use in Trusts providing a first outpatient service to patients referred urgently for suspected cancer under the Two Week Wait (2WW) and/or for patients referred under the 2WW for Symptomatic Breast.</t>
  </si>
  <si>
    <t>• 12 months' recent 2WW referral data</t>
  </si>
  <si>
    <t>• details of available slots to see 2WW patients, both for core and ad-hoc/extra capacity</t>
  </si>
  <si>
    <r>
      <t>• an understanding of how many of your patients Do Not Attend (</t>
    </r>
    <r>
      <rPr>
        <b/>
        <sz val="10"/>
        <color indexed="8"/>
        <rFont val="Arial"/>
        <family val="2"/>
      </rPr>
      <t>DNA</t>
    </r>
    <r>
      <rPr>
        <sz val="10"/>
        <color indexed="8"/>
        <rFont val="Arial"/>
        <family val="2"/>
      </rPr>
      <t>) their first appointment (although this can be inferred from your attendance data)</t>
    </r>
  </si>
  <si>
    <t>Mean 2WW Referrals Received</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</si>
  <si>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</si>
  <si>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</si>
  <si>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</si>
  <si>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</si>
  <si>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</si>
  <si>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</si>
  <si>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</si>
  <si>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Avon And Wiltshire Mental Health Partnership NHS Trust</t>
  </si>
  <si>
    <t>Barking, Havering And Redbridge University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</si>
  <si>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</si>
  <si>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</si>
  <si>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</si>
  <si>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</si>
  <si>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</si>
  <si>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</si>
  <si>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</si>
  <si>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</si>
  <si>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</si>
  <si>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</si>
  <si>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</si>
  <si>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</si>
  <si>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</si>
  <si>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</si>
  <si>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</si>
  <si>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</si>
  <si>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</si>
  <si>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</si>
  <si>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</si>
  <si>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</si>
  <si>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</si>
  <si>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</si>
  <si>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</si>
  <si>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</si>
  <si>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</si>
  <si>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</si>
  <si>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</si>
  <si>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</si>
  <si>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</si>
  <si>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</si>
  <si>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</si>
  <si>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</si>
  <si>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</si>
  <si>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</si>
  <si>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</si>
  <si>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</si>
  <si>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</si>
  <si>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</si>
  <si>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</si>
  <si>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</si>
  <si>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</si>
  <si>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</si>
  <si>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</si>
  <si>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</si>
  <si>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</si>
  <si>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</si>
  <si>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</si>
  <si>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</si>
  <si>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</si>
  <si>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</si>
  <si>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</si>
  <si>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</si>
  <si>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</si>
  <si>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</si>
  <si>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</si>
  <si>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</si>
  <si>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</si>
  <si>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Hertfordshire Community NHS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</si>
  <si>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</si>
  <si>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</si>
  <si>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</si>
  <si>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</si>
  <si>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</si>
  <si>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</si>
  <si>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</si>
  <si>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</si>
  <si>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</si>
  <si>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</si>
  <si>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</si>
  <si>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</si>
  <si>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</si>
  <si>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</si>
  <si>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Lincolnshire Partnership NHS Foundation Trust</t>
  </si>
  <si>
    <t>Liverpool Community Health NHS Trust</t>
  </si>
  <si>
    <t>Liverpool Women's NHS Foundation Trust</t>
  </si>
  <si>
    <t>London Ambulance Service NHS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</si>
  <si>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</si>
  <si>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</si>
  <si>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</si>
  <si>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</si>
  <si>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</si>
  <si>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</si>
  <si>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</si>
  <si>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</si>
  <si>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</si>
  <si>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</si>
  <si>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</si>
  <si>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</si>
  <si>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Middlesex University Hospital NHS Trust</t>
  </si>
  <si>
    <t>North Staffordshire Combined Healthcare NHS Trust</t>
  </si>
  <si>
    <t>North West Ambulance Service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</si>
  <si>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</si>
  <si>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</si>
  <si>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</si>
  <si>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</si>
  <si>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</si>
  <si>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</si>
  <si>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</si>
  <si>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</si>
  <si>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</si>
  <si>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</si>
  <si>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</si>
  <si>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</si>
  <si>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</si>
  <si>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</si>
  <si>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</si>
  <si>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</si>
  <si>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</si>
  <si>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</si>
  <si>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</si>
  <si>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</si>
  <si>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</si>
  <si>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</si>
  <si>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</si>
  <si>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</si>
  <si>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</si>
  <si>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</si>
  <si>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</si>
  <si>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</si>
  <si>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</si>
  <si>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</si>
  <si>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</si>
  <si>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</si>
  <si>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</si>
  <si>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</si>
  <si>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</si>
  <si>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</si>
  <si>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</si>
  <si>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</si>
  <si>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</si>
  <si>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</si>
  <si>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</si>
  <si>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</si>
  <si>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</si>
  <si>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</si>
  <si>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</si>
  <si>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</si>
  <si>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</si>
  <si>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</si>
  <si>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</si>
  <si>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</si>
  <si>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</si>
  <si>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</si>
  <si>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</si>
  <si>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</si>
  <si>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</si>
  <si>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</si>
  <si>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</si>
  <si>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</si>
  <si>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</si>
  <si>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</si>
  <si>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</si>
  <si>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</si>
  <si>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</si>
  <si>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</si>
  <si>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</si>
  <si>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</si>
  <si>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</si>
  <si>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</si>
  <si>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</si>
  <si>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</si>
  <si>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</si>
  <si>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</si>
  <si>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</si>
  <si>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</si>
  <si>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</si>
  <si>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</si>
  <si>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</si>
  <si>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</si>
  <si>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</si>
  <si>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</si>
  <si>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</si>
  <si>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</si>
  <si>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</si>
  <si>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</si>
  <si>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</si>
  <si>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Breast Cancer</t>
  </si>
  <si>
    <t>Skin</t>
  </si>
  <si>
    <t>Brain/CNS</t>
  </si>
  <si>
    <t>Lung</t>
  </si>
  <si>
    <t>Urology</t>
  </si>
  <si>
    <t>Haematology</t>
  </si>
  <si>
    <t>Gynaecology</t>
  </si>
  <si>
    <t>Upper GI</t>
  </si>
  <si>
    <t>Lower GI</t>
  </si>
  <si>
    <t>Sarcoma</t>
  </si>
  <si>
    <t>Head &amp; Neck</t>
  </si>
  <si>
    <t>Breast Symptoms</t>
  </si>
  <si>
    <t>Your Trust:</t>
  </si>
  <si>
    <t>Tumour Site</t>
  </si>
  <si>
    <t>The graph to the right shows an approximation of the variation, the spread of the numbers from week to week, in your referral demand (using what is called a Normal Distribution).  With capacity set at the mean level of referrals you would be able to see all your referrals received over the course of a year with no wastage; there would be no guarantee of a maximum waiting time, though.  You would expect a number of referrals above or below the range shown here around once per year.</t>
  </si>
  <si>
    <t>• 2WW data for your most recent 1-3 months' attendances</t>
  </si>
  <si>
    <r>
      <t>75</t>
    </r>
    <r>
      <rPr>
        <vertAlign val="superscript"/>
        <sz val="9"/>
        <rFont val="Arial"/>
        <family val="2"/>
      </rPr>
      <t>th</t>
    </r>
    <r>
      <rPr>
        <sz val="9"/>
        <rFont val="Arial"/>
        <family val="2"/>
      </rPr>
      <t xml:space="preserve"> Percentile</t>
    </r>
  </si>
  <si>
    <r>
      <t xml:space="preserve">Factors which might </t>
    </r>
    <r>
      <rPr>
        <b/>
        <sz val="10"/>
        <color indexed="8"/>
        <rFont val="Arial"/>
        <family val="2"/>
      </rPr>
      <t>reduce</t>
    </r>
    <r>
      <rPr>
        <sz val="10"/>
        <color indexed="8"/>
        <rFont val="Arial"/>
        <family val="2"/>
      </rPr>
      <t xml:space="preserve"> the amount of capacity needed to meet demand (i.e. allow setting capacity nearer to the 75th percentile):
- A good distribution of appointment offers (low median waiting time)
- Pooling of referrals and the size of the speciality
- The ease with which you can flex capacity, for example:
         - Flex the timing of clinics (annual contract)
         - If additional slots/clinics can be provided quickly and easily 
           e.g. overbooking or ad hoc clinics</t>
    </r>
  </si>
  <si>
    <t>Enter/Update Your Parameters</t>
  </si>
  <si>
    <t>Enter here the details of individual patients seen by your Trust over the past 1-3 months.
If you record whether choice is offered to patients please enter Yes or No as appropriate in the relevant column.
Please record the pause in days recorded if the patient Did Not Attend their first appointment.
If you record the original date offered to each patient, if they subsequently chose a later date, then please enter this Offer Date.</t>
  </si>
  <si>
    <t>Your Current PTL Size</t>
  </si>
  <si>
    <t>Current PTL</t>
  </si>
  <si>
    <r>
      <t xml:space="preserve">The nature of the short waiting standard means the service needs to respond quickly to peaks in demand. Ideally the core capacity should have sufficient slots necessary to manage the variation in demand; in other words have sufficient 'head-room' to deal with variation.
For some smaller services, however, the </t>
    </r>
    <r>
      <rPr>
        <sz val="10"/>
        <color indexed="8"/>
        <rFont val="Arial"/>
        <family val="2"/>
      </rPr>
      <t>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b/>
        <sz val="10"/>
        <color indexed="8"/>
        <rFont val="Arial"/>
        <family val="2"/>
      </rPr>
      <t>provided:</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Ultimately, to maintain a sustainable position as outlined above will require a mindset change from both managers and clinicians. Not all slots will be required every week.</t>
    </r>
  </si>
  <si>
    <t>Day</t>
  </si>
  <si>
    <t>Mean 2WW Referrals Per Week</t>
  </si>
  <si>
    <t>DNA Rate</t>
  </si>
  <si>
    <t>Rearranged Appointments</t>
  </si>
  <si>
    <t>Mean 2WW Referrals Per Day (incl weekends)</t>
  </si>
  <si>
    <t>Parameters</t>
  </si>
  <si>
    <t>This sheet summarises your current 2WW data as well as allowing you to edit information about your patients and booking - DNA rates, C&amp;B uptake etc.</t>
  </si>
  <si>
    <r>
      <t xml:space="preserve">It is then intended to help you understand how many slots (your </t>
    </r>
    <r>
      <rPr>
        <b/>
        <sz val="10"/>
        <color indexed="8"/>
        <rFont val="Arial"/>
        <family val="2"/>
      </rPr>
      <t>capacity</t>
    </r>
    <r>
      <rPr>
        <sz val="10"/>
        <color indexed="8"/>
        <rFont val="Arial"/>
        <family val="2"/>
      </rPr>
      <t>)</t>
    </r>
    <r>
      <rPr>
        <sz val="10"/>
        <color indexed="8"/>
        <rFont val="Arial"/>
        <family val="2"/>
      </rPr>
      <t xml:space="preserve"> you currently have to see patients and how much you might need to meet your demand.</t>
    </r>
  </si>
  <si>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</si>
  <si>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</si>
  <si>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</si>
  <si>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</si>
  <si>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</si>
  <si>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</si>
  <si>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</si>
  <si>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</si>
  <si>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</si>
  <si>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</si>
  <si>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</si>
  <si>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</si>
  <si>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</si>
  <si>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</si>
  <si>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</si>
  <si>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</si>
  <si>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</si>
  <si>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Statistical Process Control (SPC) Representation of Your Data</t>
  </si>
  <si>
    <t>This model assumes that patients are seen in equal number spread over a seven-day working week.</t>
  </si>
  <si>
    <r>
      <rPr>
        <sz val="10"/>
        <color indexed="8"/>
        <rFont val="Arial"/>
        <family val="2"/>
      </rPr>
      <t>Each service needs to establish the necessary slots so that the normal variation in demand can be managed within the two week window.  Slots required will need to be between the 75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(on the PTL).  Setting capacity between these levels can be thought of as saying 'we will have enough capacity to see all patients around 75%-85% of the time.'</t>
    </r>
  </si>
  <si>
    <t>Other</t>
  </si>
  <si>
    <t>SPC</t>
  </si>
  <si>
    <t>This helps you to judge whether your historical data is statistically stable and, therefore, suitable for future predictions.  Understanding of SPC is required.</t>
  </si>
  <si>
    <t>Total:</t>
  </si>
  <si>
    <t>Referrals</t>
  </si>
  <si>
    <t>Mean DNAs Reappointed</t>
  </si>
  <si>
    <r>
      <t xml:space="preserve">The PTL is the number of patients waiting for their appointment at any given time (with or without a date). There is a maximum (not target) size PTL which will ensure that a range of dates can be offered to patients and an appropriate Median Wait achieved for the service.  </t>
    </r>
    <r>
      <rPr>
        <b/>
        <sz val="10"/>
        <color indexed="8"/>
        <rFont val="Arial"/>
        <family val="2"/>
      </rPr>
      <t>This figure is only meaningful if your demand and capacity are already in balance (see above) and PTL size must be considered in balance with the desired mean and median waiting times.</t>
    </r>
  </si>
  <si>
    <t>IMPORTANT NOTE ABOUT PASTING DATA</t>
  </si>
  <si>
    <t>Please do not paste using Ctrl+V or clicking the Paste button; rather, please right-click where you wish to paste (Excel 2007/2010) or go to the Edit menu (Excel 2003), choose 'Paste Special...' and then select 'Values'.</t>
  </si>
  <si>
    <t>Black Country Partnership NHS Foundation Trust</t>
  </si>
  <si>
    <t>Bolton NHS Foundation Trust</t>
  </si>
  <si>
    <t>East Sussex Healthcare NHS Trust</t>
  </si>
  <si>
    <t>Hounslow And Richmond Community Healthcare NHS Trust</t>
  </si>
  <si>
    <t>Kent Community Health NHS Trust</t>
  </si>
  <si>
    <t>Leeds Community Healthcare NHS Trust</t>
  </si>
  <si>
    <t>Lincolnshire Community Health Services NHS Trust</t>
  </si>
  <si>
    <t>Oxford Health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</si>
  <si>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</si>
  <si>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</si>
  <si>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</si>
  <si>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</si>
  <si>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</si>
  <si>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</si>
  <si>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</si>
  <si>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</si>
  <si>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</si>
  <si>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</si>
  <si>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t>*Move sliders to the absolute right to accept the calculated value from below</t>
  </si>
  <si>
    <t>No Split</t>
  </si>
  <si>
    <t>Aintree University Hospital NHS Foundation Trust</t>
  </si>
  <si>
    <t>Barts Health NHS Trust</t>
  </si>
  <si>
    <t>Great Ormond Street Hospital For Children NHS Foundation Trust</t>
  </si>
  <si>
    <t>Guy's And St Thomas' NHS Foundation Trust</t>
  </si>
  <si>
    <t>Hampshire Hospitals NHS Foundation Trust</t>
  </si>
  <si>
    <t>Isle Of Wight NHS Trust</t>
  </si>
  <si>
    <t>Leeds And York Partnership NHS Foundation Trust</t>
  </si>
  <si>
    <t>NHS Ashford CCG</t>
  </si>
  <si>
    <t>NHS Aylesbury Vale CCG</t>
  </si>
  <si>
    <t>NHS Barnet CCG</t>
  </si>
  <si>
    <t>NHS Barnsley CCG</t>
  </si>
  <si>
    <t>NHS Bassetlaw CCG</t>
  </si>
  <si>
    <t>NHS Bedfordshire CCG</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</si>
  <si>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</si>
  <si>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</si>
  <si>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</si>
  <si>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</si>
  <si>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</si>
  <si>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</si>
  <si>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</si>
  <si>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</si>
  <si>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</si>
  <si>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</si>
  <si>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</si>
  <si>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</si>
  <si>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</si>
  <si>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</si>
  <si>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</si>
  <si>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</si>
  <si>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Chiltern CCG</t>
  </si>
  <si>
    <t>NHS Coastal West Sussex CCG</t>
  </si>
  <si>
    <t>NHS Corby CCG</t>
  </si>
  <si>
    <t>NHS Crawley CCG</t>
  </si>
  <si>
    <t>NHS Croydon CCG</t>
  </si>
  <si>
    <t>NHS Cumbria CCG</t>
  </si>
  <si>
    <t>NHS Darlington CCG</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</si>
  <si>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</si>
  <si>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</si>
  <si>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</si>
  <si>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</si>
  <si>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</si>
  <si>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</si>
  <si>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</si>
  <si>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</si>
  <si>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</si>
  <si>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</si>
  <si>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Fylde &amp; Wyre CCG</t>
  </si>
  <si>
    <t>NHS Gloucestershire CCG</t>
  </si>
  <si>
    <t>NHS Greater Huddersfield CCG</t>
  </si>
  <si>
    <t>NHS Greater Preston CCG</t>
  </si>
  <si>
    <t>NHS Greenwich CCG</t>
  </si>
  <si>
    <t>NHS Halton CCG</t>
  </si>
  <si>
    <t>NHS Hardwick CCG</t>
  </si>
  <si>
    <t>NHS Haringey CCG</t>
  </si>
  <si>
    <t>NHS Harrow CCG</t>
  </si>
  <si>
    <t>NHS Havering CCG</t>
  </si>
  <si>
    <t>NHS Herefordshire CCG</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</si>
  <si>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</si>
  <si>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</si>
  <si>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</si>
  <si>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</si>
  <si>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</si>
  <si>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</si>
  <si>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</si>
  <si>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</si>
  <si>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</si>
  <si>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</si>
  <si>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</si>
  <si>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</si>
  <si>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</si>
  <si>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</si>
  <si>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</si>
  <si>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</si>
  <si>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</si>
  <si>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</si>
  <si>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</si>
  <si>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</si>
  <si>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</si>
  <si>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</si>
  <si>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</si>
  <si>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</si>
  <si>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</si>
  <si>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</si>
  <si>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</si>
  <si>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</si>
  <si>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</si>
  <si>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</si>
  <si>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</si>
  <si>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</si>
  <si>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</si>
  <si>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</si>
  <si>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</si>
  <si>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</si>
  <si>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</si>
  <si>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</si>
  <si>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</si>
  <si>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</si>
  <si>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</si>
  <si>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</si>
  <si>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</si>
  <si>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</si>
  <si>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</si>
  <si>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</si>
  <si>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</si>
  <si>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</si>
  <si>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</si>
  <si>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</si>
  <si>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</si>
  <si>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</si>
  <si>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</si>
  <si>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</si>
  <si>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</si>
  <si>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</si>
  <si>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</si>
  <si>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</si>
  <si>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</si>
  <si>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</si>
  <si>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</si>
  <si>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</si>
  <si>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</si>
  <si>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</si>
  <si>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</si>
  <si>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</si>
  <si>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</si>
  <si>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</si>
  <si>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</si>
  <si>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</si>
  <si>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</si>
  <si>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</si>
  <si>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</si>
  <si>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</si>
  <si>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</si>
  <si>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</si>
  <si>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</si>
  <si>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</si>
  <si>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</si>
  <si>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</si>
  <si>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</si>
  <si>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</si>
  <si>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</si>
  <si>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</si>
  <si>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</si>
  <si>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</si>
  <si>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</si>
  <si>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</si>
  <si>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</si>
  <si>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</si>
  <si>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</si>
  <si>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</si>
  <si>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</si>
  <si>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</si>
  <si>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</si>
  <si>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</si>
  <si>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</si>
  <si>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</si>
  <si>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</si>
  <si>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</si>
  <si>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Norfolk CCG</t>
  </si>
  <si>
    <t>NHS West Suffolk CCG</t>
  </si>
  <si>
    <t>NHS Wigan Borough CCG</t>
  </si>
  <si>
    <t>NHS Wiltshire CCG</t>
  </si>
  <si>
    <t>NHS Wirral CCG</t>
  </si>
  <si>
    <t>NHS Wokingham CCG</t>
  </si>
  <si>
    <t>NHS Wolverhampton CCG</t>
  </si>
  <si>
    <t>NHS Wyre Forest CCG</t>
  </si>
  <si>
    <t>North East Ambulance Service NHS Foundation Trust</t>
  </si>
  <si>
    <t>Oxford University Hospitals NHS Trust</t>
  </si>
  <si>
    <t>Royal Free London NHS Foundation Trust</t>
  </si>
  <si>
    <t>South Central Ambulance Service NHS Foundation Trust</t>
  </si>
  <si>
    <t>The Clatterbridge Cancer Centre NHS Foundation Trust</t>
  </si>
  <si>
    <t>The Dudley Group NHS Foundation Trust</t>
  </si>
  <si>
    <t>The Queen Elizabeth Hospital, King's Lynn, Nhs Foundation Trust</t>
  </si>
  <si>
    <t>The Royal Wolverhampton NHS Trust</t>
  </si>
  <si>
    <t>Torbay And Southern Devon Health And Care NHS Trust</t>
  </si>
  <si>
    <t>University Hospital Southampton NHS Foundation Trust</t>
  </si>
  <si>
    <t>West Suffolk NHS Foundation Trust</t>
  </si>
  <si>
    <t>• an understanding of how many of your patients' appointments are rearranged</t>
  </si>
  <si>
    <t>The sliders below show figures calculated from your data.  If you position the slider on the absolute right this value from your data is displayed.  If you wish to experiment with different parameters you can adjust these sliders accordingly.</t>
  </si>
  <si>
    <t>Ashford and St Peter's Hospitals NHS Foundation Trust</t>
  </si>
  <si>
    <t>Bridgewater Community Healthcare NHS Foundation Trust</t>
  </si>
  <si>
    <t>Derbyshire Community Health Services NHS Foundation Trust</t>
  </si>
  <si>
    <t>Frimley Health NHS Foundation Trust</t>
  </si>
  <si>
    <t>Gloucestershire Care Services NHS Trust</t>
  </si>
  <si>
    <t>Hertfordshire Partnership University NHS Foundation Trust</t>
  </si>
  <si>
    <t>Kingston Hospital NHS Foundation Trust</t>
  </si>
  <si>
    <t>Lewisham and Greenwich NHS Trust</t>
  </si>
  <si>
    <t>Liverpool Heart and Chest Hospital NHS Foundation Trust</t>
  </si>
  <si>
    <t>London North West Healthcare NHS Trust</t>
  </si>
  <si>
    <t>Luton and Dunstable University Hospital NHS Foundation Trust</t>
  </si>
  <si>
    <t>Norfolk and Norwich University Hospitals NHS Foundation Trust</t>
  </si>
  <si>
    <t>Norfolk and Suffolk NHS Foundation Trust</t>
  </si>
  <si>
    <t>Norfolk Community Health and Care NHS Trust</t>
  </si>
  <si>
    <t>North Essex Partnership University NHS Foundation Trust</t>
  </si>
  <si>
    <t>North Tees and Hartlepool NHS Foundation Trust</t>
  </si>
  <si>
    <t>Northern Lincolnshire and Goole NHS Foundation Trust</t>
  </si>
  <si>
    <t>Northumberland, Tyne and Wear NHS Foundation Trust</t>
  </si>
  <si>
    <t>Rotherham Doncaster and South Humber NHS Foundation Trust</t>
  </si>
  <si>
    <t>Royal Brompton &amp; Harefield NHS Foundation Trust</t>
  </si>
  <si>
    <t>Royal United Hospitals Bath NHS Foundation Trust</t>
  </si>
  <si>
    <t>Sheffield Health &amp; Social Care NHS Foundation Trust</t>
  </si>
  <si>
    <t>University Hospitals of North Midlands NHS Trust</t>
  </si>
  <si>
    <t>West Midlands Ambulance Service NHS Foundation Trust</t>
  </si>
  <si>
    <t>Western Sussex Hospitals NHS Foundation Trust</t>
  </si>
  <si>
    <t>NHS Airedale, Wharfedale and Craven CCG</t>
  </si>
  <si>
    <t>NHS Barking and Dagenham CCG</t>
  </si>
  <si>
    <t>NHS Basildon and Brentwood CCG</t>
  </si>
  <si>
    <t>NHS Bath and North East Somerset CCG</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</si>
  <si>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</si>
  <si>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</si>
  <si>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</si>
  <si>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</si>
  <si>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</si>
  <si>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</si>
  <si>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</si>
  <si>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</si>
  <si>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</si>
  <si>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</si>
  <si>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</si>
  <si>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</si>
  <si>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</si>
  <si>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</si>
  <si>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</si>
  <si>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</si>
  <si>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</si>
  <si>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</si>
  <si>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</si>
  <si>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</si>
  <si>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</si>
  <si>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</si>
  <si>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</si>
  <si>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</si>
  <si>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</si>
  <si>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</si>
  <si>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</si>
  <si>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Leeds South and East CCG</t>
  </si>
  <si>
    <t>NHS Mansfield and Ashfield CCG</t>
  </si>
  <si>
    <t>NHS Newbury and District CCG</t>
  </si>
  <si>
    <t>NHS Newcastle Gateshead CCG</t>
  </si>
  <si>
    <t>NHS North East Hampshire and Farnham CCG</t>
  </si>
  <si>
    <t>NHS Northern, Eastern and Western Devon CCG</t>
  </si>
  <si>
    <t>NHS Nottingham North and East CCG</t>
  </si>
  <si>
    <t>NHS Redditch and Bromsgrove CCG</t>
  </si>
  <si>
    <t>NHS Sandwell and West Birmingham CCG</t>
  </si>
  <si>
    <t>NHS Scarborough and Ryedale CCG</t>
  </si>
  <si>
    <t>NHS South Devon and Torbay CCG</t>
  </si>
  <si>
    <t>NHS South East Staffordshire and Seisdon Peninsula CCG</t>
  </si>
  <si>
    <t>NHS Southport and Formby CCG</t>
  </si>
  <si>
    <t>NHS Stafford and Surrounds CCG</t>
  </si>
  <si>
    <t>NHS Surrey Heath CCG</t>
  </si>
  <si>
    <t>NHS Tameside and Glossop CCG</t>
  </si>
  <si>
    <t>NHS Telford and Wrekin CCG</t>
  </si>
  <si>
    <t>NHS Vale of York CCG</t>
  </si>
  <si>
    <t>NHS West London CCG</t>
  </si>
  <si>
    <t>NHS Windsor, Ascot and Maidenhead CCG</t>
  </si>
  <si>
    <t>A. N. Other NHS Foundation Trust</t>
  </si>
  <si>
    <t>A Tumour Site</t>
  </si>
  <si>
    <r>
      <rPr>
        <b/>
        <sz val="11"/>
        <color theme="1"/>
        <rFont val="Calibri"/>
        <family val="2"/>
        <scheme val="minor"/>
      </rPr>
      <t xml:space="preserve">Cancer Waiting Times guidance Version 9 states: </t>
    </r>
    <r>
      <rPr>
        <sz val="11"/>
        <color theme="1"/>
        <rFont val="Calibri"/>
        <family val="2"/>
        <scheme val="minor"/>
      </rPr>
      <t xml:space="preserve">
Patients should not be referred back to their GP after a single Did Not Attend (DNA) or cancellation.  Patients can only be referred back to their GP after multiple (two or more) DNAs.</t>
    </r>
  </si>
  <si>
    <t>E-Referral Appointments</t>
  </si>
  <si>
    <t>Percentage of appts where choice given</t>
  </si>
  <si>
    <t>% of patients offered choice</t>
  </si>
  <si>
    <t>% of E-Referral bookings</t>
  </si>
  <si>
    <t>% of appointments rearranged</t>
  </si>
  <si>
    <t>Net Weekly PTL Size Change</t>
  </si>
  <si>
    <t>Core Activity</t>
  </si>
  <si>
    <t>Ad-Hoc Activity</t>
  </si>
  <si>
    <r>
      <t xml:space="preserve">• an understanding of how many of your patients are referred using the </t>
    </r>
    <r>
      <rPr>
        <b/>
        <sz val="10"/>
        <color indexed="8"/>
        <rFont val="Arial"/>
        <family val="2"/>
      </rPr>
      <t>E-Referral</t>
    </r>
    <r>
      <rPr>
        <sz val="10"/>
        <color indexed="8"/>
        <rFont val="Arial"/>
        <family val="2"/>
      </rPr>
      <t xml:space="preserve"> system</t>
    </r>
  </si>
  <si>
    <t>Enter here how many 2WW referrals your Trust received each week over the past (or most recent available) 52 weeks.
If you are able to split referrals into those received via the E-Referral service and those received by other means then use the two respective columns provided; if not then please enter all referrals in the 'By Fax/Other' column.</t>
  </si>
  <si>
    <t>By E-Referral</t>
  </si>
  <si>
    <t>Reset Date</t>
  </si>
  <si>
    <t>2WW Slots Per Clinic</t>
  </si>
  <si>
    <t>Total 2WW Slots</t>
  </si>
  <si>
    <t>Enter available slots by clinic to calculate the overall capacity for the service, looking forward. If  the number of 2WW slots available is reduced, list those clinics separately (e.g. when a consultant is absent).</t>
  </si>
  <si>
    <t>Enter below your 2WW activity over the past 52 weeks.  Exclude weekend activity where it is only normally used for waiting list initiatives and other additional weekday ad hoc clinics if these are significant.</t>
  </si>
  <si>
    <t>Enter below any additional 2WW activity over the past 52 weeks; principally weekend working, but include any other where this represents a significant amount (e.g. an ad hoc clinic per week for a month).</t>
  </si>
  <si>
    <t>Through E-Referral</t>
  </si>
  <si>
    <r>
      <t xml:space="preserve">The model also helps you to understand the ideal waiting list size and what </t>
    </r>
    <r>
      <rPr>
        <b/>
        <sz val="10"/>
        <color indexed="8"/>
        <rFont val="Arial"/>
        <family val="2"/>
      </rPr>
      <t>backlog</t>
    </r>
    <r>
      <rPr>
        <sz val="10"/>
        <color indexed="8"/>
        <rFont val="Arial"/>
        <family val="2"/>
      </rPr>
      <t xml:space="preserve"> reduction is needed to be performed to achieve this.</t>
    </r>
  </si>
  <si>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</si>
  <si>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</si>
  <si>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</si>
  <si>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</si>
  <si>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The NHS IMAS IST Cancer First Outpatients Demand &amp; Capacity Model</t>
  </si>
  <si>
    <t>`</t>
  </si>
  <si>
    <t>Demand</t>
  </si>
  <si>
    <t>Go to 'Historic Activity' Calculator</t>
  </si>
  <si>
    <t>Go back to top of sheet</t>
  </si>
  <si>
    <r>
      <t xml:space="preserve">This model uses </t>
    </r>
    <r>
      <rPr>
        <b/>
        <sz val="10"/>
        <color indexed="8"/>
        <rFont val="Arial"/>
        <family val="2"/>
      </rPr>
      <t>mean</t>
    </r>
    <r>
      <rPr>
        <sz val="10"/>
        <color indexed="8"/>
        <rFont val="Arial"/>
        <family val="2"/>
      </rPr>
      <t xml:space="preserve"> referrals per week as a proxy for your demand to produce estimates of sustainable waiting list size.</t>
    </r>
  </si>
  <si>
    <t>This is where you enter your 2WW referral and attendance information.  The model will not work if this sheet is not fully completed.</t>
  </si>
  <si>
    <t>The sliders below are for you to input some key data items about your Trust.  You can choose the earliest day (from 1 to 14) when a patient will realistically be seen and also set a custom maximum wait (if you have an internal stretch target, for example).</t>
  </si>
  <si>
    <r>
      <t xml:space="preserve">The estimated sustainable capacity levels given in this model are based on the </t>
    </r>
    <r>
      <rPr>
        <b/>
        <sz val="10"/>
        <color theme="1"/>
        <rFont val="Arial"/>
        <family val="2"/>
      </rPr>
      <t>75</t>
    </r>
    <r>
      <rPr>
        <b/>
        <vertAlign val="superscript"/>
        <sz val="10"/>
        <color theme="1"/>
        <rFont val="Arial"/>
        <family val="2"/>
      </rPr>
      <t>th</t>
    </r>
    <r>
      <rPr>
        <b/>
        <sz val="10"/>
        <color theme="1"/>
        <rFont val="Arial"/>
        <family val="2"/>
      </rPr>
      <t xml:space="preserve"> to </t>
    </r>
    <r>
      <rPr>
        <b/>
        <sz val="10"/>
        <color indexed="8"/>
        <rFont val="Arial"/>
        <family val="2"/>
      </rPr>
      <t>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referrals.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</si>
</sst>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numFmt numFmtId="167" formatCode="0.00000"/>
    <numFmt numFmtId="168" formatCode="#,##0.000"/>
  </numFmts>
  <fonts count="55" x14ac:knownFonts="1">
    <font>
      <sz val="11"/>
      <color theme="1"/>
      <name val="Calibri"/>
      <family val="2"/>
      <scheme val="minor"/>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9"/>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0"/>
      <name val="Verdana"/>
      <family val="2"/>
    </font>
    <font>
      <sz val="10"/>
      <color rgb="FF0091C9"/>
      <name val="Arial"/>
      <family val="2"/>
    </font>
    <font>
      <sz val="11"/>
      <name val="Calibri"/>
      <family val="2"/>
      <scheme val="minor"/>
    </font>
    <font>
      <u/>
      <sz val="10"/>
      <color rgb="FF0091C9"/>
      <name val="Arial"/>
      <family val="2"/>
    </font>
    <font>
      <b/>
      <sz val="9"/>
      <color rgb="FF0091C9"/>
      <name val="Verdana"/>
      <family val="2"/>
    </font>
    <font>
      <sz val="9"/>
      <color rgb="FF0091C9"/>
      <name val="Arial"/>
      <family val="2"/>
    </font>
    <font>
      <sz val="10"/>
      <color theme="0"/>
      <name val="Garamond"/>
      <family val="1"/>
    </font>
    <font>
      <b/>
      <sz val="9"/>
      <color theme="0"/>
      <name val="Verdana"/>
      <family val="2"/>
    </font>
    <font>
      <sz val="9"/>
      <color theme="0"/>
      <name val="Arial"/>
      <family val="2"/>
    </font>
    <font>
      <sz val="10"/>
      <color rgb="FF000000"/>
      <name val="Arial"/>
      <family val="2"/>
    </font>
    <font>
      <b/>
      <sz val="14"/>
      <color rgb="FF0091C9"/>
      <name val="Arial"/>
      <family val="2"/>
    </font>
    <font>
      <b/>
      <sz val="10"/>
      <color theme="1"/>
      <name val="Arial"/>
      <family val="2"/>
    </font>
    <font>
      <b/>
      <sz val="9"/>
      <color theme="0"/>
      <name val="Arial"/>
      <family val="2"/>
    </font>
    <font>
      <b/>
      <sz val="10"/>
      <color theme="0"/>
      <name val="Verdana"/>
      <family val="2"/>
    </font>
    <font>
      <b/>
      <sz val="12"/>
      <color rgb="FF000000"/>
      <name val="Arial"/>
      <family val="2"/>
    </font>
    <font>
      <sz val="10"/>
      <color theme="0"/>
      <name val="Arial"/>
      <family val="2"/>
    </font>
    <font>
      <b/>
      <sz val="10"/>
      <color rgb="FF0091C9"/>
      <name val="Verdana"/>
      <family val="2"/>
    </font>
    <font>
      <b/>
      <sz val="11"/>
      <color theme="1"/>
      <name val="Arial"/>
      <family val="2"/>
    </font>
    <font>
      <sz val="8"/>
      <color rgb="FF000000"/>
      <name val="Tahoma"/>
      <family val="2"/>
    </font>
    <font>
      <sz val="8"/>
      <color theme="1"/>
      <name val="Arial"/>
      <family val="2"/>
    </font>
    <font>
      <u/>
      <sz val="9"/>
      <color theme="10"/>
      <name val="Calibri"/>
      <family val="2"/>
    </font>
    <font>
      <b/>
      <vertAlign val="superscript"/>
      <sz val="10"/>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1C9"/>
        <bgColor indexed="64"/>
      </patternFill>
    </fill>
    <fill>
      <patternFill patternType="solid">
        <fgColor theme="0"/>
        <bgColor indexed="64"/>
      </patternFill>
    </fill>
  </fills>
  <borders count="7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91C9"/>
      </left>
      <right/>
      <top/>
      <bottom/>
      <diagonal/>
    </border>
    <border>
      <left/>
      <right style="thin">
        <color rgb="FF0091C9"/>
      </right>
      <top/>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style="thin">
        <color rgb="FF0091C9"/>
      </right>
      <top style="medium">
        <color rgb="FF0091C9"/>
      </top>
      <bottom style="hair">
        <color rgb="FF0091C9"/>
      </bottom>
      <diagonal/>
    </border>
    <border>
      <left style="thin">
        <color rgb="FF0091C9"/>
      </left>
      <right style="thin">
        <color rgb="FF0091C9"/>
      </right>
      <top style="medium">
        <color rgb="FF0091C9"/>
      </top>
      <bottom style="hair">
        <color rgb="FF0091C9"/>
      </bottom>
      <diagonal/>
    </border>
    <border>
      <left style="thin">
        <color rgb="FF0091C9"/>
      </left>
      <right style="medium">
        <color rgb="FF0091C9"/>
      </right>
      <top style="medium">
        <color rgb="FF0091C9"/>
      </top>
      <bottom style="hair">
        <color rgb="FF0091C9"/>
      </bottom>
      <diagonal/>
    </border>
    <border>
      <left style="medium">
        <color rgb="FF0091C9"/>
      </left>
      <right style="thin">
        <color rgb="FF0091C9"/>
      </right>
      <top style="hair">
        <color rgb="FF0091C9"/>
      </top>
      <bottom style="hair">
        <color rgb="FF0091C9"/>
      </bottom>
      <diagonal/>
    </border>
    <border>
      <left style="thin">
        <color rgb="FF0091C9"/>
      </left>
      <right style="thin">
        <color rgb="FF0091C9"/>
      </right>
      <top style="hair">
        <color rgb="FF0091C9"/>
      </top>
      <bottom style="hair">
        <color rgb="FF0091C9"/>
      </bottom>
      <diagonal/>
    </border>
    <border>
      <left style="thin">
        <color rgb="FF0091C9"/>
      </left>
      <right style="medium">
        <color rgb="FF0091C9"/>
      </right>
      <top style="hair">
        <color rgb="FF0091C9"/>
      </top>
      <bottom style="hair">
        <color rgb="FF0091C9"/>
      </bottom>
      <diagonal/>
    </border>
    <border>
      <left style="medium">
        <color rgb="FF0091C9"/>
      </left>
      <right style="thin">
        <color rgb="FF0091C9"/>
      </right>
      <top style="hair">
        <color rgb="FF0091C9"/>
      </top>
      <bottom style="medium">
        <color rgb="FF0091C9"/>
      </bottom>
      <diagonal/>
    </border>
    <border>
      <left style="thin">
        <color rgb="FF0091C9"/>
      </left>
      <right style="thin">
        <color rgb="FF0091C9"/>
      </right>
      <top style="hair">
        <color rgb="FF0091C9"/>
      </top>
      <bottom style="medium">
        <color rgb="FF0091C9"/>
      </bottom>
      <diagonal/>
    </border>
    <border>
      <left style="thin">
        <color rgb="FF0091C9"/>
      </left>
      <right style="medium">
        <color rgb="FF0091C9"/>
      </right>
      <top style="hair">
        <color rgb="FF0091C9"/>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medium">
        <color rgb="FF0091C9"/>
      </left>
      <right/>
      <top/>
      <bottom style="medium">
        <color rgb="FF0091C9"/>
      </bottom>
      <diagonal/>
    </border>
    <border>
      <left style="thin">
        <color rgb="FF0091C9"/>
      </left>
      <right/>
      <top/>
      <bottom style="thin">
        <color rgb="FF0091C9"/>
      </bottom>
      <diagonal/>
    </border>
    <border>
      <left/>
      <right/>
      <top/>
      <bottom style="thin">
        <color rgb="FF0091C9"/>
      </bottom>
      <diagonal/>
    </border>
    <border>
      <left style="thin">
        <color rgb="FF0091C9"/>
      </left>
      <right style="thin">
        <color rgb="FF0091C9"/>
      </right>
      <top style="thin">
        <color rgb="FF0091C9"/>
      </top>
      <bottom style="hair">
        <color rgb="FF0091C9"/>
      </bottom>
      <diagonal/>
    </border>
    <border>
      <left/>
      <right style="thin">
        <color rgb="FF0091C9"/>
      </right>
      <top/>
      <bottom style="thin">
        <color rgb="FF0091C9"/>
      </bottom>
      <diagonal/>
    </border>
    <border>
      <left style="thin">
        <color rgb="FF0091C9"/>
      </left>
      <right style="thin">
        <color rgb="FF0091C9"/>
      </right>
      <top style="hair">
        <color rgb="FF0091C9"/>
      </top>
      <bottom style="thin">
        <color rgb="FF0091C9"/>
      </bottom>
      <diagonal/>
    </border>
    <border>
      <left/>
      <right style="medium">
        <color rgb="FF0091C9"/>
      </right>
      <top style="medium">
        <color rgb="FF0091C9"/>
      </top>
      <bottom style="medium">
        <color rgb="FF0091C9"/>
      </bottom>
      <diagonal/>
    </border>
    <border>
      <left style="medium">
        <color rgb="FF0091C9"/>
      </left>
      <right/>
      <top style="medium">
        <color rgb="FF0091C9"/>
      </top>
      <bottom style="medium">
        <color rgb="FF0091C9"/>
      </bottom>
      <diagonal/>
    </border>
    <border>
      <left/>
      <right/>
      <top style="medium">
        <color rgb="FF0091C9"/>
      </top>
      <bottom style="medium">
        <color rgb="FF0091C9"/>
      </bottom>
      <diagonal/>
    </border>
    <border>
      <left style="thin">
        <color rgb="FF0091C9"/>
      </left>
      <right/>
      <top style="medium">
        <color rgb="FF0091C9"/>
      </top>
      <bottom style="hair">
        <color rgb="FF0091C9"/>
      </bottom>
      <diagonal/>
    </border>
    <border>
      <left style="thin">
        <color rgb="FF0091C9"/>
      </left>
      <right/>
      <top style="hair">
        <color rgb="FF0091C9"/>
      </top>
      <bottom style="hair">
        <color rgb="FF0091C9"/>
      </bottom>
      <diagonal/>
    </border>
    <border>
      <left style="thin">
        <color rgb="FF0091C9"/>
      </left>
      <right/>
      <top style="hair">
        <color rgb="FF0091C9"/>
      </top>
      <bottom style="medium">
        <color rgb="FF0091C9"/>
      </bottom>
      <diagonal/>
    </border>
    <border>
      <left/>
      <right style="thin">
        <color rgb="FF0091C9"/>
      </right>
      <top style="medium">
        <color rgb="FF0091C9"/>
      </top>
      <bottom style="hair">
        <color rgb="FF0091C9"/>
      </bottom>
      <diagonal/>
    </border>
    <border>
      <left/>
      <right style="thin">
        <color rgb="FF0091C9"/>
      </right>
      <top style="hair">
        <color rgb="FF0091C9"/>
      </top>
      <bottom style="hair">
        <color rgb="FF0091C9"/>
      </bottom>
      <diagonal/>
    </border>
    <border>
      <left style="medium">
        <color rgb="FF0091C9"/>
      </left>
      <right/>
      <top style="hair">
        <color rgb="FF0091C9"/>
      </top>
      <bottom style="hair">
        <color rgb="FF0091C9"/>
      </bottom>
      <diagonal/>
    </border>
    <border>
      <left style="medium">
        <color rgb="FF0091C9"/>
      </left>
      <right/>
      <top style="medium">
        <color rgb="FF0091C9"/>
      </top>
      <bottom style="hair">
        <color rgb="FF0091C9"/>
      </bottom>
      <diagonal/>
    </border>
    <border>
      <left style="medium">
        <color rgb="FF0091C9"/>
      </left>
      <right/>
      <top style="hair">
        <color rgb="FF0091C9"/>
      </top>
      <bottom style="medium">
        <color rgb="FF0091C9"/>
      </bottom>
      <diagonal/>
    </border>
    <border>
      <left style="thin">
        <color rgb="FF0091C9"/>
      </left>
      <right style="thin">
        <color rgb="FF0091C9"/>
      </right>
      <top/>
      <bottom style="hair">
        <color rgb="FF0091C9"/>
      </bottom>
      <diagonal/>
    </border>
    <border>
      <left style="medium">
        <color rgb="FF0091C9"/>
      </left>
      <right/>
      <top/>
      <bottom/>
      <diagonal/>
    </border>
    <border>
      <left/>
      <right style="medium">
        <color rgb="FF0091C9"/>
      </right>
      <top/>
      <bottom/>
      <diagonal/>
    </border>
    <border>
      <left style="medium">
        <color rgb="FF0091C9"/>
      </left>
      <right style="medium">
        <color rgb="FF0091C9"/>
      </right>
      <top style="medium">
        <color rgb="FF0091C9"/>
      </top>
      <bottom/>
      <diagonal/>
    </border>
    <border>
      <left style="medium">
        <color rgb="FF0091C9"/>
      </left>
      <right style="medium">
        <color rgb="FF0091C9"/>
      </right>
      <top style="hair">
        <color rgb="FF0091C9"/>
      </top>
      <bottom style="hair">
        <color rgb="FF0091C9"/>
      </bottom>
      <diagonal/>
    </border>
    <border>
      <left style="medium">
        <color rgb="FF0091C9"/>
      </left>
      <right style="medium">
        <color rgb="FF0091C9"/>
      </right>
      <top style="hair">
        <color rgb="FF0091C9"/>
      </top>
      <bottom style="medium">
        <color rgb="FF0091C9"/>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right style="thin">
        <color rgb="FF0091C9"/>
      </right>
      <top style="hair">
        <color rgb="FF0091C9"/>
      </top>
      <bottom style="medium">
        <color rgb="FF0091C9"/>
      </bottom>
      <diagonal/>
    </border>
    <border>
      <left/>
      <right/>
      <top style="hair">
        <color rgb="FF0091C9"/>
      </top>
      <bottom style="hair">
        <color rgb="FF0091C9"/>
      </bottom>
      <diagonal/>
    </border>
    <border>
      <left style="thin">
        <color rgb="FF0091C9"/>
      </left>
      <right/>
      <top style="hair">
        <color rgb="FF0091C9"/>
      </top>
      <bottom style="thin">
        <color rgb="FF0091C9"/>
      </bottom>
      <diagonal/>
    </border>
    <border>
      <left/>
      <right/>
      <top style="hair">
        <color rgb="FF0091C9"/>
      </top>
      <bottom style="thin">
        <color rgb="FF0091C9"/>
      </bottom>
      <diagonal/>
    </border>
    <border>
      <left/>
      <right style="thin">
        <color rgb="FF0091C9"/>
      </right>
      <top style="hair">
        <color rgb="FF0091C9"/>
      </top>
      <bottom style="thin">
        <color rgb="FF0091C9"/>
      </bottom>
      <diagonal/>
    </border>
    <border>
      <left style="medium">
        <color rgb="FF0091C9"/>
      </left>
      <right/>
      <top/>
      <bottom style="thin">
        <color rgb="FF0091C9"/>
      </bottom>
      <diagonal/>
    </border>
    <border>
      <left/>
      <right style="medium">
        <color rgb="FF0091C9"/>
      </right>
      <top/>
      <bottom style="thin">
        <color rgb="FF0091C9"/>
      </bottom>
      <diagonal/>
    </border>
    <border>
      <left style="thin">
        <color rgb="FF0091C9"/>
      </left>
      <right/>
      <top style="thin">
        <color rgb="FF0091C9"/>
      </top>
      <bottom style="hair">
        <color rgb="FF0091C9"/>
      </bottom>
      <diagonal/>
    </border>
    <border>
      <left/>
      <right/>
      <top style="thin">
        <color rgb="FF0091C9"/>
      </top>
      <bottom style="hair">
        <color rgb="FF0091C9"/>
      </bottom>
      <diagonal/>
    </border>
    <border>
      <left/>
      <right style="thin">
        <color rgb="FF0091C9"/>
      </right>
      <top style="thin">
        <color rgb="FF0091C9"/>
      </top>
      <bottom style="hair">
        <color rgb="FF0091C9"/>
      </bottom>
      <diagonal/>
    </border>
    <border>
      <left style="medium">
        <color rgb="FF0091C9"/>
      </left>
      <right/>
      <top/>
      <bottom style="hair">
        <color rgb="FF0091C9"/>
      </bottom>
      <diagonal/>
    </border>
    <border>
      <left/>
      <right/>
      <top/>
      <bottom style="hair">
        <color rgb="FF0091C9"/>
      </bottom>
      <diagonal/>
    </border>
    <border>
      <left style="thin">
        <color rgb="FF0091C9"/>
      </left>
      <right/>
      <top/>
      <bottom style="hair">
        <color rgb="FF0091C9"/>
      </bottom>
      <diagonal/>
    </border>
    <border>
      <left/>
      <right style="thin">
        <color rgb="FF0091C9"/>
      </right>
      <top/>
      <bottom style="hair">
        <color rgb="FF0091C9"/>
      </bottom>
      <diagonal/>
    </border>
    <border>
      <left/>
      <right style="medium">
        <color rgb="FF0091C9"/>
      </right>
      <top style="medium">
        <color rgb="FF0091C9"/>
      </top>
      <bottom style="hair">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hair">
        <color rgb="FF0091C9"/>
      </bottom>
      <diagonal/>
    </border>
    <border>
      <left style="thin">
        <color indexed="30"/>
      </left>
      <right/>
      <top style="hair">
        <color indexed="30"/>
      </top>
      <bottom style="thin">
        <color indexed="30"/>
      </bottom>
      <diagonal/>
    </border>
    <border>
      <left/>
      <right/>
      <top style="hair">
        <color indexed="30"/>
      </top>
      <bottom style="thin">
        <color indexed="30"/>
      </bottom>
      <diagonal/>
    </border>
    <border>
      <left/>
      <right style="thin">
        <color indexed="30"/>
      </right>
      <top style="hair">
        <color indexed="30"/>
      </top>
      <bottom style="thin">
        <color indexed="30"/>
      </bottom>
      <diagonal/>
    </border>
    <border>
      <left style="thin">
        <color indexed="30"/>
      </left>
      <right/>
      <top/>
      <bottom/>
      <diagonal/>
    </border>
    <border>
      <left style="thin">
        <color rgb="FF0091C9"/>
      </left>
      <right style="thin">
        <color rgb="FF0091C9"/>
      </right>
      <top style="thin">
        <color rgb="FF0091C9"/>
      </top>
      <bottom style="thin">
        <color rgb="FF0091C9"/>
      </bottom>
      <diagonal/>
    </border>
  </borders>
  <cellStyleXfs count="4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1" applyNumberFormat="0" applyAlignment="0" applyProtection="0"/>
    <xf numFmtId="0" fontId="18" fillId="28" borderId="2" applyNumberFormat="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5" fillId="30" borderId="1" applyNumberFormat="0" applyAlignment="0" applyProtection="0"/>
    <xf numFmtId="0" fontId="26" fillId="0" borderId="6" applyNumberFormat="0" applyFill="0" applyAlignment="0" applyProtection="0"/>
    <xf numFmtId="0" fontId="27" fillId="31" borderId="0" applyNumberFormat="0" applyBorder="0" applyAlignment="0" applyProtection="0"/>
    <xf numFmtId="0" fontId="1" fillId="0" borderId="0"/>
    <xf numFmtId="0" fontId="28" fillId="0" borderId="0"/>
    <xf numFmtId="0" fontId="14" fillId="32" borderId="7" applyNumberFormat="0" applyFont="0" applyAlignment="0" applyProtection="0"/>
    <xf numFmtId="0" fontId="29" fillId="27"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9" fontId="14" fillId="0" borderId="0" applyFont="0" applyFill="0" applyBorder="0" applyAlignment="0" applyProtection="0"/>
  </cellStyleXfs>
  <cellXfs count="421">
    <xf numFmtId="0" fontId="0" fillId="0" borderId="0" xfId="0"/>
    <xf numFmtId="49" fontId="0" fillId="0" borderId="0" xfId="0" applyNumberFormat="1" applyAlignment="1">
      <alignment vertical="top" wrapText="1"/>
    </xf>
    <xf numFmtId="0" fontId="0" fillId="0" borderId="0" xfId="0" applyAlignment="1"/>
    <xf numFmtId="49" fontId="0" fillId="0" borderId="0" xfId="0" applyNumberFormat="1" applyAlignment="1"/>
    <xf numFmtId="0" fontId="0" fillId="0" borderId="0" xfId="0"/>
    <xf numFmtId="0" fontId="33" fillId="33" borderId="12" xfId="0" applyFont="1" applyFill="1" applyBorder="1" applyAlignment="1">
      <alignment horizontal="center" vertical="center" wrapText="1"/>
    </xf>
    <xf numFmtId="49" fontId="33" fillId="33" borderId="13" xfId="0" applyNumberFormat="1" applyFont="1" applyFill="1" applyBorder="1" applyAlignment="1">
      <alignment horizontal="center" vertical="center" wrapText="1"/>
    </xf>
    <xf numFmtId="49" fontId="33" fillId="33" borderId="14" xfId="0" applyNumberFormat="1" applyFont="1" applyFill="1" applyBorder="1" applyAlignment="1">
      <alignment horizontal="center" vertical="center" wrapText="1"/>
    </xf>
    <xf numFmtId="49" fontId="28" fillId="0" borderId="10" xfId="0" applyNumberFormat="1" applyFont="1" applyBorder="1" applyAlignment="1">
      <alignment vertical="top" wrapText="1"/>
    </xf>
    <xf numFmtId="0" fontId="28" fillId="0" borderId="0" xfId="0" applyFont="1"/>
    <xf numFmtId="0" fontId="3" fillId="0" borderId="16" xfId="39" applyFont="1" applyFill="1" applyBorder="1" applyProtection="1">
      <protection locked="0"/>
    </xf>
    <xf numFmtId="3" fontId="3" fillId="0" borderId="16" xfId="39" applyNumberFormat="1" applyFont="1" applyFill="1" applyBorder="1" applyProtection="1">
      <protection locked="0"/>
    </xf>
    <xf numFmtId="3" fontId="3" fillId="0" borderId="16" xfId="39" applyNumberFormat="1" applyFont="1" applyFill="1" applyBorder="1" applyProtection="1"/>
    <xf numFmtId="165" fontId="3" fillId="0" borderId="17" xfId="39" applyNumberFormat="1" applyFont="1" applyFill="1" applyBorder="1" applyProtection="1"/>
    <xf numFmtId="0" fontId="3" fillId="0" borderId="19" xfId="39" applyFont="1" applyFill="1" applyBorder="1" applyProtection="1">
      <protection locked="0"/>
    </xf>
    <xf numFmtId="3" fontId="3" fillId="0" borderId="19" xfId="39" applyNumberFormat="1" applyFont="1" applyFill="1" applyBorder="1" applyProtection="1">
      <protection locked="0"/>
    </xf>
    <xf numFmtId="3" fontId="3" fillId="0" borderId="19" xfId="39" applyNumberFormat="1" applyFont="1" applyFill="1" applyBorder="1" applyProtection="1"/>
    <xf numFmtId="165" fontId="3" fillId="0" borderId="20" xfId="39" applyNumberFormat="1" applyFont="1" applyFill="1" applyBorder="1" applyProtection="1"/>
    <xf numFmtId="0" fontId="3" fillId="0" borderId="22" xfId="39" applyFont="1" applyFill="1" applyBorder="1" applyProtection="1">
      <protection locked="0"/>
    </xf>
    <xf numFmtId="3" fontId="3" fillId="0" borderId="22" xfId="39" applyNumberFormat="1" applyFont="1" applyFill="1" applyBorder="1" applyProtection="1">
      <protection locked="0"/>
    </xf>
    <xf numFmtId="3" fontId="3" fillId="0" borderId="22" xfId="39" applyNumberFormat="1" applyFont="1" applyFill="1" applyBorder="1" applyProtection="1"/>
    <xf numFmtId="165" fontId="3" fillId="0" borderId="23" xfId="39" applyNumberFormat="1" applyFont="1" applyFill="1" applyBorder="1" applyProtection="1"/>
    <xf numFmtId="1" fontId="4" fillId="33" borderId="24" xfId="39" applyNumberFormat="1" applyFont="1" applyFill="1" applyBorder="1" applyAlignment="1" applyProtection="1">
      <alignment horizontal="center" vertical="center" wrapText="1"/>
    </xf>
    <xf numFmtId="1" fontId="4" fillId="33" borderId="25" xfId="39" applyNumberFormat="1" applyFont="1" applyFill="1" applyBorder="1" applyAlignment="1" applyProtection="1">
      <alignment horizontal="center" vertical="center" wrapText="1"/>
    </xf>
    <xf numFmtId="0" fontId="28" fillId="33" borderId="26" xfId="0" applyFont="1" applyFill="1" applyBorder="1"/>
    <xf numFmtId="0" fontId="28" fillId="33" borderId="25" xfId="0" applyFont="1" applyFill="1" applyBorder="1"/>
    <xf numFmtId="0" fontId="34" fillId="33" borderId="24" xfId="0" applyFont="1" applyFill="1" applyBorder="1"/>
    <xf numFmtId="0" fontId="0" fillId="0" borderId="10" xfId="0" applyBorder="1"/>
    <xf numFmtId="0" fontId="0" fillId="0" borderId="0" xfId="0" applyBorder="1"/>
    <xf numFmtId="0" fontId="28" fillId="0" borderId="0" xfId="0" applyFont="1" applyBorder="1"/>
    <xf numFmtId="0" fontId="0" fillId="0" borderId="11" xfId="0" applyBorder="1"/>
    <xf numFmtId="0" fontId="28" fillId="0" borderId="27" xfId="0" applyFont="1" applyBorder="1"/>
    <xf numFmtId="0" fontId="28" fillId="0" borderId="28" xfId="0" applyFont="1" applyBorder="1"/>
    <xf numFmtId="0" fontId="35" fillId="0" borderId="0" xfId="0" applyFont="1"/>
    <xf numFmtId="165" fontId="35" fillId="0" borderId="0" xfId="0" applyNumberFormat="1" applyFont="1" applyProtection="1">
      <protection hidden="1"/>
    </xf>
    <xf numFmtId="0" fontId="28" fillId="0" borderId="11" xfId="0" applyFont="1" applyBorder="1"/>
    <xf numFmtId="0" fontId="28" fillId="0" borderId="30" xfId="0" applyFont="1" applyBorder="1"/>
    <xf numFmtId="0" fontId="15" fillId="0" borderId="0" xfId="0" applyFont="1"/>
    <xf numFmtId="1" fontId="15" fillId="0" borderId="0" xfId="0" applyNumberFormat="1" applyFont="1" applyAlignment="1">
      <alignment vertical="top"/>
    </xf>
    <xf numFmtId="1" fontId="15" fillId="0" borderId="0" xfId="0" applyNumberFormat="1" applyFont="1"/>
    <xf numFmtId="0" fontId="34" fillId="33" borderId="24" xfId="0" applyFont="1" applyFill="1" applyBorder="1" applyProtection="1">
      <protection locked="0"/>
    </xf>
    <xf numFmtId="0" fontId="28" fillId="33" borderId="26" xfId="0" applyFont="1" applyFill="1" applyBorder="1" applyProtection="1"/>
    <xf numFmtId="0" fontId="0" fillId="0" borderId="0" xfId="0" applyProtection="1">
      <protection locked="0"/>
    </xf>
    <xf numFmtId="1" fontId="37" fillId="33" borderId="32" xfId="0" applyNumberFormat="1" applyFont="1" applyFill="1" applyBorder="1" applyAlignment="1" applyProtection="1">
      <alignment vertical="top"/>
      <protection locked="0"/>
    </xf>
    <xf numFmtId="1" fontId="37" fillId="33" borderId="32" xfId="0" applyNumberFormat="1" applyFont="1" applyFill="1" applyBorder="1" applyAlignment="1">
      <alignment vertical="top"/>
    </xf>
    <xf numFmtId="1" fontId="37" fillId="33" borderId="33" xfId="0" applyNumberFormat="1" applyFont="1" applyFill="1" applyBorder="1" applyAlignment="1" applyProtection="1">
      <alignment vertical="top"/>
    </xf>
    <xf numFmtId="49" fontId="28" fillId="0" borderId="0" xfId="0" applyNumberFormat="1" applyFont="1" applyBorder="1" applyAlignment="1">
      <alignment vertical="top" wrapText="1"/>
    </xf>
    <xf numFmtId="49" fontId="28" fillId="0" borderId="0" xfId="0" applyNumberFormat="1" applyFont="1" applyBorder="1" applyAlignment="1">
      <alignment vertical="top" wrapText="1"/>
    </xf>
    <xf numFmtId="0" fontId="0" fillId="0" borderId="0" xfId="0"/>
    <xf numFmtId="0" fontId="0" fillId="0" borderId="0" xfId="0"/>
    <xf numFmtId="0" fontId="0" fillId="0" borderId="0" xfId="0"/>
    <xf numFmtId="0" fontId="1" fillId="0" borderId="0" xfId="39" applyBorder="1"/>
    <xf numFmtId="1" fontId="4" fillId="0" borderId="13" xfId="39" applyNumberFormat="1" applyFont="1" applyFill="1" applyBorder="1" applyAlignment="1" applyProtection="1">
      <alignment horizontal="center" vertical="center" wrapText="1"/>
    </xf>
    <xf numFmtId="49" fontId="33" fillId="33" borderId="34" xfId="0" applyNumberFormat="1" applyFont="1" applyFill="1" applyBorder="1" applyAlignment="1">
      <alignment horizontal="center" vertical="center" wrapText="1"/>
    </xf>
    <xf numFmtId="1" fontId="4" fillId="0" borderId="0" xfId="39" applyNumberFormat="1" applyFont="1" applyFill="1" applyBorder="1" applyAlignment="1" applyProtection="1">
      <alignment horizontal="center" vertical="center" wrapText="1"/>
    </xf>
    <xf numFmtId="3" fontId="3" fillId="0" borderId="36" xfId="39" applyNumberFormat="1" applyFont="1" applyFill="1" applyBorder="1" applyAlignment="1" applyProtection="1"/>
    <xf numFmtId="3" fontId="3" fillId="0" borderId="37" xfId="39" applyNumberFormat="1" applyFont="1" applyFill="1" applyBorder="1" applyAlignment="1" applyProtection="1"/>
    <xf numFmtId="0" fontId="3" fillId="0" borderId="38" xfId="39" applyFont="1" applyFill="1" applyBorder="1" applyAlignment="1" applyProtection="1">
      <alignment horizontal="right" indent="1"/>
    </xf>
    <xf numFmtId="0" fontId="3" fillId="0" borderId="39" xfId="39" applyFont="1" applyFill="1" applyBorder="1" applyAlignment="1" applyProtection="1">
      <alignment horizontal="right" indent="1"/>
    </xf>
    <xf numFmtId="0" fontId="33" fillId="33" borderId="33" xfId="0" applyFont="1" applyFill="1" applyBorder="1" applyAlignment="1">
      <alignment horizontal="center" vertical="center" wrapText="1"/>
    </xf>
    <xf numFmtId="49" fontId="33" fillId="33" borderId="32" xfId="0" applyNumberFormat="1" applyFont="1" applyFill="1" applyBorder="1" applyAlignment="1">
      <alignment horizontal="center" vertical="center" wrapText="1"/>
    </xf>
    <xf numFmtId="3" fontId="3" fillId="0" borderId="35" xfId="39" applyNumberFormat="1" applyFont="1" applyFill="1" applyBorder="1" applyAlignment="1" applyProtection="1"/>
    <xf numFmtId="3" fontId="28" fillId="33" borderId="25" xfId="0" applyNumberFormat="1" applyFont="1" applyFill="1" applyBorder="1" applyProtection="1"/>
    <xf numFmtId="14" fontId="28" fillId="33" borderId="25" xfId="0" applyNumberFormat="1" applyFont="1" applyFill="1" applyBorder="1"/>
    <xf numFmtId="165" fontId="28" fillId="33" borderId="25" xfId="0" applyNumberFormat="1" applyFont="1" applyFill="1" applyBorder="1"/>
    <xf numFmtId="49" fontId="15" fillId="0" borderId="0" xfId="0" applyNumberFormat="1" applyFont="1" applyAlignment="1"/>
    <xf numFmtId="167" fontId="39" fillId="0" borderId="44" xfId="39" applyNumberFormat="1" applyFont="1" applyFill="1" applyBorder="1" applyProtection="1">
      <protection hidden="1"/>
    </xf>
    <xf numFmtId="167" fontId="39" fillId="0" borderId="0" xfId="39" applyNumberFormat="1" applyFont="1" applyFill="1" applyBorder="1" applyProtection="1">
      <protection hidden="1"/>
    </xf>
    <xf numFmtId="1" fontId="12" fillId="0" borderId="0" xfId="39" applyNumberFormat="1" applyFont="1" applyFill="1" applyBorder="1" applyAlignment="1" applyProtection="1">
      <alignment horizontal="center" vertical="center" wrapText="1"/>
    </xf>
    <xf numFmtId="0" fontId="0" fillId="0" borderId="0" xfId="0"/>
    <xf numFmtId="3" fontId="15" fillId="0" borderId="0" xfId="0" applyNumberFormat="1" applyFont="1"/>
    <xf numFmtId="0" fontId="0" fillId="0" borderId="0" xfId="0" applyProtection="1"/>
    <xf numFmtId="0" fontId="3" fillId="0" borderId="45" xfId="39" applyFont="1" applyFill="1" applyBorder="1" applyProtection="1"/>
    <xf numFmtId="49" fontId="33" fillId="33" borderId="0" xfId="0" applyNumberFormat="1" applyFont="1" applyFill="1" applyBorder="1" applyAlignment="1">
      <alignment horizontal="center" vertical="center" wrapText="1"/>
    </xf>
    <xf numFmtId="49" fontId="33" fillId="33" borderId="24" xfId="0" applyNumberFormat="1" applyFont="1" applyFill="1" applyBorder="1" applyAlignment="1">
      <alignment horizontal="center" vertical="center" wrapText="1"/>
    </xf>
    <xf numFmtId="0" fontId="0" fillId="0" borderId="0" xfId="0" applyAlignment="1"/>
    <xf numFmtId="49" fontId="28" fillId="0" borderId="0" xfId="0" applyNumberFormat="1" applyFont="1" applyBorder="1" applyAlignment="1">
      <alignment vertical="top" wrapText="1"/>
    </xf>
    <xf numFmtId="0" fontId="0" fillId="0" borderId="0" xfId="0"/>
    <xf numFmtId="0" fontId="33" fillId="33" borderId="33" xfId="0" applyFont="1" applyFill="1" applyBorder="1"/>
    <xf numFmtId="0" fontId="0" fillId="0" borderId="0" xfId="0"/>
    <xf numFmtId="0" fontId="28" fillId="0" borderId="0" xfId="0" applyFont="1" applyAlignment="1">
      <alignment vertical="top" wrapText="1"/>
    </xf>
    <xf numFmtId="0" fontId="43" fillId="0" borderId="0" xfId="0" applyFont="1" applyAlignment="1">
      <alignment horizontal="center"/>
    </xf>
    <xf numFmtId="0" fontId="44" fillId="0" borderId="0" xfId="0" applyFont="1"/>
    <xf numFmtId="0" fontId="0" fillId="0" borderId="0" xfId="0"/>
    <xf numFmtId="0" fontId="0" fillId="0" borderId="0" xfId="0" applyProtection="1">
      <protection hidden="1"/>
    </xf>
    <xf numFmtId="0" fontId="13" fillId="0" borderId="0" xfId="40" applyFont="1" applyProtection="1">
      <protection hidden="1"/>
    </xf>
    <xf numFmtId="0" fontId="1" fillId="0" borderId="0" xfId="40" quotePrefix="1" applyFont="1" applyProtection="1">
      <protection hidden="1"/>
    </xf>
    <xf numFmtId="0" fontId="35" fillId="0" borderId="0" xfId="0" applyFont="1" applyProtection="1">
      <protection hidden="1"/>
    </xf>
    <xf numFmtId="0" fontId="28" fillId="0" borderId="0" xfId="0" applyFont="1" applyProtection="1">
      <protection hidden="1"/>
    </xf>
    <xf numFmtId="0" fontId="0" fillId="0" borderId="0" xfId="0" applyAlignment="1" applyProtection="1">
      <alignment horizontal="left"/>
      <protection locked="0" hidden="1"/>
    </xf>
    <xf numFmtId="0" fontId="0" fillId="0" borderId="11" xfId="0" applyBorder="1" applyProtection="1">
      <protection hidden="1"/>
    </xf>
    <xf numFmtId="0" fontId="0" fillId="0" borderId="28" xfId="0" applyBorder="1" applyProtection="1">
      <protection hidden="1"/>
    </xf>
    <xf numFmtId="0" fontId="0" fillId="0" borderId="30" xfId="0" applyBorder="1" applyProtection="1">
      <protection hidden="1"/>
    </xf>
    <xf numFmtId="0" fontId="0" fillId="0" borderId="10" xfId="0" applyBorder="1" applyProtection="1">
      <protection hidden="1"/>
    </xf>
    <xf numFmtId="0" fontId="0" fillId="0" borderId="27" xfId="0" applyBorder="1" applyProtection="1">
      <protection hidden="1"/>
    </xf>
    <xf numFmtId="0" fontId="35" fillId="0" borderId="11" xfId="0" applyFont="1" applyBorder="1" applyProtection="1">
      <protection hidden="1"/>
    </xf>
    <xf numFmtId="0" fontId="0" fillId="0" borderId="0" xfId="0"/>
    <xf numFmtId="0" fontId="35" fillId="0" borderId="0" xfId="0" applyFont="1" applyAlignment="1"/>
    <xf numFmtId="1" fontId="15" fillId="0" borderId="0" xfId="0" applyNumberFormat="1" applyFont="1" applyAlignment="1"/>
    <xf numFmtId="0" fontId="46" fillId="0" borderId="0" xfId="0" applyFont="1" applyBorder="1" applyAlignment="1">
      <alignment vertical="center"/>
    </xf>
    <xf numFmtId="0" fontId="15" fillId="0" borderId="0" xfId="0" applyFont="1" applyAlignment="1"/>
    <xf numFmtId="2" fontId="15" fillId="0" borderId="0" xfId="0" applyNumberFormat="1" applyFont="1"/>
    <xf numFmtId="0" fontId="0" fillId="0" borderId="0" xfId="0"/>
    <xf numFmtId="0" fontId="0" fillId="0" borderId="0" xfId="0"/>
    <xf numFmtId="0" fontId="28" fillId="0" borderId="0" xfId="0" applyFont="1" applyAlignment="1">
      <alignment vertical="top" wrapText="1"/>
    </xf>
    <xf numFmtId="0" fontId="7" fillId="0" borderId="0" xfId="0" applyFont="1" applyAlignment="1" applyProtection="1">
      <alignment vertical="top" wrapText="1"/>
    </xf>
    <xf numFmtId="0" fontId="28" fillId="0" borderId="0" xfId="0" applyFont="1" applyAlignment="1">
      <alignment horizontal="left" vertical="top" wrapText="1"/>
    </xf>
    <xf numFmtId="0" fontId="15" fillId="0" borderId="0" xfId="0" applyFont="1" applyProtection="1"/>
    <xf numFmtId="0" fontId="48" fillId="0" borderId="13" xfId="39" applyFont="1" applyBorder="1"/>
    <xf numFmtId="0" fontId="34" fillId="33" borderId="25" xfId="0" applyFont="1" applyFill="1" applyBorder="1" applyProtection="1">
      <protection locked="0"/>
    </xf>
    <xf numFmtId="0" fontId="47" fillId="0" borderId="0" xfId="0" applyFont="1" applyBorder="1" applyAlignment="1">
      <alignment vertical="center" wrapText="1"/>
    </xf>
    <xf numFmtId="0" fontId="47" fillId="0" borderId="70" xfId="0" applyFont="1" applyBorder="1" applyAlignment="1">
      <alignment vertical="center" wrapText="1"/>
    </xf>
    <xf numFmtId="0" fontId="47" fillId="0" borderId="71" xfId="0" applyFont="1" applyBorder="1" applyAlignment="1">
      <alignment vertical="center" wrapText="1"/>
    </xf>
    <xf numFmtId="0" fontId="47" fillId="0" borderId="72" xfId="0" applyFont="1" applyBorder="1" applyAlignment="1">
      <alignment vertical="center" wrapText="1"/>
    </xf>
    <xf numFmtId="0" fontId="3" fillId="0" borderId="18" xfId="39" applyFont="1" applyFill="1" applyBorder="1" applyAlignment="1" applyProtection="1">
      <alignment horizontal="right" indent="1"/>
    </xf>
    <xf numFmtId="3" fontId="3" fillId="0" borderId="19" xfId="39" applyNumberFormat="1" applyFont="1" applyFill="1" applyBorder="1" applyAlignment="1" applyProtection="1">
      <alignment horizontal="right" indent="1"/>
    </xf>
    <xf numFmtId="0" fontId="3" fillId="0" borderId="21" xfId="39" applyFont="1" applyFill="1" applyBorder="1" applyAlignment="1" applyProtection="1">
      <alignment horizontal="right" indent="1"/>
    </xf>
    <xf numFmtId="3" fontId="3" fillId="0" borderId="22" xfId="39" applyNumberFormat="1" applyFont="1" applyFill="1" applyBorder="1" applyAlignment="1" applyProtection="1">
      <alignment horizontal="right" indent="1"/>
    </xf>
    <xf numFmtId="49" fontId="4" fillId="33" borderId="15" xfId="0" applyNumberFormat="1" applyFont="1" applyFill="1" applyBorder="1" applyAlignment="1">
      <alignment horizontal="center" vertical="center" wrapText="1"/>
    </xf>
    <xf numFmtId="49" fontId="4" fillId="33" borderId="16" xfId="0" applyNumberFormat="1" applyFont="1" applyFill="1" applyBorder="1" applyAlignment="1">
      <alignment horizontal="center" vertical="center" wrapText="1"/>
    </xf>
    <xf numFmtId="49" fontId="4" fillId="33" borderId="17" xfId="0" applyNumberFormat="1" applyFont="1" applyFill="1" applyBorder="1" applyAlignment="1">
      <alignment horizontal="center" vertical="center" wrapText="1"/>
    </xf>
    <xf numFmtId="0" fontId="4" fillId="33" borderId="33" xfId="0" applyFont="1" applyFill="1" applyBorder="1" applyAlignment="1">
      <alignment horizontal="right"/>
    </xf>
    <xf numFmtId="0" fontId="4" fillId="33" borderId="32" xfId="0" applyFont="1" applyFill="1" applyBorder="1" applyAlignment="1">
      <alignment horizontal="center"/>
    </xf>
    <xf numFmtId="49" fontId="4" fillId="33" borderId="41" xfId="0" applyNumberFormat="1" applyFont="1" applyFill="1" applyBorder="1" applyAlignment="1">
      <alignment horizontal="center" vertical="center" wrapText="1"/>
    </xf>
    <xf numFmtId="49" fontId="4" fillId="33" borderId="73" xfId="0" applyNumberFormat="1" applyFont="1" applyFill="1" applyBorder="1" applyAlignment="1">
      <alignment horizontal="center" vertical="center" wrapText="1"/>
    </xf>
    <xf numFmtId="49" fontId="4" fillId="33" borderId="69" xfId="0" applyNumberFormat="1" applyFont="1" applyFill="1" applyBorder="1" applyAlignment="1">
      <alignment horizontal="center" vertical="center" wrapText="1"/>
    </xf>
    <xf numFmtId="3" fontId="38" fillId="33" borderId="26" xfId="0" applyNumberFormat="1" applyFont="1" applyFill="1" applyBorder="1" applyAlignment="1">
      <alignment horizontal="center" vertical="center"/>
    </xf>
    <xf numFmtId="3" fontId="38" fillId="33" borderId="24" xfId="0" applyNumberFormat="1" applyFont="1" applyFill="1" applyBorder="1" applyAlignment="1" applyProtection="1">
      <alignment horizontal="center" vertical="center"/>
      <protection locked="0"/>
    </xf>
    <xf numFmtId="3" fontId="38" fillId="33" borderId="25" xfId="0" applyNumberFormat="1" applyFont="1" applyFill="1" applyBorder="1" applyAlignment="1" applyProtection="1">
      <alignment horizontal="center" vertical="center"/>
      <protection locked="0"/>
    </xf>
    <xf numFmtId="0" fontId="0" fillId="0" borderId="0" xfId="0" applyAlignment="1" applyProtection="1">
      <protection hidden="1"/>
    </xf>
    <xf numFmtId="0" fontId="33" fillId="33" borderId="0" xfId="0" applyFont="1" applyFill="1" applyBorder="1" applyAlignment="1" applyProtection="1">
      <alignment horizontal="center" vertical="center" wrapText="1"/>
      <protection hidden="1"/>
    </xf>
    <xf numFmtId="1" fontId="5" fillId="34" borderId="19" xfId="0" applyNumberFormat="1" applyFont="1" applyFill="1" applyBorder="1" applyAlignment="1" applyProtection="1">
      <alignment horizontal="center" vertical="center"/>
      <protection hidden="1"/>
    </xf>
    <xf numFmtId="165" fontId="5" fillId="34" borderId="19" xfId="0" applyNumberFormat="1" applyFont="1" applyFill="1" applyBorder="1" applyAlignment="1" applyProtection="1">
      <alignment horizontal="center" vertical="center"/>
      <protection hidden="1"/>
    </xf>
    <xf numFmtId="0" fontId="28" fillId="0" borderId="0" xfId="0" applyFont="1" applyAlignment="1" applyProtection="1">
      <alignment wrapText="1"/>
      <protection hidden="1"/>
    </xf>
    <xf numFmtId="165" fontId="5" fillId="34" borderId="31" xfId="0" applyNumberFormat="1" applyFont="1" applyFill="1" applyBorder="1" applyAlignment="1" applyProtection="1">
      <alignment horizontal="center" vertical="center"/>
      <protection hidden="1"/>
    </xf>
    <xf numFmtId="0" fontId="28" fillId="0" borderId="0" xfId="0" quotePrefix="1" applyFont="1" applyAlignment="1" applyProtection="1">
      <alignment wrapText="1"/>
      <protection hidden="1"/>
    </xf>
    <xf numFmtId="164" fontId="5" fillId="34" borderId="19" xfId="0" applyNumberFormat="1" applyFont="1" applyFill="1" applyBorder="1" applyAlignment="1" applyProtection="1">
      <alignment horizontal="center" vertical="center"/>
      <protection hidden="1"/>
    </xf>
    <xf numFmtId="164" fontId="5" fillId="34" borderId="31" xfId="0" applyNumberFormat="1" applyFont="1" applyFill="1" applyBorder="1" applyAlignment="1" applyProtection="1">
      <alignment horizontal="center" vertical="center"/>
      <protection hidden="1"/>
    </xf>
    <xf numFmtId="1" fontId="5" fillId="34" borderId="31"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34" borderId="0" xfId="0" applyNumberFormat="1" applyFont="1" applyFill="1" applyBorder="1" applyAlignment="1" applyProtection="1">
      <alignment horizontal="center" vertical="center"/>
      <protection hidden="1"/>
    </xf>
    <xf numFmtId="0" fontId="28" fillId="0" borderId="0" xfId="0" applyFont="1" applyBorder="1" applyAlignment="1" applyProtection="1">
      <alignment vertical="top" wrapText="1"/>
      <protection hidden="1"/>
    </xf>
    <xf numFmtId="0" fontId="1" fillId="0" borderId="0" xfId="0" applyFont="1" applyBorder="1" applyProtection="1">
      <protection hidden="1"/>
    </xf>
    <xf numFmtId="0" fontId="45" fillId="0" borderId="0" xfId="0" applyFont="1" applyBorder="1" applyProtection="1">
      <protection hidden="1"/>
    </xf>
    <xf numFmtId="0" fontId="28" fillId="0" borderId="10" xfId="0" applyFont="1" applyBorder="1" applyProtection="1">
      <protection hidden="1"/>
    </xf>
    <xf numFmtId="1" fontId="28" fillId="0" borderId="0" xfId="0" applyNumberFormat="1" applyFont="1" applyBorder="1" applyProtection="1">
      <protection hidden="1"/>
    </xf>
    <xf numFmtId="0" fontId="28" fillId="0" borderId="0" xfId="0" applyFont="1" applyBorder="1" applyProtection="1">
      <protection hidden="1"/>
    </xf>
    <xf numFmtId="0" fontId="33" fillId="33" borderId="10" xfId="0" applyFont="1" applyFill="1" applyBorder="1" applyAlignment="1" applyProtection="1">
      <alignment horizontal="left" vertical="center" indent="1"/>
      <protection hidden="1"/>
    </xf>
    <xf numFmtId="0" fontId="33" fillId="33" borderId="0" xfId="0" applyFont="1" applyFill="1" applyBorder="1" applyAlignment="1" applyProtection="1">
      <alignment horizontal="left" vertical="center" indent="1"/>
      <protection hidden="1"/>
    </xf>
    <xf numFmtId="0" fontId="33" fillId="33" borderId="11" xfId="0" applyFont="1" applyFill="1" applyBorder="1" applyAlignment="1" applyProtection="1">
      <alignment horizontal="left" vertical="center" indent="1"/>
      <protection hidden="1"/>
    </xf>
    <xf numFmtId="0" fontId="42" fillId="0" borderId="0" xfId="0" applyFont="1" applyAlignment="1" applyProtection="1">
      <alignment vertical="top" wrapText="1" readingOrder="1"/>
      <protection hidden="1"/>
    </xf>
    <xf numFmtId="0" fontId="3" fillId="0" borderId="18" xfId="39" applyFont="1" applyFill="1" applyBorder="1" applyProtection="1">
      <protection locked="0" hidden="1"/>
    </xf>
    <xf numFmtId="0" fontId="3" fillId="0" borderId="19" xfId="39" applyFont="1" applyFill="1" applyBorder="1" applyProtection="1">
      <protection locked="0" hidden="1"/>
    </xf>
    <xf numFmtId="3" fontId="3" fillId="0" borderId="19" xfId="39" applyNumberFormat="1" applyFont="1" applyFill="1" applyBorder="1" applyProtection="1">
      <protection locked="0" hidden="1"/>
    </xf>
    <xf numFmtId="0" fontId="3" fillId="0" borderId="21" xfId="39" applyFont="1" applyFill="1" applyBorder="1" applyProtection="1">
      <protection locked="0" hidden="1"/>
    </xf>
    <xf numFmtId="0" fontId="3" fillId="0" borderId="22" xfId="39" applyFont="1" applyFill="1" applyBorder="1" applyProtection="1">
      <protection locked="0" hidden="1"/>
    </xf>
    <xf numFmtId="3" fontId="3" fillId="0" borderId="22" xfId="39" applyNumberFormat="1" applyFont="1" applyFill="1" applyBorder="1" applyProtection="1">
      <protection locked="0" hidden="1"/>
    </xf>
    <xf numFmtId="3" fontId="3" fillId="0" borderId="16" xfId="39" applyNumberFormat="1" applyFont="1" applyFill="1" applyBorder="1" applyProtection="1">
      <protection hidden="1"/>
    </xf>
    <xf numFmtId="3" fontId="3" fillId="0" borderId="19" xfId="39" applyNumberFormat="1" applyFont="1" applyFill="1" applyBorder="1" applyProtection="1">
      <protection hidden="1"/>
    </xf>
    <xf numFmtId="165" fontId="3" fillId="0" borderId="20" xfId="39" applyNumberFormat="1" applyFont="1" applyFill="1" applyBorder="1" applyProtection="1">
      <protection hidden="1"/>
    </xf>
    <xf numFmtId="3" fontId="3" fillId="0" borderId="22" xfId="39" applyNumberFormat="1" applyFont="1" applyFill="1" applyBorder="1" applyProtection="1">
      <protection hidden="1"/>
    </xf>
    <xf numFmtId="165" fontId="3" fillId="0" borderId="23" xfId="39" applyNumberFormat="1" applyFont="1" applyFill="1" applyBorder="1" applyProtection="1">
      <protection hidden="1"/>
    </xf>
    <xf numFmtId="0" fontId="32" fillId="0" borderId="0" xfId="0" applyFont="1"/>
    <xf numFmtId="165" fontId="3" fillId="0" borderId="17" xfId="39" applyNumberFormat="1" applyFont="1" applyFill="1" applyBorder="1" applyAlignment="1" applyProtection="1">
      <alignment horizontal="right" vertical="center"/>
      <protection hidden="1"/>
    </xf>
    <xf numFmtId="0" fontId="0" fillId="0" borderId="0" xfId="0" applyProtection="1">
      <protection locked="0"/>
    </xf>
    <xf numFmtId="3" fontId="3" fillId="0" borderId="17" xfId="39" applyNumberFormat="1" applyFont="1" applyFill="1" applyBorder="1" applyProtection="1">
      <protection locked="0"/>
    </xf>
    <xf numFmtId="3" fontId="3" fillId="0" borderId="20" xfId="39" applyNumberFormat="1" applyFont="1" applyFill="1" applyBorder="1" applyProtection="1">
      <protection locked="0"/>
    </xf>
    <xf numFmtId="3" fontId="3" fillId="0" borderId="23" xfId="39" applyNumberFormat="1" applyFont="1" applyFill="1" applyBorder="1" applyProtection="1">
      <protection locked="0"/>
    </xf>
    <xf numFmtId="3" fontId="3" fillId="0" borderId="35" xfId="39" applyNumberFormat="1" applyFont="1" applyFill="1" applyBorder="1" applyAlignment="1" applyProtection="1">
      <protection locked="0"/>
    </xf>
    <xf numFmtId="3" fontId="3" fillId="0" borderId="36" xfId="39" applyNumberFormat="1" applyFont="1" applyFill="1" applyBorder="1" applyAlignment="1" applyProtection="1">
      <protection locked="0"/>
    </xf>
    <xf numFmtId="3" fontId="3" fillId="0" borderId="37" xfId="39" applyNumberFormat="1" applyFont="1" applyFill="1" applyBorder="1" applyAlignment="1" applyProtection="1">
      <protection locked="0"/>
    </xf>
    <xf numFmtId="14" fontId="3" fillId="0" borderId="40" xfId="39" applyNumberFormat="1" applyFont="1" applyFill="1" applyBorder="1" applyAlignment="1" applyProtection="1">
      <alignment horizontal="center"/>
      <protection locked="0"/>
    </xf>
    <xf numFmtId="14" fontId="3" fillId="0" borderId="41" xfId="39" applyNumberFormat="1" applyFont="1" applyFill="1" applyBorder="1" applyAlignment="1" applyProtection="1">
      <alignment horizontal="center"/>
      <protection locked="0"/>
    </xf>
    <xf numFmtId="14" fontId="3" fillId="0" borderId="42" xfId="39" applyNumberFormat="1" applyFont="1" applyFill="1" applyBorder="1" applyAlignment="1" applyProtection="1">
      <alignment horizontal="center"/>
      <protection locked="0"/>
    </xf>
    <xf numFmtId="49" fontId="3" fillId="0" borderId="16" xfId="39" applyNumberFormat="1" applyFont="1" applyFill="1" applyBorder="1" applyAlignment="1" applyProtection="1">
      <alignment horizontal="center"/>
      <protection locked="0"/>
    </xf>
    <xf numFmtId="0" fontId="3" fillId="0" borderId="16" xfId="39" applyFont="1" applyFill="1" applyBorder="1" applyAlignment="1" applyProtection="1">
      <alignment horizontal="center"/>
      <protection locked="0"/>
    </xf>
    <xf numFmtId="14" fontId="3" fillId="0" borderId="35" xfId="39" applyNumberFormat="1" applyFont="1" applyFill="1" applyBorder="1" applyAlignment="1" applyProtection="1">
      <alignment horizontal="center"/>
      <protection locked="0"/>
    </xf>
    <xf numFmtId="14" fontId="3" fillId="0" borderId="17" xfId="39" applyNumberFormat="1" applyFont="1" applyFill="1" applyBorder="1" applyAlignment="1" applyProtection="1">
      <alignment horizontal="center"/>
      <protection locked="0"/>
    </xf>
    <xf numFmtId="49" fontId="3" fillId="0" borderId="43" xfId="39" applyNumberFormat="1" applyFont="1" applyFill="1" applyBorder="1" applyAlignment="1" applyProtection="1">
      <alignment horizontal="center"/>
      <protection locked="0"/>
    </xf>
    <xf numFmtId="0" fontId="3" fillId="0" borderId="43" xfId="39" applyFont="1" applyFill="1" applyBorder="1" applyAlignment="1" applyProtection="1">
      <alignment horizontal="center"/>
      <protection locked="0"/>
    </xf>
    <xf numFmtId="14" fontId="3" fillId="0" borderId="36" xfId="39" applyNumberFormat="1" applyFont="1" applyFill="1" applyBorder="1" applyAlignment="1" applyProtection="1">
      <alignment horizontal="center"/>
      <protection locked="0"/>
    </xf>
    <xf numFmtId="14" fontId="3" fillId="0" borderId="20" xfId="39" applyNumberFormat="1" applyFont="1" applyFill="1" applyBorder="1" applyAlignment="1" applyProtection="1">
      <alignment horizontal="center"/>
      <protection locked="0"/>
    </xf>
    <xf numFmtId="49" fontId="3" fillId="0" borderId="19" xfId="39" applyNumberFormat="1" applyFont="1" applyFill="1" applyBorder="1" applyAlignment="1" applyProtection="1">
      <alignment horizontal="center"/>
      <protection locked="0"/>
    </xf>
    <xf numFmtId="0" fontId="3" fillId="0" borderId="19" xfId="39" applyFont="1" applyFill="1" applyBorder="1" applyAlignment="1" applyProtection="1">
      <alignment horizontal="center"/>
      <protection locked="0"/>
    </xf>
    <xf numFmtId="49" fontId="3" fillId="0" borderId="22" xfId="39" applyNumberFormat="1" applyFont="1" applyFill="1" applyBorder="1" applyAlignment="1" applyProtection="1">
      <alignment horizontal="center"/>
      <protection locked="0"/>
    </xf>
    <xf numFmtId="0" fontId="3" fillId="0" borderId="22" xfId="39" applyFont="1" applyFill="1" applyBorder="1" applyAlignment="1" applyProtection="1">
      <alignment horizontal="center"/>
      <protection locked="0"/>
    </xf>
    <xf numFmtId="14" fontId="3" fillId="0" borderId="37" xfId="39" applyNumberFormat="1" applyFont="1" applyFill="1" applyBorder="1" applyAlignment="1" applyProtection="1">
      <alignment horizontal="center"/>
      <protection locked="0"/>
    </xf>
    <xf numFmtId="14" fontId="3" fillId="0" borderId="23" xfId="39" applyNumberFormat="1" applyFont="1" applyFill="1" applyBorder="1" applyAlignment="1" applyProtection="1">
      <alignment horizontal="center"/>
      <protection locked="0"/>
    </xf>
    <xf numFmtId="14" fontId="3" fillId="0" borderId="43" xfId="39" applyNumberFormat="1" applyFont="1" applyFill="1" applyBorder="1" applyAlignment="1" applyProtection="1">
      <alignment horizontal="center"/>
      <protection locked="0"/>
    </xf>
    <xf numFmtId="3" fontId="3" fillId="0" borderId="20" xfId="39" applyNumberFormat="1" applyFont="1" applyFill="1" applyBorder="1" applyAlignment="1" applyProtection="1">
      <alignment horizontal="right" indent="1"/>
      <protection locked="0"/>
    </xf>
    <xf numFmtId="3" fontId="3" fillId="0" borderId="23" xfId="39" applyNumberFormat="1" applyFont="1" applyFill="1" applyBorder="1" applyAlignment="1" applyProtection="1">
      <alignment horizontal="right" indent="1"/>
      <protection locked="0"/>
    </xf>
    <xf numFmtId="0" fontId="3" fillId="0" borderId="15" xfId="39" applyFont="1" applyFill="1" applyBorder="1" applyProtection="1">
      <protection locked="0" hidden="1"/>
    </xf>
    <xf numFmtId="0" fontId="3" fillId="0" borderId="16" xfId="39" applyFont="1" applyFill="1" applyBorder="1" applyProtection="1">
      <protection locked="0" hidden="1"/>
    </xf>
    <xf numFmtId="3" fontId="3" fillId="0" borderId="16" xfId="39" applyNumberFormat="1" applyFont="1" applyFill="1" applyBorder="1" applyProtection="1">
      <protection locked="0" hidden="1"/>
    </xf>
    <xf numFmtId="0" fontId="3" fillId="0" borderId="18" xfId="39" applyFont="1" applyFill="1" applyBorder="1" applyProtection="1">
      <protection locked="0" hidden="1"/>
    </xf>
    <xf numFmtId="0" fontId="3" fillId="0" borderId="19" xfId="39" applyFont="1" applyFill="1" applyBorder="1" applyProtection="1">
      <protection locked="0" hidden="1"/>
    </xf>
    <xf numFmtId="3" fontId="3" fillId="0" borderId="19" xfId="39" applyNumberFormat="1" applyFont="1" applyFill="1" applyBorder="1" applyProtection="1">
      <protection locked="0" hidden="1"/>
    </xf>
    <xf numFmtId="0" fontId="5" fillId="0" borderId="57" xfId="0" applyFont="1" applyFill="1" applyBorder="1" applyAlignment="1" applyProtection="1">
      <alignment horizontal="left" vertical="center" indent="1"/>
      <protection hidden="1"/>
    </xf>
    <xf numFmtId="0" fontId="5" fillId="0" borderId="58" xfId="0" applyFont="1" applyFill="1" applyBorder="1" applyAlignment="1" applyProtection="1">
      <alignment horizontal="left" vertical="center" indent="1"/>
      <protection hidden="1"/>
    </xf>
    <xf numFmtId="0" fontId="5" fillId="0" borderId="59" xfId="0" applyFont="1" applyFill="1" applyBorder="1" applyAlignment="1" applyProtection="1">
      <alignment horizontal="left" vertical="center" indent="1"/>
      <protection hidden="1"/>
    </xf>
    <xf numFmtId="0" fontId="0" fillId="0" borderId="0" xfId="0" applyProtection="1">
      <protection hidden="1"/>
    </xf>
    <xf numFmtId="0" fontId="28" fillId="0" borderId="0" xfId="0" applyFont="1" applyAlignment="1" applyProtection="1">
      <alignment wrapText="1"/>
      <protection hidden="1"/>
    </xf>
    <xf numFmtId="0" fontId="0" fillId="0" borderId="0" xfId="0" applyProtection="1">
      <protection hidden="1"/>
    </xf>
    <xf numFmtId="0" fontId="0" fillId="0" borderId="0" xfId="0"/>
    <xf numFmtId="0" fontId="49" fillId="0" borderId="50" xfId="0" applyFont="1" applyBorder="1" applyAlignment="1">
      <alignment vertical="center"/>
    </xf>
    <xf numFmtId="0" fontId="49" fillId="0" borderId="51" xfId="0" applyFont="1" applyBorder="1" applyAlignment="1">
      <alignment vertical="center"/>
    </xf>
    <xf numFmtId="0" fontId="43" fillId="0" borderId="0" xfId="0" applyFont="1" applyAlignment="1" applyProtection="1">
      <protection hidden="1"/>
    </xf>
    <xf numFmtId="0" fontId="0" fillId="0" borderId="0" xfId="0" applyAlignment="1" applyProtection="1">
      <alignment vertical="center"/>
      <protection hidden="1"/>
    </xf>
    <xf numFmtId="0" fontId="33" fillId="33" borderId="46" xfId="0" applyFont="1" applyFill="1" applyBorder="1" applyAlignment="1" applyProtection="1">
      <alignment horizontal="center" vertical="center" wrapText="1"/>
      <protection hidden="1"/>
    </xf>
    <xf numFmtId="0" fontId="35" fillId="0" borderId="0" xfId="0" applyFont="1" applyAlignment="1" applyProtection="1">
      <alignment vertical="center"/>
      <protection hidden="1"/>
    </xf>
    <xf numFmtId="0" fontId="40" fillId="34" borderId="0" xfId="0" applyFont="1" applyFill="1" applyBorder="1" applyAlignment="1" applyProtection="1">
      <alignment vertical="center" wrapText="1"/>
      <protection hidden="1"/>
    </xf>
    <xf numFmtId="0" fontId="5" fillId="0" borderId="0" xfId="39" applyFont="1" applyFill="1" applyAlignment="1" applyProtection="1">
      <alignment vertical="center"/>
      <protection hidden="1"/>
    </xf>
    <xf numFmtId="0" fontId="1" fillId="0" borderId="0" xfId="39" applyFont="1" applyFill="1" applyProtection="1">
      <protection hidden="1"/>
    </xf>
    <xf numFmtId="166" fontId="5" fillId="34" borderId="47" xfId="0" applyNumberFormat="1" applyFont="1" applyFill="1" applyBorder="1" applyAlignment="1" applyProtection="1">
      <alignment horizontal="center" vertical="center"/>
      <protection hidden="1"/>
    </xf>
    <xf numFmtId="166" fontId="5" fillId="34" borderId="0" xfId="0" applyNumberFormat="1" applyFont="1" applyFill="1" applyBorder="1" applyAlignment="1" applyProtection="1">
      <alignment horizontal="center" vertical="center"/>
      <protection hidden="1"/>
    </xf>
    <xf numFmtId="1" fontId="40" fillId="34" borderId="0" xfId="0" applyNumberFormat="1" applyFont="1" applyFill="1" applyBorder="1" applyAlignment="1" applyProtection="1">
      <alignment vertical="top"/>
      <protection hidden="1"/>
    </xf>
    <xf numFmtId="3" fontId="41" fillId="34" borderId="0" xfId="0" applyNumberFormat="1" applyFont="1" applyFill="1" applyBorder="1" applyAlignment="1" applyProtection="1">
      <alignment horizontal="center" vertical="center"/>
      <protection hidden="1"/>
    </xf>
    <xf numFmtId="3" fontId="38" fillId="34" borderId="0" xfId="0" applyNumberFormat="1" applyFont="1" applyFill="1" applyBorder="1" applyAlignment="1" applyProtection="1">
      <alignment horizontal="center" vertical="center"/>
      <protection hidden="1"/>
    </xf>
    <xf numFmtId="0" fontId="0" fillId="34" borderId="0" xfId="0" applyFill="1" applyBorder="1" applyProtection="1">
      <protection hidden="1"/>
    </xf>
    <xf numFmtId="1" fontId="37" fillId="34" borderId="0" xfId="0" applyNumberFormat="1" applyFont="1" applyFill="1" applyBorder="1" applyAlignment="1" applyProtection="1">
      <alignment vertical="top"/>
      <protection hidden="1"/>
    </xf>
    <xf numFmtId="3" fontId="5" fillId="34" borderId="48" xfId="0" applyNumberFormat="1" applyFont="1" applyFill="1" applyBorder="1" applyAlignment="1" applyProtection="1">
      <alignment horizontal="center" vertical="center"/>
      <protection hidden="1"/>
    </xf>
    <xf numFmtId="3" fontId="5" fillId="34" borderId="0" xfId="0" applyNumberFormat="1" applyFont="1" applyFill="1" applyBorder="1" applyAlignment="1" applyProtection="1">
      <alignment horizontal="center" vertical="center"/>
      <protection hidden="1"/>
    </xf>
    <xf numFmtId="0" fontId="33" fillId="33" borderId="12" xfId="0" applyFont="1" applyFill="1" applyBorder="1" applyAlignment="1" applyProtection="1">
      <alignment horizontal="center" vertical="center" wrapText="1"/>
      <protection hidden="1"/>
    </xf>
    <xf numFmtId="0" fontId="15" fillId="0" borderId="0" xfId="0" applyFont="1" applyFill="1" applyProtection="1">
      <protection hidden="1"/>
    </xf>
    <xf numFmtId="0" fontId="5" fillId="0" borderId="29" xfId="0" applyFont="1" applyFill="1" applyBorder="1" applyAlignment="1" applyProtection="1">
      <alignment horizontal="center" vertical="center"/>
      <protection hidden="1"/>
    </xf>
    <xf numFmtId="165" fontId="5" fillId="34" borderId="29" xfId="0" applyNumberFormat="1" applyFont="1" applyFill="1" applyBorder="1" applyAlignment="1" applyProtection="1">
      <alignment horizontal="center" vertical="center"/>
      <protection hidden="1"/>
    </xf>
    <xf numFmtId="166" fontId="5" fillId="34" borderId="19" xfId="0" applyNumberFormat="1" applyFont="1" applyFill="1" applyBorder="1" applyAlignment="1" applyProtection="1">
      <alignment horizontal="center" vertical="center"/>
      <protection hidden="1"/>
    </xf>
    <xf numFmtId="0" fontId="5" fillId="0" borderId="19" xfId="0" applyFont="1" applyFill="1" applyBorder="1" applyAlignment="1" applyProtection="1">
      <alignment horizontal="center" vertical="center"/>
      <protection hidden="1"/>
    </xf>
    <xf numFmtId="1" fontId="5" fillId="34" borderId="19" xfId="0" applyNumberFormat="1" applyFont="1" applyFill="1" applyBorder="1" applyAlignment="1" applyProtection="1">
      <alignment vertical="center"/>
      <protection hidden="1"/>
    </xf>
    <xf numFmtId="1" fontId="5" fillId="0" borderId="19" xfId="0" applyNumberFormat="1" applyFont="1" applyFill="1" applyBorder="1" applyAlignment="1" applyProtection="1">
      <alignment horizontal="center" vertical="center"/>
      <protection hidden="1"/>
    </xf>
    <xf numFmtId="0" fontId="6" fillId="0" borderId="19" xfId="0" applyFont="1" applyFill="1" applyBorder="1" applyAlignment="1" applyProtection="1">
      <alignment vertical="center"/>
      <protection hidden="1"/>
    </xf>
    <xf numFmtId="1" fontId="6" fillId="0" borderId="19" xfId="0" applyNumberFormat="1" applyFont="1" applyFill="1" applyBorder="1" applyAlignment="1" applyProtection="1">
      <alignment vertical="center"/>
      <protection hidden="1"/>
    </xf>
    <xf numFmtId="165" fontId="6" fillId="0" borderId="19" xfId="0" applyNumberFormat="1" applyFont="1" applyFill="1" applyBorder="1" applyAlignment="1" applyProtection="1">
      <alignment horizontal="center" vertical="center"/>
      <protection hidden="1"/>
    </xf>
    <xf numFmtId="0" fontId="49" fillId="0" borderId="0" xfId="0" applyFont="1" applyBorder="1" applyAlignment="1">
      <alignment vertical="center"/>
    </xf>
    <xf numFmtId="0" fontId="39" fillId="0" borderId="45" xfId="39" applyFont="1" applyFill="1" applyBorder="1" applyProtection="1"/>
    <xf numFmtId="1" fontId="0" fillId="0" borderId="0" xfId="0" applyNumberFormat="1" applyProtection="1">
      <protection hidden="1"/>
    </xf>
    <xf numFmtId="1" fontId="35" fillId="0" borderId="0" xfId="0" applyNumberFormat="1" applyFont="1" applyProtection="1">
      <protection hidden="1"/>
    </xf>
    <xf numFmtId="168" fontId="0" fillId="0" borderId="0" xfId="0" applyNumberFormat="1"/>
    <xf numFmtId="1" fontId="15" fillId="0" borderId="0" xfId="0" applyNumberFormat="1" applyFont="1" applyProtection="1">
      <protection hidden="1"/>
    </xf>
    <xf numFmtId="0" fontId="0" fillId="0" borderId="11" xfId="0" applyBorder="1"/>
    <xf numFmtId="0" fontId="49" fillId="0" borderId="50" xfId="0" applyFont="1" applyBorder="1" applyAlignment="1">
      <alignment vertical="center"/>
    </xf>
    <xf numFmtId="0" fontId="49" fillId="0" borderId="51" xfId="0" applyFont="1" applyBorder="1" applyAlignment="1">
      <alignment vertical="center"/>
    </xf>
    <xf numFmtId="0" fontId="49" fillId="0" borderId="50" xfId="0" applyFont="1" applyBorder="1" applyAlignment="1">
      <alignment vertical="center" wrapText="1"/>
    </xf>
    <xf numFmtId="0" fontId="0" fillId="0" borderId="78" xfId="0" applyBorder="1" applyAlignment="1" applyProtection="1">
      <protection locked="0"/>
    </xf>
    <xf numFmtId="0" fontId="0" fillId="0" borderId="0" xfId="0" applyProtection="1">
      <protection hidden="1"/>
    </xf>
    <xf numFmtId="0" fontId="15" fillId="0" borderId="0" xfId="0" applyFont="1" applyProtection="1">
      <protection hidden="1"/>
    </xf>
    <xf numFmtId="49" fontId="0" fillId="0" borderId="10"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11"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11" xfId="0" applyNumberFormat="1" applyBorder="1" applyAlignment="1" applyProtection="1">
      <alignment vertical="top" wrapText="1"/>
      <protection hidden="1"/>
    </xf>
    <xf numFmtId="49" fontId="28" fillId="0" borderId="0" xfId="0" applyNumberFormat="1" applyFont="1" applyBorder="1" applyAlignment="1" applyProtection="1">
      <alignment vertical="top"/>
      <protection hidden="1"/>
    </xf>
    <xf numFmtId="49" fontId="36" fillId="0" borderId="10" xfId="34" applyNumberFormat="1" applyFont="1" applyBorder="1" applyAlignment="1" applyProtection="1">
      <alignment vertical="top"/>
      <protection locked="0" hidden="1"/>
    </xf>
    <xf numFmtId="49" fontId="36" fillId="0" borderId="27" xfId="34" applyNumberFormat="1" applyFont="1" applyBorder="1" applyAlignment="1" applyProtection="1">
      <alignment vertical="top"/>
      <protection locked="0" hidden="1"/>
    </xf>
    <xf numFmtId="164" fontId="5" fillId="34" borderId="19" xfId="46" applyNumberFormat="1" applyFont="1" applyFill="1" applyBorder="1" applyAlignment="1" applyProtection="1">
      <alignment horizontal="center" vertical="center"/>
      <protection hidden="1"/>
    </xf>
    <xf numFmtId="0" fontId="33" fillId="33" borderId="49" xfId="0" applyFont="1" applyFill="1" applyBorder="1" applyAlignment="1" applyProtection="1">
      <alignment horizontal="left" vertical="center" indent="1"/>
      <protection hidden="1"/>
    </xf>
    <xf numFmtId="0" fontId="33" fillId="33" borderId="50" xfId="0" applyFont="1" applyFill="1" applyBorder="1" applyAlignment="1" applyProtection="1">
      <alignment horizontal="left" vertical="center" indent="1"/>
      <protection hidden="1"/>
    </xf>
    <xf numFmtId="0" fontId="33" fillId="33" borderId="51" xfId="0" applyFont="1" applyFill="1" applyBorder="1" applyAlignment="1" applyProtection="1">
      <alignment horizontal="left" vertical="center" indent="1"/>
      <protection hidden="1"/>
    </xf>
    <xf numFmtId="49" fontId="28" fillId="0" borderId="0" xfId="0" applyNumberFormat="1" applyFont="1" applyBorder="1" applyAlignment="1" applyProtection="1">
      <alignment vertical="top" wrapText="1"/>
      <protection hidden="1"/>
    </xf>
    <xf numFmtId="49" fontId="28" fillId="0" borderId="11" xfId="0" applyNumberFormat="1" applyFont="1" applyBorder="1" applyAlignment="1" applyProtection="1">
      <alignment vertical="top" wrapText="1"/>
      <protection hidden="1"/>
    </xf>
    <xf numFmtId="49" fontId="7" fillId="0" borderId="28" xfId="0" applyNumberFormat="1" applyFont="1" applyBorder="1" applyAlignment="1" applyProtection="1">
      <alignment vertical="top" wrapText="1"/>
      <protection hidden="1"/>
    </xf>
    <xf numFmtId="49" fontId="7" fillId="0" borderId="30" xfId="0" applyNumberFormat="1" applyFont="1" applyBorder="1" applyAlignment="1" applyProtection="1">
      <alignment vertical="top" wrapText="1"/>
      <protection hidden="1"/>
    </xf>
    <xf numFmtId="49" fontId="28" fillId="0" borderId="10" xfId="0" applyNumberFormat="1" applyFont="1" applyBorder="1" applyAlignment="1" applyProtection="1">
      <alignment vertical="top" wrapText="1"/>
      <protection hidden="1"/>
    </xf>
    <xf numFmtId="49" fontId="28" fillId="0" borderId="10" xfId="0" applyNumberFormat="1" applyFont="1" applyBorder="1" applyAlignment="1">
      <alignment vertical="top" wrapText="1"/>
    </xf>
    <xf numFmtId="49" fontId="28" fillId="0" borderId="0" xfId="0" applyNumberFormat="1" applyFont="1" applyBorder="1" applyAlignment="1">
      <alignment vertical="top" wrapText="1"/>
    </xf>
    <xf numFmtId="49" fontId="28" fillId="0" borderId="11" xfId="0" applyNumberFormat="1" applyFont="1" applyBorder="1" applyAlignment="1">
      <alignment vertical="top" wrapText="1"/>
    </xf>
    <xf numFmtId="49" fontId="28" fillId="0" borderId="0" xfId="0" applyNumberFormat="1" applyFont="1" applyBorder="1" applyAlignment="1" applyProtection="1">
      <alignment vertical="top"/>
      <protection hidden="1"/>
    </xf>
    <xf numFmtId="0" fontId="0" fillId="0" borderId="0" xfId="0" applyProtection="1">
      <protection hidden="1"/>
    </xf>
    <xf numFmtId="0" fontId="0" fillId="0" borderId="11" xfId="0" applyBorder="1" applyProtection="1">
      <protection hidden="1"/>
    </xf>
    <xf numFmtId="49" fontId="28" fillId="0" borderId="11" xfId="0" applyNumberFormat="1" applyFont="1" applyBorder="1" applyAlignment="1" applyProtection="1">
      <alignment vertical="top"/>
      <protection hidden="1"/>
    </xf>
    <xf numFmtId="0" fontId="49" fillId="0" borderId="49" xfId="0" applyFont="1" applyBorder="1" applyAlignment="1" applyProtection="1">
      <alignment vertical="center" wrapText="1"/>
      <protection hidden="1"/>
    </xf>
    <xf numFmtId="0" fontId="49" fillId="0" borderId="50" xfId="0" applyFont="1" applyBorder="1" applyAlignment="1" applyProtection="1">
      <alignment vertical="center"/>
      <protection hidden="1"/>
    </xf>
    <xf numFmtId="0" fontId="49" fillId="0" borderId="51" xfId="0" applyFont="1" applyBorder="1" applyAlignment="1" applyProtection="1">
      <alignment vertical="center"/>
      <protection hidden="1"/>
    </xf>
    <xf numFmtId="0" fontId="33" fillId="33" borderId="10" xfId="0" applyFont="1" applyFill="1" applyBorder="1" applyAlignment="1" applyProtection="1">
      <alignment horizontal="left" vertical="center" indent="1"/>
      <protection hidden="1"/>
    </xf>
    <xf numFmtId="0" fontId="33" fillId="33" borderId="0" xfId="0" applyFont="1" applyFill="1" applyBorder="1" applyAlignment="1" applyProtection="1">
      <alignment horizontal="left" vertical="center" indent="1"/>
      <protection hidden="1"/>
    </xf>
    <xf numFmtId="0" fontId="33" fillId="33" borderId="11" xfId="0" applyFont="1" applyFill="1" applyBorder="1" applyAlignment="1" applyProtection="1">
      <alignment horizontal="left" vertical="center" indent="1"/>
      <protection hidden="1"/>
    </xf>
    <xf numFmtId="49" fontId="7" fillId="0" borderId="77" xfId="0" applyNumberFormat="1" applyFont="1"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11" xfId="0" applyBorder="1" applyAlignment="1" applyProtection="1">
      <alignment vertical="top" wrapText="1"/>
      <protection hidden="1"/>
    </xf>
    <xf numFmtId="0" fontId="33" fillId="33" borderId="33" xfId="0" applyFont="1" applyFill="1" applyBorder="1"/>
    <xf numFmtId="0" fontId="33" fillId="33" borderId="32" xfId="0" applyFont="1" applyFill="1" applyBorder="1"/>
    <xf numFmtId="0" fontId="49" fillId="0" borderId="49" xfId="0" applyFont="1" applyBorder="1" applyAlignment="1">
      <alignment vertical="center"/>
    </xf>
    <xf numFmtId="0" fontId="49" fillId="0" borderId="50" xfId="0" applyFont="1" applyBorder="1" applyAlignment="1">
      <alignment vertical="center"/>
    </xf>
    <xf numFmtId="0" fontId="49" fillId="0" borderId="51" xfId="0" applyFont="1" applyBorder="1" applyAlignment="1">
      <alignment vertical="center"/>
    </xf>
    <xf numFmtId="0" fontId="28" fillId="0" borderId="0" xfId="0" applyFont="1" applyAlignment="1">
      <alignment vertical="top" wrapText="1"/>
    </xf>
    <xf numFmtId="0" fontId="44" fillId="0" borderId="0"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44" fillId="0" borderId="0" xfId="0" applyFont="1" applyAlignment="1">
      <alignment vertical="top" wrapText="1"/>
    </xf>
    <xf numFmtId="3" fontId="40" fillId="33" borderId="44" xfId="0" applyNumberFormat="1" applyFont="1" applyFill="1" applyBorder="1" applyAlignment="1" applyProtection="1">
      <alignment horizontal="center" vertical="top"/>
      <protection locked="0"/>
    </xf>
    <xf numFmtId="3" fontId="40" fillId="33" borderId="0" xfId="0" applyNumberFormat="1" applyFont="1" applyFill="1" applyBorder="1" applyAlignment="1" applyProtection="1">
      <alignment horizontal="center" vertical="top"/>
      <protection locked="0"/>
    </xf>
    <xf numFmtId="3" fontId="40" fillId="33" borderId="45" xfId="0" applyNumberFormat="1" applyFont="1" applyFill="1" applyBorder="1" applyAlignment="1" applyProtection="1">
      <alignment horizontal="center" vertical="top"/>
      <protection locked="0"/>
    </xf>
    <xf numFmtId="0" fontId="40" fillId="33" borderId="12" xfId="0" applyFont="1" applyFill="1" applyBorder="1" applyAlignment="1">
      <alignment horizontal="center" vertical="center" wrapText="1"/>
    </xf>
    <xf numFmtId="0" fontId="40" fillId="33" borderId="13" xfId="0" applyFont="1" applyFill="1" applyBorder="1" applyAlignment="1">
      <alignment horizontal="center" vertical="center" wrapText="1"/>
    </xf>
    <xf numFmtId="0" fontId="40" fillId="33" borderId="14" xfId="0" applyFont="1" applyFill="1" applyBorder="1" applyAlignment="1">
      <alignment horizontal="center" vertical="center" wrapText="1"/>
    </xf>
    <xf numFmtId="0" fontId="40" fillId="33" borderId="44" xfId="0" applyFont="1" applyFill="1" applyBorder="1" applyAlignment="1">
      <alignment horizontal="center" vertical="center" wrapText="1"/>
    </xf>
    <xf numFmtId="0" fontId="40" fillId="33" borderId="0" xfId="0" applyFont="1" applyFill="1" applyBorder="1" applyAlignment="1">
      <alignment horizontal="center" vertical="center" wrapText="1"/>
    </xf>
    <xf numFmtId="0" fontId="40" fillId="33" borderId="45" xfId="0" applyFont="1" applyFill="1" applyBorder="1" applyAlignment="1">
      <alignment horizontal="center" vertical="center" wrapText="1"/>
    </xf>
    <xf numFmtId="0" fontId="33" fillId="33" borderId="10" xfId="0" applyFont="1" applyFill="1" applyBorder="1" applyAlignment="1">
      <alignment horizontal="left" vertical="center" indent="1"/>
    </xf>
    <xf numFmtId="0" fontId="33" fillId="33" borderId="0" xfId="0" applyFont="1" applyFill="1" applyBorder="1" applyAlignment="1">
      <alignment horizontal="left" vertical="center" indent="1"/>
    </xf>
    <xf numFmtId="0" fontId="28" fillId="0" borderId="52" xfId="0" applyFont="1" applyBorder="1" applyAlignment="1" applyProtection="1">
      <alignment vertical="top" wrapText="1"/>
      <protection locked="0"/>
    </xf>
    <xf numFmtId="0" fontId="28" fillId="0" borderId="53" xfId="0" applyFont="1" applyBorder="1" applyAlignment="1" applyProtection="1">
      <alignment vertical="top" wrapText="1"/>
      <protection locked="0"/>
    </xf>
    <xf numFmtId="0" fontId="28" fillId="0" borderId="54" xfId="0" applyFont="1" applyBorder="1" applyAlignment="1" applyProtection="1">
      <alignment vertical="top" wrapText="1"/>
      <protection locked="0"/>
    </xf>
    <xf numFmtId="0" fontId="52" fillId="0" borderId="0" xfId="0" applyFont="1" applyAlignment="1">
      <alignment horizontal="left" vertical="top" wrapText="1"/>
    </xf>
    <xf numFmtId="0" fontId="33" fillId="33" borderId="11" xfId="0" applyFont="1" applyFill="1" applyBorder="1" applyAlignment="1">
      <alignment horizontal="left" vertical="center" indent="1"/>
    </xf>
    <xf numFmtId="0" fontId="53" fillId="0" borderId="0" xfId="34" applyFont="1" applyAlignment="1" applyProtection="1">
      <alignment horizontal="left"/>
      <protection locked="0"/>
    </xf>
    <xf numFmtId="0" fontId="53" fillId="0" borderId="45" xfId="34" applyFont="1" applyBorder="1" applyAlignment="1" applyProtection="1">
      <alignment horizontal="left"/>
      <protection locked="0"/>
    </xf>
    <xf numFmtId="0" fontId="3" fillId="0" borderId="40" xfId="39" applyFont="1" applyFill="1" applyBorder="1" applyProtection="1">
      <protection locked="0"/>
    </xf>
    <xf numFmtId="0" fontId="3" fillId="0" borderId="39" xfId="39" applyFont="1" applyFill="1" applyBorder="1" applyProtection="1">
      <protection locked="0"/>
    </xf>
    <xf numFmtId="0" fontId="3" fillId="0" borderId="42" xfId="39" applyFont="1" applyFill="1" applyBorder="1" applyProtection="1">
      <protection locked="0"/>
    </xf>
    <xf numFmtId="0" fontId="3" fillId="0" borderId="55" xfId="39" applyFont="1" applyFill="1" applyBorder="1" applyProtection="1">
      <protection locked="0"/>
    </xf>
    <xf numFmtId="0" fontId="7" fillId="0" borderId="0" xfId="0" applyFont="1" applyAlignment="1" applyProtection="1">
      <alignment vertical="top" wrapText="1"/>
    </xf>
    <xf numFmtId="0" fontId="28" fillId="0" borderId="0" xfId="0" applyFont="1" applyAlignment="1">
      <alignment horizontal="left" vertical="top" wrapText="1"/>
    </xf>
    <xf numFmtId="0" fontId="33" fillId="33" borderId="33" xfId="0" applyFont="1" applyFill="1" applyBorder="1" applyAlignment="1">
      <alignment horizontal="center" vertical="center" wrapText="1"/>
    </xf>
    <xf numFmtId="0" fontId="33" fillId="33" borderId="34" xfId="0" applyFont="1" applyFill="1" applyBorder="1" applyAlignment="1">
      <alignment horizontal="center" vertical="center" wrapText="1"/>
    </xf>
    <xf numFmtId="0" fontId="3" fillId="0" borderId="41" xfId="39" applyFont="1" applyFill="1" applyBorder="1" applyProtection="1">
      <protection locked="0"/>
    </xf>
    <xf numFmtId="0" fontId="3" fillId="0" borderId="38" xfId="39" applyFont="1" applyFill="1" applyBorder="1" applyProtection="1">
      <protection locked="0"/>
    </xf>
    <xf numFmtId="1" fontId="40" fillId="33" borderId="44" xfId="0" applyNumberFormat="1" applyFont="1" applyFill="1" applyBorder="1" applyAlignment="1">
      <alignment horizontal="center" vertical="top"/>
    </xf>
    <xf numFmtId="1" fontId="40" fillId="33" borderId="0" xfId="0" applyNumberFormat="1" applyFont="1" applyFill="1" applyBorder="1" applyAlignment="1">
      <alignment horizontal="center" vertical="top"/>
    </xf>
    <xf numFmtId="1" fontId="40" fillId="33" borderId="45" xfId="0" applyNumberFormat="1" applyFont="1" applyFill="1" applyBorder="1" applyAlignment="1">
      <alignment horizontal="center" vertical="top"/>
    </xf>
    <xf numFmtId="0" fontId="53" fillId="0" borderId="24" xfId="34" applyFont="1" applyBorder="1" applyAlignment="1" applyProtection="1">
      <alignment horizontal="left"/>
      <protection locked="0"/>
    </xf>
    <xf numFmtId="0" fontId="43" fillId="0" borderId="0" xfId="0" applyFont="1" applyAlignment="1">
      <alignment horizontal="center"/>
    </xf>
    <xf numFmtId="0" fontId="50" fillId="0" borderId="0" xfId="0" applyFont="1" applyAlignment="1">
      <alignment horizontal="center" vertical="center" wrapText="1"/>
    </xf>
    <xf numFmtId="0" fontId="50" fillId="0" borderId="0"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50" xfId="0" applyFont="1" applyBorder="1" applyAlignment="1">
      <alignment horizontal="center" vertical="center" wrapText="1"/>
    </xf>
    <xf numFmtId="164" fontId="40" fillId="33" borderId="44" xfId="0" applyNumberFormat="1" applyFont="1" applyFill="1" applyBorder="1" applyAlignment="1">
      <alignment horizontal="center" vertical="top"/>
    </xf>
    <xf numFmtId="164" fontId="40" fillId="33" borderId="0" xfId="0" applyNumberFormat="1" applyFont="1" applyFill="1" applyBorder="1" applyAlignment="1">
      <alignment horizontal="center" vertical="top"/>
    </xf>
    <xf numFmtId="164" fontId="40" fillId="33" borderId="45" xfId="0" applyNumberFormat="1" applyFont="1" applyFill="1" applyBorder="1" applyAlignment="1">
      <alignment horizontal="center" vertical="top"/>
    </xf>
    <xf numFmtId="9" fontId="40" fillId="33" borderId="44" xfId="0" applyNumberFormat="1" applyFont="1" applyFill="1" applyBorder="1" applyAlignment="1">
      <alignment horizontal="center" vertical="top"/>
    </xf>
    <xf numFmtId="9" fontId="40" fillId="33" borderId="0" xfId="0" applyNumberFormat="1" applyFont="1" applyFill="1" applyBorder="1" applyAlignment="1">
      <alignment horizontal="center" vertical="top"/>
    </xf>
    <xf numFmtId="9" fontId="40" fillId="33" borderId="45" xfId="0" applyNumberFormat="1" applyFont="1" applyFill="1" applyBorder="1" applyAlignment="1">
      <alignment horizontal="center" vertical="top"/>
    </xf>
    <xf numFmtId="0" fontId="0" fillId="0" borderId="0" xfId="0" applyFont="1" applyAlignment="1">
      <alignment wrapText="1"/>
    </xf>
    <xf numFmtId="0" fontId="0" fillId="0" borderId="0" xfId="0" applyFont="1" applyAlignment="1"/>
    <xf numFmtId="0" fontId="40" fillId="33" borderId="12" xfId="0" applyFont="1" applyFill="1" applyBorder="1" applyAlignment="1" applyProtection="1">
      <alignment horizontal="center" vertical="center" wrapText="1"/>
    </xf>
    <xf numFmtId="0" fontId="40" fillId="33" borderId="13" xfId="0" applyFont="1" applyFill="1" applyBorder="1" applyAlignment="1" applyProtection="1">
      <alignment horizontal="center" vertical="center" wrapText="1"/>
    </xf>
    <xf numFmtId="0" fontId="40" fillId="33" borderId="14" xfId="0" applyFont="1" applyFill="1" applyBorder="1" applyAlignment="1" applyProtection="1">
      <alignment horizontal="center" vertical="center" wrapText="1"/>
    </xf>
    <xf numFmtId="0" fontId="40" fillId="33" borderId="44" xfId="0" applyFont="1" applyFill="1" applyBorder="1" applyAlignment="1" applyProtection="1">
      <alignment horizontal="center" vertical="center" wrapText="1"/>
    </xf>
    <xf numFmtId="0" fontId="40" fillId="33" borderId="0" xfId="0" applyFont="1" applyFill="1" applyBorder="1" applyAlignment="1" applyProtection="1">
      <alignment horizontal="center" vertical="center" wrapText="1"/>
    </xf>
    <xf numFmtId="0" fontId="40" fillId="33" borderId="45" xfId="0" applyFont="1" applyFill="1" applyBorder="1" applyAlignment="1" applyProtection="1">
      <alignment horizontal="center" vertical="center" wrapText="1"/>
    </xf>
    <xf numFmtId="0" fontId="1" fillId="0" borderId="0" xfId="0" applyFont="1" applyAlignment="1">
      <alignment horizontal="left" vertical="top" wrapText="1"/>
    </xf>
    <xf numFmtId="0" fontId="43" fillId="0" borderId="0" xfId="0" applyFont="1" applyAlignment="1">
      <alignment horizontal="left" vertical="top" wrapText="1"/>
    </xf>
    <xf numFmtId="1" fontId="40" fillId="33" borderId="44" xfId="0" applyNumberFormat="1" applyFont="1" applyFill="1" applyBorder="1" applyAlignment="1" applyProtection="1">
      <alignment horizontal="center" vertical="top"/>
      <protection locked="0"/>
    </xf>
    <xf numFmtId="1" fontId="40" fillId="33" borderId="0" xfId="0" applyNumberFormat="1" applyFont="1" applyFill="1" applyBorder="1" applyAlignment="1" applyProtection="1">
      <alignment horizontal="center" vertical="top"/>
      <protection locked="0"/>
    </xf>
    <xf numFmtId="1" fontId="40" fillId="33" borderId="45" xfId="0" applyNumberFormat="1" applyFont="1" applyFill="1" applyBorder="1" applyAlignment="1" applyProtection="1">
      <alignment horizontal="center" vertical="top"/>
      <protection locked="0"/>
    </xf>
    <xf numFmtId="1" fontId="40" fillId="33" borderId="44" xfId="0" applyNumberFormat="1" applyFont="1" applyFill="1" applyBorder="1" applyAlignment="1" applyProtection="1">
      <alignment horizontal="center" vertical="top"/>
    </xf>
    <xf numFmtId="1" fontId="40" fillId="33" borderId="0" xfId="0" applyNumberFormat="1" applyFont="1" applyFill="1" applyBorder="1" applyAlignment="1" applyProtection="1">
      <alignment horizontal="center" vertical="top"/>
    </xf>
    <xf numFmtId="1" fontId="40" fillId="33" borderId="45" xfId="0" applyNumberFormat="1" applyFont="1" applyFill="1" applyBorder="1" applyAlignment="1" applyProtection="1">
      <alignment horizontal="center" vertical="top"/>
    </xf>
    <xf numFmtId="0" fontId="42" fillId="0" borderId="0" xfId="0" applyFont="1" applyAlignment="1" applyProtection="1">
      <alignment vertical="top" wrapText="1" readingOrder="1"/>
      <protection hidden="1"/>
    </xf>
    <xf numFmtId="0" fontId="5" fillId="0" borderId="57" xfId="0" applyFont="1" applyFill="1" applyBorder="1" applyAlignment="1" applyProtection="1">
      <alignment horizontal="left" vertical="center" indent="1"/>
      <protection hidden="1"/>
    </xf>
    <xf numFmtId="0" fontId="5" fillId="0" borderId="58" xfId="0" applyFont="1" applyFill="1" applyBorder="1" applyAlignment="1" applyProtection="1">
      <alignment horizontal="left" vertical="center" indent="1"/>
      <protection hidden="1"/>
    </xf>
    <xf numFmtId="0" fontId="5" fillId="0" borderId="59" xfId="0" applyFont="1" applyFill="1" applyBorder="1" applyAlignment="1" applyProtection="1">
      <alignment horizontal="left" vertical="center" indent="1"/>
      <protection hidden="1"/>
    </xf>
    <xf numFmtId="0" fontId="33" fillId="33" borderId="65" xfId="0" applyFont="1" applyFill="1" applyBorder="1" applyAlignment="1" applyProtection="1">
      <alignment horizontal="center" vertical="center" wrapText="1"/>
      <protection hidden="1"/>
    </xf>
    <xf numFmtId="0" fontId="33" fillId="33" borderId="66" xfId="0" applyFont="1" applyFill="1" applyBorder="1" applyAlignment="1" applyProtection="1">
      <alignment horizontal="center" vertical="center" wrapText="1"/>
      <protection hidden="1"/>
    </xf>
    <xf numFmtId="0" fontId="5" fillId="0" borderId="36" xfId="0" applyFont="1" applyFill="1" applyBorder="1" applyAlignment="1" applyProtection="1">
      <alignment horizontal="left" vertical="center" indent="1"/>
      <protection hidden="1"/>
    </xf>
    <xf numFmtId="0" fontId="5" fillId="0" borderId="56" xfId="0" applyFont="1" applyFill="1" applyBorder="1" applyAlignment="1" applyProtection="1">
      <alignment horizontal="left" vertical="center" indent="1"/>
      <protection hidden="1"/>
    </xf>
    <xf numFmtId="0" fontId="5" fillId="0" borderId="39" xfId="0" applyFont="1" applyFill="1" applyBorder="1" applyAlignment="1" applyProtection="1">
      <alignment horizontal="left" vertical="center" indent="1"/>
      <protection hidden="1"/>
    </xf>
    <xf numFmtId="0" fontId="28" fillId="0" borderId="0" xfId="0" applyFont="1" applyAlignment="1" applyProtection="1">
      <alignment vertical="top" wrapText="1"/>
      <protection hidden="1"/>
    </xf>
    <xf numFmtId="0" fontId="28" fillId="0" borderId="0" xfId="0" applyFont="1" applyAlignment="1" applyProtection="1">
      <alignment wrapText="1"/>
      <protection hidden="1"/>
    </xf>
    <xf numFmtId="0" fontId="28" fillId="0" borderId="0" xfId="0" applyFont="1" applyBorder="1" applyAlignment="1" applyProtection="1">
      <alignment vertical="top" wrapText="1"/>
      <protection hidden="1"/>
    </xf>
    <xf numFmtId="0" fontId="28" fillId="0" borderId="0" xfId="0" applyFont="1" applyAlignment="1" applyProtection="1">
      <alignment horizontal="left" vertical="top" wrapText="1"/>
      <protection hidden="1"/>
    </xf>
    <xf numFmtId="1" fontId="45" fillId="0" borderId="10" xfId="0" applyNumberFormat="1" applyFont="1" applyBorder="1" applyAlignment="1" applyProtection="1">
      <alignment vertical="center"/>
      <protection hidden="1"/>
    </xf>
    <xf numFmtId="1" fontId="45" fillId="0" borderId="0" xfId="0" applyNumberFormat="1" applyFont="1" applyBorder="1" applyAlignment="1" applyProtection="1">
      <alignment vertical="center"/>
      <protection hidden="1"/>
    </xf>
    <xf numFmtId="0" fontId="5" fillId="0" borderId="74" xfId="0" applyFont="1" applyFill="1" applyBorder="1" applyAlignment="1" applyProtection="1">
      <alignment horizontal="left" vertical="center" indent="1"/>
      <protection hidden="1"/>
    </xf>
    <xf numFmtId="0" fontId="5" fillId="0" borderId="75" xfId="0" applyFont="1" applyFill="1" applyBorder="1" applyAlignment="1" applyProtection="1">
      <alignment horizontal="left" vertical="center" indent="1"/>
      <protection hidden="1"/>
    </xf>
    <xf numFmtId="0" fontId="5" fillId="0" borderId="76" xfId="0" applyFont="1" applyFill="1" applyBorder="1" applyAlignment="1" applyProtection="1">
      <alignment horizontal="left" vertical="center" indent="1"/>
      <protection hidden="1"/>
    </xf>
    <xf numFmtId="0" fontId="33" fillId="33" borderId="44"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7" fillId="0" borderId="0" xfId="0" applyFont="1" applyAlignment="1" applyProtection="1">
      <alignment vertical="top" wrapText="1"/>
      <protection hidden="1"/>
    </xf>
    <xf numFmtId="0" fontId="5" fillId="0" borderId="36" xfId="0" applyFont="1" applyFill="1" applyBorder="1" applyAlignment="1" applyProtection="1">
      <alignment horizontal="left" vertical="center" indent="3"/>
      <protection hidden="1"/>
    </xf>
    <xf numFmtId="0" fontId="5" fillId="0" borderId="56" xfId="0" applyFont="1" applyFill="1" applyBorder="1" applyAlignment="1" applyProtection="1">
      <alignment horizontal="left" vertical="center" indent="3"/>
      <protection hidden="1"/>
    </xf>
    <xf numFmtId="0" fontId="5" fillId="0" borderId="39" xfId="0" applyFont="1" applyFill="1" applyBorder="1" applyAlignment="1" applyProtection="1">
      <alignment horizontal="left" vertical="center" indent="3"/>
      <protection hidden="1"/>
    </xf>
    <xf numFmtId="0" fontId="49" fillId="0" borderId="49" xfId="0" applyFont="1" applyBorder="1" applyAlignment="1" applyProtection="1">
      <alignment vertical="center"/>
      <protection hidden="1"/>
    </xf>
    <xf numFmtId="0" fontId="33" fillId="33" borderId="60" xfId="0" applyFont="1" applyFill="1" applyBorder="1" applyAlignment="1" applyProtection="1">
      <alignment horizontal="center" vertical="center" wrapText="1"/>
      <protection hidden="1"/>
    </xf>
    <xf numFmtId="0" fontId="33" fillId="33" borderId="28" xfId="0" applyFont="1" applyFill="1" applyBorder="1" applyAlignment="1" applyProtection="1">
      <alignment horizontal="center" vertical="center" wrapText="1"/>
      <protection hidden="1"/>
    </xf>
    <xf numFmtId="0" fontId="33" fillId="33" borderId="61" xfId="0" applyFont="1" applyFill="1" applyBorder="1" applyAlignment="1" applyProtection="1">
      <alignment horizontal="center" vertical="center" wrapText="1"/>
      <protection hidden="1"/>
    </xf>
    <xf numFmtId="0" fontId="5" fillId="0" borderId="62" xfId="0" applyFont="1" applyFill="1" applyBorder="1" applyAlignment="1" applyProtection="1">
      <alignment horizontal="left" vertical="center" indent="1"/>
      <protection hidden="1"/>
    </xf>
    <xf numFmtId="0" fontId="5" fillId="0" borderId="63" xfId="0" applyFont="1" applyFill="1" applyBorder="1" applyAlignment="1" applyProtection="1">
      <alignment horizontal="left" vertical="center" indent="1"/>
      <protection hidden="1"/>
    </xf>
    <xf numFmtId="0" fontId="5" fillId="0" borderId="64" xfId="0" applyFont="1" applyFill="1" applyBorder="1" applyAlignment="1" applyProtection="1">
      <alignment horizontal="left" vertical="center" indent="1"/>
      <protection hidden="1"/>
    </xf>
    <xf numFmtId="0" fontId="43" fillId="0" borderId="0" xfId="0" applyFont="1" applyAlignment="1" applyProtection="1">
      <alignment horizontal="center"/>
      <protection hidden="1"/>
    </xf>
    <xf numFmtId="0" fontId="1" fillId="0" borderId="0" xfId="0" applyNumberFormat="1" applyFont="1" applyAlignment="1">
      <alignment vertical="top" wrapText="1"/>
    </xf>
    <xf numFmtId="0" fontId="40" fillId="33" borderId="12" xfId="0" applyFont="1" applyFill="1" applyBorder="1" applyAlignment="1" applyProtection="1">
      <alignment horizontal="center" vertical="center" wrapText="1"/>
      <protection hidden="1"/>
    </xf>
    <xf numFmtId="0" fontId="40" fillId="33" borderId="14" xfId="0" applyFont="1" applyFill="1" applyBorder="1" applyAlignment="1" applyProtection="1">
      <alignment horizontal="center" vertical="center" wrapText="1"/>
      <protection hidden="1"/>
    </xf>
    <xf numFmtId="0" fontId="40" fillId="33" borderId="44" xfId="0" applyFont="1" applyFill="1" applyBorder="1" applyAlignment="1" applyProtection="1">
      <alignment horizontal="center" vertical="center" wrapText="1"/>
      <protection hidden="1"/>
    </xf>
    <xf numFmtId="0" fontId="40" fillId="33" borderId="45" xfId="0" applyFont="1" applyFill="1" applyBorder="1" applyAlignment="1" applyProtection="1">
      <alignment horizontal="center" vertical="center" wrapText="1"/>
      <protection hidden="1"/>
    </xf>
    <xf numFmtId="0" fontId="40" fillId="33" borderId="13" xfId="0" applyFont="1" applyFill="1" applyBorder="1" applyAlignment="1" applyProtection="1">
      <alignment horizontal="center" vertical="center" wrapText="1"/>
      <protection hidden="1"/>
    </xf>
    <xf numFmtId="0" fontId="40" fillId="33" borderId="0" xfId="0" applyFont="1" applyFill="1" applyBorder="1" applyAlignment="1" applyProtection="1">
      <alignment horizontal="center" vertical="center" wrapText="1"/>
      <protection hidden="1"/>
    </xf>
    <xf numFmtId="1" fontId="40" fillId="33" borderId="26" xfId="0" applyNumberFormat="1" applyFont="1" applyFill="1" applyBorder="1" applyAlignment="1" applyProtection="1">
      <alignment horizontal="center" vertical="top"/>
      <protection hidden="1"/>
    </xf>
    <xf numFmtId="1" fontId="40" fillId="33" borderId="25" xfId="0" applyNumberFormat="1" applyFont="1" applyFill="1" applyBorder="1" applyAlignment="1" applyProtection="1">
      <alignment horizontal="center" vertical="top"/>
      <protection hidden="1"/>
    </xf>
    <xf numFmtId="1" fontId="40" fillId="33" borderId="24" xfId="0" applyNumberFormat="1" applyFont="1" applyFill="1" applyBorder="1" applyAlignment="1" applyProtection="1">
      <alignment horizontal="center" vertical="top"/>
      <protection hidden="1"/>
    </xf>
    <xf numFmtId="166" fontId="5" fillId="34" borderId="36" xfId="0" applyNumberFormat="1" applyFont="1" applyFill="1" applyBorder="1" applyAlignment="1" applyProtection="1">
      <alignment horizontal="center" vertical="center"/>
      <protection hidden="1"/>
    </xf>
    <xf numFmtId="166" fontId="5" fillId="34" borderId="39" xfId="0" applyNumberFormat="1" applyFont="1" applyFill="1" applyBorder="1" applyAlignment="1" applyProtection="1">
      <alignment horizontal="center" vertical="center"/>
      <protection hidden="1"/>
    </xf>
    <xf numFmtId="0" fontId="33" fillId="33" borderId="41" xfId="0" applyFont="1" applyFill="1" applyBorder="1" applyAlignment="1" applyProtection="1">
      <alignment horizontal="center" vertical="center" wrapText="1"/>
      <protection hidden="1"/>
    </xf>
    <xf numFmtId="0" fontId="33" fillId="33" borderId="69" xfId="0" applyFont="1" applyFill="1" applyBorder="1" applyAlignment="1" applyProtection="1">
      <alignment horizontal="center" vertical="center" wrapText="1"/>
      <protection hidden="1"/>
    </xf>
    <xf numFmtId="0" fontId="33" fillId="33" borderId="12" xfId="0" applyFont="1" applyFill="1" applyBorder="1" applyAlignment="1" applyProtection="1">
      <alignment horizontal="center" vertical="center" wrapText="1"/>
      <protection hidden="1"/>
    </xf>
    <xf numFmtId="0" fontId="33" fillId="33" borderId="14" xfId="0" applyFont="1" applyFill="1" applyBorder="1" applyAlignment="1" applyProtection="1">
      <alignment horizontal="center" vertical="center" wrapText="1"/>
      <protection hidden="1"/>
    </xf>
    <xf numFmtId="166" fontId="5" fillId="34" borderId="67" xfId="0" applyNumberFormat="1" applyFont="1" applyFill="1" applyBorder="1" applyAlignment="1" applyProtection="1">
      <alignment horizontal="center" vertical="center"/>
      <protection hidden="1"/>
    </xf>
    <xf numFmtId="166" fontId="5" fillId="34" borderId="68" xfId="0" applyNumberFormat="1" applyFont="1" applyFill="1" applyBorder="1" applyAlignment="1" applyProtection="1">
      <alignment horizontal="center" vertical="center"/>
      <protection hidden="1"/>
    </xf>
    <xf numFmtId="165" fontId="5" fillId="34" borderId="67" xfId="0" applyNumberFormat="1" applyFont="1" applyFill="1" applyBorder="1" applyAlignment="1" applyProtection="1">
      <alignment horizontal="center" vertical="center"/>
      <protection hidden="1"/>
    </xf>
    <xf numFmtId="165" fontId="5" fillId="34" borderId="68" xfId="0" applyNumberFormat="1" applyFont="1" applyFill="1" applyBorder="1" applyAlignment="1" applyProtection="1">
      <alignment horizontal="center" vertical="center"/>
      <protection hidden="1"/>
    </xf>
    <xf numFmtId="0" fontId="33" fillId="33" borderId="12" xfId="0" applyFont="1" applyFill="1" applyBorder="1" applyAlignment="1" applyProtection="1">
      <alignment horizontal="right" vertical="center" wrapText="1"/>
      <protection hidden="1"/>
    </xf>
    <xf numFmtId="0" fontId="33" fillId="33" borderId="13" xfId="0" applyFont="1" applyFill="1" applyBorder="1" applyAlignment="1" applyProtection="1">
      <alignment horizontal="right" vertical="center" wrapText="1"/>
      <protection hidden="1"/>
    </xf>
    <xf numFmtId="0" fontId="33" fillId="33" borderId="14" xfId="0" applyFont="1" applyFill="1" applyBorder="1" applyAlignment="1" applyProtection="1">
      <alignment horizontal="right" vertical="center" wrapText="1"/>
      <protection hidden="1"/>
    </xf>
    <xf numFmtId="165" fontId="6" fillId="0" borderId="37" xfId="0" applyNumberFormat="1" applyFont="1" applyFill="1" applyBorder="1" applyAlignment="1" applyProtection="1">
      <alignment horizontal="center" vertical="center"/>
      <protection hidden="1"/>
    </xf>
    <xf numFmtId="165" fontId="6" fillId="0" borderId="55" xfId="0" applyNumberFormat="1" applyFont="1" applyFill="1" applyBorder="1" applyAlignment="1" applyProtection="1">
      <alignment horizontal="center" vertical="center"/>
      <protection hidden="1"/>
    </xf>
    <xf numFmtId="1" fontId="6" fillId="0" borderId="37" xfId="0" applyNumberFormat="1" applyFont="1" applyFill="1" applyBorder="1" applyAlignment="1" applyProtection="1">
      <alignment horizontal="center" vertical="center"/>
      <protection hidden="1"/>
    </xf>
    <xf numFmtId="1" fontId="6" fillId="0" borderId="55" xfId="0" applyNumberFormat="1" applyFont="1" applyFill="1" applyBorder="1" applyAlignment="1" applyProtection="1">
      <alignment horizontal="center" vertical="center"/>
      <protection hidden="1"/>
    </xf>
    <xf numFmtId="165" fontId="6" fillId="34" borderId="37" xfId="0" applyNumberFormat="1" applyFont="1" applyFill="1" applyBorder="1" applyAlignment="1" applyProtection="1">
      <alignment horizontal="center" vertical="center"/>
      <protection hidden="1"/>
    </xf>
    <xf numFmtId="165" fontId="6" fillId="34" borderId="55" xfId="0" applyNumberFormat="1" applyFont="1" applyFill="1" applyBorder="1" applyAlignment="1" applyProtection="1">
      <alignment horizontal="center" vertical="center"/>
      <protection hidden="1"/>
    </xf>
    <xf numFmtId="3" fontId="33" fillId="33" borderId="12" xfId="0" applyNumberFormat="1" applyFont="1" applyFill="1" applyBorder="1" applyAlignment="1" applyProtection="1">
      <alignment horizontal="left" vertical="center" wrapText="1"/>
      <protection hidden="1"/>
    </xf>
    <xf numFmtId="3" fontId="33" fillId="33" borderId="13" xfId="0" applyNumberFormat="1" applyFont="1" applyFill="1" applyBorder="1" applyAlignment="1" applyProtection="1">
      <alignment horizontal="left" vertical="center" wrapText="1"/>
      <protection hidden="1"/>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0" fontId="33" fillId="33" borderId="27" xfId="0" applyFont="1" applyFill="1" applyBorder="1" applyAlignment="1">
      <alignment horizontal="left" vertical="center"/>
    </xf>
    <xf numFmtId="0" fontId="33" fillId="33" borderId="28" xfId="0" applyFont="1" applyFill="1" applyBorder="1" applyAlignment="1">
      <alignment horizontal="left" vertical="center"/>
    </xf>
    <xf numFmtId="0" fontId="33" fillId="33" borderId="30" xfId="0" applyFont="1" applyFill="1" applyBorder="1" applyAlignment="1">
      <alignment horizontal="left" vertical="center"/>
    </xf>
    <xf numFmtId="0" fontId="28" fillId="0" borderId="10" xfId="0" applyFont="1" applyBorder="1" applyAlignment="1">
      <alignment horizontal="center" vertical="top" wrapText="1"/>
    </xf>
    <xf numFmtId="0" fontId="28" fillId="0" borderId="0" xfId="0" applyFont="1" applyBorder="1" applyAlignment="1">
      <alignment horizontal="center" vertical="top" wrapText="1"/>
    </xf>
    <xf numFmtId="0" fontId="28" fillId="0" borderId="11" xfId="0" applyFont="1" applyBorder="1" applyAlignment="1">
      <alignment horizontal="center" vertical="top" wrapText="1"/>
    </xf>
    <xf numFmtId="0" fontId="33" fillId="33" borderId="78" xfId="0" applyFont="1" applyFill="1" applyBorder="1" applyAlignment="1" applyProtection="1">
      <alignment horizontal="left" vertical="center" wrapText="1"/>
      <protection locked="0"/>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te" xfId="41" builtinId="10" customBuiltin="1"/>
    <cellStyle name="Output" xfId="42" builtinId="21" customBuiltin="1"/>
    <cellStyle name="Percent" xfId="46" builtinId="5"/>
    <cellStyle name="Title" xfId="43" builtinId="15" customBuiltin="1"/>
    <cellStyle name="Total" xfId="44" builtinId="25" customBuiltin="1"/>
    <cellStyle name="Warning Text" xfId="45" builtinId="11" customBuiltin="1"/>
  </cellStyles>
  <dxfs count="19">
    <dxf>
      <font>
        <color theme="0"/>
      </font>
    </dxf>
    <dxf>
      <font>
        <color rgb="FF0091C9"/>
      </font>
    </dxf>
    <dxf>
      <font>
        <color theme="0"/>
      </font>
    </dxf>
    <dxf>
      <font>
        <color theme="0"/>
      </font>
    </dxf>
    <dxf>
      <font>
        <b/>
        <i val="0"/>
        <color rgb="FFD81E05"/>
      </font>
    </dxf>
    <dxf>
      <font>
        <color theme="0"/>
      </font>
    </dxf>
    <dxf>
      <font>
        <color theme="0"/>
      </font>
    </dxf>
    <dxf>
      <font>
        <b/>
        <i val="0"/>
        <color rgb="FFD81E05"/>
      </font>
    </dxf>
    <dxf>
      <font>
        <b/>
        <i val="0"/>
        <color rgb="FFE28C05"/>
      </font>
    </dxf>
    <dxf>
      <font>
        <color rgb="FF009E49"/>
      </font>
    </dxf>
    <dxf>
      <font>
        <b/>
        <i val="0"/>
        <color rgb="FFD81E05"/>
      </font>
    </dxf>
    <dxf>
      <font>
        <b/>
        <i val="0"/>
        <color rgb="FFD81E05"/>
      </font>
    </dxf>
    <dxf>
      <fill>
        <patternFill>
          <bgColor rgb="FFE28C05"/>
        </patternFill>
      </fill>
    </dxf>
    <dxf>
      <fill>
        <patternFill>
          <bgColor rgb="FFD81E05"/>
        </patternFill>
      </fill>
    </dxf>
    <dxf>
      <font>
        <color rgb="FF0091C9"/>
      </font>
    </dxf>
    <dxf>
      <font>
        <color rgb="FF0091C9"/>
      </font>
    </dxf>
    <dxf>
      <font>
        <color rgb="FF0091C9"/>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D81E05"/>
      <color rgb="FFE28C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11"/>
          <c:h val="0.8760955626815311"/>
        </c:manualLayout>
      </c:layout>
      <c:lineChart>
        <c:grouping val="standard"/>
        <c:varyColors val="0"/>
        <c:ser>
          <c:idx val="1"/>
          <c:order val="0"/>
          <c:tx>
            <c:v>Data</c:v>
          </c:tx>
          <c:marker>
            <c:symbol val="diamond"/>
            <c:size val="6"/>
          </c:marker>
          <c:val>
            <c:numRef>
              <c:f>[0]!ReferralsRange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55B-4477-AD18-6764FC3EFAA3}"/>
            </c:ext>
          </c:extLst>
        </c:ser>
        <c:ser>
          <c:idx val="0"/>
          <c:order val="1"/>
          <c:tx>
            <c:strRef>
              <c:f>SPC!$I$1</c:f>
              <c:strCache>
                <c:ptCount val="1"/>
                <c:pt idx="0">
                  <c:v>UCL</c:v>
                </c:pt>
              </c:strCache>
            </c:strRef>
          </c:tx>
          <c:marker>
            <c:symbol val="none"/>
          </c:marker>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355B-4477-AD18-6764FC3EFAA3}"/>
            </c:ext>
          </c:extLst>
        </c:ser>
        <c:ser>
          <c:idx val="2"/>
          <c:order val="2"/>
          <c:tx>
            <c:strRef>
              <c:f>SPC!$O$1</c:f>
              <c:strCache>
                <c:ptCount val="1"/>
                <c:pt idx="0">
                  <c:v>LCL</c:v>
                </c:pt>
              </c:strCache>
            </c:strRef>
          </c:tx>
          <c:marker>
            <c:symbol val="none"/>
          </c:marker>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355B-4477-AD18-6764FC3EFAA3}"/>
            </c:ext>
          </c:extLst>
        </c:ser>
        <c:ser>
          <c:idx val="3"/>
          <c:order val="3"/>
          <c:tx>
            <c:strRef>
              <c:f>SPC!$L$1</c:f>
              <c:strCache>
                <c:ptCount val="1"/>
                <c:pt idx="0">
                  <c:v>Mean</c:v>
                </c:pt>
              </c:strCache>
            </c:strRef>
          </c:tx>
          <c:marker>
            <c:symbol val="none"/>
          </c:marker>
          <c:val>
            <c:numRef>
              <c:f>[0]!SPCMeanRange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355B-4477-AD18-6764FC3EFAA3}"/>
            </c:ext>
          </c:extLst>
        </c:ser>
        <c:ser>
          <c:idx val="4"/>
          <c:order val="4"/>
          <c:tx>
            <c:strRef>
              <c:f>SPC!$J$1</c:f>
              <c:strCache>
                <c:ptCount val="1"/>
                <c:pt idx="0">
                  <c:v>Sigma+2</c:v>
                </c:pt>
              </c:strCache>
            </c:strRef>
          </c:tx>
          <c:spPr>
            <a:ln w="12700">
              <a:solidFill>
                <a:schemeClr val="tx1"/>
              </a:solidFill>
            </a:ln>
          </c:spPr>
          <c:marker>
            <c:symbol val="none"/>
          </c:marker>
          <c:val>
            <c:numRef>
              <c:f>[0]!Sigma2PlusRange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355B-4477-AD18-6764FC3EFAA3}"/>
            </c:ext>
          </c:extLst>
        </c:ser>
        <c:ser>
          <c:idx val="5"/>
          <c:order val="5"/>
          <c:tx>
            <c:strRef>
              <c:f>SPC!$N$1</c:f>
              <c:strCache>
                <c:ptCount val="1"/>
                <c:pt idx="0">
                  <c:v>Sigma-2</c:v>
                </c:pt>
              </c:strCache>
            </c:strRef>
          </c:tx>
          <c:spPr>
            <a:ln w="12700">
              <a:solidFill>
                <a:schemeClr val="tx1"/>
              </a:solidFill>
            </a:ln>
          </c:spPr>
          <c:marker>
            <c:symbol val="none"/>
          </c:marker>
          <c:val>
            <c:numRef>
              <c:f>[0]!Sigma2MinusRange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355B-4477-AD18-6764FC3EFAA3}"/>
            </c:ext>
          </c:extLst>
        </c:ser>
        <c:ser>
          <c:idx val="6"/>
          <c:order val="6"/>
          <c:tx>
            <c:strRef>
              <c:f>SPC!$K$1</c:f>
              <c:strCache>
                <c:ptCount val="1"/>
                <c:pt idx="0">
                  <c:v>Sigma+1</c:v>
                </c:pt>
              </c:strCache>
            </c:strRef>
          </c:tx>
          <c:spPr>
            <a:ln w="12700">
              <a:solidFill>
                <a:schemeClr val="tx1"/>
              </a:solidFill>
            </a:ln>
          </c:spPr>
          <c:marker>
            <c:symbol val="none"/>
          </c:marker>
          <c:val>
            <c:numRef>
              <c:f>[0]!Sigma1PlusRange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355B-4477-AD18-6764FC3EFAA3}"/>
            </c:ext>
          </c:extLst>
        </c:ser>
        <c:ser>
          <c:idx val="7"/>
          <c:order val="7"/>
          <c:tx>
            <c:strRef>
              <c:f>SPC!$M$1</c:f>
              <c:strCache>
                <c:ptCount val="1"/>
                <c:pt idx="0">
                  <c:v>Sigma-1</c:v>
                </c:pt>
              </c:strCache>
            </c:strRef>
          </c:tx>
          <c:spPr>
            <a:ln w="12700">
              <a:solidFill>
                <a:schemeClr val="tx1"/>
              </a:solidFill>
            </a:ln>
          </c:spPr>
          <c:marker>
            <c:symbol val="none"/>
          </c:marker>
          <c:val>
            <c:numRef>
              <c:f>[0]!Sigma1MinusRange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355B-4477-AD18-6764FC3EFAA3}"/>
            </c:ext>
          </c:extLst>
        </c:ser>
        <c:dLbls>
          <c:showLegendKey val="0"/>
          <c:showVal val="0"/>
          <c:showCatName val="0"/>
          <c:showSerName val="0"/>
          <c:showPercent val="0"/>
          <c:showBubbleSize val="0"/>
        </c:dLbls>
        <c:marker val="1"/>
        <c:smooth val="0"/>
        <c:axId val="114186880"/>
        <c:axId val="140132736"/>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07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55B-4477-AD18-6764FC3EFAA3}"/>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355B-4477-AD18-6764FC3EFAA3}"/>
            </c:ext>
          </c:extLst>
        </c:ser>
        <c:ser>
          <c:idx val="8"/>
          <c:order val="9"/>
          <c:tx>
            <c:strRef>
              <c:f>SPC!$D$1</c:f>
              <c:strCache>
                <c:ptCount val="1"/>
                <c:pt idx="0">
                  <c:v>2</c:v>
                </c:pt>
              </c:strCache>
            </c:strRef>
          </c:tx>
          <c:spPr>
            <a:ln w="28575">
              <a:noFill/>
            </a:ln>
          </c:spPr>
          <c:marker>
            <c:symbol val="none"/>
          </c:marker>
          <c:dLbls>
            <c:dLbl>
              <c:idx val="47"/>
              <c:layout>
                <c:manualLayout>
                  <c:x val="-2.1692573402417961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55B-4477-AD18-6764FC3EFAA3}"/>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355B-4477-AD18-6764FC3EFAA3}"/>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355B-4477-AD18-6764FC3EFAA3}"/>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355B-4477-AD18-6764FC3EFAA3}"/>
            </c:ext>
          </c:extLst>
        </c:ser>
        <c:dLbls>
          <c:showLegendKey val="0"/>
          <c:showVal val="0"/>
          <c:showCatName val="0"/>
          <c:showSerName val="0"/>
          <c:showPercent val="0"/>
          <c:showBubbleSize val="0"/>
        </c:dLbls>
        <c:axId val="114186880"/>
        <c:axId val="140132736"/>
      </c:scatterChart>
      <c:catAx>
        <c:axId val="114186880"/>
        <c:scaling>
          <c:orientation val="minMax"/>
        </c:scaling>
        <c:delete val="0"/>
        <c:axPos val="b"/>
        <c:numFmt formatCode="General" sourceLinked="1"/>
        <c:majorTickMark val="out"/>
        <c:minorTickMark val="none"/>
        <c:tickLblPos val="nextTo"/>
        <c:txPr>
          <a:bodyPr/>
          <a:lstStyle/>
          <a:p>
            <a:pPr>
              <a:defRPr b="1"/>
            </a:pPr>
            <a:endParaRPr lang="en-US"/>
          </a:p>
        </c:txPr>
        <c:crossAx val="140132736"/>
        <c:crosses val="autoZero"/>
        <c:auto val="1"/>
        <c:lblAlgn val="ctr"/>
        <c:lblOffset val="100"/>
        <c:tickLblSkip val="2"/>
        <c:noMultiLvlLbl val="0"/>
      </c:catAx>
      <c:valAx>
        <c:axId val="140132736"/>
        <c:scaling>
          <c:orientation val="minMax"/>
        </c:scaling>
        <c:delete val="0"/>
        <c:axPos val="l"/>
        <c:numFmt formatCode="General" sourceLinked="1"/>
        <c:majorTickMark val="out"/>
        <c:minorTickMark val="none"/>
        <c:tickLblPos val="nextTo"/>
        <c:txPr>
          <a:bodyPr/>
          <a:lstStyle/>
          <a:p>
            <a:pPr>
              <a:defRPr b="1"/>
            </a:pPr>
            <a:endParaRPr lang="en-US"/>
          </a:p>
        </c:txPr>
        <c:crossAx val="114186880"/>
        <c:crosses val="autoZero"/>
        <c:crossBetween val="between"/>
      </c:valAx>
    </c:plotArea>
    <c:legend>
      <c:legendPos val="b"/>
      <c:layout>
        <c:manualLayout>
          <c:xMode val="edge"/>
          <c:yMode val="edge"/>
          <c:x val="0.30539264825399365"/>
          <c:y val="0.75891311054472632"/>
          <c:w val="0.46478265851286354"/>
          <c:h val="4.7452549443977698E-2"/>
        </c:manualLayout>
      </c:layout>
      <c:overlay val="1"/>
    </c:legend>
    <c:plotVisOnly val="0"/>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Summary!$Q$42</c:f>
          <c:strCache>
            <c:ptCount val="1"/>
            <c:pt idx="0">
              <c:v>Demand</c:v>
            </c:pt>
          </c:strCache>
        </c:strRef>
      </c:tx>
      <c:overlay val="0"/>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0.10376019943113807"/>
          <c:y val="6.3098522080713065E-2"/>
          <c:w val="0.85304077576077042"/>
          <c:h val="0.80499603656925434"/>
        </c:manualLayout>
      </c:layout>
      <c:lineChart>
        <c:grouping val="standard"/>
        <c:varyColors val="0"/>
        <c:ser>
          <c:idx val="0"/>
          <c:order val="0"/>
          <c:tx>
            <c:v>75th Percentile</c:v>
          </c:tx>
          <c:spPr>
            <a:ln w="19050">
              <a:solidFill>
                <a:srgbClr val="E28C05"/>
              </a:solidFill>
              <a:prstDash val="sysDot"/>
            </a:ln>
          </c:spPr>
          <c:marker>
            <c:symbol val="none"/>
          </c:marker>
          <c:cat>
            <c:multiLvlStrRef>
              <c:f>[0]!Weeks</c:f>
            </c:multiLvlStrRef>
          </c:cat>
          <c:val>
            <c:numRef>
              <c:f>[0]!GraphPercentile75Range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DA4-4C26-9B5E-114CFDE2C971}"/>
            </c:ext>
          </c:extLst>
        </c:ser>
        <c:ser>
          <c:idx val="2"/>
          <c:order val="1"/>
          <c:tx>
            <c:v>85th Percentile</c:v>
          </c:tx>
          <c:spPr>
            <a:ln w="19050">
              <a:solidFill>
                <a:srgbClr val="A00054"/>
              </a:solidFill>
              <a:prstDash val="sysDot"/>
            </a:ln>
          </c:spPr>
          <c:marker>
            <c:symbol val="none"/>
          </c:marker>
          <c:cat>
            <c:multiLvlStrRef>
              <c:f>[0]!Weeks</c:f>
            </c:multiLvlStrRef>
          </c:cat>
          <c:val>
            <c:numRef>
              <c:f>[0]!GraphPercentile85Range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1DA4-4C26-9B5E-114CFDE2C971}"/>
            </c:ext>
          </c:extLst>
        </c:ser>
        <c:ser>
          <c:idx val="3"/>
          <c:order val="2"/>
          <c:tx>
            <c:v>3 Sigma Below</c:v>
          </c:tx>
          <c:spPr>
            <a:ln w="19050">
              <a:solidFill>
                <a:srgbClr val="009E49"/>
              </a:solidFill>
            </a:ln>
          </c:spPr>
          <c:marker>
            <c:symbol val="none"/>
          </c:marker>
          <c:cat>
            <c:multiLvlStrRef>
              <c:f>[0]!Weeks</c:f>
            </c:multiLvlStrRef>
          </c:cat>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1DA4-4C26-9B5E-114CFDE2C971}"/>
            </c:ext>
          </c:extLst>
        </c:ser>
        <c:ser>
          <c:idx val="4"/>
          <c:order val="3"/>
          <c:tx>
            <c:v>3 Sigma Above</c:v>
          </c:tx>
          <c:spPr>
            <a:ln w="19050">
              <a:solidFill>
                <a:srgbClr val="D81E05"/>
              </a:solidFill>
            </a:ln>
          </c:spPr>
          <c:marker>
            <c:symbol val="none"/>
          </c:marker>
          <c:cat>
            <c:multiLvlStrRef>
              <c:f>[0]!Weeks</c:f>
            </c:multiLvlStrRef>
          </c:cat>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1DA4-4C26-9B5E-114CFDE2C971}"/>
            </c:ext>
          </c:extLst>
        </c:ser>
        <c:ser>
          <c:idx val="1"/>
          <c:order val="4"/>
          <c:tx>
            <c:v>Referrals</c:v>
          </c:tx>
          <c:spPr>
            <a:ln w="19050">
              <a:solidFill>
                <a:srgbClr val="0091C9"/>
              </a:solidFill>
            </a:ln>
          </c:spPr>
          <c:marker>
            <c:symbol val="square"/>
            <c:size val="4"/>
            <c:spPr>
              <a:solidFill>
                <a:srgbClr val="0091C9"/>
              </a:solidFill>
              <a:ln>
                <a:solidFill>
                  <a:srgbClr val="0091C9"/>
                </a:solidFill>
              </a:ln>
            </c:spPr>
          </c:marker>
          <c:cat>
            <c:multiLvlStrRef>
              <c:f>[0]!Weeks</c:f>
            </c:multiLvlStrRef>
          </c:cat>
          <c:val>
            <c:numRef>
              <c:f>[0]!GraphReferralsRange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1DA4-4C26-9B5E-114CFDE2C971}"/>
            </c:ext>
          </c:extLst>
        </c:ser>
        <c:ser>
          <c:idx val="5"/>
          <c:order val="5"/>
          <c:tx>
            <c:v>Mean</c:v>
          </c:tx>
          <c:spPr>
            <a:ln w="19050">
              <a:solidFill>
                <a:srgbClr val="003893"/>
              </a:solidFill>
            </a:ln>
          </c:spPr>
          <c:marker>
            <c:symbol val="none"/>
          </c:marker>
          <c:cat>
            <c:multiLvlStrRef>
              <c:f>[0]!Weeks</c:f>
            </c:multiLvlStrRef>
          </c:cat>
          <c:val>
            <c:numRef>
              <c:f>[0]!SPCMeanRange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1DA4-4C26-9B5E-114CFDE2C971}"/>
            </c:ext>
          </c:extLst>
        </c:ser>
        <c:dLbls>
          <c:showLegendKey val="0"/>
          <c:showVal val="0"/>
          <c:showCatName val="0"/>
          <c:showSerName val="0"/>
          <c:showPercent val="0"/>
          <c:showBubbleSize val="0"/>
        </c:dLbls>
        <c:marker val="1"/>
        <c:smooth val="0"/>
        <c:axId val="156808704"/>
        <c:axId val="156810624"/>
      </c:lineChart>
      <c:catAx>
        <c:axId val="156808704"/>
        <c:scaling>
          <c:orientation val="minMax"/>
        </c:scaling>
        <c:delete val="0"/>
        <c:axPos val="b"/>
        <c:title>
          <c:tx>
            <c:rich>
              <a:bodyPr/>
              <a:lstStyle/>
              <a:p>
                <a:pPr>
                  <a:defRPr sz="900" b="0">
                    <a:latin typeface="Arial" pitchFamily="34" charset="0"/>
                    <a:cs typeface="Arial" pitchFamily="34" charset="0"/>
                  </a:defRPr>
                </a:pPr>
                <a:r>
                  <a:rPr lang="en-US" sz="900" b="0">
                    <a:latin typeface="Arial" pitchFamily="34" charset="0"/>
                    <a:cs typeface="Arial" pitchFamily="34" charset="0"/>
                  </a:rPr>
                  <a:t>Week</a:t>
                </a:r>
              </a:p>
            </c:rich>
          </c:tx>
          <c:overlay val="0"/>
        </c:title>
        <c:numFmt formatCode="#,##0" sourceLinked="0"/>
        <c:majorTickMark val="out"/>
        <c:minorTickMark val="none"/>
        <c:tickLblPos val="nextTo"/>
        <c:txPr>
          <a:bodyPr rot="0" vert="horz"/>
          <a:lstStyle/>
          <a:p>
            <a:pPr>
              <a:defRPr sz="800" baseline="0"/>
            </a:pPr>
            <a:endParaRPr lang="en-US"/>
          </a:p>
        </c:txPr>
        <c:crossAx val="156810624"/>
        <c:crosses val="autoZero"/>
        <c:auto val="1"/>
        <c:lblAlgn val="ctr"/>
        <c:lblOffset val="100"/>
        <c:noMultiLvlLbl val="0"/>
      </c:catAx>
      <c:valAx>
        <c:axId val="156810624"/>
        <c:scaling>
          <c:orientation val="minMax"/>
        </c:scaling>
        <c:delete val="0"/>
        <c:axPos val="l"/>
        <c:title>
          <c:tx>
            <c:rich>
              <a:bodyPr rot="-5400000" vert="horz"/>
              <a:lstStyle/>
              <a:p>
                <a:pPr>
                  <a:defRPr sz="900" b="0">
                    <a:latin typeface="Arial" pitchFamily="34" charset="0"/>
                    <a:cs typeface="Arial" pitchFamily="34" charset="0"/>
                  </a:defRPr>
                </a:pPr>
                <a:r>
                  <a:rPr lang="en-GB" sz="900" b="0">
                    <a:latin typeface="Arial" pitchFamily="34" charset="0"/>
                    <a:cs typeface="Arial" pitchFamily="34" charset="0"/>
                  </a:rPr>
                  <a:t>Patients</a:t>
                </a:r>
              </a:p>
            </c:rich>
          </c:tx>
          <c:overlay val="0"/>
        </c:title>
        <c:numFmt formatCode="General" sourceLinked="1"/>
        <c:majorTickMark val="out"/>
        <c:minorTickMark val="none"/>
        <c:tickLblPos val="nextTo"/>
        <c:spPr>
          <a:noFill/>
        </c:spPr>
        <c:crossAx val="156808704"/>
        <c:crosses val="autoZero"/>
        <c:crossBetween val="midCat"/>
      </c:valAx>
      <c:spPr>
        <a:noFill/>
        <a:ln w="25400">
          <a:noFill/>
        </a:ln>
      </c:spPr>
    </c:plotArea>
    <c:legend>
      <c:legendPos val="t"/>
      <c:layout>
        <c:manualLayout>
          <c:xMode val="edge"/>
          <c:yMode val="edge"/>
          <c:x val="0.14400992762933923"/>
          <c:y val="0.726736810072654"/>
          <c:w val="0.78448917734655543"/>
          <c:h val="0.10664262619346498"/>
        </c:manualLayout>
      </c:layout>
      <c:overlay val="1"/>
      <c:txPr>
        <a:bodyPr/>
        <a:lstStyle/>
        <a:p>
          <a:pPr>
            <a:defRPr sz="800" baseline="0"/>
          </a:pPr>
          <a:endParaRPr lang="en-US"/>
        </a:p>
      </c:txPr>
    </c:legend>
    <c:plotVisOnly val="0"/>
    <c:dispBlanksAs val="gap"/>
    <c:showDLblsOverMax val="0"/>
  </c:chart>
  <c:spPr>
    <a:noFill/>
    <a:ln>
      <a:noFill/>
    </a:ln>
  </c:spPr>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3874E-2"/>
          <c:w val="0.82299926101470322"/>
          <c:h val="0.74226532659027378"/>
        </c:manualLayout>
      </c:layout>
      <c:lineChart>
        <c:grouping val="standard"/>
        <c:varyColors val="0"/>
        <c:ser>
          <c:idx val="0"/>
          <c:order val="0"/>
          <c:tx>
            <c:v>Waiting List</c:v>
          </c:tx>
          <c:spPr>
            <a:ln w="38100">
              <a:solidFill>
                <a:srgbClr val="0091C9"/>
              </a:solidFill>
              <a:prstDash val="solid"/>
            </a:ln>
          </c:spPr>
          <c:marker>
            <c:symbol val="none"/>
          </c:marker>
          <c:cat>
            <c:numRef>
              <c:f>Calculations!$A$14:$A$39</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formatCode="0">
                  <c:v>25</c:v>
                </c:pt>
              </c:numCache>
            </c:numRef>
          </c:cat>
          <c:val>
            <c:numRef>
              <c:f>[0]!PTLGraphData</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1307-4C4C-A063-2399EA7BECE2}"/>
            </c:ext>
          </c:extLst>
        </c:ser>
        <c:dLbls>
          <c:showLegendKey val="0"/>
          <c:showVal val="0"/>
          <c:showCatName val="0"/>
          <c:showSerName val="0"/>
          <c:showPercent val="0"/>
          <c:showBubbleSize val="0"/>
        </c:dLbls>
        <c:marker val="1"/>
        <c:smooth val="0"/>
        <c:axId val="47655168"/>
        <c:axId val="50192768"/>
      </c:lineChart>
      <c:catAx>
        <c:axId val="4765516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days</a:t>
                </a:r>
              </a:p>
            </c:rich>
          </c:tx>
          <c:layout>
            <c:manualLayout>
              <c:xMode val="edge"/>
              <c:yMode val="edge"/>
              <c:x val="0.37080957113370538"/>
              <c:y val="0.877853743891769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0192768"/>
        <c:crosses val="autoZero"/>
        <c:auto val="1"/>
        <c:lblAlgn val="ctr"/>
        <c:lblOffset val="100"/>
        <c:tickLblSkip val="1"/>
        <c:tickMarkSkip val="1"/>
        <c:noMultiLvlLbl val="0"/>
      </c:catAx>
      <c:valAx>
        <c:axId val="50192768"/>
        <c:scaling>
          <c:orientation val="minMax"/>
          <c:min val="0"/>
        </c:scaling>
        <c:delete val="0"/>
        <c:axPos val="l"/>
        <c:title>
          <c:tx>
            <c:rich>
              <a:bodyPr/>
              <a:lstStyle/>
              <a:p>
                <a:pPr>
                  <a:defRPr sz="900" b="0" i="0" u="none" strike="noStrike" baseline="0">
                    <a:solidFill>
                      <a:srgbClr val="000000"/>
                    </a:solidFill>
                    <a:latin typeface="Arial"/>
                    <a:ea typeface="Arial"/>
                    <a:cs typeface="Arial"/>
                  </a:defRPr>
                </a:pPr>
                <a:r>
                  <a:rPr lang="en-GB" sz="900" b="0"/>
                  <a:t>Number of patients on PTL</a:t>
                </a:r>
              </a:p>
            </c:rich>
          </c:tx>
          <c:layout>
            <c:manualLayout>
              <c:xMode val="edge"/>
              <c:yMode val="edge"/>
              <c:x val="1.2752847641617613E-2"/>
              <c:y val="0.15175682308004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55168"/>
        <c:crosses val="autoZero"/>
        <c:crossBetween val="midCat"/>
      </c:valAx>
      <c:spPr>
        <a:noFill/>
        <a:ln w="25400">
          <a:noFill/>
        </a:ln>
      </c:spPr>
    </c:plotArea>
    <c:plotVisOnly val="1"/>
    <c:dispBlanksAs val="gap"/>
    <c:showDLblsOverMax val="0"/>
  </c:chart>
  <c:spPr>
    <a:noFill/>
    <a:ln w="3175">
      <a:noFill/>
      <a:prstDash val="solid"/>
      <a:roun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sz="800">
                <a:latin typeface="Arial" pitchFamily="34" charset="0"/>
                <a:cs typeface="Arial" pitchFamily="34" charset="0"/>
              </a:rPr>
              <a:t>Frequency Distribution</a:t>
            </a:r>
          </a:p>
        </c:rich>
      </c:tx>
      <c:layout>
        <c:manualLayout>
          <c:xMode val="edge"/>
          <c:yMode val="edge"/>
          <c:x val="0.39652993957150701"/>
          <c:y val="9.132993319016941E-2"/>
        </c:manualLayout>
      </c:layout>
      <c:overlay val="0"/>
    </c:title>
    <c:autoTitleDeleted val="0"/>
    <c:plotArea>
      <c:layout>
        <c:manualLayout>
          <c:layoutTarget val="inner"/>
          <c:xMode val="edge"/>
          <c:yMode val="edge"/>
          <c:x val="0.13723738021119453"/>
          <c:y val="0.11097560248150799"/>
          <c:w val="0.85759466113247473"/>
          <c:h val="0.72521116678596997"/>
        </c:manualLayout>
      </c:layout>
      <c:barChart>
        <c:barDir val="col"/>
        <c:grouping val="clustered"/>
        <c:varyColors val="0"/>
        <c:ser>
          <c:idx val="0"/>
          <c:order val="0"/>
          <c:tx>
            <c:v>Patients Seen</c:v>
          </c:tx>
          <c:spPr>
            <a:solidFill>
              <a:srgbClr val="0091C9"/>
            </a:solidFill>
          </c:spPr>
          <c:invertIfNegative val="0"/>
          <c:val>
            <c:numRef>
              <c:f>[0]!GraphDaysWaited</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C74-4F53-BA3C-DA1A01AEC197}"/>
            </c:ext>
          </c:extLst>
        </c:ser>
        <c:dLbls>
          <c:showLegendKey val="0"/>
          <c:showVal val="0"/>
          <c:showCatName val="0"/>
          <c:showSerName val="0"/>
          <c:showPercent val="0"/>
          <c:showBubbleSize val="0"/>
        </c:dLbls>
        <c:gapWidth val="0"/>
        <c:axId val="50364416"/>
        <c:axId val="50366336"/>
      </c:barChart>
      <c:catAx>
        <c:axId val="50364416"/>
        <c:scaling>
          <c:orientation val="minMax"/>
        </c:scaling>
        <c:delete val="0"/>
        <c:axPos val="b"/>
        <c:title>
          <c:tx>
            <c:rich>
              <a:bodyPr/>
              <a:lstStyle/>
              <a:p>
                <a:pPr>
                  <a:defRPr sz="800" b="0">
                    <a:latin typeface="Arial" pitchFamily="34" charset="0"/>
                    <a:cs typeface="Arial" pitchFamily="34" charset="0"/>
                  </a:defRPr>
                </a:pPr>
                <a:r>
                  <a:rPr lang="en-US" sz="800" b="0">
                    <a:latin typeface="Arial" pitchFamily="34" charset="0"/>
                    <a:cs typeface="Arial" pitchFamily="34" charset="0"/>
                  </a:rPr>
                  <a:t>Day Seen</a:t>
                </a:r>
              </a:p>
            </c:rich>
          </c:tx>
          <c:layout>
            <c:manualLayout>
              <c:xMode val="edge"/>
              <c:yMode val="edge"/>
              <c:x val="0.49057722435858303"/>
              <c:y val="0.89344547840610833"/>
            </c:manualLayout>
          </c:layout>
          <c:overlay val="0"/>
        </c:title>
        <c:numFmt formatCode="General" sourceLinked="1"/>
        <c:majorTickMark val="out"/>
        <c:minorTickMark val="none"/>
        <c:tickLblPos val="nextTo"/>
        <c:crossAx val="50366336"/>
        <c:crosses val="autoZero"/>
        <c:auto val="1"/>
        <c:lblAlgn val="ctr"/>
        <c:lblOffset val="100"/>
        <c:noMultiLvlLbl val="0"/>
      </c:catAx>
      <c:valAx>
        <c:axId val="50366336"/>
        <c:scaling>
          <c:orientation val="minMax"/>
        </c:scaling>
        <c:delete val="0"/>
        <c:axPos val="l"/>
        <c:title>
          <c:tx>
            <c:rich>
              <a:bodyPr rot="-5400000" vert="horz"/>
              <a:lstStyle/>
              <a:p>
                <a:pPr>
                  <a:defRPr/>
                </a:pPr>
                <a:r>
                  <a:rPr lang="en-US" sz="800" b="0">
                    <a:latin typeface="Arial" pitchFamily="34" charset="0"/>
                    <a:cs typeface="Arial" pitchFamily="34" charset="0"/>
                  </a:rPr>
                  <a:t>Patients Seen</a:t>
                </a:r>
              </a:p>
            </c:rich>
          </c:tx>
          <c:overlay val="0"/>
        </c:title>
        <c:numFmt formatCode="#,##0" sourceLinked="0"/>
        <c:majorTickMark val="out"/>
        <c:minorTickMark val="none"/>
        <c:tickLblPos val="nextTo"/>
        <c:crossAx val="5036441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GB" sz="800">
                <a:latin typeface="Arial" pitchFamily="34" charset="0"/>
                <a:cs typeface="Arial" pitchFamily="34" charset="0"/>
              </a:rPr>
              <a:t>Variation In Demand</a:t>
            </a:r>
          </a:p>
        </c:rich>
      </c:tx>
      <c:overlay val="1"/>
    </c:title>
    <c:autoTitleDeleted val="0"/>
    <c:plotArea>
      <c:layout>
        <c:manualLayout>
          <c:layoutTarget val="inner"/>
          <c:xMode val="edge"/>
          <c:yMode val="edge"/>
          <c:x val="6.4430664916885427E-2"/>
          <c:y val="5.0925925925925923E-2"/>
          <c:w val="0.88647222222222199"/>
          <c:h val="0.80808362496354624"/>
        </c:manualLayout>
      </c:layout>
      <c:scatterChart>
        <c:scatterStyle val="smoothMarker"/>
        <c:varyColors val="0"/>
        <c:ser>
          <c:idx val="1"/>
          <c:order val="0"/>
          <c:tx>
            <c:v>Mean</c:v>
          </c:tx>
          <c:spPr>
            <a:ln w="19050">
              <a:solidFill>
                <a:srgbClr val="E28C05"/>
              </a:solidFill>
            </a:ln>
          </c:spPr>
          <c:marker>
            <c:symbol val="none"/>
          </c:marker>
          <c:xVal>
            <c:numRef>
              <c:f>Demand!$F$77:$F$78</c:f>
              <c:numCache>
                <c:formatCode>#,##0</c:formatCode>
                <c:ptCount val="2"/>
                <c:pt idx="0">
                  <c:v>0</c:v>
                </c:pt>
                <c:pt idx="1">
                  <c:v>0</c:v>
                </c:pt>
              </c:numCache>
            </c:numRef>
          </c:xVal>
          <c:yVal>
            <c:numRef>
              <c:f>Demand!$H$77:$H$78</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0-20E1-49E3-8673-BDAD6C336CCA}"/>
            </c:ext>
          </c:extLst>
        </c:ser>
        <c:ser>
          <c:idx val="2"/>
          <c:order val="1"/>
          <c:tx>
            <c:v>85th Percentile</c:v>
          </c:tx>
          <c:spPr>
            <a:ln w="19050">
              <a:solidFill>
                <a:srgbClr val="009E49"/>
              </a:solidFill>
            </a:ln>
          </c:spPr>
          <c:marker>
            <c:symbol val="none"/>
          </c:marker>
          <c:xVal>
            <c:numRef>
              <c:f>Demand!$F$79:$F$80</c:f>
              <c:numCache>
                <c:formatCode>#,##0</c:formatCode>
                <c:ptCount val="2"/>
                <c:pt idx="0">
                  <c:v>0</c:v>
                </c:pt>
                <c:pt idx="1">
                  <c:v>0</c:v>
                </c:pt>
              </c:numCache>
            </c:numRef>
          </c:xVal>
          <c:yVal>
            <c:numRef>
              <c:f>Demand!$H$79:$H$80</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1-20E1-49E3-8673-BDAD6C336CCA}"/>
            </c:ext>
          </c:extLst>
        </c:ser>
        <c:ser>
          <c:idx val="0"/>
          <c:order val="2"/>
          <c:tx>
            <c:v>Referral Distribution</c:v>
          </c:tx>
          <c:spPr>
            <a:ln>
              <a:solidFill>
                <a:srgbClr val="0091C9"/>
              </a:solidFill>
            </a:ln>
          </c:spPr>
          <c:marker>
            <c:symbol val="none"/>
          </c:marker>
          <c:xVal>
            <c:numRef>
              <c:f>[0]!NormDistProbRange</c:f>
              <c:numCache>
                <c:formatCode>General</c:formatCode>
                <c:ptCount val="1"/>
                <c:pt idx="0">
                  <c:v>1</c:v>
                </c:pt>
              </c:numCache>
            </c:numRef>
          </c:xVal>
          <c:yVal>
            <c:numRef>
              <c:f>[0]!NormDistValueRange</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2-20E1-49E3-8673-BDAD6C336CCA}"/>
            </c:ext>
          </c:extLst>
        </c:ser>
        <c:dLbls>
          <c:showLegendKey val="0"/>
          <c:showVal val="0"/>
          <c:showCatName val="0"/>
          <c:showSerName val="0"/>
          <c:showPercent val="0"/>
          <c:showBubbleSize val="0"/>
        </c:dLbls>
        <c:axId val="114354048"/>
        <c:axId val="114355584"/>
      </c:scatterChart>
      <c:valAx>
        <c:axId val="114354048"/>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14355584"/>
        <c:crosses val="autoZero"/>
        <c:crossBetween val="midCat"/>
      </c:valAx>
      <c:valAx>
        <c:axId val="114355584"/>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Liklihood of this many referrals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07E-2"/>
              <c:y val="0.10661446007773619"/>
            </c:manualLayout>
          </c:layout>
          <c:overlay val="0"/>
        </c:title>
        <c:numFmt formatCode="0.00000" sourceLinked="1"/>
        <c:majorTickMark val="none"/>
        <c:minorTickMark val="none"/>
        <c:tickLblPos val="none"/>
        <c:spPr>
          <a:ln>
            <a:tailEnd type="stealth"/>
          </a:ln>
        </c:spPr>
        <c:crossAx val="114354048"/>
        <c:crosses val="autoZero"/>
        <c:crossBetween val="midCat"/>
      </c:valAx>
    </c:plotArea>
    <c:legend>
      <c:legendPos val="b"/>
      <c:layout>
        <c:manualLayout>
          <c:xMode val="edge"/>
          <c:yMode val="edge"/>
          <c:x val="5.6524557595064077E-2"/>
          <c:y val="0.92614115858468515"/>
          <c:w val="0.70414698162729661"/>
          <c:h val="5.6393442622950873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Summary!$Q$42</c:f>
          <c:strCache>
            <c:ptCount val="1"/>
            <c:pt idx="0">
              <c:v>Demand</c:v>
            </c:pt>
          </c:strCache>
        </c:strRef>
      </c:tx>
      <c:layout>
        <c:manualLayout>
          <c:xMode val="edge"/>
          <c:yMode val="edge"/>
          <c:x val="0.44212369287172437"/>
          <c:y val="4.4743000874890637E-2"/>
        </c:manualLayout>
      </c:layout>
      <c:overlay val="1"/>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5.6141107361579803E-2"/>
          <c:y val="6.5413385826771656E-2"/>
          <c:w val="0.90991907261592297"/>
          <c:h val="0.80499603656925456"/>
        </c:manualLayout>
      </c:layout>
      <c:lineChart>
        <c:grouping val="standard"/>
        <c:varyColors val="0"/>
        <c:ser>
          <c:idx val="0"/>
          <c:order val="0"/>
          <c:tx>
            <c:v>75th Percentile</c:v>
          </c:tx>
          <c:spPr>
            <a:ln w="19050">
              <a:solidFill>
                <a:srgbClr val="E28C05"/>
              </a:solidFill>
              <a:prstDash val="sysDot"/>
            </a:ln>
          </c:spPr>
          <c:marker>
            <c:symbol val="none"/>
          </c:marker>
          <c:cat>
            <c:multiLvlStrRef>
              <c:f>[0]!Weeks</c:f>
            </c:multiLvlStrRef>
          </c:cat>
          <c:val>
            <c:numRef>
              <c:f>[0]!GraphPercentile75Range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B65-406A-82FD-701A036119C0}"/>
            </c:ext>
          </c:extLst>
        </c:ser>
        <c:ser>
          <c:idx val="2"/>
          <c:order val="1"/>
          <c:tx>
            <c:v>85th Percentile</c:v>
          </c:tx>
          <c:spPr>
            <a:ln w="19050">
              <a:solidFill>
                <a:srgbClr val="A00054"/>
              </a:solidFill>
              <a:prstDash val="sysDot"/>
            </a:ln>
          </c:spPr>
          <c:marker>
            <c:symbol val="none"/>
          </c:marker>
          <c:cat>
            <c:multiLvlStrRef>
              <c:f>[0]!Weeks</c:f>
            </c:multiLvlStrRef>
          </c:cat>
          <c:val>
            <c:numRef>
              <c:f>[0]!GraphPercentile85Range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8B65-406A-82FD-701A036119C0}"/>
            </c:ext>
          </c:extLst>
        </c:ser>
        <c:ser>
          <c:idx val="3"/>
          <c:order val="2"/>
          <c:tx>
            <c:v>3 Sigma Below</c:v>
          </c:tx>
          <c:spPr>
            <a:ln w="19050">
              <a:solidFill>
                <a:srgbClr val="009E49"/>
              </a:solidFill>
            </a:ln>
          </c:spPr>
          <c:marker>
            <c:symbol val="none"/>
          </c:marker>
          <c:cat>
            <c:multiLvlStrRef>
              <c:f>[0]!Weeks</c:f>
            </c:multiLvlStrRef>
          </c:cat>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8B65-406A-82FD-701A036119C0}"/>
            </c:ext>
          </c:extLst>
        </c:ser>
        <c:ser>
          <c:idx val="4"/>
          <c:order val="3"/>
          <c:tx>
            <c:v>3 Sigma Above</c:v>
          </c:tx>
          <c:spPr>
            <a:ln w="19050">
              <a:solidFill>
                <a:srgbClr val="D81E05"/>
              </a:solidFill>
            </a:ln>
          </c:spPr>
          <c:marker>
            <c:symbol val="none"/>
          </c:marker>
          <c:cat>
            <c:multiLvlStrRef>
              <c:f>[0]!Weeks</c:f>
            </c:multiLvlStrRef>
          </c:cat>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8B65-406A-82FD-701A036119C0}"/>
            </c:ext>
          </c:extLst>
        </c:ser>
        <c:ser>
          <c:idx val="1"/>
          <c:order val="4"/>
          <c:tx>
            <c:v>Referrals</c:v>
          </c:tx>
          <c:spPr>
            <a:ln w="19050">
              <a:solidFill>
                <a:srgbClr val="0091C9"/>
              </a:solidFill>
            </a:ln>
          </c:spPr>
          <c:marker>
            <c:symbol val="square"/>
            <c:size val="4"/>
            <c:spPr>
              <a:solidFill>
                <a:srgbClr val="0091C9"/>
              </a:solidFill>
              <a:ln>
                <a:solidFill>
                  <a:srgbClr val="0091C9"/>
                </a:solidFill>
              </a:ln>
            </c:spPr>
          </c:marker>
          <c:cat>
            <c:multiLvlStrRef>
              <c:f>[0]!Weeks</c:f>
            </c:multiLvlStrRef>
          </c:cat>
          <c:val>
            <c:numRef>
              <c:f>[0]!ReferralsRange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8B65-406A-82FD-701A036119C0}"/>
            </c:ext>
          </c:extLst>
        </c:ser>
        <c:ser>
          <c:idx val="5"/>
          <c:order val="5"/>
          <c:tx>
            <c:v>Mean</c:v>
          </c:tx>
          <c:spPr>
            <a:ln w="19050">
              <a:solidFill>
                <a:srgbClr val="003893"/>
              </a:solidFill>
            </a:ln>
          </c:spPr>
          <c:marker>
            <c:symbol val="none"/>
          </c:marker>
          <c:cat>
            <c:multiLvlStrRef>
              <c:f>[0]!Weeks</c:f>
            </c:multiLvlStrRef>
          </c:cat>
          <c:val>
            <c:numRef>
              <c:f>[0]!SPCMeanRange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8B65-406A-82FD-701A036119C0}"/>
            </c:ext>
          </c:extLst>
        </c:ser>
        <c:dLbls>
          <c:showLegendKey val="0"/>
          <c:showVal val="0"/>
          <c:showCatName val="0"/>
          <c:showSerName val="0"/>
          <c:showPercent val="0"/>
          <c:showBubbleSize val="0"/>
        </c:dLbls>
        <c:marker val="1"/>
        <c:smooth val="0"/>
        <c:axId val="140262016"/>
        <c:axId val="140264192"/>
      </c:lineChart>
      <c:catAx>
        <c:axId val="140262016"/>
        <c:scaling>
          <c:orientation val="minMax"/>
        </c:scaling>
        <c:delete val="0"/>
        <c:axPos val="b"/>
        <c:title>
          <c:tx>
            <c:rich>
              <a:bodyPr/>
              <a:lstStyle/>
              <a:p>
                <a:pPr>
                  <a:defRPr sz="900" b="0">
                    <a:latin typeface="Arial" pitchFamily="34" charset="0"/>
                    <a:cs typeface="Arial" pitchFamily="34" charset="0"/>
                  </a:defRPr>
                </a:pPr>
                <a:r>
                  <a:rPr lang="en-US" sz="900" b="0">
                    <a:latin typeface="Arial" pitchFamily="34" charset="0"/>
                    <a:cs typeface="Arial" pitchFamily="34" charset="0"/>
                  </a:rPr>
                  <a:t>Week</a:t>
                </a:r>
              </a:p>
            </c:rich>
          </c:tx>
          <c:overlay val="0"/>
        </c:title>
        <c:numFmt formatCode="#,##0" sourceLinked="0"/>
        <c:majorTickMark val="out"/>
        <c:minorTickMark val="none"/>
        <c:tickLblPos val="nextTo"/>
        <c:txPr>
          <a:bodyPr rot="0" vert="horz"/>
          <a:lstStyle/>
          <a:p>
            <a:pPr>
              <a:defRPr/>
            </a:pPr>
            <a:endParaRPr lang="en-US"/>
          </a:p>
        </c:txPr>
        <c:crossAx val="140264192"/>
        <c:crosses val="autoZero"/>
        <c:auto val="1"/>
        <c:lblAlgn val="ctr"/>
        <c:lblOffset val="100"/>
        <c:noMultiLvlLbl val="0"/>
      </c:catAx>
      <c:valAx>
        <c:axId val="140264192"/>
        <c:scaling>
          <c:orientation val="minMax"/>
        </c:scaling>
        <c:delete val="0"/>
        <c:axPos val="l"/>
        <c:title>
          <c:tx>
            <c:rich>
              <a:bodyPr rot="-5400000" vert="horz"/>
              <a:lstStyle/>
              <a:p>
                <a:pPr>
                  <a:defRPr sz="900" b="0">
                    <a:latin typeface="Arial" pitchFamily="34" charset="0"/>
                    <a:cs typeface="Arial" pitchFamily="34" charset="0"/>
                  </a:defRPr>
                </a:pPr>
                <a:r>
                  <a:rPr lang="en-GB" sz="900" b="0">
                    <a:latin typeface="Arial" pitchFamily="34" charset="0"/>
                    <a:cs typeface="Arial" pitchFamily="34" charset="0"/>
                  </a:rPr>
                  <a:t>Patients</a:t>
                </a:r>
              </a:p>
            </c:rich>
          </c:tx>
          <c:overlay val="0"/>
        </c:title>
        <c:numFmt formatCode="General" sourceLinked="1"/>
        <c:majorTickMark val="out"/>
        <c:minorTickMark val="none"/>
        <c:tickLblPos val="nextTo"/>
        <c:spPr>
          <a:noFill/>
        </c:spPr>
        <c:crossAx val="140262016"/>
        <c:crosses val="autoZero"/>
        <c:crossBetween val="midCat"/>
      </c:valAx>
      <c:spPr>
        <a:noFill/>
        <a:ln w="25400">
          <a:noFill/>
        </a:ln>
      </c:spPr>
    </c:plotArea>
    <c:legend>
      <c:legendPos val="t"/>
      <c:layout>
        <c:manualLayout>
          <c:xMode val="edge"/>
          <c:yMode val="edge"/>
          <c:x val="0.14400991542723826"/>
          <c:y val="0.72673684018664331"/>
          <c:w val="0.61316054243219598"/>
          <c:h val="3.7303149606299213E-2"/>
        </c:manualLayout>
      </c:layout>
      <c:overlay val="1"/>
      <c:txPr>
        <a:bodyPr/>
        <a:lstStyle/>
        <a:p>
          <a:pPr>
            <a:defRPr sz="800" baseline="0"/>
          </a:pPr>
          <a:endParaRPr lang="en-US"/>
        </a:p>
      </c:txPr>
    </c:legend>
    <c:plotVisOnly val="0"/>
    <c:dispBlanksAs val="gap"/>
    <c:showDLblsOverMax val="0"/>
  </c:chart>
  <c:spPr>
    <a:noFill/>
    <a:ln>
      <a:noFill/>
    </a:ln>
  </c:spPr>
  <c:printSettings>
    <c:headerFooter/>
    <c:pageMargins b="0.75000000000000044" l="0.7000000000000004" r="0.7000000000000004" t="0.75000000000000044" header="0.30000000000000021" footer="0.30000000000000021"/>
    <c:pageSetup orientation="portrait"/>
  </c:printSettings>
</c:chartSpace>
</file>

<file path=xl/ctrlProps/ctrlProp1.xml><?xml version="1.0" encoding="utf-8"?>
<formControlPr xmlns="http://schemas.microsoft.com/office/spreadsheetml/2009/9/main" objectType="Scroll" dx="16" fmlaLink="$K$7" horiz="1" max="500" noThreeD="1" page="20" val="0"/>
</file>

<file path=xl/ctrlProps/ctrlProp2.xml><?xml version="1.0" encoding="utf-8"?>
<formControlPr xmlns="http://schemas.microsoft.com/office/spreadsheetml/2009/9/main" objectType="Drop" dropLines="20" dropStyle="combo" dx="16" fmlaLink="$S$31" fmlaRange="SPC!$P$1:$P$53" val="0"/>
</file>

<file path=xl/ctrlProps/ctrlProp3.xml><?xml version="1.0" encoding="utf-8"?>
<formControlPr xmlns="http://schemas.microsoft.com/office/spreadsheetml/2009/9/main" objectType="Scroll" dx="16" fmlaLink="C13" horiz="1" max="500" noThreeD="1" page="10" val="500"/>
</file>

<file path=xl/ctrlProps/ctrlProp4.xml><?xml version="1.0" encoding="utf-8"?>
<formControlPr xmlns="http://schemas.microsoft.com/office/spreadsheetml/2009/9/main" objectType="Scroll" dx="16" fmlaLink="L13" horiz="1" max="200" noThreeD="1" page="10" val="200"/>
</file>

<file path=xl/ctrlProps/ctrlProp5.xml><?xml version="1.0" encoding="utf-8"?>
<formControlPr xmlns="http://schemas.microsoft.com/office/spreadsheetml/2009/9/main" objectType="Radio" checked="Checked" firstButton="1" fmlaLink="H1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Scroll" dx="16" fmlaLink="C15" horiz="1" max="500" noThreeD="1" page="10" val="500"/>
</file>

<file path=xl/ctrlProps/ctrlProp8.xml><?xml version="1.0" encoding="utf-8"?>
<formControlPr xmlns="http://schemas.microsoft.com/office/spreadsheetml/2009/9/main" objectType="Scroll" dx="16" fmlaLink="$G$25" horiz="1" max="200" noThreeD="1" page="10" val="200"/>
</file>

<file path=xl/ctrlProps/ctrlProp9.xml><?xml version="1.0" encoding="utf-8"?>
<formControlPr xmlns="http://schemas.microsoft.com/office/spreadsheetml/2009/9/main" objectType="Scroll" dx="16" fmlaLink="$K$20" horiz="1" inc="10" max="100" noThreeD="1" page="10" val="0"/>
</file>

<file path=xl/ctrlProps/ctrlProp10.xml><?xml version="1.0" encoding="utf-8"?>
<formControlPr xmlns="http://schemas.microsoft.com/office/spreadsheetml/2009/9/main" objectType="Scroll" dx="16" fmlaLink="$C$20" horiz="1" max="1000" noThreeD="1" page="100" val="1000"/>
</file>

<file path=xl/ctrlProps/ctrlProp11.xml><?xml version="1.0" encoding="utf-8"?>
<formControlPr xmlns="http://schemas.microsoft.com/office/spreadsheetml/2009/9/main" objectType="Scroll" dx="16" fmlaLink="G20" horiz="1" max="1000" noThreeD="1" page="100" val="1000"/>
</file>

<file path=xl/ctrlProps/ctrlProp12.xml><?xml version="1.0" encoding="utf-8"?>
<formControlPr xmlns="http://schemas.microsoft.com/office/spreadsheetml/2009/9/main" objectType="Scroll" dx="16" fmlaLink="$J$14" horiz="1" max="14" min="1" noThreeD="1" page="0"/>
</file>

<file path=xl/ctrlProps/ctrlProp13.xml><?xml version="1.0" encoding="utf-8"?>
<formControlPr xmlns="http://schemas.microsoft.com/office/spreadsheetml/2009/9/main" objectType="Scroll" dx="16" fmlaLink="$N$14" horiz="1" max="14" min="1" noThreeD="1" page="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28575</xdr:colOff>
      <xdr:row>1</xdr:row>
      <xdr:rowOff>9524</xdr:rowOff>
    </xdr:from>
    <xdr:to>
      <xdr:col>15</xdr:col>
      <xdr:colOff>0</xdr:colOff>
      <xdr:row>1</xdr:row>
      <xdr:rowOff>676275</xdr:rowOff>
    </xdr:to>
    <xdr:pic>
      <xdr:nvPicPr>
        <xdr:cNvPr id="3" name="Picture 2" descr="ISI IMAS Logo">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406400</xdr:colOff>
      <xdr:row>1</xdr:row>
      <xdr:rowOff>9524</xdr:rowOff>
    </xdr:from>
    <xdr:to>
      <xdr:col>13</xdr:col>
      <xdr:colOff>844550</xdr:colOff>
      <xdr:row>1</xdr:row>
      <xdr:rowOff>676275</xdr:rowOff>
    </xdr:to>
    <xdr:pic>
      <xdr:nvPicPr>
        <xdr:cNvPr id="2" name="Picture 1" descr="ISI IMAS Log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12</xdr:col>
          <xdr:colOff>885825</xdr:colOff>
          <xdr:row>7</xdr:row>
          <xdr:rowOff>190500</xdr:rowOff>
        </xdr:to>
        <xdr:sp macro="" textlink="">
          <xdr:nvSpPr>
            <xdr:cNvPr id="251010" name="Scroll Bar 130" hidden="1">
              <a:extLst>
                <a:ext uri="{63B3BB69-23CF-44E3-9099-C40C66FF867C}">
                  <a14:compatExt spid="_x0000_s251010"/>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3</xdr:row>
      <xdr:rowOff>104775</xdr:rowOff>
    </xdr:from>
    <xdr:to>
      <xdr:col>31</xdr:col>
      <xdr:colOff>57150</xdr:colOff>
      <xdr:row>31</xdr:row>
      <xdr:rowOff>38100</xdr:rowOff>
    </xdr:to>
    <xdr:graphicFrame macro="">
      <xdr:nvGraphicFramePr>
        <xdr:cNvPr id="858231" name="Chart 1">
          <a:extLst>
            <a:ext uri="{FF2B5EF4-FFF2-40B4-BE49-F238E27FC236}">
              <a16:creationId xmlns:a16="http://schemas.microsoft.com/office/drawing/2014/main" xmlns="" id="{00000000-0008-0000-0300-0000771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28575</xdr:colOff>
      <xdr:row>1</xdr:row>
      <xdr:rowOff>9525</xdr:rowOff>
    </xdr:from>
    <xdr:to>
      <xdr:col>31</xdr:col>
      <xdr:colOff>0</xdr:colOff>
      <xdr:row>1</xdr:row>
      <xdr:rowOff>676276</xdr:rowOff>
    </xdr:to>
    <xdr:pic>
      <xdr:nvPicPr>
        <xdr:cNvPr id="3" name="Picture 2" descr="ISI IMAS Logo">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30</xdr:row>
          <xdr:rowOff>0</xdr:rowOff>
        </xdr:from>
        <xdr:to>
          <xdr:col>18</xdr:col>
          <xdr:colOff>514350</xdr:colOff>
          <xdr:row>31</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11</xdr:col>
      <xdr:colOff>342900</xdr:colOff>
      <xdr:row>1</xdr:row>
      <xdr:rowOff>9524</xdr:rowOff>
    </xdr:from>
    <xdr:to>
      <xdr:col>15</xdr:col>
      <xdr:colOff>485775</xdr:colOff>
      <xdr:row>1</xdr:row>
      <xdr:rowOff>676275</xdr:rowOff>
    </xdr:to>
    <xdr:pic>
      <xdr:nvPicPr>
        <xdr:cNvPr id="2" name="Picture 1" descr="ISI IMAS Logo">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771525</xdr:colOff>
          <xdr:row>12</xdr:row>
          <xdr:rowOff>190500</xdr:rowOff>
        </xdr:to>
        <xdr:sp macro="" textlink="">
          <xdr:nvSpPr>
            <xdr:cNvPr id="17489" name="Scroll Bar 81" hidden="1">
              <a:extLst>
                <a:ext uri="{63B3BB69-23CF-44E3-9099-C40C66FF867C}">
                  <a14:compatExt spid="_x0000_s17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9525</xdr:rowOff>
        </xdr:from>
        <xdr:to>
          <xdr:col>11</xdr:col>
          <xdr:colOff>771525</xdr:colOff>
          <xdr:row>12</xdr:row>
          <xdr:rowOff>190500</xdr:rowOff>
        </xdr:to>
        <xdr:sp macro="" textlink="">
          <xdr:nvSpPr>
            <xdr:cNvPr id="17490" name="Scroll Bar 82" hidden="1">
              <a:extLst>
                <a:ext uri="{63B3BB69-23CF-44E3-9099-C40C66FF867C}">
                  <a14:compatExt spid="_x0000_s174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171450</xdr:rowOff>
        </xdr:from>
        <xdr:to>
          <xdr:col>6</xdr:col>
          <xdr:colOff>114300</xdr:colOff>
          <xdr:row>13</xdr:row>
          <xdr:rowOff>0</xdr:rowOff>
        </xdr:to>
        <xdr:sp macro="" textlink="">
          <xdr:nvSpPr>
            <xdr:cNvPr id="17720" name="Option Button 312" hidden="1">
              <a:extLst>
                <a:ext uri="{63B3BB69-23CF-44E3-9099-C40C66FF867C}">
                  <a14:compatExt spid="_x0000_s17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endParaRPr lang="en-GB"/>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171450</xdr:rowOff>
        </xdr:from>
        <xdr:to>
          <xdr:col>10</xdr:col>
          <xdr:colOff>190500</xdr:colOff>
          <xdr:row>13</xdr:row>
          <xdr:rowOff>0</xdr:rowOff>
        </xdr:to>
        <xdr:sp macro="" textlink="">
          <xdr:nvSpPr>
            <xdr:cNvPr id="17721" name="Option Button 313" hidden="1">
              <a:extLst>
                <a:ext uri="{63B3BB69-23CF-44E3-9099-C40C66FF867C}">
                  <a14:compatExt spid="_x0000_s17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endParaRPr lang="en-GB"/>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12</xdr:col>
      <xdr:colOff>247650</xdr:colOff>
      <xdr:row>1</xdr:row>
      <xdr:rowOff>9525</xdr:rowOff>
    </xdr:from>
    <xdr:to>
      <xdr:col>17</xdr:col>
      <xdr:colOff>0</xdr:colOff>
      <xdr:row>1</xdr:row>
      <xdr:rowOff>676276</xdr:rowOff>
    </xdr:to>
    <xdr:pic>
      <xdr:nvPicPr>
        <xdr:cNvPr id="4" name="Picture 3" descr="ISI IMAS Logo">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352425</xdr:colOff>
      <xdr:row>10</xdr:row>
      <xdr:rowOff>0</xdr:rowOff>
    </xdr:from>
    <xdr:to>
      <xdr:col>8</xdr:col>
      <xdr:colOff>180975</xdr:colOff>
      <xdr:row>25</xdr:row>
      <xdr:rowOff>171450</xdr:rowOff>
    </xdr:to>
    <xdr:sp macro="" textlink="">
      <xdr:nvSpPr>
        <xdr:cNvPr id="3" name="Rectangle 2">
          <a:extLst>
            <a:ext uri="{FF2B5EF4-FFF2-40B4-BE49-F238E27FC236}">
              <a16:creationId xmlns:a16="http://schemas.microsoft.com/office/drawing/2014/main" xmlns="" id="{00000000-0008-0000-0500-000003000000}"/>
            </a:ext>
          </a:extLst>
        </xdr:cNvPr>
        <xdr:cNvSpPr/>
      </xdr:nvSpPr>
      <xdr:spPr>
        <a:xfrm>
          <a:off x="352425"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8</xdr:col>
      <xdr:colOff>381000</xdr:colOff>
      <xdr:row>10</xdr:row>
      <xdr:rowOff>0</xdr:rowOff>
    </xdr:from>
    <xdr:to>
      <xdr:col>16</xdr:col>
      <xdr:colOff>190500</xdr:colOff>
      <xdr:row>25</xdr:row>
      <xdr:rowOff>171450</xdr:rowOff>
    </xdr:to>
    <xdr:sp macro="" textlink="">
      <xdr:nvSpPr>
        <xdr:cNvPr id="5" name="Rectangle 4">
          <a:extLst>
            <a:ext uri="{FF2B5EF4-FFF2-40B4-BE49-F238E27FC236}">
              <a16:creationId xmlns:a16="http://schemas.microsoft.com/office/drawing/2014/main" xmlns="" id="{00000000-0008-0000-0500-000005000000}"/>
            </a:ext>
          </a:extLst>
        </xdr:cNvPr>
        <xdr:cNvSpPr/>
      </xdr:nvSpPr>
      <xdr:spPr>
        <a:xfrm>
          <a:off x="4781550"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3</xdr:col>
          <xdr:colOff>542925</xdr:colOff>
          <xdr:row>14</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9525</xdr:rowOff>
        </xdr:from>
        <xdr:to>
          <xdr:col>7</xdr:col>
          <xdr:colOff>542925</xdr:colOff>
          <xdr:row>24</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11</xdr:col>
          <xdr:colOff>542925</xdr:colOff>
          <xdr:row>19</xdr:row>
          <xdr:rowOff>190500</xdr:rowOff>
        </xdr:to>
        <xdr:sp macro="" textlink="">
          <xdr:nvSpPr>
            <xdr:cNvPr id="16442" name="Scroll Bar 58" hidden="1">
              <a:extLst>
                <a:ext uri="{63B3BB69-23CF-44E3-9099-C40C66FF867C}">
                  <a14:compatExt spid="_x0000_s164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3</xdr:col>
          <xdr:colOff>542925</xdr:colOff>
          <xdr:row>19</xdr:row>
          <xdr:rowOff>190500</xdr:rowOff>
        </xdr:to>
        <xdr:sp macro="" textlink="">
          <xdr:nvSpPr>
            <xdr:cNvPr id="16447" name="Scroll Bar 63" hidden="1">
              <a:extLst>
                <a:ext uri="{63B3BB69-23CF-44E3-9099-C40C66FF867C}">
                  <a14:compatExt spid="_x0000_s1644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9525</xdr:rowOff>
        </xdr:from>
        <xdr:to>
          <xdr:col>7</xdr:col>
          <xdr:colOff>542925</xdr:colOff>
          <xdr:row>19</xdr:row>
          <xdr:rowOff>190500</xdr:rowOff>
        </xdr:to>
        <xdr:sp macro="" textlink="">
          <xdr:nvSpPr>
            <xdr:cNvPr id="16489" name="Scroll Bar 105" hidden="1">
              <a:extLst>
                <a:ext uri="{63B3BB69-23CF-44E3-9099-C40C66FF867C}">
                  <a14:compatExt spid="_x0000_s16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11</xdr:col>
          <xdr:colOff>542925</xdr:colOff>
          <xdr:row>14</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9525</xdr:rowOff>
        </xdr:from>
        <xdr:to>
          <xdr:col>15</xdr:col>
          <xdr:colOff>542925</xdr:colOff>
          <xdr:row>14</xdr:row>
          <xdr:rowOff>190500</xdr:rowOff>
        </xdr:to>
        <xdr:sp macro="" textlink="">
          <xdr:nvSpPr>
            <xdr:cNvPr id="16599" name="Scroll Bar 215" hidden="1">
              <a:extLst>
                <a:ext uri="{63B3BB69-23CF-44E3-9099-C40C66FF867C}">
                  <a14:compatExt spid="_x0000_s16599"/>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7</xdr:col>
      <xdr:colOff>581025</xdr:colOff>
      <xdr:row>40</xdr:row>
      <xdr:rowOff>57150</xdr:rowOff>
    </xdr:from>
    <xdr:to>
      <xdr:col>15</xdr:col>
      <xdr:colOff>38100</xdr:colOff>
      <xdr:row>56</xdr:row>
      <xdr:rowOff>152400</xdr:rowOff>
    </xdr:to>
    <xdr:graphicFrame macro="">
      <xdr:nvGraphicFramePr>
        <xdr:cNvPr id="938234" name="Chart 3">
          <a:extLst>
            <a:ext uri="{FF2B5EF4-FFF2-40B4-BE49-F238E27FC236}">
              <a16:creationId xmlns:a16="http://schemas.microsoft.com/office/drawing/2014/main" xmlns="" id="{00000000-0008-0000-0600-0000FA50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9</xdr:col>
      <xdr:colOff>9525</xdr:colOff>
      <xdr:row>65</xdr:row>
      <xdr:rowOff>38100</xdr:rowOff>
    </xdr:from>
    <xdr:to>
      <xdr:col>15</xdr:col>
      <xdr:colOff>57150</xdr:colOff>
      <xdr:row>77</xdr:row>
      <xdr:rowOff>95250</xdr:rowOff>
    </xdr:to>
    <xdr:graphicFrame macro="">
      <xdr:nvGraphicFramePr>
        <xdr:cNvPr id="938235" name="Chart 1">
          <a:extLst>
            <a:ext uri="{FF2B5EF4-FFF2-40B4-BE49-F238E27FC236}">
              <a16:creationId xmlns:a16="http://schemas.microsoft.com/office/drawing/2014/main" xmlns="" id="{00000000-0008-0000-0600-0000FB50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314326</xdr:colOff>
      <xdr:row>15</xdr:row>
      <xdr:rowOff>171451</xdr:rowOff>
    </xdr:from>
    <xdr:to>
      <xdr:col>7</xdr:col>
      <xdr:colOff>457200</xdr:colOff>
      <xdr:row>19</xdr:row>
      <xdr:rowOff>19051</xdr:rowOff>
    </xdr:to>
    <xdr:sp macro="" textlink="">
      <xdr:nvSpPr>
        <xdr:cNvPr id="8" name="Line Callout 1 7">
          <a:extLst>
            <a:ext uri="{FF2B5EF4-FFF2-40B4-BE49-F238E27FC236}">
              <a16:creationId xmlns:a16="http://schemas.microsoft.com/office/drawing/2014/main" xmlns="" id="{00000000-0008-0000-0600-000008000000}"/>
            </a:ext>
          </a:extLst>
        </xdr:cNvPr>
        <xdr:cNvSpPr/>
      </xdr:nvSpPr>
      <xdr:spPr>
        <a:xfrm>
          <a:off x="3638551" y="3248026"/>
          <a:ext cx="1085849" cy="609600"/>
        </a:xfrm>
        <a:prstGeom prst="borderCallout1">
          <a:avLst>
            <a:gd name="adj1" fmla="val 50749"/>
            <a:gd name="adj2" fmla="val -1102"/>
            <a:gd name="adj3" fmla="val 51166"/>
            <a:gd name="adj4" fmla="val -27223"/>
          </a:avLst>
        </a:prstGeom>
        <a:solidFill>
          <a:sysClr val="window" lastClr="FFFFFF"/>
        </a:solidFill>
        <a:ln w="9525" cap="rn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9E49"/>
              </a:solidFill>
              <a:effectLst/>
              <a:uLnTx/>
              <a:uFillTx/>
              <a:latin typeface="+mn-lt"/>
              <a:ea typeface="+mn-ea"/>
              <a:cs typeface="+mn-cs"/>
            </a:rPr>
            <a:t>&lt;=8 Days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E28C05"/>
              </a:solidFill>
              <a:effectLst/>
              <a:uLnTx/>
              <a:uFillTx/>
              <a:latin typeface="+mn-lt"/>
              <a:ea typeface="+mn-ea"/>
              <a:cs typeface="+mn-cs"/>
            </a:rPr>
            <a:t>9-10 Days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D81E05"/>
              </a:solidFill>
              <a:effectLst/>
              <a:uLnTx/>
              <a:uFillTx/>
              <a:latin typeface="+mn-lt"/>
              <a:ea typeface="+mn-ea"/>
              <a:cs typeface="+mn-cs"/>
            </a:rPr>
            <a:t>Over 11 Days</a:t>
          </a:r>
        </a:p>
      </xdr:txBody>
    </xdr:sp>
    <xdr:clientData/>
  </xdr:twoCellAnchor>
  <xdr:twoCellAnchor>
    <xdr:from>
      <xdr:col>7</xdr:col>
      <xdr:colOff>133350</xdr:colOff>
      <xdr:row>3</xdr:row>
      <xdr:rowOff>19050</xdr:rowOff>
    </xdr:from>
    <xdr:to>
      <xdr:col>14</xdr:col>
      <xdr:colOff>781050</xdr:colOff>
      <xdr:row>24</xdr:row>
      <xdr:rowOff>142875</xdr:rowOff>
    </xdr:to>
    <xdr:graphicFrame macro="">
      <xdr:nvGraphicFramePr>
        <xdr:cNvPr id="938237" name="Chart 6">
          <a:extLst>
            <a:ext uri="{FF2B5EF4-FFF2-40B4-BE49-F238E27FC236}">
              <a16:creationId xmlns:a16="http://schemas.microsoft.com/office/drawing/2014/main" xmlns="" id="{00000000-0008-0000-0600-0000FD50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15</xdr:col>
      <xdr:colOff>0</xdr:colOff>
      <xdr:row>1</xdr:row>
      <xdr:rowOff>676275</xdr:rowOff>
    </xdr:to>
    <xdr:pic>
      <xdr:nvPicPr>
        <xdr:cNvPr id="3" name="Picture 2" descr="ISI IMAS Logo">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57150</xdr:colOff>
      <xdr:row>35</xdr:row>
      <xdr:rowOff>0</xdr:rowOff>
    </xdr:from>
    <xdr:to>
      <xdr:col>15</xdr:col>
      <xdr:colOff>190500</xdr:colOff>
      <xdr:row>53</xdr:row>
      <xdr:rowOff>57150</xdr:rowOff>
    </xdr:to>
    <xdr:graphicFrame macro="">
      <xdr:nvGraphicFramePr>
        <xdr:cNvPr id="19129" name="Chart 4">
          <a:extLst>
            <a:ext uri="{FF2B5EF4-FFF2-40B4-BE49-F238E27FC236}">
              <a16:creationId xmlns:a16="http://schemas.microsoft.com/office/drawing/2014/main" xmlns="" id="{00000000-0008-0000-0700-0000B94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xdr:row>
      <xdr:rowOff>0</xdr:rowOff>
    </xdr:from>
    <xdr:to>
      <xdr:col>15</xdr:col>
      <xdr:colOff>314325</xdr:colOff>
      <xdr:row>34</xdr:row>
      <xdr:rowOff>0</xdr:rowOff>
    </xdr:to>
    <xdr:graphicFrame macro="">
      <xdr:nvGraphicFramePr>
        <xdr:cNvPr id="19130" name="Chart 3">
          <a:extLst>
            <a:ext uri="{FF2B5EF4-FFF2-40B4-BE49-F238E27FC236}">
              <a16:creationId xmlns:a16="http://schemas.microsoft.com/office/drawing/2014/main" xmlns="" id="{00000000-0008-0000-0700-0000BA4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8</xdr:col>
      <xdr:colOff>152400</xdr:colOff>
      <xdr:row>1</xdr:row>
      <xdr:rowOff>9525</xdr:rowOff>
    </xdr:from>
    <xdr:to>
      <xdr:col>13</xdr:col>
      <xdr:colOff>0</xdr:colOff>
      <xdr:row>1</xdr:row>
      <xdr:rowOff>676276</xdr:rowOff>
    </xdr:to>
    <xdr:pic>
      <xdr:nvPicPr>
        <xdr:cNvPr id="2" name="Picture 1" descr="ISI IMAS Logo">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8</xdr:col>
      <xdr:colOff>142875</xdr:colOff>
      <xdr:row>1</xdr:row>
      <xdr:rowOff>19050</xdr:rowOff>
    </xdr:from>
    <xdr:to>
      <xdr:col>11</xdr:col>
      <xdr:colOff>600075</xdr:colOff>
      <xdr:row>1</xdr:row>
      <xdr:rowOff>685801</xdr:rowOff>
    </xdr:to>
    <xdr:pic>
      <xdr:nvPicPr>
        <xdr:cNvPr id="4" name="Picture 3" descr="ISI IMAS Logo">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19800" y="152400"/>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8.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3"/>
  <sheetViews>
    <sheetView showGridLines="0" showRowColHeaders="0" tabSelected="1" zoomScaleNormal="100" zoomScaleSheetLayoutView="80" workbookViewId="0">
      <selection activeCell="A4" sqref="A4:O4"/>
    </sheetView>
  </sheetViews>
  <sheetFormatPr defaultRowHeight="15" x14ac:dyDescent="0.25"/>
  <cols>
    <col min="1" max="1" width="11" customWidth="1"/>
    <col min="15" max="15" width="10.5703125" customWidth="1"/>
  </cols>
  <sheetData>
    <row r="1" spans="1:254" s="4" customFormat="1" x14ac:dyDescent="0.25">
      <c r="A1" s="244"/>
      <c r="B1" s="245" t="s">
        <v>638</v>
      </c>
      <c r="C1" s="244"/>
      <c r="D1" s="244"/>
      <c r="E1" s="244"/>
      <c r="F1" s="244"/>
      <c r="G1" s="244"/>
      <c r="H1" s="244"/>
      <c r="I1" s="244"/>
      <c r="J1" s="244"/>
      <c r="K1" s="244"/>
      <c r="L1" s="244"/>
      <c r="M1" s="244"/>
      <c r="N1" s="244"/>
      <c r="O1" s="244"/>
    </row>
    <row r="2" spans="1:254" ht="54" customHeight="1" x14ac:dyDescent="0.25">
      <c r="A2" s="270" t="str">
        <f>"Welcome - "&amp;ModelName&amp;"
Version 2.02diii
Last Updated: 29/10/2018"</f>
        <v>Welcome - The NHS IMAS IST Cancer First Outpatients Demand &amp; Capacity Model
Version 2.02diii
Last Updated: 29/10/2018</v>
      </c>
      <c r="B2" s="271"/>
      <c r="C2" s="271"/>
      <c r="D2" s="271"/>
      <c r="E2" s="271"/>
      <c r="F2" s="271"/>
      <c r="G2" s="271"/>
      <c r="H2" s="271"/>
      <c r="I2" s="271"/>
      <c r="J2" s="271"/>
      <c r="K2" s="271"/>
      <c r="L2" s="271"/>
      <c r="M2" s="271"/>
      <c r="N2" s="271"/>
      <c r="O2" s="272"/>
    </row>
    <row r="3" spans="1:254" s="2" customFormat="1" ht="23.25" customHeight="1" x14ac:dyDescent="0.25">
      <c r="A3" s="273" t="s">
        <v>0</v>
      </c>
      <c r="B3" s="274"/>
      <c r="C3" s="274"/>
      <c r="D3" s="274"/>
      <c r="E3" s="274"/>
      <c r="F3" s="274"/>
      <c r="G3" s="274"/>
      <c r="H3" s="274"/>
      <c r="I3" s="274"/>
      <c r="J3" s="274"/>
      <c r="K3" s="274"/>
      <c r="L3" s="274"/>
      <c r="M3" s="274"/>
      <c r="N3" s="274"/>
      <c r="O3" s="275"/>
    </row>
    <row r="4" spans="1:254" x14ac:dyDescent="0.25">
      <c r="A4" s="262" t="s">
        <v>54</v>
      </c>
      <c r="B4" s="258"/>
      <c r="C4" s="258"/>
      <c r="D4" s="258"/>
      <c r="E4" s="258"/>
      <c r="F4" s="258"/>
      <c r="G4" s="258"/>
      <c r="H4" s="258"/>
      <c r="I4" s="258"/>
      <c r="J4" s="258"/>
      <c r="K4" s="258"/>
      <c r="L4" s="258"/>
      <c r="M4" s="258"/>
      <c r="N4" s="258"/>
      <c r="O4" s="259"/>
    </row>
    <row r="5" spans="1:254" ht="15" customHeight="1" x14ac:dyDescent="0.25">
      <c r="A5" s="262" t="s">
        <v>308</v>
      </c>
      <c r="B5" s="258"/>
      <c r="C5" s="258"/>
      <c r="D5" s="258"/>
      <c r="E5" s="258"/>
      <c r="F5" s="258"/>
      <c r="G5" s="258"/>
      <c r="H5" s="258"/>
      <c r="I5" s="258"/>
      <c r="J5" s="258"/>
      <c r="K5" s="258"/>
      <c r="L5" s="258"/>
      <c r="M5" s="258"/>
      <c r="N5" s="258"/>
      <c r="O5" s="259"/>
    </row>
    <row r="6" spans="1:254" s="203" customFormat="1" ht="15" customHeight="1" x14ac:dyDescent="0.25">
      <c r="A6" s="276" t="s">
        <v>633</v>
      </c>
      <c r="B6" s="277"/>
      <c r="C6" s="277"/>
      <c r="D6" s="277"/>
      <c r="E6" s="277"/>
      <c r="F6" s="277"/>
      <c r="G6" s="277"/>
      <c r="H6" s="277"/>
      <c r="I6" s="277"/>
      <c r="J6" s="277"/>
      <c r="K6" s="277"/>
      <c r="L6" s="277"/>
      <c r="M6" s="277"/>
      <c r="N6" s="277"/>
      <c r="O6" s="278"/>
    </row>
    <row r="7" spans="1:254" s="4" customFormat="1" ht="15" customHeight="1" x14ac:dyDescent="0.25">
      <c r="A7" s="246"/>
      <c r="B7" s="247"/>
      <c r="C7" s="247"/>
      <c r="D7" s="247"/>
      <c r="E7" s="247"/>
      <c r="F7" s="247"/>
      <c r="G7" s="247"/>
      <c r="H7" s="247"/>
      <c r="I7" s="247"/>
      <c r="J7" s="247"/>
      <c r="K7" s="247"/>
      <c r="L7" s="247"/>
      <c r="M7" s="247"/>
      <c r="N7" s="247"/>
      <c r="O7" s="248"/>
    </row>
    <row r="8" spans="1:254" s="2" customFormat="1" ht="23.25" customHeight="1" x14ac:dyDescent="0.25">
      <c r="A8" s="273" t="s">
        <v>1</v>
      </c>
      <c r="B8" s="274"/>
      <c r="C8" s="274"/>
      <c r="D8" s="274"/>
      <c r="E8" s="274"/>
      <c r="F8" s="274"/>
      <c r="G8" s="274"/>
      <c r="H8" s="274"/>
      <c r="I8" s="274"/>
      <c r="J8" s="274"/>
      <c r="K8" s="274"/>
      <c r="L8" s="274"/>
      <c r="M8" s="274"/>
      <c r="N8" s="274"/>
      <c r="O8" s="275"/>
    </row>
    <row r="9" spans="1:254" ht="15" customHeight="1" x14ac:dyDescent="0.25">
      <c r="A9" s="262" t="s">
        <v>88</v>
      </c>
      <c r="B9" s="258"/>
      <c r="C9" s="258"/>
      <c r="D9" s="258"/>
      <c r="E9" s="258"/>
      <c r="F9" s="258"/>
      <c r="G9" s="258"/>
      <c r="H9" s="258"/>
      <c r="I9" s="258"/>
      <c r="J9" s="258"/>
      <c r="K9" s="258"/>
      <c r="L9" s="258"/>
      <c r="M9" s="258"/>
      <c r="N9" s="258"/>
      <c r="O9" s="259"/>
      <c r="P9" s="264"/>
      <c r="Q9" s="264"/>
      <c r="R9" s="264"/>
      <c r="S9" s="264"/>
      <c r="T9" s="264"/>
      <c r="U9" s="264"/>
      <c r="V9" s="264"/>
      <c r="W9" s="264"/>
      <c r="X9" s="264"/>
      <c r="Y9" s="264"/>
      <c r="Z9" s="264"/>
      <c r="AA9" s="264"/>
      <c r="AB9" s="265"/>
      <c r="AC9" s="263"/>
      <c r="AD9" s="264"/>
      <c r="AE9" s="264"/>
      <c r="AF9" s="264"/>
      <c r="AG9" s="264"/>
      <c r="AH9" s="264"/>
      <c r="AI9" s="264"/>
      <c r="AJ9" s="264"/>
      <c r="AK9" s="264"/>
      <c r="AL9" s="264"/>
      <c r="AM9" s="264"/>
      <c r="AN9" s="264"/>
      <c r="AO9" s="264"/>
      <c r="AP9" s="264"/>
      <c r="AQ9" s="265"/>
      <c r="AR9" s="263"/>
      <c r="AS9" s="264"/>
      <c r="AT9" s="264"/>
      <c r="AU9" s="264"/>
      <c r="AV9" s="264"/>
      <c r="AW9" s="264"/>
      <c r="AX9" s="264"/>
      <c r="AY9" s="264"/>
      <c r="AZ9" s="264"/>
      <c r="BA9" s="264"/>
      <c r="BB9" s="264"/>
      <c r="BC9" s="264"/>
      <c r="BD9" s="264"/>
      <c r="BE9" s="264"/>
      <c r="BF9" s="265"/>
      <c r="BG9" s="263"/>
      <c r="BH9" s="264"/>
      <c r="BI9" s="264"/>
      <c r="BJ9" s="264"/>
      <c r="BK9" s="264"/>
      <c r="BL9" s="264"/>
      <c r="BM9" s="264"/>
      <c r="BN9" s="264"/>
      <c r="BO9" s="264"/>
      <c r="BP9" s="264"/>
      <c r="BQ9" s="264"/>
      <c r="BR9" s="264"/>
      <c r="BS9" s="264"/>
      <c r="BT9" s="264"/>
      <c r="BU9" s="265"/>
      <c r="BV9" s="263"/>
      <c r="BW9" s="264"/>
      <c r="BX9" s="264"/>
      <c r="BY9" s="264"/>
      <c r="BZ9" s="264"/>
      <c r="CA9" s="264"/>
      <c r="CB9" s="264"/>
      <c r="CC9" s="264"/>
      <c r="CD9" s="264"/>
      <c r="CE9" s="264"/>
      <c r="CF9" s="264"/>
      <c r="CG9" s="264"/>
      <c r="CH9" s="264"/>
      <c r="CI9" s="264"/>
      <c r="CJ9" s="265"/>
      <c r="CK9" s="263"/>
      <c r="CL9" s="264"/>
      <c r="CM9" s="264"/>
      <c r="CN9" s="264"/>
      <c r="CO9" s="264"/>
      <c r="CP9" s="264"/>
      <c r="CQ9" s="264"/>
      <c r="CR9" s="264"/>
      <c r="CS9" s="264"/>
      <c r="CT9" s="264"/>
      <c r="CU9" s="264"/>
      <c r="CV9" s="264"/>
      <c r="CW9" s="264"/>
      <c r="CX9" s="264"/>
      <c r="CY9" s="265"/>
      <c r="CZ9" s="263"/>
      <c r="DA9" s="264"/>
      <c r="DB9" s="264"/>
      <c r="DC9" s="264"/>
      <c r="DD9" s="264"/>
      <c r="DE9" s="264"/>
      <c r="DF9" s="264"/>
      <c r="DG9" s="264"/>
      <c r="DH9" s="264"/>
      <c r="DI9" s="264"/>
      <c r="DJ9" s="264"/>
      <c r="DK9" s="264"/>
      <c r="DL9" s="264"/>
      <c r="DM9" s="264"/>
      <c r="DN9" s="265"/>
      <c r="DO9" s="263"/>
      <c r="DP9" s="264"/>
      <c r="DQ9" s="264"/>
      <c r="DR9" s="264"/>
      <c r="DS9" s="264"/>
      <c r="DT9" s="264"/>
      <c r="DU9" s="264"/>
      <c r="DV9" s="264"/>
      <c r="DW9" s="264"/>
      <c r="DX9" s="264"/>
      <c r="DY9" s="264"/>
      <c r="DZ9" s="264"/>
      <c r="EA9" s="264"/>
      <c r="EB9" s="264"/>
      <c r="EC9" s="265"/>
      <c r="ED9" s="263"/>
      <c r="EE9" s="264"/>
      <c r="EF9" s="264"/>
      <c r="EG9" s="264"/>
      <c r="EH9" s="264"/>
      <c r="EI9" s="264"/>
      <c r="EJ9" s="264"/>
      <c r="EK9" s="264"/>
      <c r="EL9" s="264"/>
      <c r="EM9" s="264"/>
      <c r="EN9" s="264"/>
      <c r="EO9" s="264"/>
      <c r="EP9" s="264"/>
      <c r="EQ9" s="264"/>
      <c r="ER9" s="265"/>
      <c r="ES9" s="263"/>
      <c r="ET9" s="264"/>
      <c r="EU9" s="264"/>
      <c r="EV9" s="264"/>
      <c r="EW9" s="264"/>
      <c r="EX9" s="264"/>
      <c r="EY9" s="264"/>
      <c r="EZ9" s="264"/>
      <c r="FA9" s="264"/>
      <c r="FB9" s="264"/>
      <c r="FC9" s="264"/>
      <c r="FD9" s="264"/>
      <c r="FE9" s="264"/>
      <c r="FF9" s="264"/>
      <c r="FG9" s="265"/>
      <c r="FH9" s="263"/>
      <c r="FI9" s="264"/>
      <c r="FJ9" s="264"/>
      <c r="FK9" s="264"/>
      <c r="FL9" s="264"/>
      <c r="FM9" s="264"/>
      <c r="FN9" s="264"/>
      <c r="FO9" s="264"/>
      <c r="FP9" s="264"/>
      <c r="FQ9" s="264"/>
      <c r="FR9" s="264"/>
      <c r="FS9" s="264"/>
      <c r="FT9" s="264"/>
      <c r="FU9" s="264"/>
      <c r="FV9" s="265"/>
      <c r="FW9" s="263"/>
      <c r="FX9" s="264"/>
      <c r="FY9" s="264"/>
      <c r="FZ9" s="264"/>
      <c r="GA9" s="264"/>
      <c r="GB9" s="264"/>
      <c r="GC9" s="264"/>
      <c r="GD9" s="264"/>
      <c r="GE9" s="264"/>
      <c r="GF9" s="264"/>
      <c r="GG9" s="264"/>
      <c r="GH9" s="264"/>
      <c r="GI9" s="264"/>
      <c r="GJ9" s="264"/>
      <c r="GK9" s="265"/>
      <c r="GL9" s="263"/>
      <c r="GM9" s="264"/>
      <c r="GN9" s="264"/>
      <c r="GO9" s="264"/>
      <c r="GP9" s="264"/>
      <c r="GQ9" s="264"/>
      <c r="GR9" s="264"/>
      <c r="GS9" s="264"/>
      <c r="GT9" s="264"/>
      <c r="GU9" s="264"/>
      <c r="GV9" s="264"/>
      <c r="GW9" s="264"/>
      <c r="GX9" s="264"/>
      <c r="GY9" s="264"/>
      <c r="GZ9" s="265"/>
      <c r="HA9" s="263"/>
      <c r="HB9" s="264"/>
      <c r="HC9" s="264"/>
      <c r="HD9" s="264"/>
      <c r="HE9" s="264"/>
      <c r="HF9" s="264"/>
      <c r="HG9" s="264"/>
      <c r="HH9" s="264"/>
      <c r="HI9" s="264"/>
      <c r="HJ9" s="264"/>
      <c r="HK9" s="264"/>
      <c r="HL9" s="264"/>
      <c r="HM9" s="264"/>
      <c r="HN9" s="264"/>
      <c r="HO9" s="265"/>
      <c r="HP9" s="263"/>
      <c r="HQ9" s="264"/>
      <c r="HR9" s="264"/>
      <c r="HS9" s="264"/>
      <c r="HT9" s="264"/>
      <c r="HU9" s="264"/>
      <c r="HV9" s="264"/>
      <c r="HW9" s="264"/>
      <c r="HX9" s="264"/>
      <c r="HY9" s="264"/>
      <c r="HZ9" s="264"/>
      <c r="IA9" s="264"/>
      <c r="IB9" s="264"/>
      <c r="IC9" s="264"/>
      <c r="ID9" s="265"/>
      <c r="IE9" s="263"/>
      <c r="IF9" s="264"/>
      <c r="IG9" s="264"/>
      <c r="IH9" s="264"/>
      <c r="II9" s="264"/>
      <c r="IJ9" s="264"/>
      <c r="IK9" s="264"/>
      <c r="IL9" s="264"/>
      <c r="IM9" s="264"/>
      <c r="IN9" s="264"/>
      <c r="IO9" s="264"/>
      <c r="IP9" s="264"/>
      <c r="IQ9" s="264"/>
      <c r="IR9" s="264"/>
      <c r="IS9" s="265"/>
      <c r="IT9" s="8"/>
    </row>
    <row r="10" spans="1:254" s="4" customFormat="1" ht="15" customHeight="1" x14ac:dyDescent="0.25">
      <c r="A10" s="262"/>
      <c r="B10" s="258"/>
      <c r="C10" s="258"/>
      <c r="D10" s="258"/>
      <c r="E10" s="258"/>
      <c r="F10" s="258"/>
      <c r="G10" s="258"/>
      <c r="H10" s="258"/>
      <c r="I10" s="258"/>
      <c r="J10" s="258"/>
      <c r="K10" s="258"/>
      <c r="L10" s="258"/>
      <c r="M10" s="258"/>
      <c r="N10" s="258"/>
      <c r="O10" s="259"/>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row>
    <row r="11" spans="1:254" s="4" customFormat="1" ht="15" customHeight="1" x14ac:dyDescent="0.25">
      <c r="A11" s="262" t="s">
        <v>55</v>
      </c>
      <c r="B11" s="258"/>
      <c r="C11" s="258"/>
      <c r="D11" s="258"/>
      <c r="E11" s="258"/>
      <c r="F11" s="258"/>
      <c r="G11" s="258"/>
      <c r="H11" s="258"/>
      <c r="I11" s="258"/>
      <c r="J11" s="258"/>
      <c r="K11" s="258"/>
      <c r="L11" s="258"/>
      <c r="M11" s="258"/>
      <c r="N11" s="258"/>
      <c r="O11" s="259"/>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row>
    <row r="12" spans="1:254" s="4" customFormat="1" ht="15" customHeight="1" x14ac:dyDescent="0.25">
      <c r="A12" s="246"/>
      <c r="B12" s="249"/>
      <c r="C12" s="249"/>
      <c r="D12" s="249"/>
      <c r="E12" s="249"/>
      <c r="F12" s="249"/>
      <c r="G12" s="249"/>
      <c r="H12" s="249"/>
      <c r="I12" s="249"/>
      <c r="J12" s="249"/>
      <c r="K12" s="249"/>
      <c r="L12" s="249"/>
      <c r="M12" s="249"/>
      <c r="N12" s="249"/>
      <c r="O12" s="250"/>
    </row>
    <row r="13" spans="1:254" s="2" customFormat="1" ht="23.25" customHeight="1" x14ac:dyDescent="0.25">
      <c r="A13" s="273" t="s">
        <v>2</v>
      </c>
      <c r="B13" s="274"/>
      <c r="C13" s="274"/>
      <c r="D13" s="274"/>
      <c r="E13" s="274"/>
      <c r="F13" s="274"/>
      <c r="G13" s="274"/>
      <c r="H13" s="274"/>
      <c r="I13" s="274"/>
      <c r="J13" s="274"/>
      <c r="K13" s="274"/>
      <c r="L13" s="274"/>
      <c r="M13" s="274"/>
      <c r="N13" s="274"/>
      <c r="O13" s="275"/>
    </row>
    <row r="14" spans="1:254" s="4" customFormat="1" ht="15" customHeight="1" x14ac:dyDescent="0.25">
      <c r="A14" s="262" t="s">
        <v>3</v>
      </c>
      <c r="B14" s="258"/>
      <c r="C14" s="258"/>
      <c r="D14" s="258"/>
      <c r="E14" s="258"/>
      <c r="F14" s="258"/>
      <c r="G14" s="258"/>
      <c r="H14" s="258"/>
      <c r="I14" s="258"/>
      <c r="J14" s="258"/>
      <c r="K14" s="258"/>
      <c r="L14" s="258"/>
      <c r="M14" s="258"/>
      <c r="N14" s="258"/>
      <c r="O14" s="259"/>
      <c r="P14" s="264"/>
      <c r="Q14" s="264"/>
      <c r="R14" s="264"/>
      <c r="S14" s="264"/>
      <c r="T14" s="264"/>
      <c r="U14" s="264"/>
      <c r="V14" s="264"/>
      <c r="W14" s="264"/>
      <c r="X14" s="264"/>
      <c r="Y14" s="264"/>
      <c r="Z14" s="264"/>
      <c r="AA14" s="264"/>
      <c r="AB14" s="265"/>
      <c r="AC14" s="263"/>
      <c r="AD14" s="264"/>
      <c r="AE14" s="264"/>
      <c r="AF14" s="264"/>
      <c r="AG14" s="264"/>
      <c r="AH14" s="264"/>
      <c r="AI14" s="264"/>
      <c r="AJ14" s="264"/>
      <c r="AK14" s="264"/>
      <c r="AL14" s="264"/>
      <c r="AM14" s="264"/>
      <c r="AN14" s="264"/>
      <c r="AO14" s="264"/>
      <c r="AP14" s="264"/>
      <c r="AQ14" s="265"/>
      <c r="AR14" s="263"/>
      <c r="AS14" s="264"/>
      <c r="AT14" s="264"/>
      <c r="AU14" s="264"/>
      <c r="AV14" s="264"/>
      <c r="AW14" s="264"/>
      <c r="AX14" s="264"/>
      <c r="AY14" s="264"/>
      <c r="AZ14" s="264"/>
      <c r="BA14" s="264"/>
      <c r="BB14" s="264"/>
      <c r="BC14" s="264"/>
      <c r="BD14" s="264"/>
      <c r="BE14" s="264"/>
      <c r="BF14" s="265"/>
      <c r="BG14" s="263"/>
      <c r="BH14" s="264"/>
      <c r="BI14" s="264"/>
      <c r="BJ14" s="264"/>
      <c r="BK14" s="264"/>
      <c r="BL14" s="264"/>
      <c r="BM14" s="264"/>
      <c r="BN14" s="264"/>
      <c r="BO14" s="264"/>
      <c r="BP14" s="264"/>
      <c r="BQ14" s="264"/>
      <c r="BR14" s="264"/>
      <c r="BS14" s="264"/>
      <c r="BT14" s="264"/>
      <c r="BU14" s="265"/>
      <c r="BV14" s="263"/>
      <c r="BW14" s="264"/>
      <c r="BX14" s="264"/>
      <c r="BY14" s="264"/>
      <c r="BZ14" s="264"/>
      <c r="CA14" s="264"/>
      <c r="CB14" s="264"/>
      <c r="CC14" s="264"/>
      <c r="CD14" s="264"/>
      <c r="CE14" s="264"/>
      <c r="CF14" s="264"/>
      <c r="CG14" s="264"/>
      <c r="CH14" s="264"/>
      <c r="CI14" s="264"/>
      <c r="CJ14" s="265"/>
      <c r="CK14" s="263"/>
      <c r="CL14" s="264"/>
      <c r="CM14" s="264"/>
      <c r="CN14" s="264"/>
      <c r="CO14" s="264"/>
      <c r="CP14" s="264"/>
      <c r="CQ14" s="264"/>
      <c r="CR14" s="264"/>
      <c r="CS14" s="264"/>
      <c r="CT14" s="264"/>
      <c r="CU14" s="264"/>
      <c r="CV14" s="264"/>
      <c r="CW14" s="264"/>
      <c r="CX14" s="264"/>
      <c r="CY14" s="265"/>
      <c r="CZ14" s="263"/>
      <c r="DA14" s="264"/>
      <c r="DB14" s="264"/>
      <c r="DC14" s="264"/>
      <c r="DD14" s="264"/>
      <c r="DE14" s="264"/>
      <c r="DF14" s="264"/>
      <c r="DG14" s="264"/>
      <c r="DH14" s="264"/>
      <c r="DI14" s="264"/>
      <c r="DJ14" s="264"/>
      <c r="DK14" s="264"/>
      <c r="DL14" s="264"/>
      <c r="DM14" s="264"/>
      <c r="DN14" s="265"/>
      <c r="DO14" s="263"/>
      <c r="DP14" s="264"/>
      <c r="DQ14" s="264"/>
      <c r="DR14" s="264"/>
      <c r="DS14" s="264"/>
      <c r="DT14" s="264"/>
      <c r="DU14" s="264"/>
      <c r="DV14" s="264"/>
      <c r="DW14" s="264"/>
      <c r="DX14" s="264"/>
      <c r="DY14" s="264"/>
      <c r="DZ14" s="264"/>
      <c r="EA14" s="264"/>
      <c r="EB14" s="264"/>
      <c r="EC14" s="265"/>
      <c r="ED14" s="263"/>
      <c r="EE14" s="264"/>
      <c r="EF14" s="264"/>
      <c r="EG14" s="264"/>
      <c r="EH14" s="264"/>
      <c r="EI14" s="264"/>
      <c r="EJ14" s="264"/>
      <c r="EK14" s="264"/>
      <c r="EL14" s="264"/>
      <c r="EM14" s="264"/>
      <c r="EN14" s="264"/>
      <c r="EO14" s="264"/>
      <c r="EP14" s="264"/>
      <c r="EQ14" s="264"/>
      <c r="ER14" s="265"/>
      <c r="ES14" s="263"/>
      <c r="ET14" s="264"/>
      <c r="EU14" s="264"/>
      <c r="EV14" s="264"/>
      <c r="EW14" s="264"/>
      <c r="EX14" s="264"/>
      <c r="EY14" s="264"/>
      <c r="EZ14" s="264"/>
      <c r="FA14" s="264"/>
      <c r="FB14" s="264"/>
      <c r="FC14" s="264"/>
      <c r="FD14" s="264"/>
      <c r="FE14" s="264"/>
      <c r="FF14" s="264"/>
      <c r="FG14" s="265"/>
      <c r="FH14" s="263"/>
      <c r="FI14" s="264"/>
      <c r="FJ14" s="264"/>
      <c r="FK14" s="264"/>
      <c r="FL14" s="264"/>
      <c r="FM14" s="264"/>
      <c r="FN14" s="264"/>
      <c r="FO14" s="264"/>
      <c r="FP14" s="264"/>
      <c r="FQ14" s="264"/>
      <c r="FR14" s="264"/>
      <c r="FS14" s="264"/>
      <c r="FT14" s="264"/>
      <c r="FU14" s="264"/>
      <c r="FV14" s="265"/>
      <c r="FW14" s="263"/>
      <c r="FX14" s="264"/>
      <c r="FY14" s="264"/>
      <c r="FZ14" s="264"/>
      <c r="GA14" s="264"/>
      <c r="GB14" s="264"/>
      <c r="GC14" s="264"/>
      <c r="GD14" s="264"/>
      <c r="GE14" s="264"/>
      <c r="GF14" s="264"/>
      <c r="GG14" s="264"/>
      <c r="GH14" s="264"/>
      <c r="GI14" s="264"/>
      <c r="GJ14" s="264"/>
      <c r="GK14" s="265"/>
      <c r="GL14" s="263"/>
      <c r="GM14" s="264"/>
      <c r="GN14" s="264"/>
      <c r="GO14" s="264"/>
      <c r="GP14" s="264"/>
      <c r="GQ14" s="264"/>
      <c r="GR14" s="264"/>
      <c r="GS14" s="264"/>
      <c r="GT14" s="264"/>
      <c r="GU14" s="264"/>
      <c r="GV14" s="264"/>
      <c r="GW14" s="264"/>
      <c r="GX14" s="264"/>
      <c r="GY14" s="264"/>
      <c r="GZ14" s="265"/>
      <c r="HA14" s="263"/>
      <c r="HB14" s="264"/>
      <c r="HC14" s="264"/>
      <c r="HD14" s="264"/>
      <c r="HE14" s="264"/>
      <c r="HF14" s="264"/>
      <c r="HG14" s="264"/>
      <c r="HH14" s="264"/>
      <c r="HI14" s="264"/>
      <c r="HJ14" s="264"/>
      <c r="HK14" s="264"/>
      <c r="HL14" s="264"/>
      <c r="HM14" s="264"/>
      <c r="HN14" s="264"/>
      <c r="HO14" s="265"/>
      <c r="HP14" s="263"/>
      <c r="HQ14" s="264"/>
      <c r="HR14" s="264"/>
      <c r="HS14" s="264"/>
      <c r="HT14" s="264"/>
      <c r="HU14" s="264"/>
      <c r="HV14" s="264"/>
      <c r="HW14" s="264"/>
      <c r="HX14" s="264"/>
      <c r="HY14" s="264"/>
      <c r="HZ14" s="264"/>
      <c r="IA14" s="264"/>
      <c r="IB14" s="264"/>
      <c r="IC14" s="264"/>
      <c r="ID14" s="265"/>
      <c r="IE14" s="263"/>
      <c r="IF14" s="264"/>
      <c r="IG14" s="264"/>
      <c r="IH14" s="264"/>
      <c r="II14" s="264"/>
      <c r="IJ14" s="264"/>
      <c r="IK14" s="264"/>
      <c r="IL14" s="264"/>
      <c r="IM14" s="264"/>
      <c r="IN14" s="264"/>
      <c r="IO14" s="264"/>
      <c r="IP14" s="264"/>
      <c r="IQ14" s="264"/>
      <c r="IR14" s="264"/>
      <c r="IS14" s="265"/>
      <c r="IT14" s="8"/>
    </row>
    <row r="15" spans="1:254" s="2" customFormat="1" x14ac:dyDescent="0.25">
      <c r="A15" s="246"/>
      <c r="B15" s="266" t="s">
        <v>89</v>
      </c>
      <c r="C15" s="267"/>
      <c r="D15" s="267"/>
      <c r="E15" s="267"/>
      <c r="F15" s="267"/>
      <c r="G15" s="267"/>
      <c r="H15" s="267"/>
      <c r="I15" s="267"/>
      <c r="J15" s="267"/>
      <c r="K15" s="267"/>
      <c r="L15" s="267"/>
      <c r="M15" s="267"/>
      <c r="N15" s="267"/>
      <c r="O15" s="268"/>
    </row>
    <row r="16" spans="1:254" s="2" customFormat="1" x14ac:dyDescent="0.25">
      <c r="A16" s="246"/>
      <c r="B16" s="266" t="s">
        <v>293</v>
      </c>
      <c r="C16" s="266"/>
      <c r="D16" s="266"/>
      <c r="E16" s="266"/>
      <c r="F16" s="266"/>
      <c r="G16" s="266"/>
      <c r="H16" s="266"/>
      <c r="I16" s="266"/>
      <c r="J16" s="266"/>
      <c r="K16" s="266"/>
      <c r="L16" s="266"/>
      <c r="M16" s="266"/>
      <c r="N16" s="266"/>
      <c r="O16" s="269"/>
    </row>
    <row r="17" spans="1:254" s="2" customFormat="1" x14ac:dyDescent="0.25">
      <c r="A17" s="246"/>
      <c r="B17" s="266" t="s">
        <v>90</v>
      </c>
      <c r="C17" s="267"/>
      <c r="D17" s="267"/>
      <c r="E17" s="267"/>
      <c r="F17" s="267"/>
      <c r="G17" s="267"/>
      <c r="H17" s="267"/>
      <c r="I17" s="267"/>
      <c r="J17" s="267"/>
      <c r="K17" s="267"/>
      <c r="L17" s="267"/>
      <c r="M17" s="267"/>
      <c r="N17" s="267"/>
      <c r="O17" s="268"/>
    </row>
    <row r="18" spans="1:254" s="2" customFormat="1" x14ac:dyDescent="0.25">
      <c r="A18" s="246"/>
      <c r="B18" s="266" t="s">
        <v>91</v>
      </c>
      <c r="C18" s="267"/>
      <c r="D18" s="267"/>
      <c r="E18" s="267"/>
      <c r="F18" s="267"/>
      <c r="G18" s="267"/>
      <c r="H18" s="267"/>
      <c r="I18" s="267"/>
      <c r="J18" s="267"/>
      <c r="K18" s="267"/>
      <c r="L18" s="267"/>
      <c r="M18" s="267"/>
      <c r="N18" s="267"/>
      <c r="O18" s="268"/>
    </row>
    <row r="19" spans="1:254" s="2" customFormat="1" x14ac:dyDescent="0.25">
      <c r="A19" s="246"/>
      <c r="B19" s="251" t="s">
        <v>623</v>
      </c>
      <c r="C19" s="244"/>
      <c r="D19" s="244"/>
      <c r="E19" s="244"/>
      <c r="F19" s="244"/>
      <c r="G19" s="244"/>
      <c r="H19" s="244"/>
      <c r="I19" s="244"/>
      <c r="J19" s="244"/>
      <c r="K19" s="244"/>
      <c r="L19" s="244"/>
      <c r="M19" s="244"/>
      <c r="N19" s="244"/>
      <c r="O19" s="90"/>
    </row>
    <row r="20" spans="1:254" s="2" customFormat="1" x14ac:dyDescent="0.25">
      <c r="A20" s="246"/>
      <c r="B20" s="251" t="s">
        <v>534</v>
      </c>
      <c r="C20" s="244"/>
      <c r="D20" s="244"/>
      <c r="E20" s="244"/>
      <c r="F20" s="244"/>
      <c r="G20" s="244"/>
      <c r="H20" s="244"/>
      <c r="I20" s="244"/>
      <c r="J20" s="244"/>
      <c r="K20" s="244"/>
      <c r="L20" s="244"/>
      <c r="M20" s="244"/>
      <c r="N20" s="244"/>
      <c r="O20" s="90"/>
    </row>
    <row r="21" spans="1:254" s="2" customFormat="1" x14ac:dyDescent="0.25">
      <c r="A21" s="246"/>
      <c r="B21" s="247"/>
      <c r="C21" s="247"/>
      <c r="D21" s="247"/>
      <c r="E21" s="247"/>
      <c r="F21" s="247"/>
      <c r="G21" s="247"/>
      <c r="H21" s="247"/>
      <c r="I21" s="247"/>
      <c r="J21" s="247"/>
      <c r="K21" s="247"/>
      <c r="L21" s="247"/>
      <c r="M21" s="247"/>
      <c r="N21" s="247"/>
      <c r="O21" s="248"/>
    </row>
    <row r="22" spans="1:254" s="2" customFormat="1" ht="23.25" customHeight="1" x14ac:dyDescent="0.25">
      <c r="A22" s="273" t="s">
        <v>4</v>
      </c>
      <c r="B22" s="274"/>
      <c r="C22" s="274"/>
      <c r="D22" s="274"/>
      <c r="E22" s="274"/>
      <c r="F22" s="274"/>
      <c r="G22" s="274"/>
      <c r="H22" s="274"/>
      <c r="I22" s="274"/>
      <c r="J22" s="274"/>
      <c r="K22" s="274"/>
      <c r="L22" s="274"/>
      <c r="M22" s="274"/>
      <c r="N22" s="274"/>
      <c r="O22" s="275"/>
    </row>
    <row r="23" spans="1:254" s="4" customFormat="1" ht="15" customHeight="1" x14ac:dyDescent="0.25">
      <c r="A23" s="262" t="s">
        <v>327</v>
      </c>
      <c r="B23" s="258"/>
      <c r="C23" s="258"/>
      <c r="D23" s="258"/>
      <c r="E23" s="258"/>
      <c r="F23" s="258"/>
      <c r="G23" s="258"/>
      <c r="H23" s="258"/>
      <c r="I23" s="258"/>
      <c r="J23" s="258"/>
      <c r="K23" s="258"/>
      <c r="L23" s="258"/>
      <c r="M23" s="258"/>
      <c r="N23" s="258"/>
      <c r="O23" s="259"/>
      <c r="P23" s="264"/>
      <c r="Q23" s="264"/>
      <c r="R23" s="264"/>
      <c r="S23" s="264"/>
      <c r="T23" s="264"/>
      <c r="U23" s="264"/>
      <c r="V23" s="264"/>
      <c r="W23" s="264"/>
      <c r="X23" s="264"/>
      <c r="Y23" s="264"/>
      <c r="Z23" s="264"/>
      <c r="AA23" s="264"/>
      <c r="AB23" s="265"/>
      <c r="AC23" s="263"/>
      <c r="AD23" s="264"/>
      <c r="AE23" s="264"/>
      <c r="AF23" s="264"/>
      <c r="AG23" s="264"/>
      <c r="AH23" s="264"/>
      <c r="AI23" s="264"/>
      <c r="AJ23" s="264"/>
      <c r="AK23" s="264"/>
      <c r="AL23" s="264"/>
      <c r="AM23" s="264"/>
      <c r="AN23" s="264"/>
      <c r="AO23" s="264"/>
      <c r="AP23" s="264"/>
      <c r="AQ23" s="265"/>
      <c r="AR23" s="263"/>
      <c r="AS23" s="264"/>
      <c r="AT23" s="264"/>
      <c r="AU23" s="264"/>
      <c r="AV23" s="264"/>
      <c r="AW23" s="264"/>
      <c r="AX23" s="264"/>
      <c r="AY23" s="264"/>
      <c r="AZ23" s="264"/>
      <c r="BA23" s="264"/>
      <c r="BB23" s="264"/>
      <c r="BC23" s="264"/>
      <c r="BD23" s="264"/>
      <c r="BE23" s="264"/>
      <c r="BF23" s="265"/>
      <c r="BG23" s="263"/>
      <c r="BH23" s="264"/>
      <c r="BI23" s="264"/>
      <c r="BJ23" s="264"/>
      <c r="BK23" s="264"/>
      <c r="BL23" s="264"/>
      <c r="BM23" s="264"/>
      <c r="BN23" s="264"/>
      <c r="BO23" s="264"/>
      <c r="BP23" s="264"/>
      <c r="BQ23" s="264"/>
      <c r="BR23" s="264"/>
      <c r="BS23" s="264"/>
      <c r="BT23" s="264"/>
      <c r="BU23" s="265"/>
      <c r="BV23" s="263"/>
      <c r="BW23" s="264"/>
      <c r="BX23" s="264"/>
      <c r="BY23" s="264"/>
      <c r="BZ23" s="264"/>
      <c r="CA23" s="264"/>
      <c r="CB23" s="264"/>
      <c r="CC23" s="264"/>
      <c r="CD23" s="264"/>
      <c r="CE23" s="264"/>
      <c r="CF23" s="264"/>
      <c r="CG23" s="264"/>
      <c r="CH23" s="264"/>
      <c r="CI23" s="264"/>
      <c r="CJ23" s="265"/>
      <c r="CK23" s="263"/>
      <c r="CL23" s="264"/>
      <c r="CM23" s="264"/>
      <c r="CN23" s="264"/>
      <c r="CO23" s="264"/>
      <c r="CP23" s="264"/>
      <c r="CQ23" s="264"/>
      <c r="CR23" s="264"/>
      <c r="CS23" s="264"/>
      <c r="CT23" s="264"/>
      <c r="CU23" s="264"/>
      <c r="CV23" s="264"/>
      <c r="CW23" s="264"/>
      <c r="CX23" s="264"/>
      <c r="CY23" s="265"/>
      <c r="CZ23" s="263"/>
      <c r="DA23" s="264"/>
      <c r="DB23" s="264"/>
      <c r="DC23" s="264"/>
      <c r="DD23" s="264"/>
      <c r="DE23" s="264"/>
      <c r="DF23" s="264"/>
      <c r="DG23" s="264"/>
      <c r="DH23" s="264"/>
      <c r="DI23" s="264"/>
      <c r="DJ23" s="264"/>
      <c r="DK23" s="264"/>
      <c r="DL23" s="264"/>
      <c r="DM23" s="264"/>
      <c r="DN23" s="265"/>
      <c r="DO23" s="263"/>
      <c r="DP23" s="264"/>
      <c r="DQ23" s="264"/>
      <c r="DR23" s="264"/>
      <c r="DS23" s="264"/>
      <c r="DT23" s="264"/>
      <c r="DU23" s="264"/>
      <c r="DV23" s="264"/>
      <c r="DW23" s="264"/>
      <c r="DX23" s="264"/>
      <c r="DY23" s="264"/>
      <c r="DZ23" s="264"/>
      <c r="EA23" s="264"/>
      <c r="EB23" s="264"/>
      <c r="EC23" s="265"/>
      <c r="ED23" s="263"/>
      <c r="EE23" s="264"/>
      <c r="EF23" s="264"/>
      <c r="EG23" s="264"/>
      <c r="EH23" s="264"/>
      <c r="EI23" s="264"/>
      <c r="EJ23" s="264"/>
      <c r="EK23" s="264"/>
      <c r="EL23" s="264"/>
      <c r="EM23" s="264"/>
      <c r="EN23" s="264"/>
      <c r="EO23" s="264"/>
      <c r="EP23" s="264"/>
      <c r="EQ23" s="264"/>
      <c r="ER23" s="265"/>
      <c r="ES23" s="263"/>
      <c r="ET23" s="264"/>
      <c r="EU23" s="264"/>
      <c r="EV23" s="264"/>
      <c r="EW23" s="264"/>
      <c r="EX23" s="264"/>
      <c r="EY23" s="264"/>
      <c r="EZ23" s="264"/>
      <c r="FA23" s="264"/>
      <c r="FB23" s="264"/>
      <c r="FC23" s="264"/>
      <c r="FD23" s="264"/>
      <c r="FE23" s="264"/>
      <c r="FF23" s="264"/>
      <c r="FG23" s="265"/>
      <c r="FH23" s="263"/>
      <c r="FI23" s="264"/>
      <c r="FJ23" s="264"/>
      <c r="FK23" s="264"/>
      <c r="FL23" s="264"/>
      <c r="FM23" s="264"/>
      <c r="FN23" s="264"/>
      <c r="FO23" s="264"/>
      <c r="FP23" s="264"/>
      <c r="FQ23" s="264"/>
      <c r="FR23" s="264"/>
      <c r="FS23" s="264"/>
      <c r="FT23" s="264"/>
      <c r="FU23" s="264"/>
      <c r="FV23" s="265"/>
      <c r="FW23" s="263"/>
      <c r="FX23" s="264"/>
      <c r="FY23" s="264"/>
      <c r="FZ23" s="264"/>
      <c r="GA23" s="264"/>
      <c r="GB23" s="264"/>
      <c r="GC23" s="264"/>
      <c r="GD23" s="264"/>
      <c r="GE23" s="264"/>
      <c r="GF23" s="264"/>
      <c r="GG23" s="264"/>
      <c r="GH23" s="264"/>
      <c r="GI23" s="264"/>
      <c r="GJ23" s="264"/>
      <c r="GK23" s="265"/>
      <c r="GL23" s="263"/>
      <c r="GM23" s="264"/>
      <c r="GN23" s="264"/>
      <c r="GO23" s="264"/>
      <c r="GP23" s="264"/>
      <c r="GQ23" s="264"/>
      <c r="GR23" s="264"/>
      <c r="GS23" s="264"/>
      <c r="GT23" s="264"/>
      <c r="GU23" s="264"/>
      <c r="GV23" s="264"/>
      <c r="GW23" s="264"/>
      <c r="GX23" s="264"/>
      <c r="GY23" s="264"/>
      <c r="GZ23" s="265"/>
      <c r="HA23" s="263"/>
      <c r="HB23" s="264"/>
      <c r="HC23" s="264"/>
      <c r="HD23" s="264"/>
      <c r="HE23" s="264"/>
      <c r="HF23" s="264"/>
      <c r="HG23" s="264"/>
      <c r="HH23" s="264"/>
      <c r="HI23" s="264"/>
      <c r="HJ23" s="264"/>
      <c r="HK23" s="264"/>
      <c r="HL23" s="264"/>
      <c r="HM23" s="264"/>
      <c r="HN23" s="264"/>
      <c r="HO23" s="265"/>
      <c r="HP23" s="263"/>
      <c r="HQ23" s="264"/>
      <c r="HR23" s="264"/>
      <c r="HS23" s="264"/>
      <c r="HT23" s="264"/>
      <c r="HU23" s="264"/>
      <c r="HV23" s="264"/>
      <c r="HW23" s="264"/>
      <c r="HX23" s="264"/>
      <c r="HY23" s="264"/>
      <c r="HZ23" s="264"/>
      <c r="IA23" s="264"/>
      <c r="IB23" s="264"/>
      <c r="IC23" s="264"/>
      <c r="ID23" s="265"/>
      <c r="IE23" s="263"/>
      <c r="IF23" s="264"/>
      <c r="IG23" s="264"/>
      <c r="IH23" s="264"/>
      <c r="II23" s="264"/>
      <c r="IJ23" s="264"/>
      <c r="IK23" s="264"/>
      <c r="IL23" s="264"/>
      <c r="IM23" s="264"/>
      <c r="IN23" s="264"/>
      <c r="IO23" s="264"/>
      <c r="IP23" s="264"/>
      <c r="IQ23" s="264"/>
      <c r="IR23" s="264"/>
      <c r="IS23" s="265"/>
      <c r="IT23" s="8"/>
    </row>
    <row r="24" spans="1:254" s="48" customFormat="1" ht="15" customHeight="1" x14ac:dyDescent="0.25">
      <c r="A24" s="262" t="s">
        <v>646</v>
      </c>
      <c r="B24" s="258"/>
      <c r="C24" s="258"/>
      <c r="D24" s="258"/>
      <c r="E24" s="258"/>
      <c r="F24" s="258"/>
      <c r="G24" s="258"/>
      <c r="H24" s="258"/>
      <c r="I24" s="258"/>
      <c r="J24" s="258"/>
      <c r="K24" s="258"/>
      <c r="L24" s="258"/>
      <c r="M24" s="258"/>
      <c r="N24" s="258"/>
      <c r="O24" s="259"/>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row>
    <row r="25" spans="1:254" s="4" customFormat="1" ht="15" customHeight="1" x14ac:dyDescent="0.25">
      <c r="A25" s="262" t="s">
        <v>56</v>
      </c>
      <c r="B25" s="258"/>
      <c r="C25" s="258"/>
      <c r="D25" s="258"/>
      <c r="E25" s="258"/>
      <c r="F25" s="258"/>
      <c r="G25" s="258"/>
      <c r="H25" s="258"/>
      <c r="I25" s="258"/>
      <c r="J25" s="258"/>
      <c r="K25" s="258"/>
      <c r="L25" s="258"/>
      <c r="M25" s="258"/>
      <c r="N25" s="258"/>
      <c r="O25" s="259"/>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row>
    <row r="26" spans="1:254" s="2" customFormat="1" x14ac:dyDescent="0.25">
      <c r="A26" s="246"/>
      <c r="B26" s="247"/>
      <c r="C26" s="247"/>
      <c r="D26" s="247"/>
      <c r="E26" s="247"/>
      <c r="F26" s="247"/>
      <c r="G26" s="247"/>
      <c r="H26" s="247"/>
      <c r="I26" s="247"/>
      <c r="J26" s="247"/>
      <c r="K26" s="247"/>
      <c r="L26" s="247"/>
      <c r="M26" s="247"/>
      <c r="N26" s="247"/>
      <c r="O26" s="248"/>
    </row>
    <row r="27" spans="1:254" s="2" customFormat="1" ht="23.25" customHeight="1" x14ac:dyDescent="0.25">
      <c r="A27" s="273" t="s">
        <v>5</v>
      </c>
      <c r="B27" s="274"/>
      <c r="C27" s="274"/>
      <c r="D27" s="274"/>
      <c r="E27" s="274"/>
      <c r="F27" s="274"/>
      <c r="G27" s="274"/>
      <c r="H27" s="274"/>
      <c r="I27" s="274"/>
      <c r="J27" s="274"/>
      <c r="K27" s="274"/>
      <c r="L27" s="274"/>
      <c r="M27" s="274"/>
      <c r="N27" s="274"/>
      <c r="O27" s="275"/>
    </row>
    <row r="28" spans="1:254" s="4" customFormat="1" ht="15" customHeight="1" x14ac:dyDescent="0.25">
      <c r="A28" s="262" t="s">
        <v>74</v>
      </c>
      <c r="B28" s="258"/>
      <c r="C28" s="258"/>
      <c r="D28" s="258"/>
      <c r="E28" s="258"/>
      <c r="F28" s="258"/>
      <c r="G28" s="258"/>
      <c r="H28" s="258"/>
      <c r="I28" s="258"/>
      <c r="J28" s="258"/>
      <c r="K28" s="258"/>
      <c r="L28" s="258"/>
      <c r="M28" s="258"/>
      <c r="N28" s="258"/>
      <c r="O28" s="259"/>
      <c r="P28" s="264"/>
      <c r="Q28" s="264"/>
      <c r="R28" s="264"/>
      <c r="S28" s="264"/>
      <c r="T28" s="264"/>
      <c r="U28" s="264"/>
      <c r="V28" s="264"/>
      <c r="W28" s="264"/>
      <c r="X28" s="264"/>
      <c r="Y28" s="264"/>
      <c r="Z28" s="264"/>
      <c r="AA28" s="264"/>
      <c r="AB28" s="265"/>
      <c r="AC28" s="263"/>
      <c r="AD28" s="264"/>
      <c r="AE28" s="264"/>
      <c r="AF28" s="264"/>
      <c r="AG28" s="264"/>
      <c r="AH28" s="264"/>
      <c r="AI28" s="264"/>
      <c r="AJ28" s="264"/>
      <c r="AK28" s="264"/>
      <c r="AL28" s="264"/>
      <c r="AM28" s="264"/>
      <c r="AN28" s="264"/>
      <c r="AO28" s="264"/>
      <c r="AP28" s="264"/>
      <c r="AQ28" s="265"/>
      <c r="AR28" s="263"/>
      <c r="AS28" s="264"/>
      <c r="AT28" s="264"/>
      <c r="AU28" s="264"/>
      <c r="AV28" s="264"/>
      <c r="AW28" s="264"/>
      <c r="AX28" s="264"/>
      <c r="AY28" s="264"/>
      <c r="AZ28" s="264"/>
      <c r="BA28" s="264"/>
      <c r="BB28" s="264"/>
      <c r="BC28" s="264"/>
      <c r="BD28" s="264"/>
      <c r="BE28" s="264"/>
      <c r="BF28" s="265"/>
      <c r="BG28" s="263"/>
      <c r="BH28" s="264"/>
      <c r="BI28" s="264"/>
      <c r="BJ28" s="264"/>
      <c r="BK28" s="264"/>
      <c r="BL28" s="264"/>
      <c r="BM28" s="264"/>
      <c r="BN28" s="264"/>
      <c r="BO28" s="264"/>
      <c r="BP28" s="264"/>
      <c r="BQ28" s="264"/>
      <c r="BR28" s="264"/>
      <c r="BS28" s="264"/>
      <c r="BT28" s="264"/>
      <c r="BU28" s="265"/>
      <c r="BV28" s="263"/>
      <c r="BW28" s="264"/>
      <c r="BX28" s="264"/>
      <c r="BY28" s="264"/>
      <c r="BZ28" s="264"/>
      <c r="CA28" s="264"/>
      <c r="CB28" s="264"/>
      <c r="CC28" s="264"/>
      <c r="CD28" s="264"/>
      <c r="CE28" s="264"/>
      <c r="CF28" s="264"/>
      <c r="CG28" s="264"/>
      <c r="CH28" s="264"/>
      <c r="CI28" s="264"/>
      <c r="CJ28" s="265"/>
      <c r="CK28" s="263"/>
      <c r="CL28" s="264"/>
      <c r="CM28" s="264"/>
      <c r="CN28" s="264"/>
      <c r="CO28" s="264"/>
      <c r="CP28" s="264"/>
      <c r="CQ28" s="264"/>
      <c r="CR28" s="264"/>
      <c r="CS28" s="264"/>
      <c r="CT28" s="264"/>
      <c r="CU28" s="264"/>
      <c r="CV28" s="264"/>
      <c r="CW28" s="264"/>
      <c r="CX28" s="264"/>
      <c r="CY28" s="265"/>
      <c r="CZ28" s="263"/>
      <c r="DA28" s="264"/>
      <c r="DB28" s="264"/>
      <c r="DC28" s="264"/>
      <c r="DD28" s="264"/>
      <c r="DE28" s="264"/>
      <c r="DF28" s="264"/>
      <c r="DG28" s="264"/>
      <c r="DH28" s="264"/>
      <c r="DI28" s="264"/>
      <c r="DJ28" s="264"/>
      <c r="DK28" s="264"/>
      <c r="DL28" s="264"/>
      <c r="DM28" s="264"/>
      <c r="DN28" s="265"/>
      <c r="DO28" s="263"/>
      <c r="DP28" s="264"/>
      <c r="DQ28" s="264"/>
      <c r="DR28" s="264"/>
      <c r="DS28" s="264"/>
      <c r="DT28" s="264"/>
      <c r="DU28" s="264"/>
      <c r="DV28" s="264"/>
      <c r="DW28" s="264"/>
      <c r="DX28" s="264"/>
      <c r="DY28" s="264"/>
      <c r="DZ28" s="264"/>
      <c r="EA28" s="264"/>
      <c r="EB28" s="264"/>
      <c r="EC28" s="265"/>
      <c r="ED28" s="263"/>
      <c r="EE28" s="264"/>
      <c r="EF28" s="264"/>
      <c r="EG28" s="264"/>
      <c r="EH28" s="264"/>
      <c r="EI28" s="264"/>
      <c r="EJ28" s="264"/>
      <c r="EK28" s="264"/>
      <c r="EL28" s="264"/>
      <c r="EM28" s="264"/>
      <c r="EN28" s="264"/>
      <c r="EO28" s="264"/>
      <c r="EP28" s="264"/>
      <c r="EQ28" s="264"/>
      <c r="ER28" s="265"/>
      <c r="ES28" s="263"/>
      <c r="ET28" s="264"/>
      <c r="EU28" s="264"/>
      <c r="EV28" s="264"/>
      <c r="EW28" s="264"/>
      <c r="EX28" s="264"/>
      <c r="EY28" s="264"/>
      <c r="EZ28" s="264"/>
      <c r="FA28" s="264"/>
      <c r="FB28" s="264"/>
      <c r="FC28" s="264"/>
      <c r="FD28" s="264"/>
      <c r="FE28" s="264"/>
      <c r="FF28" s="264"/>
      <c r="FG28" s="265"/>
      <c r="FH28" s="263"/>
      <c r="FI28" s="264"/>
      <c r="FJ28" s="264"/>
      <c r="FK28" s="264"/>
      <c r="FL28" s="264"/>
      <c r="FM28" s="264"/>
      <c r="FN28" s="264"/>
      <c r="FO28" s="264"/>
      <c r="FP28" s="264"/>
      <c r="FQ28" s="264"/>
      <c r="FR28" s="264"/>
      <c r="FS28" s="264"/>
      <c r="FT28" s="264"/>
      <c r="FU28" s="264"/>
      <c r="FV28" s="265"/>
      <c r="FW28" s="263"/>
      <c r="FX28" s="264"/>
      <c r="FY28" s="264"/>
      <c r="FZ28" s="264"/>
      <c r="GA28" s="264"/>
      <c r="GB28" s="264"/>
      <c r="GC28" s="264"/>
      <c r="GD28" s="264"/>
      <c r="GE28" s="264"/>
      <c r="GF28" s="264"/>
      <c r="GG28" s="264"/>
      <c r="GH28" s="264"/>
      <c r="GI28" s="264"/>
      <c r="GJ28" s="264"/>
      <c r="GK28" s="265"/>
      <c r="GL28" s="263"/>
      <c r="GM28" s="264"/>
      <c r="GN28" s="264"/>
      <c r="GO28" s="264"/>
      <c r="GP28" s="264"/>
      <c r="GQ28" s="264"/>
      <c r="GR28" s="264"/>
      <c r="GS28" s="264"/>
      <c r="GT28" s="264"/>
      <c r="GU28" s="264"/>
      <c r="GV28" s="264"/>
      <c r="GW28" s="264"/>
      <c r="GX28" s="264"/>
      <c r="GY28" s="264"/>
      <c r="GZ28" s="265"/>
      <c r="HA28" s="263"/>
      <c r="HB28" s="264"/>
      <c r="HC28" s="264"/>
      <c r="HD28" s="264"/>
      <c r="HE28" s="264"/>
      <c r="HF28" s="264"/>
      <c r="HG28" s="264"/>
      <c r="HH28" s="264"/>
      <c r="HI28" s="264"/>
      <c r="HJ28" s="264"/>
      <c r="HK28" s="264"/>
      <c r="HL28" s="264"/>
      <c r="HM28" s="264"/>
      <c r="HN28" s="264"/>
      <c r="HO28" s="265"/>
      <c r="HP28" s="263"/>
      <c r="HQ28" s="264"/>
      <c r="HR28" s="264"/>
      <c r="HS28" s="264"/>
      <c r="HT28" s="264"/>
      <c r="HU28" s="264"/>
      <c r="HV28" s="264"/>
      <c r="HW28" s="264"/>
      <c r="HX28" s="264"/>
      <c r="HY28" s="264"/>
      <c r="HZ28" s="264"/>
      <c r="IA28" s="264"/>
      <c r="IB28" s="264"/>
      <c r="IC28" s="264"/>
      <c r="ID28" s="265"/>
      <c r="IE28" s="263"/>
      <c r="IF28" s="264"/>
      <c r="IG28" s="264"/>
      <c r="IH28" s="264"/>
      <c r="II28" s="264"/>
      <c r="IJ28" s="264"/>
      <c r="IK28" s="264"/>
      <c r="IL28" s="264"/>
      <c r="IM28" s="264"/>
      <c r="IN28" s="264"/>
      <c r="IO28" s="264"/>
      <c r="IP28" s="264"/>
      <c r="IQ28" s="264"/>
      <c r="IR28" s="264"/>
      <c r="IS28" s="265"/>
      <c r="IT28" s="8"/>
    </row>
    <row r="29" spans="1:254" s="4" customFormat="1" ht="15" customHeight="1" x14ac:dyDescent="0.25">
      <c r="A29" s="262" t="s">
        <v>94</v>
      </c>
      <c r="B29" s="258"/>
      <c r="C29" s="258"/>
      <c r="D29" s="258"/>
      <c r="E29" s="258"/>
      <c r="F29" s="258"/>
      <c r="G29" s="258"/>
      <c r="H29" s="258"/>
      <c r="I29" s="258"/>
      <c r="J29" s="258"/>
      <c r="K29" s="258"/>
      <c r="L29" s="258"/>
      <c r="M29" s="258"/>
      <c r="N29" s="258"/>
      <c r="O29" s="259"/>
      <c r="P29" s="264"/>
      <c r="Q29" s="264"/>
      <c r="R29" s="264"/>
      <c r="S29" s="264"/>
      <c r="T29" s="264"/>
      <c r="U29" s="264"/>
      <c r="V29" s="264"/>
      <c r="W29" s="264"/>
      <c r="X29" s="264"/>
      <c r="Y29" s="264"/>
      <c r="Z29" s="264"/>
      <c r="AA29" s="264"/>
      <c r="AB29" s="265"/>
      <c r="AC29" s="263"/>
      <c r="AD29" s="264"/>
      <c r="AE29" s="264"/>
      <c r="AF29" s="264"/>
      <c r="AG29" s="264"/>
      <c r="AH29" s="264"/>
      <c r="AI29" s="264"/>
      <c r="AJ29" s="264"/>
      <c r="AK29" s="264"/>
      <c r="AL29" s="264"/>
      <c r="AM29" s="264"/>
      <c r="AN29" s="264"/>
      <c r="AO29" s="264"/>
      <c r="AP29" s="264"/>
      <c r="AQ29" s="265"/>
      <c r="AR29" s="263"/>
      <c r="AS29" s="264"/>
      <c r="AT29" s="264"/>
      <c r="AU29" s="264"/>
      <c r="AV29" s="264"/>
      <c r="AW29" s="264"/>
      <c r="AX29" s="264"/>
      <c r="AY29" s="264"/>
      <c r="AZ29" s="264"/>
      <c r="BA29" s="264"/>
      <c r="BB29" s="264"/>
      <c r="BC29" s="264"/>
      <c r="BD29" s="264"/>
      <c r="BE29" s="264"/>
      <c r="BF29" s="265"/>
      <c r="BG29" s="263"/>
      <c r="BH29" s="264"/>
      <c r="BI29" s="264"/>
      <c r="BJ29" s="264"/>
      <c r="BK29" s="264"/>
      <c r="BL29" s="264"/>
      <c r="BM29" s="264"/>
      <c r="BN29" s="264"/>
      <c r="BO29" s="264"/>
      <c r="BP29" s="264"/>
      <c r="BQ29" s="264"/>
      <c r="BR29" s="264"/>
      <c r="BS29" s="264"/>
      <c r="BT29" s="264"/>
      <c r="BU29" s="265"/>
      <c r="BV29" s="263"/>
      <c r="BW29" s="264"/>
      <c r="BX29" s="264"/>
      <c r="BY29" s="264"/>
      <c r="BZ29" s="264"/>
      <c r="CA29" s="264"/>
      <c r="CB29" s="264"/>
      <c r="CC29" s="264"/>
      <c r="CD29" s="264"/>
      <c r="CE29" s="264"/>
      <c r="CF29" s="264"/>
      <c r="CG29" s="264"/>
      <c r="CH29" s="264"/>
      <c r="CI29" s="264"/>
      <c r="CJ29" s="265"/>
      <c r="CK29" s="263"/>
      <c r="CL29" s="264"/>
      <c r="CM29" s="264"/>
      <c r="CN29" s="264"/>
      <c r="CO29" s="264"/>
      <c r="CP29" s="264"/>
      <c r="CQ29" s="264"/>
      <c r="CR29" s="264"/>
      <c r="CS29" s="264"/>
      <c r="CT29" s="264"/>
      <c r="CU29" s="264"/>
      <c r="CV29" s="264"/>
      <c r="CW29" s="264"/>
      <c r="CX29" s="264"/>
      <c r="CY29" s="265"/>
      <c r="CZ29" s="263"/>
      <c r="DA29" s="264"/>
      <c r="DB29" s="264"/>
      <c r="DC29" s="264"/>
      <c r="DD29" s="264"/>
      <c r="DE29" s="264"/>
      <c r="DF29" s="264"/>
      <c r="DG29" s="264"/>
      <c r="DH29" s="264"/>
      <c r="DI29" s="264"/>
      <c r="DJ29" s="264"/>
      <c r="DK29" s="264"/>
      <c r="DL29" s="264"/>
      <c r="DM29" s="264"/>
      <c r="DN29" s="265"/>
      <c r="DO29" s="263"/>
      <c r="DP29" s="264"/>
      <c r="DQ29" s="264"/>
      <c r="DR29" s="264"/>
      <c r="DS29" s="264"/>
      <c r="DT29" s="264"/>
      <c r="DU29" s="264"/>
      <c r="DV29" s="264"/>
      <c r="DW29" s="264"/>
      <c r="DX29" s="264"/>
      <c r="DY29" s="264"/>
      <c r="DZ29" s="264"/>
      <c r="EA29" s="264"/>
      <c r="EB29" s="264"/>
      <c r="EC29" s="265"/>
      <c r="ED29" s="263"/>
      <c r="EE29" s="264"/>
      <c r="EF29" s="264"/>
      <c r="EG29" s="264"/>
      <c r="EH29" s="264"/>
      <c r="EI29" s="264"/>
      <c r="EJ29" s="264"/>
      <c r="EK29" s="264"/>
      <c r="EL29" s="264"/>
      <c r="EM29" s="264"/>
      <c r="EN29" s="264"/>
      <c r="EO29" s="264"/>
      <c r="EP29" s="264"/>
      <c r="EQ29" s="264"/>
      <c r="ER29" s="265"/>
      <c r="ES29" s="263"/>
      <c r="ET29" s="264"/>
      <c r="EU29" s="264"/>
      <c r="EV29" s="264"/>
      <c r="EW29" s="264"/>
      <c r="EX29" s="264"/>
      <c r="EY29" s="264"/>
      <c r="EZ29" s="264"/>
      <c r="FA29" s="264"/>
      <c r="FB29" s="264"/>
      <c r="FC29" s="264"/>
      <c r="FD29" s="264"/>
      <c r="FE29" s="264"/>
      <c r="FF29" s="264"/>
      <c r="FG29" s="265"/>
      <c r="FH29" s="263"/>
      <c r="FI29" s="264"/>
      <c r="FJ29" s="264"/>
      <c r="FK29" s="264"/>
      <c r="FL29" s="264"/>
      <c r="FM29" s="264"/>
      <c r="FN29" s="264"/>
      <c r="FO29" s="264"/>
      <c r="FP29" s="264"/>
      <c r="FQ29" s="264"/>
      <c r="FR29" s="264"/>
      <c r="FS29" s="264"/>
      <c r="FT29" s="264"/>
      <c r="FU29" s="264"/>
      <c r="FV29" s="265"/>
      <c r="FW29" s="263"/>
      <c r="FX29" s="264"/>
      <c r="FY29" s="264"/>
      <c r="FZ29" s="264"/>
      <c r="GA29" s="264"/>
      <c r="GB29" s="264"/>
      <c r="GC29" s="264"/>
      <c r="GD29" s="264"/>
      <c r="GE29" s="264"/>
      <c r="GF29" s="264"/>
      <c r="GG29" s="264"/>
      <c r="GH29" s="264"/>
      <c r="GI29" s="264"/>
      <c r="GJ29" s="264"/>
      <c r="GK29" s="265"/>
      <c r="GL29" s="263"/>
      <c r="GM29" s="264"/>
      <c r="GN29" s="264"/>
      <c r="GO29" s="264"/>
      <c r="GP29" s="264"/>
      <c r="GQ29" s="264"/>
      <c r="GR29" s="264"/>
      <c r="GS29" s="264"/>
      <c r="GT29" s="264"/>
      <c r="GU29" s="264"/>
      <c r="GV29" s="264"/>
      <c r="GW29" s="264"/>
      <c r="GX29" s="264"/>
      <c r="GY29" s="264"/>
      <c r="GZ29" s="265"/>
      <c r="HA29" s="263"/>
      <c r="HB29" s="264"/>
      <c r="HC29" s="264"/>
      <c r="HD29" s="264"/>
      <c r="HE29" s="264"/>
      <c r="HF29" s="264"/>
      <c r="HG29" s="264"/>
      <c r="HH29" s="264"/>
      <c r="HI29" s="264"/>
      <c r="HJ29" s="264"/>
      <c r="HK29" s="264"/>
      <c r="HL29" s="264"/>
      <c r="HM29" s="264"/>
      <c r="HN29" s="264"/>
      <c r="HO29" s="265"/>
      <c r="HP29" s="263"/>
      <c r="HQ29" s="264"/>
      <c r="HR29" s="264"/>
      <c r="HS29" s="264"/>
      <c r="HT29" s="264"/>
      <c r="HU29" s="264"/>
      <c r="HV29" s="264"/>
      <c r="HW29" s="264"/>
      <c r="HX29" s="264"/>
      <c r="HY29" s="264"/>
      <c r="HZ29" s="264"/>
      <c r="IA29" s="264"/>
      <c r="IB29" s="264"/>
      <c r="IC29" s="264"/>
      <c r="ID29" s="265"/>
      <c r="IE29" s="263"/>
      <c r="IF29" s="264"/>
      <c r="IG29" s="264"/>
      <c r="IH29" s="264"/>
      <c r="II29" s="264"/>
      <c r="IJ29" s="264"/>
      <c r="IK29" s="264"/>
      <c r="IL29" s="264"/>
      <c r="IM29" s="264"/>
      <c r="IN29" s="264"/>
      <c r="IO29" s="264"/>
      <c r="IP29" s="264"/>
      <c r="IQ29" s="264"/>
      <c r="IR29" s="264"/>
      <c r="IS29" s="265"/>
      <c r="IT29" s="8"/>
    </row>
    <row r="30" spans="1:254" s="4" customFormat="1" ht="30" customHeight="1" x14ac:dyDescent="0.25">
      <c r="A30" s="262" t="s">
        <v>6</v>
      </c>
      <c r="B30" s="258"/>
      <c r="C30" s="258"/>
      <c r="D30" s="258"/>
      <c r="E30" s="258"/>
      <c r="F30" s="258"/>
      <c r="G30" s="258"/>
      <c r="H30" s="258"/>
      <c r="I30" s="258"/>
      <c r="J30" s="258"/>
      <c r="K30" s="258"/>
      <c r="L30" s="258"/>
      <c r="M30" s="258"/>
      <c r="N30" s="258"/>
      <c r="O30" s="259"/>
      <c r="P30" s="264"/>
      <c r="Q30" s="264"/>
      <c r="R30" s="264"/>
      <c r="S30" s="264"/>
      <c r="T30" s="264"/>
      <c r="U30" s="264"/>
      <c r="V30" s="264"/>
      <c r="W30" s="264"/>
      <c r="X30" s="264"/>
      <c r="Y30" s="264"/>
      <c r="Z30" s="264"/>
      <c r="AA30" s="264"/>
      <c r="AB30" s="265"/>
      <c r="AC30" s="263"/>
      <c r="AD30" s="264"/>
      <c r="AE30" s="264"/>
      <c r="AF30" s="264"/>
      <c r="AG30" s="264"/>
      <c r="AH30" s="264"/>
      <c r="AI30" s="264"/>
      <c r="AJ30" s="264"/>
      <c r="AK30" s="264"/>
      <c r="AL30" s="264"/>
      <c r="AM30" s="264"/>
      <c r="AN30" s="264"/>
      <c r="AO30" s="264"/>
      <c r="AP30" s="264"/>
      <c r="AQ30" s="265"/>
      <c r="AR30" s="263"/>
      <c r="AS30" s="264"/>
      <c r="AT30" s="264"/>
      <c r="AU30" s="264"/>
      <c r="AV30" s="264"/>
      <c r="AW30" s="264"/>
      <c r="AX30" s="264"/>
      <c r="AY30" s="264"/>
      <c r="AZ30" s="264"/>
      <c r="BA30" s="264"/>
      <c r="BB30" s="264"/>
      <c r="BC30" s="264"/>
      <c r="BD30" s="264"/>
      <c r="BE30" s="264"/>
      <c r="BF30" s="265"/>
      <c r="BG30" s="263"/>
      <c r="BH30" s="264"/>
      <c r="BI30" s="264"/>
      <c r="BJ30" s="264"/>
      <c r="BK30" s="264"/>
      <c r="BL30" s="264"/>
      <c r="BM30" s="264"/>
      <c r="BN30" s="264"/>
      <c r="BO30" s="264"/>
      <c r="BP30" s="264"/>
      <c r="BQ30" s="264"/>
      <c r="BR30" s="264"/>
      <c r="BS30" s="264"/>
      <c r="BT30" s="264"/>
      <c r="BU30" s="265"/>
      <c r="BV30" s="263"/>
      <c r="BW30" s="264"/>
      <c r="BX30" s="264"/>
      <c r="BY30" s="264"/>
      <c r="BZ30" s="264"/>
      <c r="CA30" s="264"/>
      <c r="CB30" s="264"/>
      <c r="CC30" s="264"/>
      <c r="CD30" s="264"/>
      <c r="CE30" s="264"/>
      <c r="CF30" s="264"/>
      <c r="CG30" s="264"/>
      <c r="CH30" s="264"/>
      <c r="CI30" s="264"/>
      <c r="CJ30" s="265"/>
      <c r="CK30" s="263"/>
      <c r="CL30" s="264"/>
      <c r="CM30" s="264"/>
      <c r="CN30" s="264"/>
      <c r="CO30" s="264"/>
      <c r="CP30" s="264"/>
      <c r="CQ30" s="264"/>
      <c r="CR30" s="264"/>
      <c r="CS30" s="264"/>
      <c r="CT30" s="264"/>
      <c r="CU30" s="264"/>
      <c r="CV30" s="264"/>
      <c r="CW30" s="264"/>
      <c r="CX30" s="264"/>
      <c r="CY30" s="265"/>
      <c r="CZ30" s="263"/>
      <c r="DA30" s="264"/>
      <c r="DB30" s="264"/>
      <c r="DC30" s="264"/>
      <c r="DD30" s="264"/>
      <c r="DE30" s="264"/>
      <c r="DF30" s="264"/>
      <c r="DG30" s="264"/>
      <c r="DH30" s="264"/>
      <c r="DI30" s="264"/>
      <c r="DJ30" s="264"/>
      <c r="DK30" s="264"/>
      <c r="DL30" s="264"/>
      <c r="DM30" s="264"/>
      <c r="DN30" s="265"/>
      <c r="DO30" s="263"/>
      <c r="DP30" s="264"/>
      <c r="DQ30" s="264"/>
      <c r="DR30" s="264"/>
      <c r="DS30" s="264"/>
      <c r="DT30" s="264"/>
      <c r="DU30" s="264"/>
      <c r="DV30" s="264"/>
      <c r="DW30" s="264"/>
      <c r="DX30" s="264"/>
      <c r="DY30" s="264"/>
      <c r="DZ30" s="264"/>
      <c r="EA30" s="264"/>
      <c r="EB30" s="264"/>
      <c r="EC30" s="265"/>
      <c r="ED30" s="263"/>
      <c r="EE30" s="264"/>
      <c r="EF30" s="264"/>
      <c r="EG30" s="264"/>
      <c r="EH30" s="264"/>
      <c r="EI30" s="264"/>
      <c r="EJ30" s="264"/>
      <c r="EK30" s="264"/>
      <c r="EL30" s="264"/>
      <c r="EM30" s="264"/>
      <c r="EN30" s="264"/>
      <c r="EO30" s="264"/>
      <c r="EP30" s="264"/>
      <c r="EQ30" s="264"/>
      <c r="ER30" s="265"/>
      <c r="ES30" s="263"/>
      <c r="ET30" s="264"/>
      <c r="EU30" s="264"/>
      <c r="EV30" s="264"/>
      <c r="EW30" s="264"/>
      <c r="EX30" s="264"/>
      <c r="EY30" s="264"/>
      <c r="EZ30" s="264"/>
      <c r="FA30" s="264"/>
      <c r="FB30" s="264"/>
      <c r="FC30" s="264"/>
      <c r="FD30" s="264"/>
      <c r="FE30" s="264"/>
      <c r="FF30" s="264"/>
      <c r="FG30" s="265"/>
      <c r="FH30" s="263"/>
      <c r="FI30" s="264"/>
      <c r="FJ30" s="264"/>
      <c r="FK30" s="264"/>
      <c r="FL30" s="264"/>
      <c r="FM30" s="264"/>
      <c r="FN30" s="264"/>
      <c r="FO30" s="264"/>
      <c r="FP30" s="264"/>
      <c r="FQ30" s="264"/>
      <c r="FR30" s="264"/>
      <c r="FS30" s="264"/>
      <c r="FT30" s="264"/>
      <c r="FU30" s="264"/>
      <c r="FV30" s="265"/>
      <c r="FW30" s="263"/>
      <c r="FX30" s="264"/>
      <c r="FY30" s="264"/>
      <c r="FZ30" s="264"/>
      <c r="GA30" s="264"/>
      <c r="GB30" s="264"/>
      <c r="GC30" s="264"/>
      <c r="GD30" s="264"/>
      <c r="GE30" s="264"/>
      <c r="GF30" s="264"/>
      <c r="GG30" s="264"/>
      <c r="GH30" s="264"/>
      <c r="GI30" s="264"/>
      <c r="GJ30" s="264"/>
      <c r="GK30" s="265"/>
      <c r="GL30" s="263"/>
      <c r="GM30" s="264"/>
      <c r="GN30" s="264"/>
      <c r="GO30" s="264"/>
      <c r="GP30" s="264"/>
      <c r="GQ30" s="264"/>
      <c r="GR30" s="264"/>
      <c r="GS30" s="264"/>
      <c r="GT30" s="264"/>
      <c r="GU30" s="264"/>
      <c r="GV30" s="264"/>
      <c r="GW30" s="264"/>
      <c r="GX30" s="264"/>
      <c r="GY30" s="264"/>
      <c r="GZ30" s="265"/>
      <c r="HA30" s="263"/>
      <c r="HB30" s="264"/>
      <c r="HC30" s="264"/>
      <c r="HD30" s="264"/>
      <c r="HE30" s="264"/>
      <c r="HF30" s="264"/>
      <c r="HG30" s="264"/>
      <c r="HH30" s="264"/>
      <c r="HI30" s="264"/>
      <c r="HJ30" s="264"/>
      <c r="HK30" s="264"/>
      <c r="HL30" s="264"/>
      <c r="HM30" s="264"/>
      <c r="HN30" s="264"/>
      <c r="HO30" s="265"/>
      <c r="HP30" s="263"/>
      <c r="HQ30" s="264"/>
      <c r="HR30" s="264"/>
      <c r="HS30" s="264"/>
      <c r="HT30" s="264"/>
      <c r="HU30" s="264"/>
      <c r="HV30" s="264"/>
      <c r="HW30" s="264"/>
      <c r="HX30" s="264"/>
      <c r="HY30" s="264"/>
      <c r="HZ30" s="264"/>
      <c r="IA30" s="264"/>
      <c r="IB30" s="264"/>
      <c r="IC30" s="264"/>
      <c r="ID30" s="265"/>
      <c r="IE30" s="263"/>
      <c r="IF30" s="264"/>
      <c r="IG30" s="264"/>
      <c r="IH30" s="264"/>
      <c r="II30" s="264"/>
      <c r="IJ30" s="264"/>
      <c r="IK30" s="264"/>
      <c r="IL30" s="264"/>
      <c r="IM30" s="264"/>
      <c r="IN30" s="264"/>
      <c r="IO30" s="264"/>
      <c r="IP30" s="264"/>
      <c r="IQ30" s="264"/>
      <c r="IR30" s="264"/>
      <c r="IS30" s="265"/>
      <c r="IT30" s="8"/>
    </row>
    <row r="31" spans="1:254" s="77" customFormat="1" x14ac:dyDescent="0.25">
      <c r="A31" s="262" t="s">
        <v>95</v>
      </c>
      <c r="B31" s="258"/>
      <c r="C31" s="258"/>
      <c r="D31" s="258"/>
      <c r="E31" s="258"/>
      <c r="F31" s="258"/>
      <c r="G31" s="258"/>
      <c r="H31" s="258"/>
      <c r="I31" s="258"/>
      <c r="J31" s="258"/>
      <c r="K31" s="258"/>
      <c r="L31" s="258"/>
      <c r="M31" s="258"/>
      <c r="N31" s="258"/>
      <c r="O31" s="259"/>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row>
    <row r="32" spans="1:254" s="48" customFormat="1" ht="15" customHeight="1" x14ac:dyDescent="0.25">
      <c r="A32" s="262" t="s">
        <v>643</v>
      </c>
      <c r="B32" s="258"/>
      <c r="C32" s="258"/>
      <c r="D32" s="258"/>
      <c r="E32" s="258"/>
      <c r="F32" s="258"/>
      <c r="G32" s="258"/>
      <c r="H32" s="258"/>
      <c r="I32" s="258"/>
      <c r="J32" s="258"/>
      <c r="K32" s="258"/>
      <c r="L32" s="258"/>
      <c r="M32" s="258"/>
      <c r="N32" s="258"/>
      <c r="O32" s="259"/>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row>
    <row r="33" spans="1:15" s="2" customFormat="1" x14ac:dyDescent="0.25">
      <c r="A33" s="246"/>
      <c r="B33" s="247"/>
      <c r="C33" s="247"/>
      <c r="D33" s="247"/>
      <c r="E33" s="247"/>
      <c r="F33" s="247"/>
      <c r="G33" s="247"/>
      <c r="H33" s="247"/>
      <c r="I33" s="247"/>
      <c r="J33" s="247"/>
      <c r="K33" s="247"/>
      <c r="L33" s="247"/>
      <c r="M33" s="247"/>
      <c r="N33" s="247"/>
      <c r="O33" s="248"/>
    </row>
    <row r="34" spans="1:15" s="2" customFormat="1" ht="23.25" customHeight="1" x14ac:dyDescent="0.25">
      <c r="A34" s="255" t="s">
        <v>30</v>
      </c>
      <c r="B34" s="256"/>
      <c r="C34" s="256"/>
      <c r="D34" s="256"/>
      <c r="E34" s="256"/>
      <c r="F34" s="256"/>
      <c r="G34" s="256"/>
      <c r="H34" s="256"/>
      <c r="I34" s="256"/>
      <c r="J34" s="256"/>
      <c r="K34" s="256"/>
      <c r="L34" s="256"/>
      <c r="M34" s="256"/>
      <c r="N34" s="256"/>
      <c r="O34" s="257"/>
    </row>
    <row r="35" spans="1:15" s="2" customFormat="1" x14ac:dyDescent="0.25">
      <c r="A35" s="252" t="s">
        <v>640</v>
      </c>
      <c r="B35" s="258" t="s">
        <v>644</v>
      </c>
      <c r="C35" s="258"/>
      <c r="D35" s="258"/>
      <c r="E35" s="258"/>
      <c r="F35" s="258"/>
      <c r="G35" s="258"/>
      <c r="H35" s="258"/>
      <c r="I35" s="258"/>
      <c r="J35" s="258"/>
      <c r="K35" s="258"/>
      <c r="L35" s="258"/>
      <c r="M35" s="258"/>
      <c r="N35" s="258"/>
      <c r="O35" s="259"/>
    </row>
    <row r="36" spans="1:15" s="2" customFormat="1" ht="15" customHeight="1" x14ac:dyDescent="0.25">
      <c r="A36" s="252" t="s">
        <v>330</v>
      </c>
      <c r="B36" s="258" t="s">
        <v>331</v>
      </c>
      <c r="C36" s="258"/>
      <c r="D36" s="258"/>
      <c r="E36" s="258"/>
      <c r="F36" s="258"/>
      <c r="G36" s="258"/>
      <c r="H36" s="258"/>
      <c r="I36" s="258"/>
      <c r="J36" s="258"/>
      <c r="K36" s="258"/>
      <c r="L36" s="258"/>
      <c r="M36" s="258"/>
      <c r="N36" s="258"/>
      <c r="O36" s="259"/>
    </row>
    <row r="37" spans="1:15" s="2" customFormat="1" x14ac:dyDescent="0.25">
      <c r="A37" s="252" t="s">
        <v>8</v>
      </c>
      <c r="B37" s="258" t="s">
        <v>47</v>
      </c>
      <c r="C37" s="258"/>
      <c r="D37" s="258"/>
      <c r="E37" s="258"/>
      <c r="F37" s="258"/>
      <c r="G37" s="258"/>
      <c r="H37" s="258"/>
      <c r="I37" s="258"/>
      <c r="J37" s="258"/>
      <c r="K37" s="258"/>
      <c r="L37" s="258"/>
      <c r="M37" s="258"/>
      <c r="N37" s="258"/>
      <c r="O37" s="259"/>
    </row>
    <row r="38" spans="1:15" s="75" customFormat="1" ht="15" customHeight="1" x14ac:dyDescent="0.25">
      <c r="A38" s="252" t="s">
        <v>306</v>
      </c>
      <c r="B38" s="258" t="s">
        <v>307</v>
      </c>
      <c r="C38" s="258"/>
      <c r="D38" s="258"/>
      <c r="E38" s="258"/>
      <c r="F38" s="258"/>
      <c r="G38" s="258"/>
      <c r="H38" s="258"/>
      <c r="I38" s="258"/>
      <c r="J38" s="258"/>
      <c r="K38" s="258"/>
      <c r="L38" s="258"/>
      <c r="M38" s="258"/>
      <c r="N38" s="258"/>
      <c r="O38" s="259"/>
    </row>
    <row r="39" spans="1:15" s="2" customFormat="1" x14ac:dyDescent="0.25">
      <c r="A39" s="252" t="s">
        <v>7</v>
      </c>
      <c r="B39" s="258" t="s">
        <v>48</v>
      </c>
      <c r="C39" s="258"/>
      <c r="D39" s="258"/>
      <c r="E39" s="258"/>
      <c r="F39" s="258"/>
      <c r="G39" s="258"/>
      <c r="H39" s="258"/>
      <c r="I39" s="258"/>
      <c r="J39" s="258"/>
      <c r="K39" s="258"/>
      <c r="L39" s="258"/>
      <c r="M39" s="258"/>
      <c r="N39" s="258"/>
      <c r="O39" s="259"/>
    </row>
    <row r="40" spans="1:15" s="2" customFormat="1" ht="15" customHeight="1" x14ac:dyDescent="0.25">
      <c r="A40" s="252" t="s">
        <v>9</v>
      </c>
      <c r="B40" s="258" t="s">
        <v>73</v>
      </c>
      <c r="C40" s="258"/>
      <c r="D40" s="258"/>
      <c r="E40" s="258"/>
      <c r="F40" s="258"/>
      <c r="G40" s="258"/>
      <c r="H40" s="258"/>
      <c r="I40" s="258"/>
      <c r="J40" s="258"/>
      <c r="K40" s="258"/>
      <c r="L40" s="258"/>
      <c r="M40" s="258"/>
      <c r="N40" s="258"/>
      <c r="O40" s="259"/>
    </row>
    <row r="41" spans="1:15" s="75" customFormat="1" x14ac:dyDescent="0.25">
      <c r="A41" s="253" t="s">
        <v>29</v>
      </c>
      <c r="B41" s="260" t="s">
        <v>72</v>
      </c>
      <c r="C41" s="260"/>
      <c r="D41" s="260"/>
      <c r="E41" s="260"/>
      <c r="F41" s="260"/>
      <c r="G41" s="260"/>
      <c r="H41" s="260"/>
      <c r="I41" s="260"/>
      <c r="J41" s="260"/>
      <c r="K41" s="260"/>
      <c r="L41" s="260"/>
      <c r="M41" s="260"/>
      <c r="N41" s="260"/>
      <c r="O41" s="26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sheetData>
  <sheetProtection password="CD36" sheet="1" objects="1" scenarios="1"/>
  <mergeCells count="128">
    <mergeCell ref="A2:O2"/>
    <mergeCell ref="A28:O28"/>
    <mergeCell ref="A29:O29"/>
    <mergeCell ref="A30:O30"/>
    <mergeCell ref="A3:O3"/>
    <mergeCell ref="A8:O8"/>
    <mergeCell ref="A13:O13"/>
    <mergeCell ref="A22:O22"/>
    <mergeCell ref="A23:O23"/>
    <mergeCell ref="A11:O11"/>
    <mergeCell ref="A4:O4"/>
    <mergeCell ref="A5:O5"/>
    <mergeCell ref="A27:O27"/>
    <mergeCell ref="A25:O25"/>
    <mergeCell ref="A24:O24"/>
    <mergeCell ref="A9:O10"/>
    <mergeCell ref="A14:O14"/>
    <mergeCell ref="B17:O17"/>
    <mergeCell ref="A6:O6"/>
    <mergeCell ref="HP9:ID9"/>
    <mergeCell ref="IE9:IS9"/>
    <mergeCell ref="FW14:GK14"/>
    <mergeCell ref="GL14:GZ14"/>
    <mergeCell ref="HA14:HO14"/>
    <mergeCell ref="HP14:ID14"/>
    <mergeCell ref="IE14:IS14"/>
    <mergeCell ref="FW9:GK9"/>
    <mergeCell ref="GL9:GZ9"/>
    <mergeCell ref="FH9:FV9"/>
    <mergeCell ref="FH14:FV14"/>
    <mergeCell ref="HA9:HO9"/>
    <mergeCell ref="P14:AB14"/>
    <mergeCell ref="ED14:ER14"/>
    <mergeCell ref="ES14:FG14"/>
    <mergeCell ref="AC14:AQ14"/>
    <mergeCell ref="AR14:BF14"/>
    <mergeCell ref="BG14:BU14"/>
    <mergeCell ref="ED9:ER9"/>
    <mergeCell ref="BV14:CJ14"/>
    <mergeCell ref="CZ9:DN9"/>
    <mergeCell ref="DO9:EC9"/>
    <mergeCell ref="CK14:CY14"/>
    <mergeCell ref="ES9:FG9"/>
    <mergeCell ref="P9:AB9"/>
    <mergeCell ref="AC9:AQ9"/>
    <mergeCell ref="AR9:BF9"/>
    <mergeCell ref="BG9:BU9"/>
    <mergeCell ref="BV9:CJ9"/>
    <mergeCell ref="CK9:CY9"/>
    <mergeCell ref="CZ14:DN14"/>
    <mergeCell ref="DO14:EC14"/>
    <mergeCell ref="HP29:ID29"/>
    <mergeCell ref="IE23:IS23"/>
    <mergeCell ref="GL28:GZ28"/>
    <mergeCell ref="HA28:HO28"/>
    <mergeCell ref="HP28:ID28"/>
    <mergeCell ref="IE28:IS28"/>
    <mergeCell ref="GL23:GZ23"/>
    <mergeCell ref="CZ23:DN23"/>
    <mergeCell ref="DO23:EC23"/>
    <mergeCell ref="ED23:ER23"/>
    <mergeCell ref="ES23:FG23"/>
    <mergeCell ref="FH23:FV23"/>
    <mergeCell ref="FW23:GK23"/>
    <mergeCell ref="IE29:IS29"/>
    <mergeCell ref="HA29:HO29"/>
    <mergeCell ref="GL30:GZ30"/>
    <mergeCell ref="HA30:HO30"/>
    <mergeCell ref="HP30:ID30"/>
    <mergeCell ref="IE30:IS30"/>
    <mergeCell ref="FW29:GK29"/>
    <mergeCell ref="GL29:GZ29"/>
    <mergeCell ref="B15:O15"/>
    <mergeCell ref="B18:O18"/>
    <mergeCell ref="FH28:FV28"/>
    <mergeCell ref="CZ29:DN29"/>
    <mergeCell ref="AR23:BF23"/>
    <mergeCell ref="BG29:BU29"/>
    <mergeCell ref="CZ30:DN30"/>
    <mergeCell ref="DO30:EC30"/>
    <mergeCell ref="ED30:ER30"/>
    <mergeCell ref="ES30:FG30"/>
    <mergeCell ref="CK23:CY23"/>
    <mergeCell ref="BV23:CJ23"/>
    <mergeCell ref="P23:AB23"/>
    <mergeCell ref="AC23:AQ23"/>
    <mergeCell ref="FH30:FV30"/>
    <mergeCell ref="HA23:HO23"/>
    <mergeCell ref="B16:O16"/>
    <mergeCell ref="HP23:ID23"/>
    <mergeCell ref="BG23:BU23"/>
    <mergeCell ref="CK29:CY29"/>
    <mergeCell ref="CK30:CY30"/>
    <mergeCell ref="P29:AB29"/>
    <mergeCell ref="AC29:AQ29"/>
    <mergeCell ref="AR29:BF29"/>
    <mergeCell ref="FW28:GK28"/>
    <mergeCell ref="CZ28:DN28"/>
    <mergeCell ref="DO28:EC28"/>
    <mergeCell ref="ED28:ER28"/>
    <mergeCell ref="ES28:FG28"/>
    <mergeCell ref="DO29:EC29"/>
    <mergeCell ref="ED29:ER29"/>
    <mergeCell ref="ES29:FG29"/>
    <mergeCell ref="FH29:FV29"/>
    <mergeCell ref="BV29:CJ29"/>
    <mergeCell ref="CK28:CY28"/>
    <mergeCell ref="FW30:GK30"/>
    <mergeCell ref="A34:O34"/>
    <mergeCell ref="B39:O39"/>
    <mergeCell ref="B36:O36"/>
    <mergeCell ref="B41:O41"/>
    <mergeCell ref="A31:O31"/>
    <mergeCell ref="BV30:CJ30"/>
    <mergeCell ref="A32:O32"/>
    <mergeCell ref="P28:AB28"/>
    <mergeCell ref="AC28:AQ28"/>
    <mergeCell ref="AR28:BF28"/>
    <mergeCell ref="BG28:BU28"/>
    <mergeCell ref="BV28:CJ28"/>
    <mergeCell ref="P30:AB30"/>
    <mergeCell ref="AC30:AQ30"/>
    <mergeCell ref="AR30:BF30"/>
    <mergeCell ref="BG30:BU30"/>
    <mergeCell ref="B38:O38"/>
    <mergeCell ref="B35:O35"/>
    <mergeCell ref="B37:O37"/>
    <mergeCell ref="B40:O40"/>
  </mergeCells>
  <hyperlinks>
    <hyperlink ref="A39" location="Summary!A1" display="Summary"/>
    <hyperlink ref="A38" location="Demand!A1" display="Demand"/>
    <hyperlink ref="A37" location="Capacity!A1" display="Capacity"/>
    <hyperlink ref="A40" location="Graphs!A1" display="Graphs"/>
    <hyperlink ref="A35" location="Demand!A1" display="Demand"/>
    <hyperlink ref="A41" location="Calculations!A1" display="Calculations"/>
    <hyperlink ref="A36" location="SPC!A1" display="SPC"/>
  </hyperlinks>
  <pageMargins left="0.39370078740157483" right="0.39370078740157483" top="1.5748031496062993" bottom="0.59055118110236227" header="0.59055118110236227" footer="0"/>
  <pageSetup paperSize="9" scale="99" fitToHeight="0" orientation="landscape" errors="blank" r:id="rId1"/>
  <headerFooter>
    <oddHeader>&amp;R&amp;G</oddHeader>
  </headerFooter>
  <rowBreaks count="1" manualBreakCount="1">
    <brk id="26"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784"/>
  <sheetViews>
    <sheetView showGridLines="0" showRowColHeaders="0" zoomScaleNormal="100" workbookViewId="0">
      <selection activeCell="D25" sqref="D25"/>
    </sheetView>
  </sheetViews>
  <sheetFormatPr defaultRowHeight="15" x14ac:dyDescent="0.25"/>
  <cols>
    <col min="1" max="2" width="8.28515625" style="49" customWidth="1"/>
    <col min="3" max="3" width="11.85546875" style="49" customWidth="1"/>
    <col min="4" max="5" width="10.28515625" style="49" customWidth="1"/>
    <col min="6" max="6" width="7.140625" style="49" bestFit="1" customWidth="1"/>
    <col min="7" max="7" width="11.42578125" style="77" customWidth="1"/>
    <col min="8" max="8" width="9.28515625" style="49" bestFit="1" customWidth="1"/>
    <col min="9" max="9" width="8.28515625" style="49" bestFit="1" customWidth="1"/>
    <col min="10" max="10" width="11.5703125" style="49" customWidth="1"/>
    <col min="11" max="11" width="9.28515625" style="49" customWidth="1"/>
    <col min="12" max="12" width="8.28515625" style="49" customWidth="1"/>
    <col min="13" max="14" width="13.42578125" style="49" customWidth="1"/>
    <col min="15" max="15" width="4.28515625" style="37" customWidth="1"/>
    <col min="16" max="16" width="8.28515625" style="37" customWidth="1"/>
    <col min="17" max="17" width="8" style="37" customWidth="1"/>
    <col min="18" max="18" width="8.28515625" style="37" customWidth="1"/>
    <col min="19" max="19" width="8.140625" style="37" customWidth="1"/>
    <col min="20" max="16384" width="9.140625" style="49"/>
  </cols>
  <sheetData>
    <row r="2" spans="1:19" ht="54" customHeight="1" x14ac:dyDescent="0.25">
      <c r="A2" s="281" t="str">
        <f>"Your Data - "&amp;ModelName</f>
        <v>Your Data - The NHS IMAS IST Cancer First Outpatients Demand &amp; Capacity Model</v>
      </c>
      <c r="B2" s="282"/>
      <c r="C2" s="282"/>
      <c r="D2" s="282"/>
      <c r="E2" s="282"/>
      <c r="F2" s="282"/>
      <c r="G2" s="282"/>
      <c r="H2" s="282"/>
      <c r="I2" s="282"/>
      <c r="J2" s="282"/>
      <c r="K2" s="282"/>
      <c r="L2" s="282"/>
      <c r="M2" s="282"/>
      <c r="N2" s="282"/>
      <c r="O2" s="283"/>
      <c r="P2" s="99"/>
      <c r="Q2" s="99"/>
      <c r="R2" s="99"/>
      <c r="S2" s="99"/>
    </row>
    <row r="3" spans="1:19" s="2" customFormat="1" ht="23.25" customHeight="1" x14ac:dyDescent="0.25">
      <c r="A3" s="298" t="s">
        <v>63</v>
      </c>
      <c r="B3" s="299"/>
      <c r="C3" s="299"/>
      <c r="D3" s="299"/>
      <c r="E3" s="299"/>
      <c r="F3" s="299"/>
      <c r="G3" s="299"/>
      <c r="H3" s="299"/>
      <c r="I3" s="299"/>
      <c r="J3" s="299"/>
      <c r="K3" s="299"/>
      <c r="L3" s="299"/>
      <c r="M3" s="299"/>
      <c r="N3" s="299"/>
      <c r="O3" s="299"/>
      <c r="P3" s="100"/>
      <c r="Q3" s="100"/>
      <c r="R3" s="100"/>
      <c r="S3" s="100"/>
    </row>
    <row r="4" spans="1:19" s="77" customFormat="1" ht="15.75" thickBot="1" x14ac:dyDescent="0.3">
      <c r="A4" s="71"/>
      <c r="J4" s="79"/>
      <c r="K4" s="79"/>
      <c r="L4" s="79"/>
      <c r="M4" s="79"/>
      <c r="N4" s="79"/>
      <c r="O4" s="37"/>
      <c r="P4" s="37"/>
      <c r="Q4" s="37"/>
      <c r="R4" s="37"/>
      <c r="S4" s="37"/>
    </row>
    <row r="5" spans="1:19" x14ac:dyDescent="0.25">
      <c r="A5" s="71"/>
      <c r="B5" s="82" t="s">
        <v>290</v>
      </c>
      <c r="C5" s="9"/>
      <c r="D5" s="9"/>
      <c r="E5" s="9"/>
      <c r="F5" s="9"/>
      <c r="G5" s="9"/>
      <c r="H5" s="9"/>
      <c r="J5" s="79"/>
      <c r="K5" s="292" t="s">
        <v>298</v>
      </c>
      <c r="L5" s="293"/>
      <c r="M5" s="294"/>
      <c r="N5" s="79"/>
    </row>
    <row r="6" spans="1:19" ht="15" customHeight="1" x14ac:dyDescent="0.25">
      <c r="A6" s="71"/>
      <c r="B6" s="300" t="s">
        <v>612</v>
      </c>
      <c r="C6" s="301"/>
      <c r="D6" s="301"/>
      <c r="E6" s="301"/>
      <c r="F6" s="301"/>
      <c r="G6" s="301"/>
      <c r="H6" s="302"/>
      <c r="J6" s="79"/>
      <c r="K6" s="295"/>
      <c r="L6" s="296"/>
      <c r="M6" s="297"/>
      <c r="N6" s="79"/>
    </row>
    <row r="7" spans="1:19" s="50" customFormat="1" x14ac:dyDescent="0.25">
      <c r="A7" s="71"/>
      <c r="B7" s="285" t="s">
        <v>291</v>
      </c>
      <c r="C7" s="285"/>
      <c r="D7" s="285"/>
      <c r="E7" s="285"/>
      <c r="F7" s="285"/>
      <c r="G7" s="285"/>
      <c r="H7" s="285"/>
      <c r="J7" s="79"/>
      <c r="K7" s="289">
        <v>0</v>
      </c>
      <c r="L7" s="290">
        <v>43</v>
      </c>
      <c r="M7" s="291"/>
      <c r="N7" s="79"/>
      <c r="O7" s="37"/>
      <c r="P7" s="37"/>
      <c r="Q7" s="37"/>
      <c r="R7" s="37"/>
      <c r="S7" s="37"/>
    </row>
    <row r="8" spans="1:19" ht="15.75" thickBot="1" x14ac:dyDescent="0.3">
      <c r="A8" s="71"/>
      <c r="B8" s="300" t="s">
        <v>613</v>
      </c>
      <c r="C8" s="301"/>
      <c r="D8" s="301"/>
      <c r="E8" s="301"/>
      <c r="F8" s="301"/>
      <c r="G8" s="301"/>
      <c r="H8" s="302"/>
      <c r="J8" s="77"/>
      <c r="K8" s="24"/>
      <c r="L8" s="40"/>
      <c r="M8" s="25"/>
      <c r="N8" s="77"/>
    </row>
    <row r="9" spans="1:19" s="103" customFormat="1" x14ac:dyDescent="0.25">
      <c r="A9" s="71"/>
      <c r="B9" s="104"/>
      <c r="C9" s="104"/>
      <c r="D9" s="104"/>
      <c r="E9" s="104"/>
      <c r="F9" s="104"/>
      <c r="G9" s="104"/>
      <c r="H9" s="104"/>
      <c r="O9" s="37"/>
      <c r="P9" s="37"/>
      <c r="Q9" s="37"/>
      <c r="R9" s="37"/>
      <c r="S9" s="37"/>
    </row>
    <row r="10" spans="1:19" s="103" customFormat="1" ht="15" customHeight="1" x14ac:dyDescent="0.25">
      <c r="A10" s="71"/>
      <c r="B10" s="287" t="s">
        <v>336</v>
      </c>
      <c r="C10" s="287"/>
      <c r="D10" s="287"/>
      <c r="E10" s="287"/>
      <c r="F10" s="287"/>
      <c r="G10" s="287"/>
      <c r="H10" s="287"/>
      <c r="I10" s="287"/>
      <c r="J10" s="287"/>
      <c r="K10" s="287"/>
      <c r="L10" s="287"/>
      <c r="M10" s="287"/>
      <c r="N10" s="287"/>
      <c r="O10" s="37"/>
      <c r="P10" s="37"/>
      <c r="Q10" s="37"/>
      <c r="R10" s="37"/>
      <c r="S10" s="37"/>
    </row>
    <row r="11" spans="1:19" s="103" customFormat="1" x14ac:dyDescent="0.25">
      <c r="A11" s="71"/>
      <c r="B11" s="286" t="s">
        <v>337</v>
      </c>
      <c r="C11" s="286"/>
      <c r="D11" s="286"/>
      <c r="E11" s="286"/>
      <c r="F11" s="286"/>
      <c r="G11" s="286"/>
      <c r="H11" s="286"/>
      <c r="I11" s="286"/>
      <c r="J11" s="286"/>
      <c r="K11" s="286"/>
      <c r="L11" s="286"/>
      <c r="M11" s="286"/>
      <c r="N11" s="286"/>
      <c r="O11" s="37"/>
      <c r="P11" s="37"/>
      <c r="Q11" s="37"/>
      <c r="R11" s="37"/>
      <c r="S11" s="37"/>
    </row>
    <row r="12" spans="1:19" s="50" customFormat="1" x14ac:dyDescent="0.25">
      <c r="A12" s="71"/>
      <c r="B12" s="286"/>
      <c r="C12" s="286"/>
      <c r="D12" s="286"/>
      <c r="E12" s="286"/>
      <c r="F12" s="286"/>
      <c r="G12" s="286"/>
      <c r="H12" s="286"/>
      <c r="I12" s="286"/>
      <c r="J12" s="286"/>
      <c r="K12" s="286"/>
      <c r="L12" s="286"/>
      <c r="M12" s="286"/>
      <c r="N12" s="286"/>
      <c r="O12" s="37"/>
      <c r="P12" s="37"/>
      <c r="Q12" s="37"/>
      <c r="R12" s="37"/>
      <c r="S12" s="37"/>
    </row>
    <row r="13" spans="1:19" s="50" customFormat="1" x14ac:dyDescent="0.25">
      <c r="A13" s="71"/>
      <c r="B13" s="284" t="s">
        <v>624</v>
      </c>
      <c r="C13" s="284"/>
      <c r="D13" s="284"/>
      <c r="E13" s="284"/>
      <c r="F13" s="284"/>
      <c r="G13" s="284"/>
      <c r="H13" s="284"/>
      <c r="J13" s="284" t="s">
        <v>297</v>
      </c>
      <c r="K13" s="284"/>
      <c r="L13" s="284"/>
      <c r="M13" s="284"/>
      <c r="N13" s="284"/>
      <c r="O13" s="37"/>
      <c r="P13" s="37"/>
      <c r="Q13" s="37"/>
      <c r="R13" s="37"/>
      <c r="S13" s="37"/>
    </row>
    <row r="14" spans="1:19" s="50" customFormat="1" x14ac:dyDescent="0.25">
      <c r="A14" s="71"/>
      <c r="B14" s="284"/>
      <c r="C14" s="284"/>
      <c r="D14" s="284"/>
      <c r="E14" s="284"/>
      <c r="F14" s="284"/>
      <c r="G14" s="284"/>
      <c r="H14" s="284"/>
      <c r="J14" s="284"/>
      <c r="K14" s="284"/>
      <c r="L14" s="284"/>
      <c r="M14" s="284"/>
      <c r="N14" s="284"/>
      <c r="O14" s="37"/>
      <c r="P14" s="37"/>
      <c r="Q14" s="37"/>
      <c r="R14" s="37"/>
      <c r="S14" s="37"/>
    </row>
    <row r="15" spans="1:19" s="50" customFormat="1" x14ac:dyDescent="0.25">
      <c r="A15" s="71"/>
      <c r="B15" s="284"/>
      <c r="C15" s="284"/>
      <c r="D15" s="284"/>
      <c r="E15" s="284"/>
      <c r="F15" s="284"/>
      <c r="G15" s="284"/>
      <c r="H15" s="284"/>
      <c r="J15" s="284"/>
      <c r="K15" s="284"/>
      <c r="L15" s="284"/>
      <c r="M15" s="284"/>
      <c r="N15" s="284"/>
      <c r="O15" s="37"/>
      <c r="P15" s="37"/>
      <c r="Q15" s="37"/>
      <c r="R15" s="37"/>
      <c r="S15" s="37"/>
    </row>
    <row r="16" spans="1:19" x14ac:dyDescent="0.25">
      <c r="A16" s="71"/>
      <c r="B16" s="284"/>
      <c r="C16" s="284"/>
      <c r="D16" s="284"/>
      <c r="E16" s="284"/>
      <c r="F16" s="284"/>
      <c r="G16" s="284"/>
      <c r="H16" s="284"/>
      <c r="J16" s="284"/>
      <c r="K16" s="284"/>
      <c r="L16" s="284"/>
      <c r="M16" s="284"/>
      <c r="N16" s="284"/>
    </row>
    <row r="17" spans="1:20" x14ac:dyDescent="0.25">
      <c r="A17" s="71"/>
      <c r="B17" s="284"/>
      <c r="C17" s="284"/>
      <c r="D17" s="284"/>
      <c r="E17" s="284"/>
      <c r="F17" s="284"/>
      <c r="G17" s="284"/>
      <c r="H17" s="284"/>
      <c r="J17" s="284"/>
      <c r="K17" s="284"/>
      <c r="L17" s="284"/>
      <c r="M17" s="284"/>
      <c r="N17" s="284"/>
    </row>
    <row r="18" spans="1:20" x14ac:dyDescent="0.25">
      <c r="A18" s="71"/>
      <c r="B18" s="284"/>
      <c r="C18" s="284"/>
      <c r="D18" s="284"/>
      <c r="E18" s="284"/>
      <c r="F18" s="284"/>
      <c r="G18" s="284"/>
      <c r="H18" s="284"/>
      <c r="J18" s="284"/>
      <c r="K18" s="284"/>
      <c r="L18" s="284"/>
      <c r="M18" s="284"/>
      <c r="N18" s="284"/>
    </row>
    <row r="19" spans="1:20" s="79" customFormat="1" x14ac:dyDescent="0.25">
      <c r="A19" s="71"/>
      <c r="B19" s="80"/>
      <c r="C19" s="80"/>
      <c r="D19" s="80"/>
      <c r="E19" s="80"/>
      <c r="F19" s="80"/>
      <c r="G19" s="80"/>
      <c r="H19" s="80"/>
      <c r="J19" s="284"/>
      <c r="K19" s="284"/>
      <c r="L19" s="284"/>
      <c r="M19" s="284"/>
      <c r="N19" s="284"/>
      <c r="O19" s="37"/>
      <c r="P19" s="37"/>
      <c r="Q19" s="37"/>
      <c r="R19" s="37"/>
      <c r="S19" s="37"/>
    </row>
    <row r="20" spans="1:20" s="79" customFormat="1" x14ac:dyDescent="0.25">
      <c r="A20" s="71"/>
      <c r="B20" s="80"/>
      <c r="C20" s="80"/>
      <c r="D20" s="80"/>
      <c r="E20" s="80"/>
      <c r="F20" s="80"/>
      <c r="G20" s="80"/>
      <c r="H20" s="80"/>
      <c r="J20" s="284"/>
      <c r="K20" s="284"/>
      <c r="L20" s="284"/>
      <c r="M20" s="284"/>
      <c r="N20" s="284"/>
      <c r="O20" s="37"/>
      <c r="P20" s="37"/>
      <c r="Q20" s="37"/>
      <c r="R20" s="37"/>
      <c r="S20" s="37"/>
    </row>
    <row r="21" spans="1:20" s="79" customFormat="1" ht="15" customHeight="1" x14ac:dyDescent="0.25">
      <c r="A21" s="71"/>
      <c r="B21" s="288" t="str">
        <f>IFERROR("Mean referrals per week: "&amp;TEXT(RefsPerWeek,"0.0"),"")</f>
        <v>Mean referrals per week: 0.0</v>
      </c>
      <c r="C21" s="288"/>
      <c r="D21" s="288"/>
      <c r="E21" s="288"/>
      <c r="F21" s="80"/>
      <c r="G21" s="80"/>
      <c r="H21" s="80"/>
      <c r="J21" s="284"/>
      <c r="K21" s="284"/>
      <c r="L21" s="284"/>
      <c r="M21" s="284"/>
      <c r="N21" s="284"/>
      <c r="O21" s="37"/>
      <c r="P21" s="37"/>
      <c r="Q21" s="37"/>
      <c r="R21" s="37"/>
      <c r="S21" s="37"/>
    </row>
    <row r="22" spans="1:20" s="79" customFormat="1" ht="15.75" customHeight="1" thickBot="1" x14ac:dyDescent="0.3">
      <c r="A22" s="71"/>
      <c r="B22" s="303" t="str">
        <f>IF(Split &gt; 0,"(Based on split at week "&amp;Split&amp;")","")</f>
        <v/>
      </c>
      <c r="C22" s="303"/>
      <c r="D22" s="303"/>
      <c r="E22" s="303"/>
      <c r="F22" s="303"/>
      <c r="G22" s="303"/>
      <c r="H22" s="303"/>
      <c r="J22" s="284"/>
      <c r="K22" s="284"/>
      <c r="L22" s="284"/>
      <c r="M22" s="284"/>
      <c r="N22" s="284"/>
      <c r="O22" s="37"/>
      <c r="P22" s="37"/>
      <c r="Q22" s="37"/>
      <c r="R22" s="37"/>
      <c r="S22" s="37"/>
    </row>
    <row r="23" spans="1:20" ht="15.75" thickBot="1" x14ac:dyDescent="0.3">
      <c r="A23" s="72"/>
      <c r="B23" s="279" t="s">
        <v>66</v>
      </c>
      <c r="C23" s="280"/>
      <c r="J23" s="78" t="s">
        <v>67</v>
      </c>
    </row>
    <row r="24" spans="1:20" ht="32.25" thickBot="1" x14ac:dyDescent="0.3">
      <c r="A24" s="72"/>
      <c r="B24" s="73" t="s">
        <v>58</v>
      </c>
      <c r="C24" s="74" t="s">
        <v>60</v>
      </c>
      <c r="D24" s="53" t="s">
        <v>625</v>
      </c>
      <c r="E24" s="6" t="s">
        <v>59</v>
      </c>
      <c r="F24" s="65"/>
      <c r="G24" s="65"/>
      <c r="H24" s="65"/>
      <c r="I24" s="65"/>
      <c r="J24" s="59" t="s">
        <v>61</v>
      </c>
      <c r="K24" s="6" t="s">
        <v>65</v>
      </c>
      <c r="L24" s="6" t="s">
        <v>626</v>
      </c>
      <c r="M24" s="53" t="s">
        <v>64</v>
      </c>
      <c r="N24" s="60" t="s">
        <v>62</v>
      </c>
    </row>
    <row r="25" spans="1:20" x14ac:dyDescent="0.25">
      <c r="A25" s="234">
        <f>IF(C25=0,0,B25)</f>
        <v>0</v>
      </c>
      <c r="B25" s="57">
        <f t="array" aca="1" ref="B25:B76" ca="1">ROW(INDIRECT("1:52"))</f>
        <v>1</v>
      </c>
      <c r="C25" s="61">
        <f t="array" ref="C25:C76">D25:D76+E25:E76</f>
        <v>0</v>
      </c>
      <c r="D25" s="168"/>
      <c r="E25" s="165"/>
      <c r="F25" s="66">
        <f t="array" ref="F25:F76" ca="1">IF(B25:B76=IF(Split=0,1,Split),-3,IF(B25:B76&gt;Split,(6/(ROWS(CalculatedRange)-1))+F24:F75,0))</f>
        <v>-3</v>
      </c>
      <c r="G25" s="67"/>
      <c r="H25" s="67" t="e">
        <f t="array" aca="1" ref="H25:H76" ca="1">F25:F76*Deviation+IF(Split=0,Mean,Mean2)</f>
        <v>#REF!</v>
      </c>
      <c r="I25" s="67" t="e">
        <f t="array" aca="1" ref="I25:I76" ca="1">NORMDIST(H25:H76,IF(Split=0,Mean,Mean2),Deviation,FALSE)</f>
        <v>#REF!</v>
      </c>
      <c r="J25" s="172"/>
      <c r="K25" s="174"/>
      <c r="L25" s="175"/>
      <c r="M25" s="176"/>
      <c r="N25" s="177"/>
      <c r="O25" s="37">
        <f t="array" ref="O25:O524">N25:N524-J25:J524-L25:L524</f>
        <v>0</v>
      </c>
      <c r="P25" s="101">
        <f t="array" aca="1" ref="P25:P45" ca="1">COUNTIF($O$25:$O$524,Q25:Q45)</f>
        <v>0</v>
      </c>
      <c r="Q25" s="37">
        <f t="array" aca="1" ref="Q25:Q45" ca="1">ROW(INDIRECT("1:21"))</f>
        <v>1</v>
      </c>
      <c r="R25" s="101">
        <f t="array" aca="1" ref="R25:R45" ca="1">IF($P$25:$P$45&gt;0,$Q$25:$Q$45,0)</f>
        <v>0</v>
      </c>
      <c r="T25" s="203"/>
    </row>
    <row r="26" spans="1:20" x14ac:dyDescent="0.25">
      <c r="A26" s="234">
        <f t="shared" ref="A26:A76" si="0">IF(C26=0,0,B26)</f>
        <v>0</v>
      </c>
      <c r="B26" s="58">
        <f ca="1"/>
        <v>2</v>
      </c>
      <c r="C26" s="55">
        <v>0</v>
      </c>
      <c r="D26" s="169"/>
      <c r="E26" s="166"/>
      <c r="F26" s="66" t="e">
        <f ca="1"/>
        <v>#REF!</v>
      </c>
      <c r="G26" s="67"/>
      <c r="H26" s="67" t="e">
        <f ca="1"/>
        <v>#REF!</v>
      </c>
      <c r="I26" s="67" t="e">
        <f ca="1"/>
        <v>#REF!</v>
      </c>
      <c r="J26" s="171"/>
      <c r="K26" s="178"/>
      <c r="L26" s="179"/>
      <c r="M26" s="180"/>
      <c r="N26" s="181"/>
      <c r="O26" s="37">
        <v>0</v>
      </c>
      <c r="P26" s="101">
        <f ca="1"/>
        <v>0</v>
      </c>
      <c r="Q26" s="37">
        <f ca="1"/>
        <v>2</v>
      </c>
      <c r="R26" s="101">
        <f ca="1"/>
        <v>0</v>
      </c>
    </row>
    <row r="27" spans="1:20" x14ac:dyDescent="0.25">
      <c r="A27" s="234">
        <f t="shared" si="0"/>
        <v>0</v>
      </c>
      <c r="B27" s="58">
        <f ca="1"/>
        <v>3</v>
      </c>
      <c r="C27" s="55">
        <v>0</v>
      </c>
      <c r="D27" s="169"/>
      <c r="E27" s="166"/>
      <c r="F27" s="66" t="e">
        <f ca="1"/>
        <v>#REF!</v>
      </c>
      <c r="G27" s="67"/>
      <c r="H27" s="67" t="e">
        <f ca="1"/>
        <v>#REF!</v>
      </c>
      <c r="I27" s="67" t="e">
        <f ca="1"/>
        <v>#REF!</v>
      </c>
      <c r="J27" s="171"/>
      <c r="K27" s="178"/>
      <c r="L27" s="179"/>
      <c r="M27" s="164"/>
      <c r="N27" s="181"/>
      <c r="O27" s="37">
        <v>0</v>
      </c>
      <c r="P27" s="101">
        <f ca="1"/>
        <v>0</v>
      </c>
      <c r="Q27" s="37">
        <f ca="1"/>
        <v>3</v>
      </c>
      <c r="R27" s="101">
        <f ca="1"/>
        <v>0</v>
      </c>
    </row>
    <row r="28" spans="1:20" x14ac:dyDescent="0.25">
      <c r="A28" s="234">
        <f t="shared" si="0"/>
        <v>0</v>
      </c>
      <c r="B28" s="58">
        <f ca="1"/>
        <v>4</v>
      </c>
      <c r="C28" s="55">
        <v>0</v>
      </c>
      <c r="D28" s="169"/>
      <c r="E28" s="166"/>
      <c r="F28" s="66" t="e">
        <f ca="1"/>
        <v>#REF!</v>
      </c>
      <c r="G28" s="67"/>
      <c r="H28" s="67" t="e">
        <f ca="1"/>
        <v>#REF!</v>
      </c>
      <c r="I28" s="67" t="e">
        <f ca="1"/>
        <v>#REF!</v>
      </c>
      <c r="J28" s="171"/>
      <c r="K28" s="178"/>
      <c r="L28" s="179"/>
      <c r="M28" s="180"/>
      <c r="N28" s="181"/>
      <c r="O28" s="37">
        <v>0</v>
      </c>
      <c r="P28" s="101">
        <f ca="1"/>
        <v>0</v>
      </c>
      <c r="Q28" s="37">
        <f ca="1"/>
        <v>4</v>
      </c>
      <c r="R28" s="101">
        <f ca="1"/>
        <v>0</v>
      </c>
    </row>
    <row r="29" spans="1:20" x14ac:dyDescent="0.25">
      <c r="A29" s="234">
        <f t="shared" si="0"/>
        <v>0</v>
      </c>
      <c r="B29" s="58">
        <f ca="1"/>
        <v>5</v>
      </c>
      <c r="C29" s="55">
        <v>0</v>
      </c>
      <c r="D29" s="169"/>
      <c r="E29" s="166"/>
      <c r="F29" s="66" t="e">
        <f ca="1"/>
        <v>#REF!</v>
      </c>
      <c r="G29" s="67"/>
      <c r="H29" s="67" t="e">
        <f ca="1"/>
        <v>#REF!</v>
      </c>
      <c r="I29" s="67" t="e">
        <f ca="1"/>
        <v>#REF!</v>
      </c>
      <c r="J29" s="171"/>
      <c r="K29" s="178"/>
      <c r="L29" s="179"/>
      <c r="M29" s="180"/>
      <c r="N29" s="181"/>
      <c r="O29" s="37">
        <v>0</v>
      </c>
      <c r="P29" s="101">
        <f ca="1"/>
        <v>0</v>
      </c>
      <c r="Q29" s="37">
        <f ca="1"/>
        <v>5</v>
      </c>
      <c r="R29" s="101">
        <f ca="1"/>
        <v>0</v>
      </c>
    </row>
    <row r="30" spans="1:20" x14ac:dyDescent="0.25">
      <c r="A30" s="234">
        <f t="shared" si="0"/>
        <v>0</v>
      </c>
      <c r="B30" s="58">
        <f ca="1"/>
        <v>6</v>
      </c>
      <c r="C30" s="55">
        <v>0</v>
      </c>
      <c r="D30" s="169"/>
      <c r="E30" s="166"/>
      <c r="F30" s="66" t="e">
        <f ca="1"/>
        <v>#REF!</v>
      </c>
      <c r="G30" s="67"/>
      <c r="H30" s="67" t="e">
        <f ca="1"/>
        <v>#REF!</v>
      </c>
      <c r="I30" s="67" t="e">
        <f ca="1"/>
        <v>#REF!</v>
      </c>
      <c r="J30" s="171"/>
      <c r="K30" s="178"/>
      <c r="L30" s="179"/>
      <c r="M30" s="188"/>
      <c r="N30" s="181"/>
      <c r="O30" s="37">
        <v>0</v>
      </c>
      <c r="P30" s="101">
        <f ca="1"/>
        <v>0</v>
      </c>
      <c r="Q30" s="37">
        <f ca="1"/>
        <v>6</v>
      </c>
      <c r="R30" s="101">
        <f ca="1"/>
        <v>0</v>
      </c>
    </row>
    <row r="31" spans="1:20" x14ac:dyDescent="0.25">
      <c r="A31" s="234">
        <f t="shared" si="0"/>
        <v>0</v>
      </c>
      <c r="B31" s="58">
        <f ca="1"/>
        <v>7</v>
      </c>
      <c r="C31" s="55">
        <v>0</v>
      </c>
      <c r="D31" s="169"/>
      <c r="E31" s="166"/>
      <c r="F31" s="66" t="e">
        <f ca="1"/>
        <v>#REF!</v>
      </c>
      <c r="G31" s="67"/>
      <c r="H31" s="67" t="e">
        <f ca="1"/>
        <v>#REF!</v>
      </c>
      <c r="I31" s="67" t="e">
        <f ca="1"/>
        <v>#REF!</v>
      </c>
      <c r="J31" s="171"/>
      <c r="K31" s="178"/>
      <c r="L31" s="179"/>
      <c r="M31" s="188"/>
      <c r="N31" s="181"/>
      <c r="O31" s="37">
        <v>0</v>
      </c>
      <c r="P31" s="101">
        <f ca="1"/>
        <v>0</v>
      </c>
      <c r="Q31" s="37">
        <f ca="1"/>
        <v>7</v>
      </c>
      <c r="R31" s="101">
        <f ca="1"/>
        <v>0</v>
      </c>
    </row>
    <row r="32" spans="1:20" x14ac:dyDescent="0.25">
      <c r="A32" s="234">
        <f t="shared" si="0"/>
        <v>0</v>
      </c>
      <c r="B32" s="58">
        <f ca="1"/>
        <v>8</v>
      </c>
      <c r="C32" s="55">
        <v>0</v>
      </c>
      <c r="D32" s="169"/>
      <c r="E32" s="166"/>
      <c r="F32" s="66" t="e">
        <f ca="1"/>
        <v>#REF!</v>
      </c>
      <c r="G32" s="67"/>
      <c r="H32" s="67" t="e">
        <f ca="1"/>
        <v>#REF!</v>
      </c>
      <c r="I32" s="67" t="e">
        <f ca="1"/>
        <v>#REF!</v>
      </c>
      <c r="J32" s="171"/>
      <c r="K32" s="178"/>
      <c r="L32" s="179"/>
      <c r="M32" s="188"/>
      <c r="N32" s="181"/>
      <c r="O32" s="37">
        <v>0</v>
      </c>
      <c r="P32" s="101">
        <f ca="1"/>
        <v>0</v>
      </c>
      <c r="Q32" s="37">
        <f ca="1"/>
        <v>8</v>
      </c>
      <c r="R32" s="101">
        <f ca="1"/>
        <v>0</v>
      </c>
    </row>
    <row r="33" spans="1:18" x14ac:dyDescent="0.25">
      <c r="A33" s="234">
        <f t="shared" si="0"/>
        <v>0</v>
      </c>
      <c r="B33" s="58">
        <f ca="1"/>
        <v>9</v>
      </c>
      <c r="C33" s="55">
        <v>0</v>
      </c>
      <c r="D33" s="169"/>
      <c r="E33" s="166"/>
      <c r="F33" s="66" t="e">
        <f ca="1"/>
        <v>#REF!</v>
      </c>
      <c r="G33" s="67"/>
      <c r="H33" s="67" t="e">
        <f ca="1"/>
        <v>#REF!</v>
      </c>
      <c r="I33" s="67" t="e">
        <f ca="1"/>
        <v>#REF!</v>
      </c>
      <c r="J33" s="171"/>
      <c r="K33" s="178"/>
      <c r="L33" s="179"/>
      <c r="M33" s="188"/>
      <c r="N33" s="181"/>
      <c r="O33" s="37">
        <v>0</v>
      </c>
      <c r="P33" s="101">
        <f ca="1"/>
        <v>0</v>
      </c>
      <c r="Q33" s="37">
        <f ca="1"/>
        <v>9</v>
      </c>
      <c r="R33" s="101">
        <f ca="1"/>
        <v>0</v>
      </c>
    </row>
    <row r="34" spans="1:18" x14ac:dyDescent="0.25">
      <c r="A34" s="234">
        <f t="shared" si="0"/>
        <v>0</v>
      </c>
      <c r="B34" s="58">
        <f ca="1"/>
        <v>10</v>
      </c>
      <c r="C34" s="55">
        <v>0</v>
      </c>
      <c r="D34" s="169"/>
      <c r="E34" s="166"/>
      <c r="F34" s="66" t="e">
        <f ca="1"/>
        <v>#REF!</v>
      </c>
      <c r="G34" s="67"/>
      <c r="H34" s="67" t="e">
        <f ca="1"/>
        <v>#REF!</v>
      </c>
      <c r="I34" s="67" t="e">
        <f ca="1"/>
        <v>#REF!</v>
      </c>
      <c r="J34" s="171"/>
      <c r="K34" s="178"/>
      <c r="L34" s="179"/>
      <c r="M34" s="188"/>
      <c r="N34" s="181"/>
      <c r="O34" s="37">
        <v>0</v>
      </c>
      <c r="P34" s="101">
        <f ca="1"/>
        <v>0</v>
      </c>
      <c r="Q34" s="37">
        <f ca="1"/>
        <v>10</v>
      </c>
      <c r="R34" s="101">
        <f ca="1"/>
        <v>0</v>
      </c>
    </row>
    <row r="35" spans="1:18" x14ac:dyDescent="0.25">
      <c r="A35" s="234">
        <f t="shared" si="0"/>
        <v>0</v>
      </c>
      <c r="B35" s="58">
        <f ca="1"/>
        <v>11</v>
      </c>
      <c r="C35" s="55">
        <v>0</v>
      </c>
      <c r="D35" s="169"/>
      <c r="E35" s="166"/>
      <c r="F35" s="66" t="e">
        <f ca="1"/>
        <v>#REF!</v>
      </c>
      <c r="G35" s="67"/>
      <c r="H35" s="67" t="e">
        <f ca="1"/>
        <v>#REF!</v>
      </c>
      <c r="I35" s="67" t="e">
        <f ca="1"/>
        <v>#REF!</v>
      </c>
      <c r="J35" s="171"/>
      <c r="K35" s="178"/>
      <c r="L35" s="179"/>
      <c r="M35" s="188"/>
      <c r="N35" s="181"/>
      <c r="O35" s="37">
        <v>0</v>
      </c>
      <c r="P35" s="101">
        <f ca="1"/>
        <v>0</v>
      </c>
      <c r="Q35" s="37">
        <f ca="1"/>
        <v>11</v>
      </c>
      <c r="R35" s="101">
        <f ca="1"/>
        <v>0</v>
      </c>
    </row>
    <row r="36" spans="1:18" x14ac:dyDescent="0.25">
      <c r="A36" s="234">
        <f t="shared" si="0"/>
        <v>0</v>
      </c>
      <c r="B36" s="58">
        <f ca="1"/>
        <v>12</v>
      </c>
      <c r="C36" s="55">
        <v>0</v>
      </c>
      <c r="D36" s="169"/>
      <c r="E36" s="166"/>
      <c r="F36" s="66" t="e">
        <f ca="1"/>
        <v>#REF!</v>
      </c>
      <c r="G36" s="67"/>
      <c r="H36" s="67" t="e">
        <f ca="1"/>
        <v>#REF!</v>
      </c>
      <c r="I36" s="67" t="e">
        <f ca="1"/>
        <v>#REF!</v>
      </c>
      <c r="J36" s="171"/>
      <c r="K36" s="178"/>
      <c r="L36" s="179"/>
      <c r="M36" s="188"/>
      <c r="N36" s="181"/>
      <c r="O36" s="37">
        <v>0</v>
      </c>
      <c r="P36" s="101">
        <f ca="1"/>
        <v>0</v>
      </c>
      <c r="Q36" s="37">
        <f ca="1"/>
        <v>12</v>
      </c>
      <c r="R36" s="101">
        <f ca="1"/>
        <v>0</v>
      </c>
    </row>
    <row r="37" spans="1:18" x14ac:dyDescent="0.25">
      <c r="A37" s="234">
        <f t="shared" si="0"/>
        <v>0</v>
      </c>
      <c r="B37" s="58">
        <f ca="1"/>
        <v>13</v>
      </c>
      <c r="C37" s="55">
        <v>0</v>
      </c>
      <c r="D37" s="169"/>
      <c r="E37" s="166"/>
      <c r="F37" s="66" t="e">
        <f ca="1"/>
        <v>#REF!</v>
      </c>
      <c r="G37" s="67"/>
      <c r="H37" s="67" t="e">
        <f ca="1"/>
        <v>#REF!</v>
      </c>
      <c r="I37" s="67" t="e">
        <f ca="1"/>
        <v>#REF!</v>
      </c>
      <c r="J37" s="171"/>
      <c r="K37" s="178"/>
      <c r="L37" s="179"/>
      <c r="M37" s="188"/>
      <c r="N37" s="181"/>
      <c r="O37" s="37">
        <v>0</v>
      </c>
      <c r="P37" s="101">
        <f ca="1"/>
        <v>0</v>
      </c>
      <c r="Q37" s="37">
        <f ca="1"/>
        <v>13</v>
      </c>
      <c r="R37" s="101">
        <f ca="1"/>
        <v>0</v>
      </c>
    </row>
    <row r="38" spans="1:18" x14ac:dyDescent="0.25">
      <c r="A38" s="234">
        <f t="shared" si="0"/>
        <v>0</v>
      </c>
      <c r="B38" s="58">
        <f ca="1"/>
        <v>14</v>
      </c>
      <c r="C38" s="55">
        <v>0</v>
      </c>
      <c r="D38" s="169"/>
      <c r="E38" s="166"/>
      <c r="F38" s="66" t="e">
        <f ca="1"/>
        <v>#REF!</v>
      </c>
      <c r="G38" s="67"/>
      <c r="H38" s="67" t="e">
        <f ca="1"/>
        <v>#REF!</v>
      </c>
      <c r="I38" s="67" t="e">
        <f ca="1"/>
        <v>#REF!</v>
      </c>
      <c r="J38" s="171"/>
      <c r="K38" s="178"/>
      <c r="L38" s="179"/>
      <c r="M38" s="188"/>
      <c r="N38" s="181"/>
      <c r="O38" s="37">
        <v>0</v>
      </c>
      <c r="P38" s="101">
        <f ca="1"/>
        <v>0</v>
      </c>
      <c r="Q38" s="37">
        <f ca="1"/>
        <v>14</v>
      </c>
      <c r="R38" s="101">
        <f ca="1"/>
        <v>0</v>
      </c>
    </row>
    <row r="39" spans="1:18" x14ac:dyDescent="0.25">
      <c r="A39" s="234">
        <f t="shared" si="0"/>
        <v>0</v>
      </c>
      <c r="B39" s="58">
        <f ca="1"/>
        <v>15</v>
      </c>
      <c r="C39" s="55">
        <v>0</v>
      </c>
      <c r="D39" s="169"/>
      <c r="E39" s="166"/>
      <c r="F39" s="66" t="e">
        <f ca="1"/>
        <v>#REF!</v>
      </c>
      <c r="G39" s="67"/>
      <c r="H39" s="67" t="e">
        <f ca="1"/>
        <v>#REF!</v>
      </c>
      <c r="I39" s="67" t="e">
        <f ca="1"/>
        <v>#REF!</v>
      </c>
      <c r="J39" s="171"/>
      <c r="K39" s="178"/>
      <c r="L39" s="179"/>
      <c r="M39" s="188"/>
      <c r="N39" s="181"/>
      <c r="O39" s="37">
        <v>0</v>
      </c>
      <c r="P39" s="101">
        <f ca="1"/>
        <v>0</v>
      </c>
      <c r="Q39" s="37">
        <f ca="1"/>
        <v>15</v>
      </c>
      <c r="R39" s="101">
        <f ca="1"/>
        <v>0</v>
      </c>
    </row>
    <row r="40" spans="1:18" x14ac:dyDescent="0.25">
      <c r="A40" s="234">
        <f t="shared" si="0"/>
        <v>0</v>
      </c>
      <c r="B40" s="58">
        <f ca="1"/>
        <v>16</v>
      </c>
      <c r="C40" s="55">
        <v>0</v>
      </c>
      <c r="D40" s="169"/>
      <c r="E40" s="166"/>
      <c r="F40" s="66" t="e">
        <f ca="1"/>
        <v>#REF!</v>
      </c>
      <c r="G40" s="67"/>
      <c r="H40" s="67" t="e">
        <f ca="1"/>
        <v>#REF!</v>
      </c>
      <c r="I40" s="67" t="e">
        <f ca="1"/>
        <v>#REF!</v>
      </c>
      <c r="J40" s="171"/>
      <c r="K40" s="178"/>
      <c r="L40" s="179"/>
      <c r="M40" s="188"/>
      <c r="N40" s="181"/>
      <c r="O40" s="37">
        <v>0</v>
      </c>
      <c r="P40" s="101">
        <f ca="1"/>
        <v>0</v>
      </c>
      <c r="Q40" s="37">
        <f ca="1"/>
        <v>16</v>
      </c>
      <c r="R40" s="101">
        <f ca="1"/>
        <v>0</v>
      </c>
    </row>
    <row r="41" spans="1:18" x14ac:dyDescent="0.25">
      <c r="A41" s="234">
        <f t="shared" si="0"/>
        <v>0</v>
      </c>
      <c r="B41" s="58">
        <f ca="1"/>
        <v>17</v>
      </c>
      <c r="C41" s="55">
        <v>0</v>
      </c>
      <c r="D41" s="169"/>
      <c r="E41" s="166"/>
      <c r="F41" s="66" t="e">
        <f ca="1"/>
        <v>#REF!</v>
      </c>
      <c r="G41" s="67"/>
      <c r="H41" s="67" t="e">
        <f ca="1"/>
        <v>#REF!</v>
      </c>
      <c r="I41" s="67" t="e">
        <f ca="1"/>
        <v>#REF!</v>
      </c>
      <c r="J41" s="171"/>
      <c r="K41" s="178"/>
      <c r="L41" s="179"/>
      <c r="M41" s="188"/>
      <c r="N41" s="181"/>
      <c r="O41" s="37">
        <v>0</v>
      </c>
      <c r="P41" s="101">
        <f ca="1"/>
        <v>0</v>
      </c>
      <c r="Q41" s="37">
        <f ca="1"/>
        <v>17</v>
      </c>
      <c r="R41" s="101">
        <f ca="1"/>
        <v>0</v>
      </c>
    </row>
    <row r="42" spans="1:18" x14ac:dyDescent="0.25">
      <c r="A42" s="234">
        <f t="shared" si="0"/>
        <v>0</v>
      </c>
      <c r="B42" s="58">
        <f ca="1"/>
        <v>18</v>
      </c>
      <c r="C42" s="55">
        <v>0</v>
      </c>
      <c r="D42" s="169"/>
      <c r="E42" s="166"/>
      <c r="F42" s="66" t="e">
        <f ca="1"/>
        <v>#REF!</v>
      </c>
      <c r="G42" s="67"/>
      <c r="H42" s="67" t="e">
        <f ca="1"/>
        <v>#REF!</v>
      </c>
      <c r="I42" s="67" t="e">
        <f ca="1"/>
        <v>#REF!</v>
      </c>
      <c r="J42" s="171"/>
      <c r="K42" s="178"/>
      <c r="L42" s="179"/>
      <c r="M42" s="188"/>
      <c r="N42" s="181"/>
      <c r="O42" s="37">
        <v>0</v>
      </c>
      <c r="P42" s="101">
        <f ca="1"/>
        <v>0</v>
      </c>
      <c r="Q42" s="37">
        <f ca="1"/>
        <v>18</v>
      </c>
      <c r="R42" s="101">
        <f ca="1"/>
        <v>0</v>
      </c>
    </row>
    <row r="43" spans="1:18" x14ac:dyDescent="0.25">
      <c r="A43" s="234">
        <f t="shared" si="0"/>
        <v>0</v>
      </c>
      <c r="B43" s="58">
        <f ca="1"/>
        <v>19</v>
      </c>
      <c r="C43" s="55">
        <v>0</v>
      </c>
      <c r="D43" s="169"/>
      <c r="E43" s="166"/>
      <c r="F43" s="66" t="e">
        <f ca="1"/>
        <v>#REF!</v>
      </c>
      <c r="G43" s="67"/>
      <c r="H43" s="67" t="e">
        <f ca="1"/>
        <v>#REF!</v>
      </c>
      <c r="I43" s="67" t="e">
        <f ca="1"/>
        <v>#REF!</v>
      </c>
      <c r="J43" s="171"/>
      <c r="K43" s="178"/>
      <c r="L43" s="179"/>
      <c r="M43" s="188"/>
      <c r="N43" s="181"/>
      <c r="O43" s="37">
        <v>0</v>
      </c>
      <c r="P43" s="101">
        <f ca="1"/>
        <v>0</v>
      </c>
      <c r="Q43" s="37">
        <f ca="1"/>
        <v>19</v>
      </c>
      <c r="R43" s="101">
        <f ca="1"/>
        <v>0</v>
      </c>
    </row>
    <row r="44" spans="1:18" x14ac:dyDescent="0.25">
      <c r="A44" s="234">
        <f t="shared" si="0"/>
        <v>0</v>
      </c>
      <c r="B44" s="58">
        <f ca="1"/>
        <v>20</v>
      </c>
      <c r="C44" s="55">
        <v>0</v>
      </c>
      <c r="D44" s="169"/>
      <c r="E44" s="166"/>
      <c r="F44" s="66" t="e">
        <f ca="1"/>
        <v>#REF!</v>
      </c>
      <c r="G44" s="67"/>
      <c r="H44" s="67" t="e">
        <f ca="1"/>
        <v>#REF!</v>
      </c>
      <c r="I44" s="67" t="e">
        <f ca="1"/>
        <v>#REF!</v>
      </c>
      <c r="J44" s="171"/>
      <c r="K44" s="178"/>
      <c r="L44" s="179"/>
      <c r="M44" s="188"/>
      <c r="N44" s="181"/>
      <c r="O44" s="37">
        <v>0</v>
      </c>
      <c r="P44" s="101">
        <f ca="1"/>
        <v>0</v>
      </c>
      <c r="Q44" s="37">
        <f ca="1"/>
        <v>20</v>
      </c>
      <c r="R44" s="101">
        <f ca="1"/>
        <v>0</v>
      </c>
    </row>
    <row r="45" spans="1:18" x14ac:dyDescent="0.25">
      <c r="A45" s="234">
        <f t="shared" si="0"/>
        <v>0</v>
      </c>
      <c r="B45" s="58">
        <f ca="1"/>
        <v>21</v>
      </c>
      <c r="C45" s="55">
        <v>0</v>
      </c>
      <c r="D45" s="169"/>
      <c r="E45" s="166"/>
      <c r="F45" s="66" t="e">
        <f ca="1"/>
        <v>#REF!</v>
      </c>
      <c r="G45" s="67"/>
      <c r="H45" s="67" t="e">
        <f ca="1"/>
        <v>#REF!</v>
      </c>
      <c r="I45" s="67" t="e">
        <f ca="1"/>
        <v>#REF!</v>
      </c>
      <c r="J45" s="171"/>
      <c r="K45" s="178"/>
      <c r="L45" s="179"/>
      <c r="M45" s="188"/>
      <c r="N45" s="181"/>
      <c r="O45" s="37">
        <v>0</v>
      </c>
      <c r="P45" s="101">
        <f ca="1"/>
        <v>0</v>
      </c>
      <c r="Q45" s="37">
        <f ca="1"/>
        <v>21</v>
      </c>
      <c r="R45" s="101">
        <f ca="1"/>
        <v>0</v>
      </c>
    </row>
    <row r="46" spans="1:18" x14ac:dyDescent="0.25">
      <c r="A46" s="234">
        <f t="shared" si="0"/>
        <v>0</v>
      </c>
      <c r="B46" s="58">
        <f ca="1"/>
        <v>22</v>
      </c>
      <c r="C46" s="55">
        <v>0</v>
      </c>
      <c r="D46" s="169"/>
      <c r="E46" s="166"/>
      <c r="F46" s="66" t="e">
        <f ca="1"/>
        <v>#REF!</v>
      </c>
      <c r="G46" s="67"/>
      <c r="H46" s="67" t="e">
        <f ca="1"/>
        <v>#REF!</v>
      </c>
      <c r="I46" s="67" t="e">
        <f ca="1"/>
        <v>#REF!</v>
      </c>
      <c r="J46" s="171"/>
      <c r="K46" s="178"/>
      <c r="L46" s="179"/>
      <c r="M46" s="188"/>
      <c r="N46" s="181"/>
      <c r="O46" s="37">
        <v>0</v>
      </c>
    </row>
    <row r="47" spans="1:18" x14ac:dyDescent="0.25">
      <c r="A47" s="234">
        <f t="shared" si="0"/>
        <v>0</v>
      </c>
      <c r="B47" s="58">
        <f ca="1"/>
        <v>23</v>
      </c>
      <c r="C47" s="55">
        <v>0</v>
      </c>
      <c r="D47" s="169"/>
      <c r="E47" s="166"/>
      <c r="F47" s="66" t="e">
        <f ca="1"/>
        <v>#REF!</v>
      </c>
      <c r="G47" s="67"/>
      <c r="H47" s="67" t="e">
        <f ca="1"/>
        <v>#REF!</v>
      </c>
      <c r="I47" s="67" t="e">
        <f ca="1"/>
        <v>#REF!</v>
      </c>
      <c r="J47" s="171"/>
      <c r="K47" s="178"/>
      <c r="L47" s="179"/>
      <c r="M47" s="188"/>
      <c r="N47" s="181"/>
      <c r="O47" s="37">
        <v>0</v>
      </c>
    </row>
    <row r="48" spans="1:18" x14ac:dyDescent="0.25">
      <c r="A48" s="234">
        <f t="shared" si="0"/>
        <v>0</v>
      </c>
      <c r="B48" s="58">
        <f ca="1"/>
        <v>24</v>
      </c>
      <c r="C48" s="55">
        <v>0</v>
      </c>
      <c r="D48" s="169"/>
      <c r="E48" s="166"/>
      <c r="F48" s="66" t="e">
        <f ca="1"/>
        <v>#REF!</v>
      </c>
      <c r="G48" s="67"/>
      <c r="H48" s="67" t="e">
        <f ca="1"/>
        <v>#REF!</v>
      </c>
      <c r="I48" s="67" t="e">
        <f ca="1"/>
        <v>#REF!</v>
      </c>
      <c r="J48" s="171"/>
      <c r="K48" s="178"/>
      <c r="L48" s="179"/>
      <c r="M48" s="188"/>
      <c r="N48" s="181"/>
      <c r="O48" s="37">
        <v>0</v>
      </c>
    </row>
    <row r="49" spans="1:15" x14ac:dyDescent="0.25">
      <c r="A49" s="234">
        <f t="shared" si="0"/>
        <v>0</v>
      </c>
      <c r="B49" s="58">
        <f ca="1"/>
        <v>25</v>
      </c>
      <c r="C49" s="55">
        <v>0</v>
      </c>
      <c r="D49" s="169"/>
      <c r="E49" s="166"/>
      <c r="F49" s="66" t="e">
        <f ca="1"/>
        <v>#REF!</v>
      </c>
      <c r="G49" s="67"/>
      <c r="H49" s="67" t="e">
        <f ca="1"/>
        <v>#REF!</v>
      </c>
      <c r="I49" s="67" t="e">
        <f ca="1"/>
        <v>#REF!</v>
      </c>
      <c r="J49" s="171"/>
      <c r="K49" s="178"/>
      <c r="L49" s="179"/>
      <c r="M49" s="188"/>
      <c r="N49" s="181"/>
      <c r="O49" s="37">
        <v>0</v>
      </c>
    </row>
    <row r="50" spans="1:15" x14ac:dyDescent="0.25">
      <c r="A50" s="234">
        <f t="shared" si="0"/>
        <v>0</v>
      </c>
      <c r="B50" s="58">
        <f ca="1"/>
        <v>26</v>
      </c>
      <c r="C50" s="55">
        <v>0</v>
      </c>
      <c r="D50" s="169"/>
      <c r="E50" s="166"/>
      <c r="F50" s="66" t="e">
        <f ca="1"/>
        <v>#REF!</v>
      </c>
      <c r="G50" s="67"/>
      <c r="H50" s="67" t="e">
        <f ca="1"/>
        <v>#REF!</v>
      </c>
      <c r="I50" s="67" t="e">
        <f ca="1"/>
        <v>#REF!</v>
      </c>
      <c r="J50" s="171"/>
      <c r="K50" s="178"/>
      <c r="L50" s="179"/>
      <c r="M50" s="188"/>
      <c r="N50" s="181"/>
      <c r="O50" s="37">
        <v>0</v>
      </c>
    </row>
    <row r="51" spans="1:15" x14ac:dyDescent="0.25">
      <c r="A51" s="234">
        <f t="shared" si="0"/>
        <v>0</v>
      </c>
      <c r="B51" s="58">
        <f ca="1"/>
        <v>27</v>
      </c>
      <c r="C51" s="55">
        <v>0</v>
      </c>
      <c r="D51" s="169"/>
      <c r="E51" s="166"/>
      <c r="F51" s="66" t="e">
        <f ca="1"/>
        <v>#REF!</v>
      </c>
      <c r="G51" s="67"/>
      <c r="H51" s="67" t="e">
        <f ca="1"/>
        <v>#REF!</v>
      </c>
      <c r="I51" s="67" t="e">
        <f ca="1"/>
        <v>#REF!</v>
      </c>
      <c r="J51" s="171"/>
      <c r="K51" s="178"/>
      <c r="L51" s="179"/>
      <c r="M51" s="188"/>
      <c r="N51" s="181"/>
      <c r="O51" s="37">
        <v>0</v>
      </c>
    </row>
    <row r="52" spans="1:15" x14ac:dyDescent="0.25">
      <c r="A52" s="234">
        <f t="shared" si="0"/>
        <v>0</v>
      </c>
      <c r="B52" s="58">
        <f ca="1"/>
        <v>28</v>
      </c>
      <c r="C52" s="55">
        <v>0</v>
      </c>
      <c r="D52" s="169"/>
      <c r="E52" s="166"/>
      <c r="F52" s="66" t="e">
        <f ca="1"/>
        <v>#REF!</v>
      </c>
      <c r="G52" s="67"/>
      <c r="H52" s="67" t="e">
        <f ca="1"/>
        <v>#REF!</v>
      </c>
      <c r="I52" s="67" t="e">
        <f ca="1"/>
        <v>#REF!</v>
      </c>
      <c r="J52" s="171"/>
      <c r="K52" s="178"/>
      <c r="L52" s="179"/>
      <c r="M52" s="188"/>
      <c r="N52" s="181"/>
      <c r="O52" s="37">
        <v>0</v>
      </c>
    </row>
    <row r="53" spans="1:15" x14ac:dyDescent="0.25">
      <c r="A53" s="234">
        <f t="shared" si="0"/>
        <v>0</v>
      </c>
      <c r="B53" s="58">
        <f ca="1"/>
        <v>29</v>
      </c>
      <c r="C53" s="55">
        <v>0</v>
      </c>
      <c r="D53" s="169"/>
      <c r="E53" s="166"/>
      <c r="F53" s="66" t="e">
        <f ca="1"/>
        <v>#REF!</v>
      </c>
      <c r="G53" s="67"/>
      <c r="H53" s="67" t="e">
        <f ca="1"/>
        <v>#REF!</v>
      </c>
      <c r="I53" s="67" t="e">
        <f ca="1"/>
        <v>#REF!</v>
      </c>
      <c r="J53" s="171"/>
      <c r="K53" s="178"/>
      <c r="L53" s="179"/>
      <c r="M53" s="188"/>
      <c r="N53" s="181"/>
      <c r="O53" s="37">
        <v>0</v>
      </c>
    </row>
    <row r="54" spans="1:15" x14ac:dyDescent="0.25">
      <c r="A54" s="234">
        <f t="shared" si="0"/>
        <v>0</v>
      </c>
      <c r="B54" s="58">
        <f ca="1"/>
        <v>30</v>
      </c>
      <c r="C54" s="55">
        <v>0</v>
      </c>
      <c r="D54" s="169"/>
      <c r="E54" s="166"/>
      <c r="F54" s="66" t="e">
        <f ca="1"/>
        <v>#REF!</v>
      </c>
      <c r="G54" s="67"/>
      <c r="H54" s="67" t="e">
        <f ca="1"/>
        <v>#REF!</v>
      </c>
      <c r="I54" s="67" t="e">
        <f ca="1"/>
        <v>#REF!</v>
      </c>
      <c r="J54" s="171"/>
      <c r="K54" s="178"/>
      <c r="L54" s="179"/>
      <c r="M54" s="188"/>
      <c r="N54" s="181"/>
      <c r="O54" s="37">
        <v>0</v>
      </c>
    </row>
    <row r="55" spans="1:15" x14ac:dyDescent="0.25">
      <c r="A55" s="234">
        <f t="shared" si="0"/>
        <v>0</v>
      </c>
      <c r="B55" s="58">
        <f ca="1"/>
        <v>31</v>
      </c>
      <c r="C55" s="55">
        <v>0</v>
      </c>
      <c r="D55" s="169"/>
      <c r="E55" s="166"/>
      <c r="F55" s="66" t="e">
        <f ca="1"/>
        <v>#REF!</v>
      </c>
      <c r="G55" s="67"/>
      <c r="H55" s="67" t="e">
        <f ca="1"/>
        <v>#REF!</v>
      </c>
      <c r="I55" s="67" t="e">
        <f ca="1"/>
        <v>#REF!</v>
      </c>
      <c r="J55" s="171"/>
      <c r="K55" s="178"/>
      <c r="L55" s="179"/>
      <c r="M55" s="188"/>
      <c r="N55" s="181"/>
      <c r="O55" s="37">
        <v>0</v>
      </c>
    </row>
    <row r="56" spans="1:15" x14ac:dyDescent="0.25">
      <c r="A56" s="234">
        <f t="shared" si="0"/>
        <v>0</v>
      </c>
      <c r="B56" s="58">
        <f ca="1"/>
        <v>32</v>
      </c>
      <c r="C56" s="55">
        <v>0</v>
      </c>
      <c r="D56" s="169"/>
      <c r="E56" s="166"/>
      <c r="F56" s="66" t="e">
        <f ca="1"/>
        <v>#REF!</v>
      </c>
      <c r="G56" s="67"/>
      <c r="H56" s="67" t="e">
        <f ca="1"/>
        <v>#REF!</v>
      </c>
      <c r="I56" s="67" t="e">
        <f ca="1"/>
        <v>#REF!</v>
      </c>
      <c r="J56" s="171"/>
      <c r="K56" s="178"/>
      <c r="L56" s="179"/>
      <c r="M56" s="188"/>
      <c r="N56" s="181"/>
      <c r="O56" s="37">
        <v>0</v>
      </c>
    </row>
    <row r="57" spans="1:15" x14ac:dyDescent="0.25">
      <c r="A57" s="234">
        <f t="shared" si="0"/>
        <v>0</v>
      </c>
      <c r="B57" s="58">
        <f ca="1"/>
        <v>33</v>
      </c>
      <c r="C57" s="55">
        <v>0</v>
      </c>
      <c r="D57" s="169"/>
      <c r="E57" s="166"/>
      <c r="F57" s="66" t="e">
        <f ca="1"/>
        <v>#REF!</v>
      </c>
      <c r="G57" s="67"/>
      <c r="H57" s="67" t="e">
        <f ca="1"/>
        <v>#REF!</v>
      </c>
      <c r="I57" s="67" t="e">
        <f ca="1"/>
        <v>#REF!</v>
      </c>
      <c r="J57" s="171"/>
      <c r="K57" s="178"/>
      <c r="L57" s="179"/>
      <c r="M57" s="180"/>
      <c r="N57" s="181"/>
      <c r="O57" s="37">
        <v>0</v>
      </c>
    </row>
    <row r="58" spans="1:15" x14ac:dyDescent="0.25">
      <c r="A58" s="234">
        <f t="shared" si="0"/>
        <v>0</v>
      </c>
      <c r="B58" s="58">
        <f ca="1"/>
        <v>34</v>
      </c>
      <c r="C58" s="55">
        <v>0</v>
      </c>
      <c r="D58" s="169"/>
      <c r="E58" s="166"/>
      <c r="F58" s="66" t="e">
        <f ca="1"/>
        <v>#REF!</v>
      </c>
      <c r="G58" s="67"/>
      <c r="H58" s="67" t="e">
        <f ca="1"/>
        <v>#REF!</v>
      </c>
      <c r="I58" s="67" t="e">
        <f ca="1"/>
        <v>#REF!</v>
      </c>
      <c r="J58" s="171"/>
      <c r="K58" s="178"/>
      <c r="L58" s="179"/>
      <c r="M58" s="180"/>
      <c r="N58" s="181"/>
      <c r="O58" s="37">
        <v>0</v>
      </c>
    </row>
    <row r="59" spans="1:15" x14ac:dyDescent="0.25">
      <c r="A59" s="234">
        <f t="shared" si="0"/>
        <v>0</v>
      </c>
      <c r="B59" s="58">
        <f ca="1"/>
        <v>35</v>
      </c>
      <c r="C59" s="55">
        <v>0</v>
      </c>
      <c r="D59" s="169"/>
      <c r="E59" s="166"/>
      <c r="F59" s="66" t="e">
        <f ca="1"/>
        <v>#REF!</v>
      </c>
      <c r="G59" s="67"/>
      <c r="H59" s="67" t="e">
        <f ca="1"/>
        <v>#REF!</v>
      </c>
      <c r="I59" s="67" t="e">
        <f ca="1"/>
        <v>#REF!</v>
      </c>
      <c r="J59" s="171"/>
      <c r="K59" s="178"/>
      <c r="L59" s="179"/>
      <c r="M59" s="180"/>
      <c r="N59" s="181"/>
      <c r="O59" s="37">
        <v>0</v>
      </c>
    </row>
    <row r="60" spans="1:15" x14ac:dyDescent="0.25">
      <c r="A60" s="234">
        <f t="shared" si="0"/>
        <v>0</v>
      </c>
      <c r="B60" s="58">
        <f ca="1"/>
        <v>36</v>
      </c>
      <c r="C60" s="55">
        <v>0</v>
      </c>
      <c r="D60" s="169"/>
      <c r="E60" s="166"/>
      <c r="F60" s="66" t="e">
        <f ca="1"/>
        <v>#REF!</v>
      </c>
      <c r="G60" s="67"/>
      <c r="H60" s="67" t="e">
        <f ca="1"/>
        <v>#REF!</v>
      </c>
      <c r="I60" s="67" t="e">
        <f ca="1"/>
        <v>#REF!</v>
      </c>
      <c r="J60" s="171"/>
      <c r="K60" s="178"/>
      <c r="L60" s="179"/>
      <c r="M60" s="180"/>
      <c r="N60" s="181"/>
      <c r="O60" s="37">
        <v>0</v>
      </c>
    </row>
    <row r="61" spans="1:15" x14ac:dyDescent="0.25">
      <c r="A61" s="234">
        <f t="shared" si="0"/>
        <v>0</v>
      </c>
      <c r="B61" s="58">
        <f ca="1"/>
        <v>37</v>
      </c>
      <c r="C61" s="55">
        <v>0</v>
      </c>
      <c r="D61" s="169"/>
      <c r="E61" s="166"/>
      <c r="F61" s="66" t="e">
        <f ca="1"/>
        <v>#REF!</v>
      </c>
      <c r="G61" s="67"/>
      <c r="H61" s="67" t="e">
        <f ca="1"/>
        <v>#REF!</v>
      </c>
      <c r="I61" s="67" t="e">
        <f ca="1"/>
        <v>#REF!</v>
      </c>
      <c r="J61" s="171"/>
      <c r="K61" s="178"/>
      <c r="L61" s="179"/>
      <c r="M61" s="180"/>
      <c r="N61" s="181"/>
      <c r="O61" s="37">
        <v>0</v>
      </c>
    </row>
    <row r="62" spans="1:15" x14ac:dyDescent="0.25">
      <c r="A62" s="234">
        <f t="shared" si="0"/>
        <v>0</v>
      </c>
      <c r="B62" s="58">
        <f ca="1"/>
        <v>38</v>
      </c>
      <c r="C62" s="55">
        <v>0</v>
      </c>
      <c r="D62" s="169"/>
      <c r="E62" s="166"/>
      <c r="F62" s="66" t="e">
        <f ca="1"/>
        <v>#REF!</v>
      </c>
      <c r="G62" s="67"/>
      <c r="H62" s="67" t="e">
        <f ca="1"/>
        <v>#REF!</v>
      </c>
      <c r="I62" s="67" t="e">
        <f ca="1"/>
        <v>#REF!</v>
      </c>
      <c r="J62" s="171"/>
      <c r="K62" s="178"/>
      <c r="L62" s="179"/>
      <c r="M62" s="180"/>
      <c r="N62" s="181"/>
      <c r="O62" s="37">
        <v>0</v>
      </c>
    </row>
    <row r="63" spans="1:15" x14ac:dyDescent="0.25">
      <c r="A63" s="234">
        <f t="shared" si="0"/>
        <v>0</v>
      </c>
      <c r="B63" s="58">
        <f ca="1"/>
        <v>39</v>
      </c>
      <c r="C63" s="55">
        <v>0</v>
      </c>
      <c r="D63" s="169"/>
      <c r="E63" s="166"/>
      <c r="F63" s="66" t="e">
        <f ca="1"/>
        <v>#REF!</v>
      </c>
      <c r="G63" s="67"/>
      <c r="H63" s="67" t="e">
        <f ca="1"/>
        <v>#REF!</v>
      </c>
      <c r="I63" s="67" t="e">
        <f ca="1"/>
        <v>#REF!</v>
      </c>
      <c r="J63" s="171"/>
      <c r="K63" s="178"/>
      <c r="L63" s="179"/>
      <c r="M63" s="180"/>
      <c r="N63" s="181"/>
      <c r="O63" s="37">
        <v>0</v>
      </c>
    </row>
    <row r="64" spans="1:15" x14ac:dyDescent="0.25">
      <c r="A64" s="234">
        <f t="shared" si="0"/>
        <v>0</v>
      </c>
      <c r="B64" s="58">
        <f ca="1"/>
        <v>40</v>
      </c>
      <c r="C64" s="55">
        <v>0</v>
      </c>
      <c r="D64" s="169"/>
      <c r="E64" s="166"/>
      <c r="F64" s="66" t="e">
        <f ca="1"/>
        <v>#REF!</v>
      </c>
      <c r="G64" s="67"/>
      <c r="H64" s="67" t="e">
        <f ca="1"/>
        <v>#REF!</v>
      </c>
      <c r="I64" s="67" t="e">
        <f ca="1"/>
        <v>#REF!</v>
      </c>
      <c r="J64" s="171"/>
      <c r="K64" s="178"/>
      <c r="L64" s="179"/>
      <c r="M64" s="180"/>
      <c r="N64" s="181"/>
      <c r="O64" s="37">
        <v>0</v>
      </c>
    </row>
    <row r="65" spans="1:15" x14ac:dyDescent="0.25">
      <c r="A65" s="234">
        <f t="shared" si="0"/>
        <v>0</v>
      </c>
      <c r="B65" s="58">
        <f ca="1"/>
        <v>41</v>
      </c>
      <c r="C65" s="55">
        <v>0</v>
      </c>
      <c r="D65" s="169"/>
      <c r="E65" s="166"/>
      <c r="F65" s="66" t="e">
        <f ca="1"/>
        <v>#REF!</v>
      </c>
      <c r="G65" s="67"/>
      <c r="H65" s="67" t="e">
        <f ca="1"/>
        <v>#REF!</v>
      </c>
      <c r="I65" s="67" t="e">
        <f ca="1"/>
        <v>#REF!</v>
      </c>
      <c r="J65" s="171"/>
      <c r="K65" s="178"/>
      <c r="L65" s="179"/>
      <c r="M65" s="180"/>
      <c r="N65" s="181"/>
      <c r="O65" s="37">
        <v>0</v>
      </c>
    </row>
    <row r="66" spans="1:15" x14ac:dyDescent="0.25">
      <c r="A66" s="234">
        <f t="shared" si="0"/>
        <v>0</v>
      </c>
      <c r="B66" s="58">
        <f ca="1"/>
        <v>42</v>
      </c>
      <c r="C66" s="55">
        <v>0</v>
      </c>
      <c r="D66" s="169"/>
      <c r="E66" s="166"/>
      <c r="F66" s="66" t="e">
        <f ca="1"/>
        <v>#REF!</v>
      </c>
      <c r="G66" s="67"/>
      <c r="H66" s="67" t="e">
        <f ca="1"/>
        <v>#REF!</v>
      </c>
      <c r="I66" s="67" t="e">
        <f ca="1"/>
        <v>#REF!</v>
      </c>
      <c r="J66" s="171"/>
      <c r="K66" s="178"/>
      <c r="L66" s="179"/>
      <c r="M66" s="180"/>
      <c r="N66" s="181"/>
      <c r="O66" s="37">
        <v>0</v>
      </c>
    </row>
    <row r="67" spans="1:15" x14ac:dyDescent="0.25">
      <c r="A67" s="234">
        <f t="shared" si="0"/>
        <v>0</v>
      </c>
      <c r="B67" s="58">
        <f ca="1"/>
        <v>43</v>
      </c>
      <c r="C67" s="55">
        <v>0</v>
      </c>
      <c r="D67" s="169"/>
      <c r="E67" s="166"/>
      <c r="F67" s="66" t="e">
        <f ca="1"/>
        <v>#REF!</v>
      </c>
      <c r="G67" s="67"/>
      <c r="H67" s="67" t="e">
        <f ca="1"/>
        <v>#REF!</v>
      </c>
      <c r="I67" s="67" t="e">
        <f ca="1"/>
        <v>#REF!</v>
      </c>
      <c r="J67" s="171"/>
      <c r="K67" s="178"/>
      <c r="L67" s="179"/>
      <c r="M67" s="180"/>
      <c r="N67" s="181"/>
      <c r="O67" s="37">
        <v>0</v>
      </c>
    </row>
    <row r="68" spans="1:15" x14ac:dyDescent="0.25">
      <c r="A68" s="234">
        <f t="shared" si="0"/>
        <v>0</v>
      </c>
      <c r="B68" s="58">
        <f ca="1"/>
        <v>44</v>
      </c>
      <c r="C68" s="55">
        <v>0</v>
      </c>
      <c r="D68" s="169"/>
      <c r="E68" s="166"/>
      <c r="F68" s="66" t="e">
        <f ca="1"/>
        <v>#REF!</v>
      </c>
      <c r="G68" s="67"/>
      <c r="H68" s="67" t="e">
        <f ca="1"/>
        <v>#REF!</v>
      </c>
      <c r="I68" s="67" t="e">
        <f ca="1"/>
        <v>#REF!</v>
      </c>
      <c r="J68" s="171"/>
      <c r="K68" s="178"/>
      <c r="L68" s="179"/>
      <c r="M68" s="180"/>
      <c r="N68" s="181"/>
      <c r="O68" s="37">
        <v>0</v>
      </c>
    </row>
    <row r="69" spans="1:15" x14ac:dyDescent="0.25">
      <c r="A69" s="234">
        <f t="shared" si="0"/>
        <v>0</v>
      </c>
      <c r="B69" s="58">
        <f ca="1"/>
        <v>45</v>
      </c>
      <c r="C69" s="55">
        <v>0</v>
      </c>
      <c r="D69" s="169"/>
      <c r="E69" s="166"/>
      <c r="F69" s="66" t="e">
        <f ca="1"/>
        <v>#REF!</v>
      </c>
      <c r="G69" s="67"/>
      <c r="H69" s="67" t="e">
        <f ca="1"/>
        <v>#REF!</v>
      </c>
      <c r="I69" s="67" t="e">
        <f ca="1"/>
        <v>#REF!</v>
      </c>
      <c r="J69" s="171"/>
      <c r="K69" s="178"/>
      <c r="L69" s="179"/>
      <c r="M69" s="180"/>
      <c r="N69" s="181"/>
      <c r="O69" s="37">
        <v>0</v>
      </c>
    </row>
    <row r="70" spans="1:15" x14ac:dyDescent="0.25">
      <c r="A70" s="234">
        <f t="shared" si="0"/>
        <v>0</v>
      </c>
      <c r="B70" s="58">
        <f ca="1"/>
        <v>46</v>
      </c>
      <c r="C70" s="55">
        <v>0</v>
      </c>
      <c r="D70" s="169"/>
      <c r="E70" s="166"/>
      <c r="F70" s="66" t="e">
        <f ca="1"/>
        <v>#REF!</v>
      </c>
      <c r="G70" s="67"/>
      <c r="H70" s="67" t="e">
        <f ca="1"/>
        <v>#REF!</v>
      </c>
      <c r="I70" s="67" t="e">
        <f ca="1"/>
        <v>#REF!</v>
      </c>
      <c r="J70" s="171"/>
      <c r="K70" s="178"/>
      <c r="L70" s="179"/>
      <c r="M70" s="180"/>
      <c r="N70" s="181"/>
      <c r="O70" s="37">
        <v>0</v>
      </c>
    </row>
    <row r="71" spans="1:15" x14ac:dyDescent="0.25">
      <c r="A71" s="234">
        <f t="shared" si="0"/>
        <v>0</v>
      </c>
      <c r="B71" s="58">
        <f ca="1"/>
        <v>47</v>
      </c>
      <c r="C71" s="55">
        <v>0</v>
      </c>
      <c r="D71" s="169"/>
      <c r="E71" s="166"/>
      <c r="F71" s="66" t="e">
        <f ca="1"/>
        <v>#REF!</v>
      </c>
      <c r="G71" s="67"/>
      <c r="H71" s="67" t="e">
        <f ca="1"/>
        <v>#REF!</v>
      </c>
      <c r="I71" s="67" t="e">
        <f ca="1"/>
        <v>#REF!</v>
      </c>
      <c r="J71" s="171"/>
      <c r="K71" s="178"/>
      <c r="L71" s="179"/>
      <c r="M71" s="180"/>
      <c r="N71" s="181"/>
      <c r="O71" s="37">
        <v>0</v>
      </c>
    </row>
    <row r="72" spans="1:15" x14ac:dyDescent="0.25">
      <c r="A72" s="234">
        <f t="shared" si="0"/>
        <v>0</v>
      </c>
      <c r="B72" s="58">
        <f ca="1"/>
        <v>48</v>
      </c>
      <c r="C72" s="55">
        <v>0</v>
      </c>
      <c r="D72" s="169"/>
      <c r="E72" s="166"/>
      <c r="F72" s="66" t="e">
        <f ca="1"/>
        <v>#REF!</v>
      </c>
      <c r="G72" s="67"/>
      <c r="H72" s="67" t="e">
        <f ca="1"/>
        <v>#REF!</v>
      </c>
      <c r="I72" s="67" t="e">
        <f ca="1"/>
        <v>#REF!</v>
      </c>
      <c r="J72" s="171"/>
      <c r="K72" s="178"/>
      <c r="L72" s="179"/>
      <c r="M72" s="180"/>
      <c r="N72" s="181"/>
      <c r="O72" s="37">
        <v>0</v>
      </c>
    </row>
    <row r="73" spans="1:15" x14ac:dyDescent="0.25">
      <c r="A73" s="234">
        <f t="shared" si="0"/>
        <v>0</v>
      </c>
      <c r="B73" s="58">
        <f ca="1"/>
        <v>49</v>
      </c>
      <c r="C73" s="55">
        <v>0</v>
      </c>
      <c r="D73" s="169"/>
      <c r="E73" s="166"/>
      <c r="F73" s="66" t="e">
        <f ca="1"/>
        <v>#REF!</v>
      </c>
      <c r="G73" s="67"/>
      <c r="H73" s="67" t="e">
        <f ca="1"/>
        <v>#REF!</v>
      </c>
      <c r="I73" s="67" t="e">
        <f ca="1"/>
        <v>#REF!</v>
      </c>
      <c r="J73" s="171"/>
      <c r="K73" s="178"/>
      <c r="L73" s="179"/>
      <c r="M73" s="180"/>
      <c r="N73" s="181"/>
      <c r="O73" s="37">
        <v>0</v>
      </c>
    </row>
    <row r="74" spans="1:15" x14ac:dyDescent="0.25">
      <c r="A74" s="234">
        <f t="shared" si="0"/>
        <v>0</v>
      </c>
      <c r="B74" s="58">
        <f ca="1"/>
        <v>50</v>
      </c>
      <c r="C74" s="55">
        <v>0</v>
      </c>
      <c r="D74" s="169"/>
      <c r="E74" s="166"/>
      <c r="F74" s="66" t="e">
        <f ca="1"/>
        <v>#REF!</v>
      </c>
      <c r="G74" s="67"/>
      <c r="H74" s="67" t="e">
        <f ca="1"/>
        <v>#REF!</v>
      </c>
      <c r="I74" s="67" t="e">
        <f ca="1"/>
        <v>#REF!</v>
      </c>
      <c r="J74" s="171"/>
      <c r="K74" s="178"/>
      <c r="L74" s="179"/>
      <c r="M74" s="180"/>
      <c r="N74" s="181"/>
      <c r="O74" s="37">
        <v>0</v>
      </c>
    </row>
    <row r="75" spans="1:15" x14ac:dyDescent="0.25">
      <c r="A75" s="234">
        <f t="shared" si="0"/>
        <v>0</v>
      </c>
      <c r="B75" s="58">
        <f ca="1"/>
        <v>51</v>
      </c>
      <c r="C75" s="55">
        <v>0</v>
      </c>
      <c r="D75" s="169"/>
      <c r="E75" s="166"/>
      <c r="F75" s="66" t="e">
        <f ca="1"/>
        <v>#REF!</v>
      </c>
      <c r="G75" s="67"/>
      <c r="H75" s="67" t="e">
        <f ca="1"/>
        <v>#REF!</v>
      </c>
      <c r="I75" s="67" t="e">
        <f ca="1"/>
        <v>#REF!</v>
      </c>
      <c r="J75" s="171"/>
      <c r="K75" s="178"/>
      <c r="L75" s="179"/>
      <c r="M75" s="180"/>
      <c r="N75" s="181"/>
      <c r="O75" s="37">
        <v>0</v>
      </c>
    </row>
    <row r="76" spans="1:15" ht="15.75" thickBot="1" x14ac:dyDescent="0.3">
      <c r="A76" s="234">
        <f t="shared" si="0"/>
        <v>0</v>
      </c>
      <c r="B76" s="58">
        <f ca="1"/>
        <v>52</v>
      </c>
      <c r="C76" s="56">
        <v>0</v>
      </c>
      <c r="D76" s="170"/>
      <c r="E76" s="167"/>
      <c r="F76" s="66" t="e">
        <f ca="1"/>
        <v>#REF!</v>
      </c>
      <c r="G76" s="67"/>
      <c r="H76" s="67" t="e">
        <f ca="1"/>
        <v>#REF!</v>
      </c>
      <c r="I76" s="67" t="e">
        <f ca="1"/>
        <v>#REF!</v>
      </c>
      <c r="J76" s="171"/>
      <c r="K76" s="178"/>
      <c r="L76" s="179"/>
      <c r="M76" s="180"/>
      <c r="N76" s="181"/>
      <c r="O76" s="37">
        <v>0</v>
      </c>
    </row>
    <row r="77" spans="1:15" x14ac:dyDescent="0.25">
      <c r="A77" s="107"/>
      <c r="B77" s="108"/>
      <c r="C77" s="237"/>
      <c r="D77" s="52"/>
      <c r="E77" s="68"/>
      <c r="F77" s="70">
        <f>IF(Split=0,Mean,Mean2)</f>
        <v>0</v>
      </c>
      <c r="G77" s="70"/>
      <c r="H77" s="67" t="e">
        <f ca="1">NORMDIST(F77,IF(Split=0,Mean,Mean2),Deviation,FALSE)</f>
        <v>#REF!</v>
      </c>
      <c r="I77" s="67"/>
      <c r="J77" s="171"/>
      <c r="K77" s="178"/>
      <c r="L77" s="179"/>
      <c r="M77" s="180"/>
      <c r="N77" s="181"/>
      <c r="O77" s="37">
        <v>0</v>
      </c>
    </row>
    <row r="78" spans="1:15" x14ac:dyDescent="0.25">
      <c r="A78" s="162"/>
      <c r="B78" s="37" t="s">
        <v>280</v>
      </c>
      <c r="C78" s="33"/>
      <c r="D78" s="33"/>
      <c r="E78" s="33"/>
      <c r="F78" s="70">
        <f>IF(Split=0,Mean,Mean2)</f>
        <v>0</v>
      </c>
      <c r="G78" s="70"/>
      <c r="H78" s="67">
        <v>0</v>
      </c>
      <c r="I78" s="67"/>
      <c r="J78" s="171"/>
      <c r="K78" s="178"/>
      <c r="L78" s="179"/>
      <c r="M78" s="180"/>
      <c r="N78" s="181"/>
      <c r="O78" s="37">
        <v>0</v>
      </c>
    </row>
    <row r="79" spans="1:15" x14ac:dyDescent="0.25">
      <c r="A79" s="37" t="s">
        <v>96</v>
      </c>
      <c r="B79" s="37" t="s">
        <v>278</v>
      </c>
      <c r="C79" s="33"/>
      <c r="D79" s="33"/>
      <c r="E79" s="33"/>
      <c r="F79" s="70" t="e">
        <f ca="1">PERCENTILE(ReferralsRange,0.85)</f>
        <v>#REF!</v>
      </c>
      <c r="G79" s="70"/>
      <c r="H79" s="67" t="e">
        <f ca="1">NORMDIST(F79,IF(Split=0,Mean,Mean2),Deviation,FALSE)</f>
        <v>#REF!</v>
      </c>
      <c r="I79" s="67"/>
      <c r="J79" s="171"/>
      <c r="K79" s="178"/>
      <c r="L79" s="179"/>
      <c r="M79" s="180"/>
      <c r="N79" s="181"/>
      <c r="O79" s="37">
        <v>0</v>
      </c>
    </row>
    <row r="80" spans="1:15" x14ac:dyDescent="0.25">
      <c r="A80" s="37" t="s">
        <v>97</v>
      </c>
      <c r="B80" s="37" t="s">
        <v>289</v>
      </c>
      <c r="C80" s="33"/>
      <c r="D80" s="33"/>
      <c r="E80" s="33"/>
      <c r="F80" s="70" t="e">
        <f ca="1">PERCENTILE(ReferralsRange,0.85)</f>
        <v>#REF!</v>
      </c>
      <c r="G80" s="70"/>
      <c r="H80" s="67">
        <v>0</v>
      </c>
      <c r="I80" s="67"/>
      <c r="J80" s="171"/>
      <c r="K80" s="178"/>
      <c r="L80" s="179"/>
      <c r="M80" s="180"/>
      <c r="N80" s="181"/>
      <c r="O80" s="37">
        <v>0</v>
      </c>
    </row>
    <row r="81" spans="1:15" x14ac:dyDescent="0.25">
      <c r="A81" s="37" t="s">
        <v>358</v>
      </c>
      <c r="B81" s="37" t="s">
        <v>284</v>
      </c>
      <c r="C81" s="33"/>
      <c r="D81" s="33"/>
      <c r="E81" s="33"/>
      <c r="F81" s="70" t="e">
        <f ca="1">F77+(3*Deviation)</f>
        <v>#REF!</v>
      </c>
      <c r="G81" s="70"/>
      <c r="H81" s="67" t="e">
        <f ca="1">NORMDIST(F81,IF(Split=0,Mean,Mean2),Deviation,FALSE)</f>
        <v>#REF!</v>
      </c>
      <c r="I81" s="67"/>
      <c r="J81" s="171"/>
      <c r="K81" s="178"/>
      <c r="L81" s="179"/>
      <c r="M81" s="180"/>
      <c r="N81" s="181"/>
      <c r="O81" s="37">
        <v>0</v>
      </c>
    </row>
    <row r="82" spans="1:15" x14ac:dyDescent="0.25">
      <c r="A82" s="37" t="s">
        <v>98</v>
      </c>
      <c r="B82" s="37" t="s">
        <v>283</v>
      </c>
      <c r="C82" s="33"/>
      <c r="D82" s="33"/>
      <c r="E82" s="33"/>
      <c r="F82" s="70" t="e">
        <f ca="1">F78+(3*Deviation)</f>
        <v>#REF!</v>
      </c>
      <c r="G82" s="70"/>
      <c r="H82" s="37">
        <v>0</v>
      </c>
      <c r="I82" s="37"/>
      <c r="J82" s="171"/>
      <c r="K82" s="178"/>
      <c r="L82" s="179"/>
      <c r="M82" s="180"/>
      <c r="N82" s="181"/>
      <c r="O82" s="37">
        <v>0</v>
      </c>
    </row>
    <row r="83" spans="1:15" x14ac:dyDescent="0.25">
      <c r="A83" s="37" t="s">
        <v>99</v>
      </c>
      <c r="B83" s="37" t="s">
        <v>288</v>
      </c>
      <c r="C83" s="33"/>
      <c r="D83" s="33"/>
      <c r="E83" s="33"/>
      <c r="F83" s="37"/>
      <c r="G83" s="37"/>
      <c r="H83" s="37"/>
      <c r="I83" s="37"/>
      <c r="J83" s="171"/>
      <c r="K83" s="178"/>
      <c r="L83" s="179"/>
      <c r="M83" s="180"/>
      <c r="N83" s="181"/>
      <c r="O83" s="37">
        <v>0</v>
      </c>
    </row>
    <row r="84" spans="1:15" x14ac:dyDescent="0.25">
      <c r="A84" s="37" t="s">
        <v>536</v>
      </c>
      <c r="B84" s="37" t="s">
        <v>286</v>
      </c>
      <c r="C84" s="33"/>
      <c r="D84" s="33"/>
      <c r="E84" s="33"/>
      <c r="F84" s="37"/>
      <c r="G84" s="37"/>
      <c r="H84" s="37"/>
      <c r="I84" s="37"/>
      <c r="J84" s="171"/>
      <c r="K84" s="178"/>
      <c r="L84" s="179"/>
      <c r="M84" s="180"/>
      <c r="N84" s="181"/>
      <c r="O84" s="37">
        <v>0</v>
      </c>
    </row>
    <row r="85" spans="1:15" x14ac:dyDescent="0.25">
      <c r="A85" s="37" t="s">
        <v>100</v>
      </c>
      <c r="B85" s="37" t="s">
        <v>281</v>
      </c>
      <c r="C85" s="33"/>
      <c r="D85" s="33"/>
      <c r="E85" s="33"/>
      <c r="F85" s="37"/>
      <c r="G85" s="37"/>
      <c r="H85" s="37"/>
      <c r="I85" s="37"/>
      <c r="J85" s="171"/>
      <c r="K85" s="178"/>
      <c r="L85" s="179"/>
      <c r="M85" s="180"/>
      <c r="N85" s="181"/>
      <c r="O85" s="37">
        <v>0</v>
      </c>
    </row>
    <row r="86" spans="1:15" x14ac:dyDescent="0.25">
      <c r="A86" s="37" t="s">
        <v>101</v>
      </c>
      <c r="B86" s="37" t="s">
        <v>329</v>
      </c>
      <c r="C86" s="33"/>
      <c r="D86" s="33"/>
      <c r="E86" s="33"/>
      <c r="F86" s="37"/>
      <c r="G86" s="37"/>
      <c r="H86" s="37"/>
      <c r="I86" s="37"/>
      <c r="J86" s="171"/>
      <c r="K86" s="178"/>
      <c r="L86" s="179"/>
      <c r="M86" s="180"/>
      <c r="N86" s="181"/>
      <c r="O86" s="37">
        <v>0</v>
      </c>
    </row>
    <row r="87" spans="1:15" x14ac:dyDescent="0.25">
      <c r="A87" s="37" t="s">
        <v>102</v>
      </c>
      <c r="B87" s="37" t="s">
        <v>287</v>
      </c>
      <c r="C87" s="33"/>
      <c r="D87" s="33"/>
      <c r="E87" s="33"/>
      <c r="F87" s="37"/>
      <c r="G87" s="37"/>
      <c r="H87" s="37"/>
      <c r="I87" s="37"/>
      <c r="J87" s="171"/>
      <c r="K87" s="178"/>
      <c r="L87" s="179"/>
      <c r="M87" s="180"/>
      <c r="N87" s="181"/>
      <c r="O87" s="37">
        <v>0</v>
      </c>
    </row>
    <row r="88" spans="1:15" x14ac:dyDescent="0.25">
      <c r="A88" s="37" t="s">
        <v>103</v>
      </c>
      <c r="B88" s="37" t="s">
        <v>279</v>
      </c>
      <c r="C88" s="33"/>
      <c r="D88" s="33"/>
      <c r="E88" s="33"/>
      <c r="F88" s="37"/>
      <c r="G88" s="37"/>
      <c r="H88" s="37"/>
      <c r="I88" s="37"/>
      <c r="J88" s="171"/>
      <c r="K88" s="178"/>
      <c r="L88" s="179"/>
      <c r="M88" s="180"/>
      <c r="N88" s="181"/>
      <c r="O88" s="37">
        <v>0</v>
      </c>
    </row>
    <row r="89" spans="1:15" x14ac:dyDescent="0.25">
      <c r="A89" s="37" t="s">
        <v>359</v>
      </c>
      <c r="B89" s="37" t="s">
        <v>285</v>
      </c>
      <c r="C89" s="33"/>
      <c r="D89" s="33"/>
      <c r="E89" s="33"/>
      <c r="F89" s="37"/>
      <c r="G89" s="37"/>
      <c r="H89" s="37"/>
      <c r="I89" s="37"/>
      <c r="J89" s="171"/>
      <c r="K89" s="178"/>
      <c r="L89" s="179"/>
      <c r="M89" s="180"/>
      <c r="N89" s="181"/>
      <c r="O89" s="37">
        <v>0</v>
      </c>
    </row>
    <row r="90" spans="1:15" x14ac:dyDescent="0.25">
      <c r="A90" s="37" t="s">
        <v>104</v>
      </c>
      <c r="B90" s="37" t="s">
        <v>282</v>
      </c>
      <c r="C90" s="33"/>
      <c r="D90" s="33"/>
      <c r="E90" s="33"/>
      <c r="F90" s="37"/>
      <c r="G90" s="37"/>
      <c r="H90" s="37"/>
      <c r="I90" s="37"/>
      <c r="J90" s="171"/>
      <c r="K90" s="178"/>
      <c r="L90" s="179"/>
      <c r="M90" s="180"/>
      <c r="N90" s="181"/>
      <c r="O90" s="37">
        <v>0</v>
      </c>
    </row>
    <row r="91" spans="1:15" x14ac:dyDescent="0.25">
      <c r="A91" s="37" t="s">
        <v>105</v>
      </c>
      <c r="B91" s="37"/>
      <c r="C91" s="33"/>
      <c r="D91" s="33"/>
      <c r="E91" s="33"/>
      <c r="F91" s="37"/>
      <c r="G91" s="37"/>
      <c r="H91" s="37"/>
      <c r="I91" s="37"/>
      <c r="J91" s="171"/>
      <c r="K91" s="178"/>
      <c r="L91" s="179"/>
      <c r="M91" s="180"/>
      <c r="N91" s="181"/>
      <c r="O91" s="37">
        <v>0</v>
      </c>
    </row>
    <row r="92" spans="1:15" x14ac:dyDescent="0.25">
      <c r="A92" s="37" t="s">
        <v>106</v>
      </c>
      <c r="B92" s="37"/>
      <c r="C92" s="33"/>
      <c r="D92" s="33"/>
      <c r="E92" s="33"/>
      <c r="F92" s="37"/>
      <c r="G92" s="37"/>
      <c r="H92" s="37"/>
      <c r="I92" s="37"/>
      <c r="J92" s="171"/>
      <c r="K92" s="178"/>
      <c r="L92" s="179"/>
      <c r="M92" s="180"/>
      <c r="N92" s="181"/>
      <c r="O92" s="37">
        <v>0</v>
      </c>
    </row>
    <row r="93" spans="1:15" x14ac:dyDescent="0.25">
      <c r="A93" s="37" t="s">
        <v>107</v>
      </c>
      <c r="B93" s="37"/>
      <c r="C93" s="33"/>
      <c r="D93" s="33"/>
      <c r="E93" s="33"/>
      <c r="F93" s="37"/>
      <c r="G93" s="37"/>
      <c r="H93" s="37"/>
      <c r="I93" s="37"/>
      <c r="J93" s="171"/>
      <c r="K93" s="178"/>
      <c r="L93" s="179"/>
      <c r="M93" s="180"/>
      <c r="N93" s="181"/>
      <c r="O93" s="37">
        <v>0</v>
      </c>
    </row>
    <row r="94" spans="1:15" x14ac:dyDescent="0.25">
      <c r="A94" s="37" t="s">
        <v>108</v>
      </c>
      <c r="B94" s="37"/>
      <c r="C94" s="33"/>
      <c r="D94" s="33"/>
      <c r="E94" s="33"/>
      <c r="F94" s="37"/>
      <c r="G94" s="37"/>
      <c r="H94" s="37"/>
      <c r="I94" s="37"/>
      <c r="J94" s="171"/>
      <c r="K94" s="178"/>
      <c r="L94" s="179"/>
      <c r="M94" s="180"/>
      <c r="N94" s="181"/>
      <c r="O94" s="37">
        <v>0</v>
      </c>
    </row>
    <row r="95" spans="1:15" x14ac:dyDescent="0.25">
      <c r="A95" s="37" t="s">
        <v>109</v>
      </c>
      <c r="B95" s="37"/>
      <c r="C95" s="33"/>
      <c r="D95" s="33"/>
      <c r="E95" s="33"/>
      <c r="F95" s="37"/>
      <c r="G95" s="37"/>
      <c r="H95" s="37"/>
      <c r="I95" s="37"/>
      <c r="J95" s="171"/>
      <c r="K95" s="178"/>
      <c r="L95" s="179"/>
      <c r="M95" s="180"/>
      <c r="N95" s="181"/>
      <c r="O95" s="37">
        <v>0</v>
      </c>
    </row>
    <row r="96" spans="1:15" x14ac:dyDescent="0.25">
      <c r="A96" s="37" t="s">
        <v>110</v>
      </c>
      <c r="B96" s="37"/>
      <c r="C96" s="33"/>
      <c r="D96" s="33"/>
      <c r="E96" s="33"/>
      <c r="F96" s="37"/>
      <c r="G96" s="37"/>
      <c r="H96" s="37"/>
      <c r="I96" s="37"/>
      <c r="J96" s="171"/>
      <c r="K96" s="178"/>
      <c r="L96" s="179"/>
      <c r="M96" s="180"/>
      <c r="N96" s="181"/>
      <c r="O96" s="37">
        <v>0</v>
      </c>
    </row>
    <row r="97" spans="1:19" x14ac:dyDescent="0.25">
      <c r="A97" s="37" t="s">
        <v>338</v>
      </c>
      <c r="B97" s="37"/>
      <c r="C97" s="33"/>
      <c r="D97" s="33"/>
      <c r="E97" s="33"/>
      <c r="F97" s="37"/>
      <c r="G97" s="37"/>
      <c r="H97" s="37"/>
      <c r="I97" s="37"/>
      <c r="J97" s="171"/>
      <c r="K97" s="178"/>
      <c r="L97" s="179"/>
      <c r="M97" s="180"/>
      <c r="N97" s="181"/>
      <c r="O97" s="37">
        <v>0</v>
      </c>
    </row>
    <row r="98" spans="1:19" x14ac:dyDescent="0.25">
      <c r="A98" s="37" t="s">
        <v>111</v>
      </c>
      <c r="B98" s="37"/>
      <c r="C98" s="33"/>
      <c r="D98" s="33"/>
      <c r="E98" s="33"/>
      <c r="F98" s="37"/>
      <c r="G98" s="37"/>
      <c r="H98" s="37"/>
      <c r="I98" s="37"/>
      <c r="J98" s="171"/>
      <c r="K98" s="178"/>
      <c r="L98" s="179"/>
      <c r="M98" s="180"/>
      <c r="N98" s="181"/>
      <c r="O98" s="37">
        <v>0</v>
      </c>
    </row>
    <row r="99" spans="1:19" x14ac:dyDescent="0.25">
      <c r="A99" s="37" t="s">
        <v>339</v>
      </c>
      <c r="B99" s="37"/>
      <c r="C99" s="33"/>
      <c r="D99" s="33"/>
      <c r="E99" s="33"/>
      <c r="F99" s="37"/>
      <c r="G99" s="37"/>
      <c r="H99" s="37"/>
      <c r="I99" s="37"/>
      <c r="J99" s="171"/>
      <c r="K99" s="178"/>
      <c r="L99" s="179"/>
      <c r="M99" s="180"/>
      <c r="N99" s="181"/>
      <c r="O99" s="37">
        <v>0</v>
      </c>
    </row>
    <row r="100" spans="1:19" x14ac:dyDescent="0.25">
      <c r="A100" s="37" t="s">
        <v>112</v>
      </c>
      <c r="B100" s="37"/>
      <c r="C100" s="33"/>
      <c r="D100" s="33"/>
      <c r="E100" s="33"/>
      <c r="F100" s="37"/>
      <c r="G100" s="37"/>
      <c r="H100" s="37"/>
      <c r="I100" s="37"/>
      <c r="J100" s="171"/>
      <c r="K100" s="178"/>
      <c r="L100" s="179"/>
      <c r="M100" s="180"/>
      <c r="N100" s="181"/>
      <c r="O100" s="37">
        <v>0</v>
      </c>
    </row>
    <row r="101" spans="1:19" x14ac:dyDescent="0.25">
      <c r="A101" s="37" t="s">
        <v>537</v>
      </c>
      <c r="B101" s="37"/>
      <c r="C101" s="33"/>
      <c r="D101" s="33"/>
      <c r="E101" s="33"/>
      <c r="F101" s="37"/>
      <c r="G101" s="37"/>
      <c r="H101" s="37"/>
      <c r="I101" s="37"/>
      <c r="J101" s="171"/>
      <c r="K101" s="178"/>
      <c r="L101" s="179"/>
      <c r="M101" s="180"/>
      <c r="N101" s="181"/>
      <c r="O101" s="37">
        <v>0</v>
      </c>
    </row>
    <row r="102" spans="1:19" x14ac:dyDescent="0.25">
      <c r="A102" s="37" t="s">
        <v>113</v>
      </c>
      <c r="B102" s="37"/>
      <c r="C102" s="33"/>
      <c r="D102" s="33"/>
      <c r="E102" s="33"/>
      <c r="F102" s="37"/>
      <c r="G102" s="37"/>
      <c r="H102" s="37"/>
      <c r="I102" s="37"/>
      <c r="J102" s="171"/>
      <c r="K102" s="178"/>
      <c r="L102" s="179"/>
      <c r="M102" s="180"/>
      <c r="N102" s="181"/>
      <c r="O102" s="37">
        <v>0</v>
      </c>
    </row>
    <row r="103" spans="1:19" x14ac:dyDescent="0.25">
      <c r="A103" s="37" t="s">
        <v>114</v>
      </c>
      <c r="B103" s="37"/>
      <c r="C103" s="33"/>
      <c r="D103" s="33"/>
      <c r="E103" s="33"/>
      <c r="F103" s="37"/>
      <c r="G103" s="37"/>
      <c r="H103" s="37"/>
      <c r="I103" s="37"/>
      <c r="J103" s="171"/>
      <c r="K103" s="178"/>
      <c r="L103" s="179"/>
      <c r="M103" s="180"/>
      <c r="N103" s="181"/>
      <c r="O103" s="37">
        <v>0</v>
      </c>
    </row>
    <row r="104" spans="1:19" x14ac:dyDescent="0.25">
      <c r="A104" s="37" t="s">
        <v>115</v>
      </c>
      <c r="B104" s="37"/>
      <c r="C104" s="33"/>
      <c r="D104" s="33"/>
      <c r="E104" s="33"/>
      <c r="F104" s="37"/>
      <c r="G104" s="37"/>
      <c r="H104" s="37"/>
      <c r="I104" s="37"/>
      <c r="J104" s="171"/>
      <c r="K104" s="178"/>
      <c r="L104" s="179"/>
      <c r="M104" s="180"/>
      <c r="N104" s="181"/>
      <c r="O104" s="37">
        <v>0</v>
      </c>
    </row>
    <row r="105" spans="1:19" x14ac:dyDescent="0.25">
      <c r="A105" s="37" t="s">
        <v>116</v>
      </c>
      <c r="B105" s="37"/>
      <c r="C105" s="33"/>
      <c r="D105" s="33"/>
      <c r="E105" s="33"/>
      <c r="F105" s="37"/>
      <c r="G105" s="37"/>
      <c r="H105" s="37"/>
      <c r="I105" s="37"/>
      <c r="J105" s="171"/>
      <c r="K105" s="178"/>
      <c r="L105" s="179"/>
      <c r="M105" s="180"/>
      <c r="N105" s="181"/>
      <c r="O105" s="37">
        <v>0</v>
      </c>
    </row>
    <row r="106" spans="1:19" x14ac:dyDescent="0.25">
      <c r="A106" s="37" t="s">
        <v>117</v>
      </c>
      <c r="B106" s="37"/>
      <c r="C106" s="33"/>
      <c r="D106" s="33"/>
      <c r="E106" s="33"/>
      <c r="F106" s="37"/>
      <c r="G106" s="37"/>
      <c r="H106" s="37"/>
      <c r="I106" s="37"/>
      <c r="J106" s="171"/>
      <c r="K106" s="178"/>
      <c r="L106" s="179"/>
      <c r="M106" s="180"/>
      <c r="N106" s="181"/>
      <c r="O106" s="37">
        <v>0</v>
      </c>
    </row>
    <row r="107" spans="1:19" x14ac:dyDescent="0.25">
      <c r="A107" s="37" t="s">
        <v>118</v>
      </c>
      <c r="B107" s="37"/>
      <c r="C107" s="33"/>
      <c r="D107" s="33"/>
      <c r="E107" s="33"/>
      <c r="F107" s="37"/>
      <c r="G107" s="37"/>
      <c r="H107" s="37"/>
      <c r="I107" s="37"/>
      <c r="J107" s="171"/>
      <c r="K107" s="178"/>
      <c r="L107" s="179"/>
      <c r="M107" s="180"/>
      <c r="N107" s="181"/>
      <c r="O107" s="37">
        <v>0</v>
      </c>
    </row>
    <row r="108" spans="1:19" x14ac:dyDescent="0.25">
      <c r="A108" s="37" t="s">
        <v>119</v>
      </c>
      <c r="B108" s="37"/>
      <c r="C108" s="33"/>
      <c r="D108" s="33"/>
      <c r="E108" s="33"/>
      <c r="F108" s="37"/>
      <c r="G108" s="37"/>
      <c r="H108" s="37"/>
      <c r="I108" s="37"/>
      <c r="J108" s="171"/>
      <c r="K108" s="178"/>
      <c r="L108" s="179"/>
      <c r="M108" s="180"/>
      <c r="N108" s="181"/>
      <c r="O108" s="37">
        <v>0</v>
      </c>
    </row>
    <row r="109" spans="1:19" x14ac:dyDescent="0.25">
      <c r="A109" s="37" t="s">
        <v>120</v>
      </c>
      <c r="B109" s="37"/>
      <c r="C109" s="33"/>
      <c r="D109" s="33"/>
      <c r="E109" s="33"/>
      <c r="F109" s="37"/>
      <c r="G109" s="37"/>
      <c r="H109" s="37"/>
      <c r="I109" s="37"/>
      <c r="J109" s="171"/>
      <c r="K109" s="178"/>
      <c r="L109" s="179"/>
      <c r="M109" s="180"/>
      <c r="N109" s="181"/>
      <c r="O109" s="37">
        <v>0</v>
      </c>
    </row>
    <row r="110" spans="1:19" s="77" customFormat="1" x14ac:dyDescent="0.25">
      <c r="A110" s="37" t="s">
        <v>121</v>
      </c>
      <c r="B110" s="37"/>
      <c r="C110" s="33"/>
      <c r="D110" s="33"/>
      <c r="E110" s="33"/>
      <c r="F110" s="37"/>
      <c r="G110" s="37"/>
      <c r="H110" s="37"/>
      <c r="I110" s="37"/>
      <c r="J110" s="171"/>
      <c r="K110" s="178"/>
      <c r="L110" s="179"/>
      <c r="M110" s="180"/>
      <c r="N110" s="181"/>
      <c r="O110" s="37">
        <v>0</v>
      </c>
      <c r="P110" s="37"/>
      <c r="Q110" s="37"/>
      <c r="R110" s="37"/>
      <c r="S110" s="37"/>
    </row>
    <row r="111" spans="1:19" s="77" customFormat="1" x14ac:dyDescent="0.25">
      <c r="A111" s="37" t="s">
        <v>122</v>
      </c>
      <c r="B111" s="37"/>
      <c r="C111" s="33"/>
      <c r="D111" s="33"/>
      <c r="E111" s="33"/>
      <c r="F111" s="37"/>
      <c r="G111" s="37"/>
      <c r="H111" s="37"/>
      <c r="I111" s="37"/>
      <c r="J111" s="171"/>
      <c r="K111" s="178"/>
      <c r="L111" s="179"/>
      <c r="M111" s="180"/>
      <c r="N111" s="181"/>
      <c r="O111" s="37">
        <v>0</v>
      </c>
      <c r="P111" s="37"/>
      <c r="Q111" s="37"/>
      <c r="R111" s="37"/>
      <c r="S111" s="37"/>
    </row>
    <row r="112" spans="1:19" s="77" customFormat="1" x14ac:dyDescent="0.25">
      <c r="A112" s="37" t="s">
        <v>123</v>
      </c>
      <c r="B112" s="37"/>
      <c r="C112" s="33"/>
      <c r="D112" s="33"/>
      <c r="E112" s="33"/>
      <c r="F112" s="37"/>
      <c r="G112" s="37"/>
      <c r="H112" s="37"/>
      <c r="I112" s="37"/>
      <c r="J112" s="171"/>
      <c r="K112" s="178"/>
      <c r="L112" s="179"/>
      <c r="M112" s="180"/>
      <c r="N112" s="181"/>
      <c r="O112" s="37">
        <v>0</v>
      </c>
      <c r="P112" s="37"/>
      <c r="Q112" s="37"/>
      <c r="R112" s="37"/>
      <c r="S112" s="37"/>
    </row>
    <row r="113" spans="1:19" s="77" customFormat="1" x14ac:dyDescent="0.25">
      <c r="A113" s="37" t="s">
        <v>124</v>
      </c>
      <c r="B113" s="37"/>
      <c r="C113" s="33"/>
      <c r="D113" s="33"/>
      <c r="E113" s="33"/>
      <c r="F113" s="37"/>
      <c r="G113" s="37"/>
      <c r="H113" s="37"/>
      <c r="I113" s="37"/>
      <c r="J113" s="171"/>
      <c r="K113" s="178"/>
      <c r="L113" s="179"/>
      <c r="M113" s="180"/>
      <c r="N113" s="181"/>
      <c r="O113" s="37">
        <v>0</v>
      </c>
      <c r="P113" s="37"/>
      <c r="Q113" s="37"/>
      <c r="R113" s="37"/>
      <c r="S113" s="37"/>
    </row>
    <row r="114" spans="1:19" s="77" customFormat="1" x14ac:dyDescent="0.25">
      <c r="A114" s="37" t="s">
        <v>125</v>
      </c>
      <c r="B114" s="37"/>
      <c r="C114" s="33"/>
      <c r="D114" s="33"/>
      <c r="E114" s="33"/>
      <c r="F114" s="37"/>
      <c r="G114" s="37"/>
      <c r="H114" s="37"/>
      <c r="I114" s="37"/>
      <c r="J114" s="171"/>
      <c r="K114" s="178"/>
      <c r="L114" s="179"/>
      <c r="M114" s="180"/>
      <c r="N114" s="181"/>
      <c r="O114" s="37">
        <v>0</v>
      </c>
      <c r="P114" s="37"/>
      <c r="Q114" s="37"/>
      <c r="R114" s="37"/>
      <c r="S114" s="37"/>
    </row>
    <row r="115" spans="1:19" s="77" customFormat="1" x14ac:dyDescent="0.25">
      <c r="A115" s="37" t="s">
        <v>126</v>
      </c>
      <c r="B115" s="37"/>
      <c r="C115" s="33"/>
      <c r="D115" s="33"/>
      <c r="E115" s="33"/>
      <c r="F115" s="37"/>
      <c r="G115" s="37"/>
      <c r="H115" s="37"/>
      <c r="I115" s="37"/>
      <c r="J115" s="171"/>
      <c r="K115" s="178"/>
      <c r="L115" s="179"/>
      <c r="M115" s="180"/>
      <c r="N115" s="181"/>
      <c r="O115" s="37">
        <v>0</v>
      </c>
      <c r="P115" s="37"/>
      <c r="Q115" s="37"/>
      <c r="R115" s="37"/>
      <c r="S115" s="37"/>
    </row>
    <row r="116" spans="1:19" s="77" customFormat="1" x14ac:dyDescent="0.25">
      <c r="A116" s="37" t="s">
        <v>127</v>
      </c>
      <c r="B116" s="37"/>
      <c r="C116" s="33"/>
      <c r="D116" s="33"/>
      <c r="E116" s="33"/>
      <c r="F116" s="37"/>
      <c r="G116" s="37"/>
      <c r="H116" s="37"/>
      <c r="I116" s="37"/>
      <c r="J116" s="171"/>
      <c r="K116" s="178"/>
      <c r="L116" s="179"/>
      <c r="M116" s="180"/>
      <c r="N116" s="181"/>
      <c r="O116" s="37">
        <v>0</v>
      </c>
      <c r="P116" s="37"/>
      <c r="Q116" s="37"/>
      <c r="R116" s="37"/>
      <c r="S116" s="37"/>
    </row>
    <row r="117" spans="1:19" s="77" customFormat="1" x14ac:dyDescent="0.25">
      <c r="A117" s="37" t="s">
        <v>128</v>
      </c>
      <c r="B117" s="37"/>
      <c r="C117" s="33"/>
      <c r="D117" s="33"/>
      <c r="E117" s="33"/>
      <c r="F117" s="37"/>
      <c r="G117" s="37"/>
      <c r="H117" s="37"/>
      <c r="I117" s="37"/>
      <c r="J117" s="171"/>
      <c r="K117" s="178"/>
      <c r="L117" s="179"/>
      <c r="M117" s="180"/>
      <c r="N117" s="181"/>
      <c r="O117" s="37">
        <v>0</v>
      </c>
      <c r="P117" s="37"/>
      <c r="Q117" s="37"/>
      <c r="R117" s="37"/>
      <c r="S117" s="37"/>
    </row>
    <row r="118" spans="1:19" s="77" customFormat="1" x14ac:dyDescent="0.25">
      <c r="A118" s="37" t="s">
        <v>129</v>
      </c>
      <c r="B118" s="37"/>
      <c r="C118" s="33"/>
      <c r="D118" s="33"/>
      <c r="E118" s="33"/>
      <c r="F118" s="37"/>
      <c r="G118" s="37"/>
      <c r="H118" s="37"/>
      <c r="I118" s="37"/>
      <c r="J118" s="171"/>
      <c r="K118" s="178"/>
      <c r="L118" s="179"/>
      <c r="M118" s="180"/>
      <c r="N118" s="181"/>
      <c r="O118" s="37">
        <v>0</v>
      </c>
      <c r="P118" s="37"/>
      <c r="Q118" s="37"/>
      <c r="R118" s="37"/>
      <c r="S118" s="37"/>
    </row>
    <row r="119" spans="1:19" s="77" customFormat="1" x14ac:dyDescent="0.25">
      <c r="A119" s="37" t="s">
        <v>130</v>
      </c>
      <c r="B119" s="37"/>
      <c r="C119" s="33"/>
      <c r="D119" s="33"/>
      <c r="E119" s="33"/>
      <c r="F119" s="37"/>
      <c r="G119" s="37"/>
      <c r="H119" s="37"/>
      <c r="I119" s="37"/>
      <c r="J119" s="171"/>
      <c r="K119" s="178"/>
      <c r="L119" s="179"/>
      <c r="M119" s="180"/>
      <c r="N119" s="181"/>
      <c r="O119" s="37">
        <v>0</v>
      </c>
      <c r="P119" s="37"/>
      <c r="Q119" s="37"/>
      <c r="R119" s="37"/>
      <c r="S119" s="37"/>
    </row>
    <row r="120" spans="1:19" s="77" customFormat="1" x14ac:dyDescent="0.25">
      <c r="A120" s="37" t="s">
        <v>131</v>
      </c>
      <c r="B120" s="37"/>
      <c r="C120" s="33"/>
      <c r="D120" s="33"/>
      <c r="E120" s="33"/>
      <c r="F120" s="37"/>
      <c r="G120" s="37"/>
      <c r="H120" s="37"/>
      <c r="I120" s="37"/>
      <c r="J120" s="171"/>
      <c r="K120" s="178"/>
      <c r="L120" s="179"/>
      <c r="M120" s="180"/>
      <c r="N120" s="181"/>
      <c r="O120" s="37">
        <v>0</v>
      </c>
      <c r="P120" s="37"/>
      <c r="Q120" s="37"/>
      <c r="R120" s="37"/>
      <c r="S120" s="37"/>
    </row>
    <row r="121" spans="1:19" s="77" customFormat="1" x14ac:dyDescent="0.25">
      <c r="A121" s="37" t="s">
        <v>132</v>
      </c>
      <c r="B121" s="37"/>
      <c r="C121" s="33"/>
      <c r="D121" s="33"/>
      <c r="E121" s="33"/>
      <c r="F121" s="37"/>
      <c r="G121" s="37"/>
      <c r="H121" s="37"/>
      <c r="I121" s="37"/>
      <c r="J121" s="171"/>
      <c r="K121" s="178"/>
      <c r="L121" s="179"/>
      <c r="M121" s="180"/>
      <c r="N121" s="181"/>
      <c r="O121" s="37">
        <v>0</v>
      </c>
      <c r="P121" s="37"/>
      <c r="Q121" s="37"/>
      <c r="R121" s="37"/>
      <c r="S121" s="37"/>
    </row>
    <row r="122" spans="1:19" s="77" customFormat="1" x14ac:dyDescent="0.25">
      <c r="A122" s="37" t="s">
        <v>133</v>
      </c>
      <c r="B122" s="37"/>
      <c r="C122" s="33"/>
      <c r="D122" s="33"/>
      <c r="E122" s="33"/>
      <c r="F122" s="37"/>
      <c r="G122" s="37"/>
      <c r="H122" s="37"/>
      <c r="I122" s="37"/>
      <c r="J122" s="171"/>
      <c r="K122" s="178"/>
      <c r="L122" s="179"/>
      <c r="M122" s="180"/>
      <c r="N122" s="181"/>
      <c r="O122" s="37">
        <v>0</v>
      </c>
      <c r="P122" s="37"/>
      <c r="Q122" s="37"/>
      <c r="R122" s="37"/>
      <c r="S122" s="37"/>
    </row>
    <row r="123" spans="1:19" s="77" customFormat="1" x14ac:dyDescent="0.25">
      <c r="A123" s="37" t="s">
        <v>134</v>
      </c>
      <c r="B123" s="37"/>
      <c r="C123" s="33"/>
      <c r="D123" s="33"/>
      <c r="E123" s="33"/>
      <c r="F123" s="37"/>
      <c r="G123" s="37"/>
      <c r="H123" s="37"/>
      <c r="I123" s="37"/>
      <c r="J123" s="171"/>
      <c r="K123" s="178"/>
      <c r="L123" s="179"/>
      <c r="M123" s="180"/>
      <c r="N123" s="181"/>
      <c r="O123" s="37">
        <v>0</v>
      </c>
      <c r="P123" s="37"/>
      <c r="Q123" s="37"/>
      <c r="R123" s="37"/>
      <c r="S123" s="37"/>
    </row>
    <row r="124" spans="1:19" s="77" customFormat="1" x14ac:dyDescent="0.25">
      <c r="A124" s="37" t="s">
        <v>135</v>
      </c>
      <c r="B124" s="37"/>
      <c r="C124" s="33"/>
      <c r="D124" s="33"/>
      <c r="E124" s="33"/>
      <c r="F124" s="37"/>
      <c r="G124" s="37"/>
      <c r="H124" s="37"/>
      <c r="I124" s="37"/>
      <c r="J124" s="171"/>
      <c r="K124" s="178"/>
      <c r="L124" s="179"/>
      <c r="M124" s="180"/>
      <c r="N124" s="181"/>
      <c r="O124" s="37">
        <v>0</v>
      </c>
      <c r="P124" s="37"/>
      <c r="Q124" s="37"/>
      <c r="R124" s="37"/>
      <c r="S124" s="37"/>
    </row>
    <row r="125" spans="1:19" s="77" customFormat="1" x14ac:dyDescent="0.25">
      <c r="A125" s="37" t="s">
        <v>136</v>
      </c>
      <c r="B125" s="37"/>
      <c r="C125" s="33"/>
      <c r="D125" s="33"/>
      <c r="E125" s="33"/>
      <c r="F125" s="37"/>
      <c r="G125" s="37"/>
      <c r="H125" s="37"/>
      <c r="I125" s="37"/>
      <c r="J125" s="171"/>
      <c r="K125" s="178"/>
      <c r="L125" s="179"/>
      <c r="M125" s="180"/>
      <c r="N125" s="181"/>
      <c r="O125" s="37">
        <v>0</v>
      </c>
      <c r="P125" s="37"/>
      <c r="Q125" s="37"/>
      <c r="R125" s="37"/>
      <c r="S125" s="37"/>
    </row>
    <row r="126" spans="1:19" s="77" customFormat="1" x14ac:dyDescent="0.25">
      <c r="A126" s="37" t="s">
        <v>137</v>
      </c>
      <c r="B126" s="37"/>
      <c r="C126" s="33"/>
      <c r="D126" s="33"/>
      <c r="E126" s="33"/>
      <c r="F126" s="37"/>
      <c r="G126" s="37"/>
      <c r="H126" s="37"/>
      <c r="I126" s="37"/>
      <c r="J126" s="171"/>
      <c r="K126" s="178"/>
      <c r="L126" s="179"/>
      <c r="M126" s="180"/>
      <c r="N126" s="181"/>
      <c r="O126" s="37">
        <v>0</v>
      </c>
      <c r="P126" s="37"/>
      <c r="Q126" s="37"/>
      <c r="R126" s="37"/>
      <c r="S126" s="37"/>
    </row>
    <row r="127" spans="1:19" s="77" customFormat="1" x14ac:dyDescent="0.25">
      <c r="A127" s="37" t="s">
        <v>538</v>
      </c>
      <c r="B127" s="37"/>
      <c r="C127" s="33"/>
      <c r="D127" s="33"/>
      <c r="E127" s="33"/>
      <c r="F127" s="37"/>
      <c r="G127" s="37"/>
      <c r="H127" s="37"/>
      <c r="I127" s="37"/>
      <c r="J127" s="171"/>
      <c r="K127" s="178"/>
      <c r="L127" s="179"/>
      <c r="M127" s="180"/>
      <c r="N127" s="181"/>
      <c r="O127" s="37">
        <v>0</v>
      </c>
      <c r="P127" s="37"/>
      <c r="Q127" s="37"/>
      <c r="R127" s="37"/>
      <c r="S127" s="37"/>
    </row>
    <row r="128" spans="1:19" s="77" customFormat="1" x14ac:dyDescent="0.25">
      <c r="A128" s="37" t="s">
        <v>138</v>
      </c>
      <c r="B128" s="37"/>
      <c r="C128" s="33"/>
      <c r="D128" s="33"/>
      <c r="E128" s="33"/>
      <c r="F128" s="37"/>
      <c r="G128" s="37"/>
      <c r="H128" s="37"/>
      <c r="I128" s="37"/>
      <c r="J128" s="171"/>
      <c r="K128" s="178"/>
      <c r="L128" s="179"/>
      <c r="M128" s="180"/>
      <c r="N128" s="181"/>
      <c r="O128" s="37">
        <v>0</v>
      </c>
      <c r="P128" s="37"/>
      <c r="Q128" s="37"/>
      <c r="R128" s="37"/>
      <c r="S128" s="37"/>
    </row>
    <row r="129" spans="1:19" s="77" customFormat="1" x14ac:dyDescent="0.25">
      <c r="A129" s="37" t="s">
        <v>139</v>
      </c>
      <c r="B129" s="37"/>
      <c r="C129" s="33"/>
      <c r="D129" s="33"/>
      <c r="E129" s="33"/>
      <c r="F129" s="37"/>
      <c r="G129" s="37"/>
      <c r="H129" s="37"/>
      <c r="I129" s="37"/>
      <c r="J129" s="171"/>
      <c r="K129" s="178"/>
      <c r="L129" s="179"/>
      <c r="M129" s="180"/>
      <c r="N129" s="181"/>
      <c r="O129" s="37">
        <v>0</v>
      </c>
      <c r="P129" s="37"/>
      <c r="Q129" s="37"/>
      <c r="R129" s="37"/>
      <c r="S129" s="37"/>
    </row>
    <row r="130" spans="1:19" s="77" customFormat="1" x14ac:dyDescent="0.25">
      <c r="A130" s="37" t="s">
        <v>140</v>
      </c>
      <c r="B130" s="37"/>
      <c r="C130" s="33"/>
      <c r="D130" s="33"/>
      <c r="E130" s="33"/>
      <c r="F130" s="37"/>
      <c r="G130" s="37"/>
      <c r="H130" s="37"/>
      <c r="I130" s="37"/>
      <c r="J130" s="171"/>
      <c r="K130" s="178"/>
      <c r="L130" s="179"/>
      <c r="M130" s="180"/>
      <c r="N130" s="181"/>
      <c r="O130" s="37">
        <v>0</v>
      </c>
      <c r="P130" s="37"/>
      <c r="Q130" s="37"/>
      <c r="R130" s="37"/>
      <c r="S130" s="37"/>
    </row>
    <row r="131" spans="1:19" s="77" customFormat="1" x14ac:dyDescent="0.25">
      <c r="A131" s="37" t="s">
        <v>141</v>
      </c>
      <c r="B131" s="37"/>
      <c r="C131" s="33"/>
      <c r="D131" s="33"/>
      <c r="E131" s="33"/>
      <c r="F131" s="37"/>
      <c r="G131" s="37"/>
      <c r="H131" s="37"/>
      <c r="I131" s="37"/>
      <c r="J131" s="171"/>
      <c r="K131" s="178"/>
      <c r="L131" s="179"/>
      <c r="M131" s="180"/>
      <c r="N131" s="181"/>
      <c r="O131" s="37">
        <v>0</v>
      </c>
      <c r="P131" s="37"/>
      <c r="Q131" s="37"/>
      <c r="R131" s="37"/>
      <c r="S131" s="37"/>
    </row>
    <row r="132" spans="1:19" s="77" customFormat="1" x14ac:dyDescent="0.25">
      <c r="A132" s="37" t="s">
        <v>142</v>
      </c>
      <c r="B132" s="37"/>
      <c r="C132" s="33"/>
      <c r="D132" s="33"/>
      <c r="E132" s="33"/>
      <c r="F132" s="37"/>
      <c r="G132" s="37"/>
      <c r="H132" s="37"/>
      <c r="I132" s="37"/>
      <c r="J132" s="171"/>
      <c r="K132" s="178"/>
      <c r="L132" s="179"/>
      <c r="M132" s="180"/>
      <c r="N132" s="181"/>
      <c r="O132" s="37">
        <v>0</v>
      </c>
      <c r="P132" s="37"/>
      <c r="Q132" s="37"/>
      <c r="R132" s="37"/>
      <c r="S132" s="37"/>
    </row>
    <row r="133" spans="1:19" s="77" customFormat="1" x14ac:dyDescent="0.25">
      <c r="A133" s="37" t="s">
        <v>143</v>
      </c>
      <c r="B133" s="37"/>
      <c r="C133" s="33"/>
      <c r="D133" s="33"/>
      <c r="E133" s="33"/>
      <c r="F133" s="37"/>
      <c r="G133" s="37"/>
      <c r="H133" s="37"/>
      <c r="I133" s="37"/>
      <c r="J133" s="171"/>
      <c r="K133" s="178"/>
      <c r="L133" s="179"/>
      <c r="M133" s="180"/>
      <c r="N133" s="181"/>
      <c r="O133" s="37">
        <v>0</v>
      </c>
      <c r="P133" s="37"/>
      <c r="Q133" s="37"/>
      <c r="R133" s="37"/>
      <c r="S133" s="37"/>
    </row>
    <row r="134" spans="1:19" s="77" customFormat="1" x14ac:dyDescent="0.25">
      <c r="A134" s="37" t="s">
        <v>144</v>
      </c>
      <c r="B134" s="37"/>
      <c r="C134" s="33"/>
      <c r="D134" s="33"/>
      <c r="E134" s="33"/>
      <c r="F134" s="37"/>
      <c r="G134" s="37"/>
      <c r="H134" s="37"/>
      <c r="I134" s="37"/>
      <c r="J134" s="171"/>
      <c r="K134" s="178"/>
      <c r="L134" s="179"/>
      <c r="M134" s="180"/>
      <c r="N134" s="181"/>
      <c r="O134" s="37">
        <v>0</v>
      </c>
      <c r="P134" s="37"/>
      <c r="Q134" s="37"/>
      <c r="R134" s="37"/>
      <c r="S134" s="37"/>
    </row>
    <row r="135" spans="1:19" s="77" customFormat="1" x14ac:dyDescent="0.25">
      <c r="A135" s="37" t="s">
        <v>145</v>
      </c>
      <c r="B135" s="37"/>
      <c r="C135" s="33"/>
      <c r="D135" s="33"/>
      <c r="E135" s="33"/>
      <c r="F135" s="37"/>
      <c r="G135" s="37"/>
      <c r="H135" s="37"/>
      <c r="I135" s="37"/>
      <c r="J135" s="171"/>
      <c r="K135" s="178"/>
      <c r="L135" s="179"/>
      <c r="M135" s="180"/>
      <c r="N135" s="181"/>
      <c r="O135" s="37">
        <v>0</v>
      </c>
      <c r="P135" s="37"/>
      <c r="Q135" s="37"/>
      <c r="R135" s="37"/>
      <c r="S135" s="37"/>
    </row>
    <row r="136" spans="1:19" s="77" customFormat="1" x14ac:dyDescent="0.25">
      <c r="A136" s="37" t="s">
        <v>146</v>
      </c>
      <c r="B136" s="37"/>
      <c r="C136" s="33"/>
      <c r="D136" s="33"/>
      <c r="E136" s="33"/>
      <c r="F136" s="37"/>
      <c r="G136" s="37"/>
      <c r="H136" s="37"/>
      <c r="I136" s="37"/>
      <c r="J136" s="171"/>
      <c r="K136" s="178"/>
      <c r="L136" s="179"/>
      <c r="M136" s="180"/>
      <c r="N136" s="181"/>
      <c r="O136" s="37">
        <v>0</v>
      </c>
      <c r="P136" s="37"/>
      <c r="Q136" s="37"/>
      <c r="R136" s="37"/>
      <c r="S136" s="37"/>
    </row>
    <row r="137" spans="1:19" s="77" customFormat="1" x14ac:dyDescent="0.25">
      <c r="A137" s="37" t="s">
        <v>147</v>
      </c>
      <c r="B137" s="37"/>
      <c r="C137" s="33"/>
      <c r="D137" s="33"/>
      <c r="E137" s="33"/>
      <c r="F137" s="37"/>
      <c r="G137" s="37"/>
      <c r="H137" s="37"/>
      <c r="I137" s="37"/>
      <c r="J137" s="171"/>
      <c r="K137" s="178"/>
      <c r="L137" s="179"/>
      <c r="M137" s="180"/>
      <c r="N137" s="181"/>
      <c r="O137" s="37">
        <v>0</v>
      </c>
      <c r="P137" s="37"/>
      <c r="Q137" s="37"/>
      <c r="R137" s="37"/>
      <c r="S137" s="37"/>
    </row>
    <row r="138" spans="1:19" s="77" customFormat="1" x14ac:dyDescent="0.25">
      <c r="A138" s="37" t="s">
        <v>148</v>
      </c>
      <c r="B138" s="37"/>
      <c r="C138" s="33"/>
      <c r="D138" s="33"/>
      <c r="E138" s="33"/>
      <c r="F138" s="37"/>
      <c r="G138" s="37"/>
      <c r="H138" s="37"/>
      <c r="I138" s="37"/>
      <c r="J138" s="171"/>
      <c r="K138" s="178"/>
      <c r="L138" s="179"/>
      <c r="M138" s="180"/>
      <c r="N138" s="181"/>
      <c r="O138" s="37">
        <v>0</v>
      </c>
      <c r="P138" s="37"/>
      <c r="Q138" s="37"/>
      <c r="R138" s="37"/>
      <c r="S138" s="37"/>
    </row>
    <row r="139" spans="1:19" s="77" customFormat="1" x14ac:dyDescent="0.25">
      <c r="A139" s="37" t="s">
        <v>149</v>
      </c>
      <c r="B139" s="37"/>
      <c r="C139" s="33"/>
      <c r="D139" s="33"/>
      <c r="E139" s="33"/>
      <c r="F139" s="37"/>
      <c r="G139" s="37"/>
      <c r="H139" s="37"/>
      <c r="I139" s="37"/>
      <c r="J139" s="171"/>
      <c r="K139" s="178"/>
      <c r="L139" s="179"/>
      <c r="M139" s="180"/>
      <c r="N139" s="181"/>
      <c r="O139" s="37">
        <v>0</v>
      </c>
      <c r="P139" s="37"/>
      <c r="Q139" s="37"/>
      <c r="R139" s="37"/>
      <c r="S139" s="37"/>
    </row>
    <row r="140" spans="1:19" s="77" customFormat="1" x14ac:dyDescent="0.25">
      <c r="A140" s="37" t="s">
        <v>150</v>
      </c>
      <c r="B140" s="37"/>
      <c r="C140" s="33"/>
      <c r="D140" s="33"/>
      <c r="E140" s="33"/>
      <c r="F140" s="37"/>
      <c r="G140" s="37"/>
      <c r="H140" s="37"/>
      <c r="I140" s="37"/>
      <c r="J140" s="171"/>
      <c r="K140" s="178"/>
      <c r="L140" s="179"/>
      <c r="M140" s="180"/>
      <c r="N140" s="181"/>
      <c r="O140" s="37">
        <v>0</v>
      </c>
      <c r="P140" s="37"/>
      <c r="Q140" s="37"/>
      <c r="R140" s="37"/>
      <c r="S140" s="37"/>
    </row>
    <row r="141" spans="1:19" s="77" customFormat="1" x14ac:dyDescent="0.25">
      <c r="A141" s="37" t="s">
        <v>340</v>
      </c>
      <c r="B141" s="37"/>
      <c r="C141" s="33"/>
      <c r="D141" s="33"/>
      <c r="E141" s="33"/>
      <c r="F141" s="37"/>
      <c r="G141" s="37"/>
      <c r="H141" s="37"/>
      <c r="I141" s="37"/>
      <c r="J141" s="171"/>
      <c r="K141" s="178"/>
      <c r="L141" s="179"/>
      <c r="M141" s="180"/>
      <c r="N141" s="181"/>
      <c r="O141" s="37">
        <v>0</v>
      </c>
      <c r="P141" s="37"/>
      <c r="Q141" s="37"/>
      <c r="R141" s="37"/>
      <c r="S141" s="37"/>
    </row>
    <row r="142" spans="1:19" s="77" customFormat="1" x14ac:dyDescent="0.25">
      <c r="A142" s="37" t="s">
        <v>151</v>
      </c>
      <c r="B142" s="37"/>
      <c r="C142" s="33"/>
      <c r="D142" s="33"/>
      <c r="E142" s="33"/>
      <c r="F142" s="37"/>
      <c r="G142" s="37"/>
      <c r="H142" s="37"/>
      <c r="I142" s="37"/>
      <c r="J142" s="171"/>
      <c r="K142" s="178"/>
      <c r="L142" s="179"/>
      <c r="M142" s="180"/>
      <c r="N142" s="181"/>
      <c r="O142" s="37">
        <v>0</v>
      </c>
      <c r="P142" s="37"/>
      <c r="Q142" s="37"/>
      <c r="R142" s="37"/>
      <c r="S142" s="37"/>
    </row>
    <row r="143" spans="1:19" s="77" customFormat="1" x14ac:dyDescent="0.25">
      <c r="A143" s="37" t="s">
        <v>539</v>
      </c>
      <c r="B143" s="37"/>
      <c r="C143" s="33"/>
      <c r="D143" s="33"/>
      <c r="E143" s="33"/>
      <c r="F143" s="37"/>
      <c r="G143" s="37"/>
      <c r="H143" s="37"/>
      <c r="I143" s="37"/>
      <c r="J143" s="171"/>
      <c r="K143" s="178"/>
      <c r="L143" s="179"/>
      <c r="M143" s="180"/>
      <c r="N143" s="181"/>
      <c r="O143" s="37">
        <v>0</v>
      </c>
      <c r="P143" s="37"/>
      <c r="Q143" s="37"/>
      <c r="R143" s="37"/>
      <c r="S143" s="37"/>
    </row>
    <row r="144" spans="1:19" s="77" customFormat="1" x14ac:dyDescent="0.25">
      <c r="A144" s="37" t="s">
        <v>152</v>
      </c>
      <c r="B144" s="37"/>
      <c r="C144" s="33"/>
      <c r="D144" s="33"/>
      <c r="E144" s="33"/>
      <c r="F144" s="37"/>
      <c r="G144" s="37"/>
      <c r="H144" s="37"/>
      <c r="I144" s="37"/>
      <c r="J144" s="171"/>
      <c r="K144" s="178"/>
      <c r="L144" s="179"/>
      <c r="M144" s="180"/>
      <c r="N144" s="181"/>
      <c r="O144" s="37">
        <v>0</v>
      </c>
      <c r="P144" s="37"/>
      <c r="Q144" s="37"/>
      <c r="R144" s="37"/>
      <c r="S144" s="37"/>
    </row>
    <row r="145" spans="1:19" s="77" customFormat="1" x14ac:dyDescent="0.25">
      <c r="A145" s="37" t="s">
        <v>153</v>
      </c>
      <c r="B145" s="37"/>
      <c r="C145" s="33"/>
      <c r="D145" s="33"/>
      <c r="E145" s="33"/>
      <c r="F145" s="37"/>
      <c r="G145" s="37"/>
      <c r="H145" s="37"/>
      <c r="I145" s="37"/>
      <c r="J145" s="171"/>
      <c r="K145" s="178"/>
      <c r="L145" s="179"/>
      <c r="M145" s="180"/>
      <c r="N145" s="181"/>
      <c r="O145" s="37">
        <v>0</v>
      </c>
      <c r="P145" s="37"/>
      <c r="Q145" s="37"/>
      <c r="R145" s="37"/>
      <c r="S145" s="37"/>
    </row>
    <row r="146" spans="1:19" s="77" customFormat="1" x14ac:dyDescent="0.25">
      <c r="A146" s="37" t="s">
        <v>540</v>
      </c>
      <c r="B146" s="37"/>
      <c r="C146" s="33"/>
      <c r="D146" s="33"/>
      <c r="E146" s="33"/>
      <c r="F146" s="37"/>
      <c r="G146" s="37"/>
      <c r="H146" s="37"/>
      <c r="I146" s="37"/>
      <c r="J146" s="171"/>
      <c r="K146" s="178"/>
      <c r="L146" s="179"/>
      <c r="M146" s="180"/>
      <c r="N146" s="181"/>
      <c r="O146" s="37">
        <v>0</v>
      </c>
      <c r="P146" s="37"/>
      <c r="Q146" s="37"/>
      <c r="R146" s="37"/>
      <c r="S146" s="37"/>
    </row>
    <row r="147" spans="1:19" s="77" customFormat="1" x14ac:dyDescent="0.25">
      <c r="A147" s="37" t="s">
        <v>154</v>
      </c>
      <c r="B147" s="37"/>
      <c r="C147" s="33"/>
      <c r="D147" s="33"/>
      <c r="E147" s="33"/>
      <c r="F147" s="37"/>
      <c r="G147" s="37"/>
      <c r="H147" s="37"/>
      <c r="I147" s="37"/>
      <c r="J147" s="171"/>
      <c r="K147" s="178"/>
      <c r="L147" s="179"/>
      <c r="M147" s="180"/>
      <c r="N147" s="181"/>
      <c r="O147" s="37">
        <v>0</v>
      </c>
      <c r="P147" s="37"/>
      <c r="Q147" s="37"/>
      <c r="R147" s="37"/>
      <c r="S147" s="37"/>
    </row>
    <row r="148" spans="1:19" s="77" customFormat="1" x14ac:dyDescent="0.25">
      <c r="A148" s="37" t="s">
        <v>360</v>
      </c>
      <c r="B148" s="37"/>
      <c r="C148" s="33"/>
      <c r="D148" s="33"/>
      <c r="E148" s="33"/>
      <c r="F148" s="37"/>
      <c r="G148" s="37"/>
      <c r="H148" s="37"/>
      <c r="I148" s="37"/>
      <c r="J148" s="171"/>
      <c r="K148" s="178"/>
      <c r="L148" s="179"/>
      <c r="M148" s="180"/>
      <c r="N148" s="181"/>
      <c r="O148" s="37">
        <v>0</v>
      </c>
      <c r="P148" s="37"/>
      <c r="Q148" s="37"/>
      <c r="R148" s="37"/>
      <c r="S148" s="37"/>
    </row>
    <row r="149" spans="1:19" s="77" customFormat="1" x14ac:dyDescent="0.25">
      <c r="A149" s="37" t="s">
        <v>155</v>
      </c>
      <c r="B149" s="37"/>
      <c r="C149" s="33"/>
      <c r="D149" s="33"/>
      <c r="E149" s="33"/>
      <c r="F149" s="37"/>
      <c r="G149" s="37"/>
      <c r="H149" s="37"/>
      <c r="I149" s="37"/>
      <c r="J149" s="171"/>
      <c r="K149" s="178"/>
      <c r="L149" s="179"/>
      <c r="M149" s="180"/>
      <c r="N149" s="181"/>
      <c r="O149" s="37">
        <v>0</v>
      </c>
      <c r="P149" s="37"/>
      <c r="Q149" s="37"/>
      <c r="R149" s="37"/>
      <c r="S149" s="37"/>
    </row>
    <row r="150" spans="1:19" s="77" customFormat="1" x14ac:dyDescent="0.25">
      <c r="A150" s="37" t="s">
        <v>156</v>
      </c>
      <c r="B150" s="37"/>
      <c r="C150" s="33"/>
      <c r="D150" s="33"/>
      <c r="E150" s="33"/>
      <c r="F150" s="37"/>
      <c r="G150" s="37"/>
      <c r="H150" s="37"/>
      <c r="I150" s="37"/>
      <c r="J150" s="171"/>
      <c r="K150" s="178"/>
      <c r="L150" s="179"/>
      <c r="M150" s="180"/>
      <c r="N150" s="181"/>
      <c r="O150" s="37">
        <v>0</v>
      </c>
      <c r="P150" s="37"/>
      <c r="Q150" s="37"/>
      <c r="R150" s="37"/>
      <c r="S150" s="37"/>
    </row>
    <row r="151" spans="1:19" s="77" customFormat="1" x14ac:dyDescent="0.25">
      <c r="A151" s="37" t="s">
        <v>361</v>
      </c>
      <c r="B151" s="37"/>
      <c r="C151" s="33"/>
      <c r="D151" s="33"/>
      <c r="E151" s="33"/>
      <c r="F151" s="37"/>
      <c r="G151" s="37"/>
      <c r="H151" s="37"/>
      <c r="I151" s="37"/>
      <c r="J151" s="171"/>
      <c r="K151" s="178"/>
      <c r="L151" s="179"/>
      <c r="M151" s="180"/>
      <c r="N151" s="181"/>
      <c r="O151" s="37">
        <v>0</v>
      </c>
      <c r="P151" s="37"/>
      <c r="Q151" s="37"/>
      <c r="R151" s="37"/>
      <c r="S151" s="37"/>
    </row>
    <row r="152" spans="1:19" s="77" customFormat="1" x14ac:dyDescent="0.25">
      <c r="A152" s="37" t="s">
        <v>362</v>
      </c>
      <c r="B152" s="37"/>
      <c r="C152" s="33"/>
      <c r="D152" s="33"/>
      <c r="E152" s="33"/>
      <c r="F152" s="37"/>
      <c r="G152" s="37"/>
      <c r="H152" s="37"/>
      <c r="I152" s="37"/>
      <c r="J152" s="171"/>
      <c r="K152" s="178"/>
      <c r="L152" s="179"/>
      <c r="M152" s="180"/>
      <c r="N152" s="181"/>
      <c r="O152" s="37">
        <v>0</v>
      </c>
      <c r="P152" s="37"/>
      <c r="Q152" s="37"/>
      <c r="R152" s="37"/>
      <c r="S152" s="37"/>
    </row>
    <row r="153" spans="1:19" s="77" customFormat="1" x14ac:dyDescent="0.25">
      <c r="A153" s="37" t="s">
        <v>157</v>
      </c>
      <c r="B153" s="37"/>
      <c r="C153" s="33"/>
      <c r="D153" s="33"/>
      <c r="E153" s="33"/>
      <c r="F153" s="37"/>
      <c r="G153" s="37"/>
      <c r="H153" s="37"/>
      <c r="I153" s="37"/>
      <c r="J153" s="171"/>
      <c r="K153" s="178"/>
      <c r="L153" s="179"/>
      <c r="M153" s="180"/>
      <c r="N153" s="181"/>
      <c r="O153" s="37">
        <v>0</v>
      </c>
      <c r="P153" s="37"/>
      <c r="Q153" s="37"/>
      <c r="R153" s="37"/>
      <c r="S153" s="37"/>
    </row>
    <row r="154" spans="1:19" s="77" customFormat="1" x14ac:dyDescent="0.25">
      <c r="A154" s="37" t="s">
        <v>158</v>
      </c>
      <c r="B154" s="37"/>
      <c r="C154" s="33"/>
      <c r="D154" s="33"/>
      <c r="E154" s="33"/>
      <c r="F154" s="37"/>
      <c r="G154" s="37"/>
      <c r="H154" s="37"/>
      <c r="I154" s="37"/>
      <c r="J154" s="171"/>
      <c r="K154" s="178"/>
      <c r="L154" s="179"/>
      <c r="M154" s="180"/>
      <c r="N154" s="181"/>
      <c r="O154" s="37">
        <v>0</v>
      </c>
      <c r="P154" s="37"/>
      <c r="Q154" s="37"/>
      <c r="R154" s="37"/>
      <c r="S154" s="37"/>
    </row>
    <row r="155" spans="1:19" s="77" customFormat="1" x14ac:dyDescent="0.25">
      <c r="A155" s="37" t="s">
        <v>159</v>
      </c>
      <c r="B155" s="37"/>
      <c r="C155" s="33"/>
      <c r="D155" s="33"/>
      <c r="E155" s="33"/>
      <c r="F155" s="37"/>
      <c r="G155" s="37"/>
      <c r="H155" s="37"/>
      <c r="I155" s="37"/>
      <c r="J155" s="171"/>
      <c r="K155" s="178"/>
      <c r="L155" s="179"/>
      <c r="M155" s="180"/>
      <c r="N155" s="181"/>
      <c r="O155" s="37">
        <v>0</v>
      </c>
      <c r="P155" s="37"/>
      <c r="Q155" s="37"/>
      <c r="R155" s="37"/>
      <c r="S155" s="37"/>
    </row>
    <row r="156" spans="1:19" s="77" customFormat="1" x14ac:dyDescent="0.25">
      <c r="A156" s="37" t="s">
        <v>541</v>
      </c>
      <c r="B156" s="37"/>
      <c r="C156" s="33"/>
      <c r="D156" s="33"/>
      <c r="E156" s="33"/>
      <c r="F156" s="37"/>
      <c r="G156" s="37"/>
      <c r="H156" s="37"/>
      <c r="I156" s="37"/>
      <c r="J156" s="171"/>
      <c r="K156" s="178"/>
      <c r="L156" s="179"/>
      <c r="M156" s="180"/>
      <c r="N156" s="181"/>
      <c r="O156" s="37">
        <v>0</v>
      </c>
      <c r="P156" s="37"/>
      <c r="Q156" s="37"/>
      <c r="R156" s="37"/>
      <c r="S156" s="37"/>
    </row>
    <row r="157" spans="1:19" s="77" customFormat="1" x14ac:dyDescent="0.25">
      <c r="A157" s="37" t="s">
        <v>160</v>
      </c>
      <c r="B157" s="37"/>
      <c r="C157" s="33"/>
      <c r="D157" s="33"/>
      <c r="E157" s="33"/>
      <c r="F157" s="37"/>
      <c r="G157" s="37"/>
      <c r="H157" s="37"/>
      <c r="I157" s="37"/>
      <c r="J157" s="171"/>
      <c r="K157" s="178"/>
      <c r="L157" s="179"/>
      <c r="M157" s="180"/>
      <c r="N157" s="181"/>
      <c r="O157" s="37">
        <v>0</v>
      </c>
      <c r="P157" s="37"/>
      <c r="Q157" s="37"/>
      <c r="R157" s="37"/>
      <c r="S157" s="37"/>
    </row>
    <row r="158" spans="1:19" s="77" customFormat="1" x14ac:dyDescent="0.25">
      <c r="A158" s="37" t="s">
        <v>161</v>
      </c>
      <c r="B158" s="37"/>
      <c r="C158" s="33"/>
      <c r="D158" s="33"/>
      <c r="E158" s="33"/>
      <c r="F158" s="37"/>
      <c r="G158" s="37"/>
      <c r="H158" s="37"/>
      <c r="I158" s="37"/>
      <c r="J158" s="171"/>
      <c r="K158" s="178"/>
      <c r="L158" s="179"/>
      <c r="M158" s="180"/>
      <c r="N158" s="181"/>
      <c r="O158" s="37">
        <v>0</v>
      </c>
      <c r="P158" s="37"/>
      <c r="Q158" s="37"/>
      <c r="R158" s="37"/>
      <c r="S158" s="37"/>
    </row>
    <row r="159" spans="1:19" s="77" customFormat="1" x14ac:dyDescent="0.25">
      <c r="A159" s="37" t="s">
        <v>341</v>
      </c>
      <c r="B159" s="37"/>
      <c r="C159" s="33"/>
      <c r="D159" s="33"/>
      <c r="E159" s="33"/>
      <c r="F159" s="37"/>
      <c r="G159" s="37"/>
      <c r="H159" s="37"/>
      <c r="I159" s="37"/>
      <c r="J159" s="171"/>
      <c r="K159" s="178"/>
      <c r="L159" s="179"/>
      <c r="M159" s="180"/>
      <c r="N159" s="181"/>
      <c r="O159" s="37">
        <v>0</v>
      </c>
      <c r="P159" s="37"/>
      <c r="Q159" s="37"/>
      <c r="R159" s="37"/>
      <c r="S159" s="37"/>
    </row>
    <row r="160" spans="1:19" s="77" customFormat="1" x14ac:dyDescent="0.25">
      <c r="A160" s="37" t="s">
        <v>162</v>
      </c>
      <c r="B160" s="37"/>
      <c r="C160" s="33"/>
      <c r="D160" s="33"/>
      <c r="E160" s="33"/>
      <c r="F160" s="37"/>
      <c r="G160" s="37"/>
      <c r="H160" s="37"/>
      <c r="I160" s="37"/>
      <c r="J160" s="171"/>
      <c r="K160" s="178"/>
      <c r="L160" s="179"/>
      <c r="M160" s="180"/>
      <c r="N160" s="181"/>
      <c r="O160" s="37">
        <v>0</v>
      </c>
      <c r="P160" s="37"/>
      <c r="Q160" s="37"/>
      <c r="R160" s="37"/>
      <c r="S160" s="37"/>
    </row>
    <row r="161" spans="1:19" s="77" customFormat="1" x14ac:dyDescent="0.25">
      <c r="A161" s="37" t="s">
        <v>163</v>
      </c>
      <c r="B161" s="37"/>
      <c r="C161" s="33"/>
      <c r="D161" s="33"/>
      <c r="E161" s="33"/>
      <c r="F161" s="37"/>
      <c r="G161" s="37"/>
      <c r="H161" s="37"/>
      <c r="I161" s="37"/>
      <c r="J161" s="171"/>
      <c r="K161" s="178"/>
      <c r="L161" s="179"/>
      <c r="M161" s="180"/>
      <c r="N161" s="181"/>
      <c r="O161" s="37">
        <v>0</v>
      </c>
      <c r="P161" s="37"/>
      <c r="Q161" s="37"/>
      <c r="R161" s="37"/>
      <c r="S161" s="37"/>
    </row>
    <row r="162" spans="1:19" s="77" customFormat="1" x14ac:dyDescent="0.25">
      <c r="A162" s="37" t="s">
        <v>164</v>
      </c>
      <c r="B162" s="37"/>
      <c r="C162" s="33"/>
      <c r="D162" s="33"/>
      <c r="E162" s="33"/>
      <c r="F162" s="37"/>
      <c r="G162" s="37"/>
      <c r="H162" s="37"/>
      <c r="I162" s="37"/>
      <c r="J162" s="171"/>
      <c r="K162" s="178"/>
      <c r="L162" s="179"/>
      <c r="M162" s="180"/>
      <c r="N162" s="181"/>
      <c r="O162" s="37">
        <v>0</v>
      </c>
      <c r="P162" s="37"/>
      <c r="Q162" s="37"/>
      <c r="R162" s="37"/>
      <c r="S162" s="37"/>
    </row>
    <row r="163" spans="1:19" s="77" customFormat="1" x14ac:dyDescent="0.25">
      <c r="A163" s="37" t="s">
        <v>165</v>
      </c>
      <c r="B163" s="37"/>
      <c r="C163" s="33"/>
      <c r="D163" s="33"/>
      <c r="E163" s="33"/>
      <c r="J163" s="171"/>
      <c r="K163" s="178"/>
      <c r="L163" s="179"/>
      <c r="M163" s="180"/>
      <c r="N163" s="181"/>
      <c r="O163" s="37">
        <v>0</v>
      </c>
      <c r="P163" s="37"/>
      <c r="Q163" s="37"/>
      <c r="R163" s="37"/>
      <c r="S163" s="37"/>
    </row>
    <row r="164" spans="1:19" s="77" customFormat="1" x14ac:dyDescent="0.25">
      <c r="A164" s="37" t="s">
        <v>363</v>
      </c>
      <c r="B164" s="37"/>
      <c r="C164" s="33"/>
      <c r="D164" s="33"/>
      <c r="E164" s="33"/>
      <c r="J164" s="171"/>
      <c r="K164" s="178"/>
      <c r="L164" s="179"/>
      <c r="M164" s="180"/>
      <c r="N164" s="181"/>
      <c r="O164" s="37">
        <v>0</v>
      </c>
      <c r="P164" s="37"/>
      <c r="Q164" s="37"/>
      <c r="R164" s="37"/>
      <c r="S164" s="37"/>
    </row>
    <row r="165" spans="1:19" s="77" customFormat="1" x14ac:dyDescent="0.25">
      <c r="A165" s="37" t="s">
        <v>166</v>
      </c>
      <c r="B165" s="37"/>
      <c r="C165" s="33"/>
      <c r="D165" s="33"/>
      <c r="E165" s="33"/>
      <c r="J165" s="171"/>
      <c r="K165" s="178"/>
      <c r="L165" s="179"/>
      <c r="M165" s="180"/>
      <c r="N165" s="181"/>
      <c r="O165" s="37">
        <v>0</v>
      </c>
      <c r="P165" s="37"/>
      <c r="Q165" s="37"/>
      <c r="R165" s="37"/>
      <c r="S165" s="37"/>
    </row>
    <row r="166" spans="1:19" s="77" customFormat="1" x14ac:dyDescent="0.25">
      <c r="A166" s="37" t="s">
        <v>167</v>
      </c>
      <c r="B166" s="37"/>
      <c r="C166" s="33"/>
      <c r="D166" s="33"/>
      <c r="E166" s="33"/>
      <c r="J166" s="171"/>
      <c r="K166" s="178"/>
      <c r="L166" s="179"/>
      <c r="M166" s="180"/>
      <c r="N166" s="181"/>
      <c r="O166" s="37">
        <v>0</v>
      </c>
      <c r="P166" s="37"/>
      <c r="Q166" s="37"/>
      <c r="R166" s="37"/>
      <c r="S166" s="37"/>
    </row>
    <row r="167" spans="1:19" s="77" customFormat="1" x14ac:dyDescent="0.25">
      <c r="A167" s="37" t="s">
        <v>342</v>
      </c>
      <c r="B167" s="37"/>
      <c r="C167" s="33"/>
      <c r="D167" s="33"/>
      <c r="E167" s="33"/>
      <c r="J167" s="171"/>
      <c r="K167" s="178"/>
      <c r="L167" s="179"/>
      <c r="M167" s="180"/>
      <c r="N167" s="181"/>
      <c r="O167" s="37">
        <v>0</v>
      </c>
      <c r="P167" s="37"/>
      <c r="Q167" s="37"/>
      <c r="R167" s="37"/>
      <c r="S167" s="37"/>
    </row>
    <row r="168" spans="1:19" s="77" customFormat="1" x14ac:dyDescent="0.25">
      <c r="A168" s="37" t="s">
        <v>168</v>
      </c>
      <c r="B168" s="37"/>
      <c r="C168" s="33"/>
      <c r="D168" s="33"/>
      <c r="E168" s="33"/>
      <c r="J168" s="171"/>
      <c r="K168" s="178"/>
      <c r="L168" s="179"/>
      <c r="M168" s="180"/>
      <c r="N168" s="181"/>
      <c r="O168" s="37">
        <v>0</v>
      </c>
      <c r="P168" s="37"/>
      <c r="Q168" s="37"/>
      <c r="R168" s="37"/>
      <c r="S168" s="37"/>
    </row>
    <row r="169" spans="1:19" s="77" customFormat="1" x14ac:dyDescent="0.25">
      <c r="A169" s="37" t="s">
        <v>169</v>
      </c>
      <c r="B169" s="37"/>
      <c r="C169" s="33"/>
      <c r="D169" s="33"/>
      <c r="E169" s="33"/>
      <c r="J169" s="171"/>
      <c r="K169" s="178"/>
      <c r="L169" s="179"/>
      <c r="M169" s="180"/>
      <c r="N169" s="181"/>
      <c r="O169" s="37">
        <v>0</v>
      </c>
      <c r="P169" s="37"/>
      <c r="Q169" s="37"/>
      <c r="R169" s="37"/>
      <c r="S169" s="37"/>
    </row>
    <row r="170" spans="1:19" s="77" customFormat="1" x14ac:dyDescent="0.25">
      <c r="A170" s="37" t="s">
        <v>542</v>
      </c>
      <c r="B170" s="37"/>
      <c r="C170" s="33"/>
      <c r="D170" s="33"/>
      <c r="E170" s="33"/>
      <c r="J170" s="171"/>
      <c r="K170" s="178"/>
      <c r="L170" s="179"/>
      <c r="M170" s="180"/>
      <c r="N170" s="181"/>
      <c r="O170" s="37">
        <v>0</v>
      </c>
      <c r="P170" s="37"/>
      <c r="Q170" s="37"/>
      <c r="R170" s="37"/>
      <c r="S170" s="37"/>
    </row>
    <row r="171" spans="1:19" s="77" customFormat="1" x14ac:dyDescent="0.25">
      <c r="A171" s="37" t="s">
        <v>170</v>
      </c>
      <c r="B171" s="37"/>
      <c r="C171" s="33"/>
      <c r="D171" s="33"/>
      <c r="E171" s="33"/>
      <c r="J171" s="171"/>
      <c r="K171" s="178"/>
      <c r="L171" s="179"/>
      <c r="M171" s="180"/>
      <c r="N171" s="181"/>
      <c r="O171" s="37">
        <v>0</v>
      </c>
      <c r="P171" s="37"/>
      <c r="Q171" s="37"/>
      <c r="R171" s="37"/>
      <c r="S171" s="37"/>
    </row>
    <row r="172" spans="1:19" s="77" customFormat="1" x14ac:dyDescent="0.25">
      <c r="A172" s="37" t="s">
        <v>171</v>
      </c>
      <c r="B172" s="37"/>
      <c r="C172" s="33"/>
      <c r="D172" s="33"/>
      <c r="E172" s="33"/>
      <c r="J172" s="171"/>
      <c r="K172" s="178"/>
      <c r="L172" s="179"/>
      <c r="M172" s="180"/>
      <c r="N172" s="181"/>
      <c r="O172" s="37">
        <v>0</v>
      </c>
      <c r="P172" s="37"/>
      <c r="Q172" s="37"/>
      <c r="R172" s="37"/>
      <c r="S172" s="37"/>
    </row>
    <row r="173" spans="1:19" s="77" customFormat="1" x14ac:dyDescent="0.25">
      <c r="A173" s="37" t="s">
        <v>364</v>
      </c>
      <c r="B173" s="37"/>
      <c r="C173" s="33"/>
      <c r="D173" s="33"/>
      <c r="E173" s="33"/>
      <c r="J173" s="171"/>
      <c r="K173" s="178"/>
      <c r="L173" s="179"/>
      <c r="M173" s="180"/>
      <c r="N173" s="181"/>
      <c r="O173" s="37">
        <v>0</v>
      </c>
      <c r="P173" s="37"/>
      <c r="Q173" s="37"/>
      <c r="R173" s="37"/>
      <c r="S173" s="37"/>
    </row>
    <row r="174" spans="1:19" s="77" customFormat="1" x14ac:dyDescent="0.25">
      <c r="A174" s="37" t="s">
        <v>343</v>
      </c>
      <c r="B174" s="37"/>
      <c r="C174" s="33"/>
      <c r="D174" s="33"/>
      <c r="E174" s="33"/>
      <c r="J174" s="171"/>
      <c r="K174" s="178"/>
      <c r="L174" s="179"/>
      <c r="M174" s="180"/>
      <c r="N174" s="181"/>
      <c r="O174" s="37">
        <v>0</v>
      </c>
      <c r="P174" s="37"/>
      <c r="Q174" s="37"/>
      <c r="R174" s="37"/>
      <c r="S174" s="37"/>
    </row>
    <row r="175" spans="1:19" s="77" customFormat="1" x14ac:dyDescent="0.25">
      <c r="A175" s="37" t="s">
        <v>172</v>
      </c>
      <c r="B175" s="37"/>
      <c r="C175" s="33"/>
      <c r="D175" s="33"/>
      <c r="E175" s="33"/>
      <c r="J175" s="171"/>
      <c r="K175" s="178"/>
      <c r="L175" s="179"/>
      <c r="M175" s="180"/>
      <c r="N175" s="181"/>
      <c r="O175" s="37">
        <v>0</v>
      </c>
      <c r="P175" s="37"/>
      <c r="Q175" s="37"/>
      <c r="R175" s="37"/>
      <c r="S175" s="37"/>
    </row>
    <row r="176" spans="1:19" s="77" customFormat="1" x14ac:dyDescent="0.25">
      <c r="A176" s="37" t="s">
        <v>173</v>
      </c>
      <c r="B176" s="37"/>
      <c r="C176" s="33"/>
      <c r="D176" s="33"/>
      <c r="E176" s="33"/>
      <c r="J176" s="171"/>
      <c r="K176" s="178"/>
      <c r="L176" s="179"/>
      <c r="M176" s="180"/>
      <c r="N176" s="181"/>
      <c r="O176" s="37">
        <v>0</v>
      </c>
      <c r="P176" s="37"/>
      <c r="Q176" s="37"/>
      <c r="R176" s="37"/>
      <c r="S176" s="37"/>
    </row>
    <row r="177" spans="1:19" s="77" customFormat="1" x14ac:dyDescent="0.25">
      <c r="A177" s="37" t="s">
        <v>543</v>
      </c>
      <c r="B177" s="37"/>
      <c r="C177" s="33"/>
      <c r="D177" s="33"/>
      <c r="E177" s="33"/>
      <c r="J177" s="171"/>
      <c r="K177" s="178"/>
      <c r="L177" s="179"/>
      <c r="M177" s="180"/>
      <c r="N177" s="181"/>
      <c r="O177" s="37">
        <v>0</v>
      </c>
      <c r="P177" s="37"/>
      <c r="Q177" s="37"/>
      <c r="R177" s="37"/>
      <c r="S177" s="37"/>
    </row>
    <row r="178" spans="1:19" s="77" customFormat="1" x14ac:dyDescent="0.25">
      <c r="A178" s="37" t="s">
        <v>344</v>
      </c>
      <c r="B178" s="37"/>
      <c r="C178" s="33"/>
      <c r="D178" s="33"/>
      <c r="E178" s="33"/>
      <c r="J178" s="171"/>
      <c r="K178" s="178"/>
      <c r="L178" s="179"/>
      <c r="M178" s="180"/>
      <c r="N178" s="181"/>
      <c r="O178" s="37">
        <v>0</v>
      </c>
      <c r="P178" s="37"/>
      <c r="Q178" s="37"/>
      <c r="R178" s="37"/>
      <c r="S178" s="37"/>
    </row>
    <row r="179" spans="1:19" s="77" customFormat="1" x14ac:dyDescent="0.25">
      <c r="A179" s="37" t="s">
        <v>174</v>
      </c>
      <c r="B179" s="37"/>
      <c r="C179" s="33"/>
      <c r="D179" s="33"/>
      <c r="E179" s="33"/>
      <c r="J179" s="171"/>
      <c r="K179" s="178"/>
      <c r="L179" s="179"/>
      <c r="M179" s="180"/>
      <c r="N179" s="181"/>
      <c r="O179" s="37">
        <v>0</v>
      </c>
      <c r="P179" s="37"/>
      <c r="Q179" s="37"/>
      <c r="R179" s="37"/>
      <c r="S179" s="37"/>
    </row>
    <row r="180" spans="1:19" s="77" customFormat="1" x14ac:dyDescent="0.25">
      <c r="A180" s="37" t="s">
        <v>175</v>
      </c>
      <c r="B180" s="37"/>
      <c r="C180" s="33"/>
      <c r="D180" s="33"/>
      <c r="E180" s="33"/>
      <c r="J180" s="171"/>
      <c r="K180" s="178"/>
      <c r="L180" s="179"/>
      <c r="M180" s="180"/>
      <c r="N180" s="181"/>
      <c r="O180" s="37">
        <v>0</v>
      </c>
      <c r="P180" s="37"/>
      <c r="Q180" s="37"/>
      <c r="R180" s="37"/>
      <c r="S180" s="37"/>
    </row>
    <row r="181" spans="1:19" s="77" customFormat="1" x14ac:dyDescent="0.25">
      <c r="A181" s="37" t="s">
        <v>544</v>
      </c>
      <c r="B181" s="37"/>
      <c r="C181" s="33"/>
      <c r="D181" s="33"/>
      <c r="E181" s="33"/>
      <c r="J181" s="171"/>
      <c r="K181" s="178"/>
      <c r="L181" s="179"/>
      <c r="M181" s="180"/>
      <c r="N181" s="181"/>
      <c r="O181" s="37">
        <v>0</v>
      </c>
      <c r="P181" s="37"/>
      <c r="Q181" s="37"/>
      <c r="R181" s="37"/>
      <c r="S181" s="37"/>
    </row>
    <row r="182" spans="1:19" s="77" customFormat="1" x14ac:dyDescent="0.25">
      <c r="A182" s="37" t="s">
        <v>176</v>
      </c>
      <c r="B182" s="37"/>
      <c r="C182" s="33"/>
      <c r="D182" s="33"/>
      <c r="E182" s="33"/>
      <c r="J182" s="171"/>
      <c r="K182" s="178"/>
      <c r="L182" s="179"/>
      <c r="M182" s="180"/>
      <c r="N182" s="181"/>
      <c r="O182" s="37">
        <v>0</v>
      </c>
      <c r="P182" s="37"/>
      <c r="Q182" s="37"/>
      <c r="R182" s="37"/>
      <c r="S182" s="37"/>
    </row>
    <row r="183" spans="1:19" s="77" customFormat="1" x14ac:dyDescent="0.25">
      <c r="A183" s="37" t="s">
        <v>177</v>
      </c>
      <c r="B183" s="37"/>
      <c r="C183" s="33"/>
      <c r="D183" s="33"/>
      <c r="E183" s="33"/>
      <c r="J183" s="171"/>
      <c r="K183" s="178"/>
      <c r="L183" s="179"/>
      <c r="M183" s="180"/>
      <c r="N183" s="181"/>
      <c r="O183" s="37">
        <v>0</v>
      </c>
      <c r="P183" s="37"/>
      <c r="Q183" s="37"/>
      <c r="R183" s="37"/>
      <c r="S183" s="37"/>
    </row>
    <row r="184" spans="1:19" s="77" customFormat="1" x14ac:dyDescent="0.25">
      <c r="A184" s="37" t="s">
        <v>545</v>
      </c>
      <c r="B184" s="37"/>
      <c r="C184" s="33"/>
      <c r="D184" s="33"/>
      <c r="E184" s="33"/>
      <c r="J184" s="171"/>
      <c r="K184" s="178"/>
      <c r="L184" s="179"/>
      <c r="M184" s="180"/>
      <c r="N184" s="181"/>
      <c r="O184" s="37">
        <v>0</v>
      </c>
      <c r="P184" s="37"/>
      <c r="Q184" s="37"/>
      <c r="R184" s="37"/>
      <c r="S184" s="37"/>
    </row>
    <row r="185" spans="1:19" s="77" customFormat="1" x14ac:dyDescent="0.25">
      <c r="A185" s="37" t="s">
        <v>546</v>
      </c>
      <c r="B185" s="37"/>
      <c r="C185" s="33"/>
      <c r="D185" s="33"/>
      <c r="E185" s="33"/>
      <c r="J185" s="171"/>
      <c r="K185" s="178"/>
      <c r="L185" s="179"/>
      <c r="M185" s="180"/>
      <c r="N185" s="181"/>
      <c r="O185" s="37">
        <v>0</v>
      </c>
      <c r="P185" s="37"/>
      <c r="Q185" s="37"/>
      <c r="R185" s="37"/>
      <c r="S185" s="37"/>
    </row>
    <row r="186" spans="1:19" s="77" customFormat="1" x14ac:dyDescent="0.25">
      <c r="A186" s="37" t="s">
        <v>178</v>
      </c>
      <c r="B186" s="37"/>
      <c r="C186" s="33"/>
      <c r="D186" s="33"/>
      <c r="E186" s="33"/>
      <c r="J186" s="171"/>
      <c r="K186" s="178"/>
      <c r="L186" s="179"/>
      <c r="M186" s="180"/>
      <c r="N186" s="181"/>
      <c r="O186" s="37">
        <v>0</v>
      </c>
      <c r="P186" s="37"/>
      <c r="Q186" s="37"/>
      <c r="R186" s="37"/>
      <c r="S186" s="37"/>
    </row>
    <row r="187" spans="1:19" s="77" customFormat="1" x14ac:dyDescent="0.25">
      <c r="A187" s="37" t="s">
        <v>179</v>
      </c>
      <c r="B187" s="37"/>
      <c r="C187" s="33"/>
      <c r="D187" s="33"/>
      <c r="E187" s="33"/>
      <c r="J187" s="171"/>
      <c r="K187" s="178"/>
      <c r="L187" s="179"/>
      <c r="M187" s="180"/>
      <c r="N187" s="181"/>
      <c r="O187" s="37">
        <v>0</v>
      </c>
      <c r="P187" s="37"/>
      <c r="Q187" s="37"/>
      <c r="R187" s="37"/>
      <c r="S187" s="37"/>
    </row>
    <row r="188" spans="1:19" s="77" customFormat="1" x14ac:dyDescent="0.25">
      <c r="A188" s="37" t="s">
        <v>180</v>
      </c>
      <c r="B188" s="37"/>
      <c r="C188" s="33"/>
      <c r="D188" s="33"/>
      <c r="E188" s="33"/>
      <c r="J188" s="171"/>
      <c r="K188" s="178"/>
      <c r="L188" s="179"/>
      <c r="M188" s="180"/>
      <c r="N188" s="181"/>
      <c r="O188" s="37">
        <v>0</v>
      </c>
      <c r="P188" s="37"/>
      <c r="Q188" s="37"/>
      <c r="R188" s="37"/>
      <c r="S188" s="37"/>
    </row>
    <row r="189" spans="1:19" s="77" customFormat="1" x14ac:dyDescent="0.25">
      <c r="A189" s="37" t="s">
        <v>181</v>
      </c>
      <c r="B189" s="37"/>
      <c r="C189" s="33"/>
      <c r="D189" s="33"/>
      <c r="E189" s="33"/>
      <c r="J189" s="171"/>
      <c r="K189" s="178"/>
      <c r="L189" s="179"/>
      <c r="M189" s="180"/>
      <c r="N189" s="181"/>
      <c r="O189" s="37">
        <v>0</v>
      </c>
      <c r="P189" s="37"/>
      <c r="Q189" s="37"/>
      <c r="R189" s="37"/>
      <c r="S189" s="37"/>
    </row>
    <row r="190" spans="1:19" s="77" customFormat="1" x14ac:dyDescent="0.25">
      <c r="A190" s="37" t="s">
        <v>182</v>
      </c>
      <c r="B190" s="37"/>
      <c r="C190" s="33"/>
      <c r="D190" s="33"/>
      <c r="E190" s="33"/>
      <c r="J190" s="171"/>
      <c r="K190" s="178"/>
      <c r="L190" s="179"/>
      <c r="M190" s="180"/>
      <c r="N190" s="181"/>
      <c r="O190" s="37">
        <v>0</v>
      </c>
      <c r="P190" s="37"/>
      <c r="Q190" s="37"/>
      <c r="R190" s="37"/>
      <c r="S190" s="37"/>
    </row>
    <row r="191" spans="1:19" s="77" customFormat="1" x14ac:dyDescent="0.25">
      <c r="A191" s="37" t="s">
        <v>183</v>
      </c>
      <c r="B191" s="37"/>
      <c r="C191" s="33"/>
      <c r="D191" s="33"/>
      <c r="E191" s="33"/>
      <c r="J191" s="171"/>
      <c r="K191" s="178"/>
      <c r="L191" s="179"/>
      <c r="M191" s="180"/>
      <c r="N191" s="181"/>
      <c r="O191" s="37">
        <v>0</v>
      </c>
      <c r="P191" s="37"/>
      <c r="Q191" s="37"/>
      <c r="R191" s="37"/>
      <c r="S191" s="37"/>
    </row>
    <row r="192" spans="1:19" s="77" customFormat="1" x14ac:dyDescent="0.25">
      <c r="A192" s="37" t="s">
        <v>184</v>
      </c>
      <c r="B192" s="37"/>
      <c r="C192" s="33"/>
      <c r="D192" s="33"/>
      <c r="E192" s="33"/>
      <c r="J192" s="171"/>
      <c r="K192" s="178"/>
      <c r="L192" s="179"/>
      <c r="M192" s="180"/>
      <c r="N192" s="181"/>
      <c r="O192" s="37">
        <v>0</v>
      </c>
      <c r="P192" s="37"/>
      <c r="Q192" s="37"/>
      <c r="R192" s="37"/>
      <c r="S192" s="37"/>
    </row>
    <row r="193" spans="1:19" s="77" customFormat="1" x14ac:dyDescent="0.25">
      <c r="A193" s="37" t="s">
        <v>185</v>
      </c>
      <c r="B193" s="37"/>
      <c r="C193" s="33"/>
      <c r="D193" s="33"/>
      <c r="E193" s="33"/>
      <c r="J193" s="171"/>
      <c r="K193" s="178"/>
      <c r="L193" s="179"/>
      <c r="M193" s="180"/>
      <c r="N193" s="181"/>
      <c r="O193" s="37">
        <v>0</v>
      </c>
      <c r="P193" s="37"/>
      <c r="Q193" s="37"/>
      <c r="R193" s="37"/>
      <c r="S193" s="37"/>
    </row>
    <row r="194" spans="1:19" s="77" customFormat="1" x14ac:dyDescent="0.25">
      <c r="A194" s="37" t="s">
        <v>186</v>
      </c>
      <c r="B194" s="37"/>
      <c r="C194" s="33"/>
      <c r="D194" s="33"/>
      <c r="E194" s="33"/>
      <c r="J194" s="171"/>
      <c r="K194" s="178"/>
      <c r="L194" s="179"/>
      <c r="M194" s="180"/>
      <c r="N194" s="181"/>
      <c r="O194" s="37">
        <v>0</v>
      </c>
      <c r="P194" s="37"/>
      <c r="Q194" s="37"/>
      <c r="R194" s="37"/>
      <c r="S194" s="37"/>
    </row>
    <row r="195" spans="1:19" s="77" customFormat="1" x14ac:dyDescent="0.25">
      <c r="A195" s="37" t="s">
        <v>561</v>
      </c>
      <c r="B195" s="37"/>
      <c r="C195" s="33"/>
      <c r="D195" s="33"/>
      <c r="E195" s="33"/>
      <c r="J195" s="171"/>
      <c r="K195" s="178"/>
      <c r="L195" s="179"/>
      <c r="M195" s="180"/>
      <c r="N195" s="181"/>
      <c r="O195" s="37">
        <v>0</v>
      </c>
      <c r="P195" s="37"/>
      <c r="Q195" s="37"/>
      <c r="R195" s="37"/>
      <c r="S195" s="37"/>
    </row>
    <row r="196" spans="1:19" s="77" customFormat="1" x14ac:dyDescent="0.25">
      <c r="A196" s="37" t="s">
        <v>365</v>
      </c>
      <c r="B196" s="37"/>
      <c r="C196" s="33"/>
      <c r="D196" s="33"/>
      <c r="E196" s="33"/>
      <c r="J196" s="171"/>
      <c r="K196" s="178"/>
      <c r="L196" s="179"/>
      <c r="M196" s="180"/>
      <c r="N196" s="181"/>
      <c r="O196" s="37">
        <v>0</v>
      </c>
      <c r="P196" s="37"/>
      <c r="Q196" s="37"/>
      <c r="R196" s="37"/>
      <c r="S196" s="37"/>
    </row>
    <row r="197" spans="1:19" s="77" customFormat="1" x14ac:dyDescent="0.25">
      <c r="A197" s="37" t="s">
        <v>366</v>
      </c>
      <c r="B197" s="37"/>
      <c r="C197" s="33"/>
      <c r="D197" s="33"/>
      <c r="E197" s="33"/>
      <c r="J197" s="171"/>
      <c r="K197" s="178"/>
      <c r="L197" s="179"/>
      <c r="M197" s="180"/>
      <c r="N197" s="181"/>
      <c r="O197" s="37">
        <v>0</v>
      </c>
      <c r="P197" s="37"/>
      <c r="Q197" s="37"/>
      <c r="R197" s="37"/>
      <c r="S197" s="37"/>
    </row>
    <row r="198" spans="1:19" s="77" customFormat="1" x14ac:dyDescent="0.25">
      <c r="A198" s="37" t="s">
        <v>562</v>
      </c>
      <c r="B198" s="37"/>
      <c r="C198" s="33"/>
      <c r="D198" s="33"/>
      <c r="E198" s="33"/>
      <c r="J198" s="171"/>
      <c r="K198" s="178"/>
      <c r="L198" s="179"/>
      <c r="M198" s="180"/>
      <c r="N198" s="181"/>
      <c r="O198" s="37">
        <v>0</v>
      </c>
      <c r="P198" s="37"/>
      <c r="Q198" s="37"/>
      <c r="R198" s="37"/>
      <c r="S198" s="37"/>
    </row>
    <row r="199" spans="1:19" s="77" customFormat="1" x14ac:dyDescent="0.25">
      <c r="A199" s="37" t="s">
        <v>367</v>
      </c>
      <c r="B199" s="37"/>
      <c r="C199" s="33"/>
      <c r="D199" s="33"/>
      <c r="E199" s="33"/>
      <c r="J199" s="171"/>
      <c r="K199" s="178"/>
      <c r="L199" s="179"/>
      <c r="M199" s="180"/>
      <c r="N199" s="181"/>
      <c r="O199" s="37">
        <v>0</v>
      </c>
      <c r="P199" s="37"/>
      <c r="Q199" s="37"/>
      <c r="R199" s="37"/>
      <c r="S199" s="37"/>
    </row>
    <row r="200" spans="1:19" s="77" customFormat="1" x14ac:dyDescent="0.25">
      <c r="A200" s="37" t="s">
        <v>368</v>
      </c>
      <c r="B200" s="37"/>
      <c r="C200" s="33"/>
      <c r="D200" s="33"/>
      <c r="E200" s="33"/>
      <c r="J200" s="171"/>
      <c r="K200" s="178"/>
      <c r="L200" s="179"/>
      <c r="M200" s="180"/>
      <c r="N200" s="181"/>
      <c r="O200" s="37">
        <v>0</v>
      </c>
      <c r="P200" s="37"/>
      <c r="Q200" s="37"/>
      <c r="R200" s="37"/>
      <c r="S200" s="37"/>
    </row>
    <row r="201" spans="1:19" s="77" customFormat="1" x14ac:dyDescent="0.25">
      <c r="A201" s="37" t="s">
        <v>563</v>
      </c>
      <c r="B201" s="37"/>
      <c r="C201" s="33"/>
      <c r="D201" s="33"/>
      <c r="E201" s="33"/>
      <c r="J201" s="171"/>
      <c r="K201" s="178"/>
      <c r="L201" s="179"/>
      <c r="M201" s="180"/>
      <c r="N201" s="181"/>
      <c r="O201" s="37">
        <v>0</v>
      </c>
      <c r="P201" s="37"/>
      <c r="Q201" s="37"/>
      <c r="R201" s="37"/>
      <c r="S201" s="37"/>
    </row>
    <row r="202" spans="1:19" s="77" customFormat="1" x14ac:dyDescent="0.25">
      <c r="A202" s="37" t="s">
        <v>369</v>
      </c>
      <c r="B202" s="37"/>
      <c r="C202" s="33"/>
      <c r="D202" s="33"/>
      <c r="E202" s="33"/>
      <c r="J202" s="171"/>
      <c r="K202" s="178"/>
      <c r="L202" s="179"/>
      <c r="M202" s="180"/>
      <c r="N202" s="181"/>
      <c r="O202" s="37">
        <v>0</v>
      </c>
      <c r="P202" s="37"/>
      <c r="Q202" s="37"/>
      <c r="R202" s="37"/>
      <c r="S202" s="37"/>
    </row>
    <row r="203" spans="1:19" s="77" customFormat="1" x14ac:dyDescent="0.25">
      <c r="A203" s="37" t="s">
        <v>564</v>
      </c>
      <c r="B203" s="37"/>
      <c r="C203" s="33"/>
      <c r="D203" s="33"/>
      <c r="E203" s="33"/>
      <c r="J203" s="171"/>
      <c r="K203" s="178"/>
      <c r="L203" s="179"/>
      <c r="M203" s="180"/>
      <c r="N203" s="181"/>
      <c r="O203" s="37">
        <v>0</v>
      </c>
      <c r="P203" s="37"/>
      <c r="Q203" s="37"/>
      <c r="R203" s="37"/>
      <c r="S203" s="37"/>
    </row>
    <row r="204" spans="1:19" s="77" customFormat="1" x14ac:dyDescent="0.25">
      <c r="A204" s="37" t="s">
        <v>370</v>
      </c>
      <c r="B204" s="37"/>
      <c r="C204" s="33"/>
      <c r="D204" s="33"/>
      <c r="E204" s="33"/>
      <c r="J204" s="171"/>
      <c r="K204" s="178"/>
      <c r="L204" s="179"/>
      <c r="M204" s="180"/>
      <c r="N204" s="181"/>
      <c r="O204" s="37">
        <v>0</v>
      </c>
      <c r="P204" s="37"/>
      <c r="Q204" s="37"/>
      <c r="R204" s="37"/>
      <c r="S204" s="37"/>
    </row>
    <row r="205" spans="1:19" s="77" customFormat="1" x14ac:dyDescent="0.25">
      <c r="A205" s="37" t="s">
        <v>371</v>
      </c>
      <c r="B205" s="37"/>
      <c r="C205" s="33"/>
      <c r="D205" s="33"/>
      <c r="E205" s="33"/>
      <c r="J205" s="171"/>
      <c r="K205" s="178"/>
      <c r="L205" s="179"/>
      <c r="M205" s="180"/>
      <c r="N205" s="181"/>
      <c r="O205" s="37">
        <v>0</v>
      </c>
      <c r="P205" s="37"/>
      <c r="Q205" s="37"/>
      <c r="R205" s="37"/>
      <c r="S205" s="37"/>
    </row>
    <row r="206" spans="1:19" s="77" customFormat="1" x14ac:dyDescent="0.25">
      <c r="A206" s="37" t="s">
        <v>372</v>
      </c>
      <c r="B206" s="37"/>
      <c r="C206" s="33"/>
      <c r="D206" s="33"/>
      <c r="E206" s="33"/>
      <c r="J206" s="171"/>
      <c r="K206" s="178"/>
      <c r="L206" s="179"/>
      <c r="M206" s="180"/>
      <c r="N206" s="181"/>
      <c r="O206" s="37">
        <v>0</v>
      </c>
      <c r="P206" s="37"/>
      <c r="Q206" s="37"/>
      <c r="R206" s="37"/>
      <c r="S206" s="37"/>
    </row>
    <row r="207" spans="1:19" s="77" customFormat="1" x14ac:dyDescent="0.25">
      <c r="A207" s="37" t="s">
        <v>373</v>
      </c>
      <c r="B207" s="37"/>
      <c r="C207" s="33"/>
      <c r="D207" s="33"/>
      <c r="E207" s="33"/>
      <c r="J207" s="171"/>
      <c r="K207" s="178"/>
      <c r="L207" s="179"/>
      <c r="M207" s="180"/>
      <c r="N207" s="181"/>
      <c r="O207" s="37">
        <v>0</v>
      </c>
      <c r="P207" s="37"/>
      <c r="Q207" s="37"/>
      <c r="R207" s="37"/>
      <c r="S207" s="37"/>
    </row>
    <row r="208" spans="1:19" s="77" customFormat="1" x14ac:dyDescent="0.25">
      <c r="A208" s="37" t="s">
        <v>374</v>
      </c>
      <c r="B208" s="37"/>
      <c r="C208" s="33"/>
      <c r="D208" s="33"/>
      <c r="E208" s="33"/>
      <c r="J208" s="171"/>
      <c r="K208" s="178"/>
      <c r="L208" s="179"/>
      <c r="M208" s="180"/>
      <c r="N208" s="181"/>
      <c r="O208" s="37">
        <v>0</v>
      </c>
      <c r="P208" s="37"/>
      <c r="Q208" s="37"/>
      <c r="R208" s="37"/>
      <c r="S208" s="37"/>
    </row>
    <row r="209" spans="1:19" s="77" customFormat="1" x14ac:dyDescent="0.25">
      <c r="A209" s="37" t="s">
        <v>375</v>
      </c>
      <c r="B209" s="37"/>
      <c r="C209" s="33"/>
      <c r="D209" s="33"/>
      <c r="E209" s="33"/>
      <c r="J209" s="171"/>
      <c r="K209" s="178"/>
      <c r="L209" s="179"/>
      <c r="M209" s="180"/>
      <c r="N209" s="181"/>
      <c r="O209" s="37">
        <v>0</v>
      </c>
      <c r="P209" s="37"/>
      <c r="Q209" s="37"/>
      <c r="R209" s="37"/>
      <c r="S209" s="37"/>
    </row>
    <row r="210" spans="1:19" s="77" customFormat="1" x14ac:dyDescent="0.25">
      <c r="A210" s="37" t="s">
        <v>376</v>
      </c>
      <c r="B210" s="37"/>
      <c r="C210" s="33"/>
      <c r="D210" s="33"/>
      <c r="E210" s="33"/>
      <c r="J210" s="171"/>
      <c r="K210" s="178"/>
      <c r="L210" s="179"/>
      <c r="M210" s="180"/>
      <c r="N210" s="181"/>
      <c r="O210" s="37">
        <v>0</v>
      </c>
      <c r="P210" s="37"/>
      <c r="Q210" s="37"/>
      <c r="R210" s="37"/>
      <c r="S210" s="37"/>
    </row>
    <row r="211" spans="1:19" s="77" customFormat="1" x14ac:dyDescent="0.25">
      <c r="A211" s="37" t="s">
        <v>565</v>
      </c>
      <c r="B211" s="37"/>
      <c r="C211" s="33"/>
      <c r="D211" s="33"/>
      <c r="E211" s="33"/>
      <c r="J211" s="171"/>
      <c r="K211" s="178"/>
      <c r="L211" s="179"/>
      <c r="M211" s="180"/>
      <c r="N211" s="181"/>
      <c r="O211" s="37">
        <v>0</v>
      </c>
      <c r="P211" s="37"/>
      <c r="Q211" s="37"/>
      <c r="R211" s="37"/>
      <c r="S211" s="37"/>
    </row>
    <row r="212" spans="1:19" s="77" customFormat="1" x14ac:dyDescent="0.25">
      <c r="A212" s="37" t="s">
        <v>377</v>
      </c>
      <c r="B212" s="37"/>
      <c r="C212" s="33"/>
      <c r="D212" s="33"/>
      <c r="E212" s="33"/>
      <c r="J212" s="171"/>
      <c r="K212" s="178"/>
      <c r="L212" s="179"/>
      <c r="M212" s="180"/>
      <c r="N212" s="181"/>
      <c r="O212" s="37">
        <v>0</v>
      </c>
      <c r="P212" s="37"/>
      <c r="Q212" s="37"/>
      <c r="R212" s="37"/>
      <c r="S212" s="37"/>
    </row>
    <row r="213" spans="1:19" s="77" customFormat="1" x14ac:dyDescent="0.25">
      <c r="A213" s="37" t="s">
        <v>378</v>
      </c>
      <c r="B213" s="37"/>
      <c r="C213" s="33"/>
      <c r="D213" s="33"/>
      <c r="E213" s="33"/>
      <c r="J213" s="171"/>
      <c r="K213" s="178"/>
      <c r="L213" s="179"/>
      <c r="M213" s="180"/>
      <c r="N213" s="181"/>
      <c r="O213" s="37">
        <v>0</v>
      </c>
      <c r="P213" s="37"/>
      <c r="Q213" s="37"/>
      <c r="R213" s="37"/>
      <c r="S213" s="37"/>
    </row>
    <row r="214" spans="1:19" s="77" customFormat="1" x14ac:dyDescent="0.25">
      <c r="A214" s="37" t="s">
        <v>379</v>
      </c>
      <c r="B214" s="37"/>
      <c r="C214" s="33"/>
      <c r="D214" s="33"/>
      <c r="E214" s="33"/>
      <c r="J214" s="171"/>
      <c r="K214" s="178"/>
      <c r="L214" s="179"/>
      <c r="M214" s="180"/>
      <c r="N214" s="181"/>
      <c r="O214" s="37">
        <v>0</v>
      </c>
      <c r="P214" s="37"/>
      <c r="Q214" s="37"/>
      <c r="R214" s="37"/>
      <c r="S214" s="37"/>
    </row>
    <row r="215" spans="1:19" s="77" customFormat="1" x14ac:dyDescent="0.25">
      <c r="A215" s="37" t="s">
        <v>566</v>
      </c>
      <c r="B215" s="37"/>
      <c r="C215" s="33"/>
      <c r="D215" s="33"/>
      <c r="E215" s="33"/>
      <c r="J215" s="171"/>
      <c r="K215" s="178"/>
      <c r="L215" s="179"/>
      <c r="M215" s="180"/>
      <c r="N215" s="181"/>
      <c r="O215" s="37">
        <v>0</v>
      </c>
      <c r="P215" s="37"/>
      <c r="Q215" s="37"/>
      <c r="R215" s="37"/>
      <c r="S215" s="37"/>
    </row>
    <row r="216" spans="1:19" s="77" customFormat="1" x14ac:dyDescent="0.25">
      <c r="A216" s="37" t="s">
        <v>380</v>
      </c>
      <c r="B216" s="37"/>
      <c r="C216" s="33"/>
      <c r="D216" s="33"/>
      <c r="E216" s="33"/>
      <c r="J216" s="171"/>
      <c r="K216" s="178"/>
      <c r="L216" s="179"/>
      <c r="M216" s="180"/>
      <c r="N216" s="181"/>
      <c r="O216" s="37">
        <v>0</v>
      </c>
      <c r="P216" s="37"/>
      <c r="Q216" s="37"/>
      <c r="R216" s="37"/>
      <c r="S216" s="37"/>
    </row>
    <row r="217" spans="1:19" s="77" customFormat="1" x14ac:dyDescent="0.25">
      <c r="A217" s="37" t="s">
        <v>381</v>
      </c>
      <c r="B217" s="37"/>
      <c r="C217" s="33"/>
      <c r="D217" s="33"/>
      <c r="E217" s="33"/>
      <c r="J217" s="171"/>
      <c r="K217" s="178"/>
      <c r="L217" s="179"/>
      <c r="M217" s="180"/>
      <c r="N217" s="181"/>
      <c r="O217" s="37">
        <v>0</v>
      </c>
      <c r="P217" s="37"/>
      <c r="Q217" s="37"/>
      <c r="R217" s="37"/>
      <c r="S217" s="37"/>
    </row>
    <row r="218" spans="1:19" s="77" customFormat="1" x14ac:dyDescent="0.25">
      <c r="A218" s="37" t="s">
        <v>382</v>
      </c>
      <c r="B218" s="37"/>
      <c r="C218" s="33"/>
      <c r="D218" s="33"/>
      <c r="E218" s="33"/>
      <c r="J218" s="171"/>
      <c r="K218" s="178"/>
      <c r="L218" s="179"/>
      <c r="M218" s="180"/>
      <c r="N218" s="181"/>
      <c r="O218" s="37">
        <v>0</v>
      </c>
      <c r="P218" s="37"/>
      <c r="Q218" s="37"/>
      <c r="R218" s="37"/>
      <c r="S218" s="37"/>
    </row>
    <row r="219" spans="1:19" s="77" customFormat="1" x14ac:dyDescent="0.25">
      <c r="A219" s="37" t="s">
        <v>383</v>
      </c>
      <c r="B219" s="37"/>
      <c r="C219" s="33"/>
      <c r="D219" s="33"/>
      <c r="E219" s="33"/>
      <c r="J219" s="171"/>
      <c r="K219" s="178"/>
      <c r="L219" s="179"/>
      <c r="M219" s="180"/>
      <c r="N219" s="181"/>
      <c r="O219" s="37">
        <v>0</v>
      </c>
      <c r="P219" s="37"/>
      <c r="Q219" s="37"/>
      <c r="R219" s="37"/>
      <c r="S219" s="37"/>
    </row>
    <row r="220" spans="1:19" s="77" customFormat="1" x14ac:dyDescent="0.25">
      <c r="A220" s="37" t="s">
        <v>567</v>
      </c>
      <c r="B220" s="37"/>
      <c r="C220" s="33"/>
      <c r="D220" s="33"/>
      <c r="E220" s="33"/>
      <c r="J220" s="171"/>
      <c r="K220" s="178"/>
      <c r="L220" s="179"/>
      <c r="M220" s="180"/>
      <c r="N220" s="181"/>
      <c r="O220" s="37">
        <v>0</v>
      </c>
      <c r="P220" s="37"/>
      <c r="Q220" s="37"/>
      <c r="R220" s="37"/>
      <c r="S220" s="37"/>
    </row>
    <row r="221" spans="1:19" s="77" customFormat="1" x14ac:dyDescent="0.25">
      <c r="A221" s="37" t="s">
        <v>384</v>
      </c>
      <c r="B221" s="37"/>
      <c r="C221" s="33"/>
      <c r="D221" s="33"/>
      <c r="E221" s="33"/>
      <c r="J221" s="171"/>
      <c r="K221" s="178"/>
      <c r="L221" s="179"/>
      <c r="M221" s="180"/>
      <c r="N221" s="181"/>
      <c r="O221" s="37">
        <v>0</v>
      </c>
      <c r="P221" s="37"/>
      <c r="Q221" s="37"/>
      <c r="R221" s="37"/>
      <c r="S221" s="37"/>
    </row>
    <row r="222" spans="1:19" s="77" customFormat="1" x14ac:dyDescent="0.25">
      <c r="A222" s="37" t="s">
        <v>385</v>
      </c>
      <c r="B222" s="37"/>
      <c r="C222" s="33"/>
      <c r="D222" s="33"/>
      <c r="E222" s="33"/>
      <c r="J222" s="171"/>
      <c r="K222" s="178"/>
      <c r="L222" s="179"/>
      <c r="M222" s="180"/>
      <c r="N222" s="181"/>
      <c r="O222" s="37">
        <v>0</v>
      </c>
      <c r="P222" s="37"/>
      <c r="Q222" s="37"/>
      <c r="R222" s="37"/>
      <c r="S222" s="37"/>
    </row>
    <row r="223" spans="1:19" s="77" customFormat="1" x14ac:dyDescent="0.25">
      <c r="A223" s="37" t="s">
        <v>568</v>
      </c>
      <c r="B223" s="37"/>
      <c r="C223" s="33"/>
      <c r="D223" s="33"/>
      <c r="E223" s="33"/>
      <c r="J223" s="171"/>
      <c r="K223" s="178"/>
      <c r="L223" s="179"/>
      <c r="M223" s="180"/>
      <c r="N223" s="181"/>
      <c r="O223" s="37">
        <v>0</v>
      </c>
      <c r="P223" s="37"/>
      <c r="Q223" s="37"/>
      <c r="R223" s="37"/>
      <c r="S223" s="37"/>
    </row>
    <row r="224" spans="1:19" s="77" customFormat="1" x14ac:dyDescent="0.25">
      <c r="A224" s="37" t="s">
        <v>569</v>
      </c>
      <c r="B224" s="37"/>
      <c r="C224" s="33"/>
      <c r="D224" s="33"/>
      <c r="E224" s="33"/>
      <c r="J224" s="171"/>
      <c r="K224" s="178"/>
      <c r="L224" s="179"/>
      <c r="M224" s="180"/>
      <c r="N224" s="181"/>
      <c r="O224" s="37">
        <v>0</v>
      </c>
      <c r="P224" s="37"/>
      <c r="Q224" s="37"/>
      <c r="R224" s="37"/>
      <c r="S224" s="37"/>
    </row>
    <row r="225" spans="1:19" s="77" customFormat="1" x14ac:dyDescent="0.25">
      <c r="A225" s="37" t="s">
        <v>570</v>
      </c>
      <c r="B225" s="37"/>
      <c r="C225" s="33"/>
      <c r="D225" s="33"/>
      <c r="E225" s="33"/>
      <c r="J225" s="171"/>
      <c r="K225" s="178"/>
      <c r="L225" s="179"/>
      <c r="M225" s="180"/>
      <c r="N225" s="181"/>
      <c r="O225" s="37">
        <v>0</v>
      </c>
      <c r="P225" s="37"/>
      <c r="Q225" s="37"/>
      <c r="R225" s="37"/>
      <c r="S225" s="37"/>
    </row>
    <row r="226" spans="1:19" s="77" customFormat="1" x14ac:dyDescent="0.25">
      <c r="A226" s="37" t="s">
        <v>386</v>
      </c>
      <c r="B226" s="37"/>
      <c r="C226" s="33"/>
      <c r="D226" s="33"/>
      <c r="E226" s="33"/>
      <c r="J226" s="171"/>
      <c r="K226" s="178"/>
      <c r="L226" s="179"/>
      <c r="M226" s="180"/>
      <c r="N226" s="181"/>
      <c r="O226" s="37">
        <v>0</v>
      </c>
      <c r="P226" s="37"/>
      <c r="Q226" s="37"/>
      <c r="R226" s="37"/>
      <c r="S226" s="37"/>
    </row>
    <row r="227" spans="1:19" s="77" customFormat="1" x14ac:dyDescent="0.25">
      <c r="A227" s="37" t="s">
        <v>387</v>
      </c>
      <c r="B227" s="37"/>
      <c r="C227" s="33"/>
      <c r="D227" s="33"/>
      <c r="E227" s="33"/>
      <c r="J227" s="171"/>
      <c r="K227" s="178"/>
      <c r="L227" s="179"/>
      <c r="M227" s="180"/>
      <c r="N227" s="181"/>
      <c r="O227" s="37">
        <v>0</v>
      </c>
      <c r="P227" s="37"/>
      <c r="Q227" s="37"/>
      <c r="R227" s="37"/>
      <c r="S227" s="37"/>
    </row>
    <row r="228" spans="1:19" s="77" customFormat="1" x14ac:dyDescent="0.25">
      <c r="A228" s="37" t="s">
        <v>571</v>
      </c>
      <c r="B228" s="37"/>
      <c r="C228" s="33"/>
      <c r="D228" s="33"/>
      <c r="E228" s="33"/>
      <c r="J228" s="171"/>
      <c r="K228" s="178"/>
      <c r="L228" s="179"/>
      <c r="M228" s="180"/>
      <c r="N228" s="181"/>
      <c r="O228" s="37">
        <v>0</v>
      </c>
      <c r="P228" s="37"/>
      <c r="Q228" s="37"/>
      <c r="R228" s="37"/>
      <c r="S228" s="37"/>
    </row>
    <row r="229" spans="1:19" s="77" customFormat="1" x14ac:dyDescent="0.25">
      <c r="A229" s="37" t="s">
        <v>572</v>
      </c>
      <c r="B229" s="37"/>
      <c r="C229" s="33"/>
      <c r="D229" s="33"/>
      <c r="E229" s="33"/>
      <c r="J229" s="171"/>
      <c r="K229" s="178"/>
      <c r="L229" s="179"/>
      <c r="M229" s="180"/>
      <c r="N229" s="181"/>
      <c r="O229" s="37">
        <v>0</v>
      </c>
      <c r="P229" s="37"/>
      <c r="Q229" s="37"/>
      <c r="R229" s="37"/>
      <c r="S229" s="37"/>
    </row>
    <row r="230" spans="1:19" s="77" customFormat="1" x14ac:dyDescent="0.25">
      <c r="A230" s="37" t="s">
        <v>388</v>
      </c>
      <c r="B230" s="37"/>
      <c r="C230" s="33"/>
      <c r="D230" s="33"/>
      <c r="E230" s="33"/>
      <c r="J230" s="171"/>
      <c r="K230" s="178"/>
      <c r="L230" s="179"/>
      <c r="M230" s="180"/>
      <c r="N230" s="181"/>
      <c r="O230" s="37">
        <v>0</v>
      </c>
      <c r="P230" s="37"/>
      <c r="Q230" s="37"/>
      <c r="R230" s="37"/>
      <c r="S230" s="37"/>
    </row>
    <row r="231" spans="1:19" s="77" customFormat="1" x14ac:dyDescent="0.25">
      <c r="A231" s="37" t="s">
        <v>389</v>
      </c>
      <c r="B231" s="37"/>
      <c r="C231" s="33"/>
      <c r="D231" s="33"/>
      <c r="E231" s="33"/>
      <c r="J231" s="171"/>
      <c r="K231" s="178"/>
      <c r="L231" s="179"/>
      <c r="M231" s="180"/>
      <c r="N231" s="181"/>
      <c r="O231" s="37">
        <v>0</v>
      </c>
      <c r="P231" s="37"/>
      <c r="Q231" s="37"/>
      <c r="R231" s="37"/>
      <c r="S231" s="37"/>
    </row>
    <row r="232" spans="1:19" s="77" customFormat="1" x14ac:dyDescent="0.25">
      <c r="A232" s="37" t="s">
        <v>573</v>
      </c>
      <c r="B232" s="37"/>
      <c r="C232" s="33"/>
      <c r="D232" s="33"/>
      <c r="E232" s="33"/>
      <c r="J232" s="171"/>
      <c r="K232" s="178"/>
      <c r="L232" s="179"/>
      <c r="M232" s="180"/>
      <c r="N232" s="181"/>
      <c r="O232" s="37">
        <v>0</v>
      </c>
      <c r="P232" s="37"/>
      <c r="Q232" s="37"/>
      <c r="R232" s="37"/>
      <c r="S232" s="37"/>
    </row>
    <row r="233" spans="1:19" s="77" customFormat="1" x14ac:dyDescent="0.25">
      <c r="A233" s="37" t="s">
        <v>390</v>
      </c>
      <c r="B233" s="37"/>
      <c r="C233" s="33"/>
      <c r="D233" s="33"/>
      <c r="E233" s="33"/>
      <c r="J233" s="171"/>
      <c r="K233" s="178"/>
      <c r="L233" s="179"/>
      <c r="M233" s="180"/>
      <c r="N233" s="181"/>
      <c r="O233" s="37">
        <v>0</v>
      </c>
      <c r="P233" s="37"/>
      <c r="Q233" s="37"/>
      <c r="R233" s="37"/>
      <c r="S233" s="37"/>
    </row>
    <row r="234" spans="1:19" s="77" customFormat="1" x14ac:dyDescent="0.25">
      <c r="A234" s="37" t="s">
        <v>391</v>
      </c>
      <c r="B234" s="37"/>
      <c r="C234" s="33"/>
      <c r="D234" s="33"/>
      <c r="E234" s="33"/>
      <c r="J234" s="171"/>
      <c r="K234" s="178"/>
      <c r="L234" s="179"/>
      <c r="M234" s="180"/>
      <c r="N234" s="181"/>
      <c r="O234" s="37">
        <v>0</v>
      </c>
      <c r="P234" s="37"/>
      <c r="Q234" s="37"/>
      <c r="R234" s="37"/>
      <c r="S234" s="37"/>
    </row>
    <row r="235" spans="1:19" s="77" customFormat="1" x14ac:dyDescent="0.25">
      <c r="A235" s="37" t="s">
        <v>392</v>
      </c>
      <c r="B235" s="37"/>
      <c r="C235" s="33"/>
      <c r="D235" s="33"/>
      <c r="E235" s="33"/>
      <c r="J235" s="171"/>
      <c r="K235" s="178"/>
      <c r="L235" s="179"/>
      <c r="M235" s="180"/>
      <c r="N235" s="181"/>
      <c r="O235" s="37">
        <v>0</v>
      </c>
      <c r="P235" s="37"/>
      <c r="Q235" s="37"/>
      <c r="R235" s="37"/>
      <c r="S235" s="37"/>
    </row>
    <row r="236" spans="1:19" s="77" customFormat="1" x14ac:dyDescent="0.25">
      <c r="A236" s="37" t="s">
        <v>393</v>
      </c>
      <c r="B236" s="37"/>
      <c r="C236" s="33"/>
      <c r="D236" s="33"/>
      <c r="E236" s="33"/>
      <c r="J236" s="171"/>
      <c r="K236" s="178"/>
      <c r="L236" s="179"/>
      <c r="M236" s="180"/>
      <c r="N236" s="181"/>
      <c r="O236" s="37">
        <v>0</v>
      </c>
      <c r="P236" s="37"/>
      <c r="Q236" s="37"/>
      <c r="R236" s="37"/>
      <c r="S236" s="37"/>
    </row>
    <row r="237" spans="1:19" s="77" customFormat="1" x14ac:dyDescent="0.25">
      <c r="A237" s="37" t="s">
        <v>574</v>
      </c>
      <c r="B237" s="37"/>
      <c r="C237" s="33"/>
      <c r="D237" s="33"/>
      <c r="E237" s="33"/>
      <c r="J237" s="171"/>
      <c r="K237" s="178"/>
      <c r="L237" s="179"/>
      <c r="M237" s="180"/>
      <c r="N237" s="181"/>
      <c r="O237" s="37">
        <v>0</v>
      </c>
      <c r="P237" s="37"/>
      <c r="Q237" s="37"/>
      <c r="R237" s="37"/>
      <c r="S237" s="37"/>
    </row>
    <row r="238" spans="1:19" s="77" customFormat="1" x14ac:dyDescent="0.25">
      <c r="A238" s="37" t="s">
        <v>394</v>
      </c>
      <c r="B238" s="37"/>
      <c r="C238" s="33"/>
      <c r="D238" s="33"/>
      <c r="E238" s="33"/>
      <c r="J238" s="171"/>
      <c r="K238" s="178"/>
      <c r="L238" s="179"/>
      <c r="M238" s="180"/>
      <c r="N238" s="181"/>
      <c r="O238" s="37">
        <v>0</v>
      </c>
      <c r="P238" s="37"/>
      <c r="Q238" s="37"/>
      <c r="R238" s="37"/>
      <c r="S238" s="37"/>
    </row>
    <row r="239" spans="1:19" s="77" customFormat="1" x14ac:dyDescent="0.25">
      <c r="A239" s="37" t="s">
        <v>395</v>
      </c>
      <c r="B239" s="37"/>
      <c r="C239" s="33"/>
      <c r="D239" s="33"/>
      <c r="E239" s="33"/>
      <c r="J239" s="171"/>
      <c r="K239" s="178"/>
      <c r="L239" s="179"/>
      <c r="M239" s="180"/>
      <c r="N239" s="181"/>
      <c r="O239" s="37">
        <v>0</v>
      </c>
      <c r="P239" s="37"/>
      <c r="Q239" s="37"/>
      <c r="R239" s="37"/>
      <c r="S239" s="37"/>
    </row>
    <row r="240" spans="1:19" s="77" customFormat="1" x14ac:dyDescent="0.25">
      <c r="A240" s="37" t="s">
        <v>396</v>
      </c>
      <c r="B240" s="37"/>
      <c r="C240" s="33"/>
      <c r="D240" s="33"/>
      <c r="E240" s="33"/>
      <c r="J240" s="171"/>
      <c r="K240" s="178"/>
      <c r="L240" s="179"/>
      <c r="M240" s="180"/>
      <c r="N240" s="181"/>
      <c r="O240" s="37">
        <v>0</v>
      </c>
      <c r="P240" s="37"/>
      <c r="Q240" s="37"/>
      <c r="R240" s="37"/>
      <c r="S240" s="37"/>
    </row>
    <row r="241" spans="1:19" s="77" customFormat="1" x14ac:dyDescent="0.25">
      <c r="A241" s="37" t="s">
        <v>575</v>
      </c>
      <c r="B241" s="37"/>
      <c r="C241" s="33"/>
      <c r="D241" s="33"/>
      <c r="E241" s="33"/>
      <c r="J241" s="171"/>
      <c r="K241" s="178"/>
      <c r="L241" s="179"/>
      <c r="M241" s="180"/>
      <c r="N241" s="181"/>
      <c r="O241" s="37">
        <v>0</v>
      </c>
      <c r="P241" s="37"/>
      <c r="Q241" s="37"/>
      <c r="R241" s="37"/>
      <c r="S241" s="37"/>
    </row>
    <row r="242" spans="1:19" s="77" customFormat="1" x14ac:dyDescent="0.25">
      <c r="A242" s="37" t="s">
        <v>397</v>
      </c>
      <c r="B242" s="37"/>
      <c r="C242" s="33"/>
      <c r="D242" s="33"/>
      <c r="E242" s="33"/>
      <c r="J242" s="171"/>
      <c r="K242" s="178"/>
      <c r="L242" s="179"/>
      <c r="M242" s="180"/>
      <c r="N242" s="181"/>
      <c r="O242" s="37">
        <v>0</v>
      </c>
      <c r="P242" s="37"/>
      <c r="Q242" s="37"/>
      <c r="R242" s="37"/>
      <c r="S242" s="37"/>
    </row>
    <row r="243" spans="1:19" s="77" customFormat="1" x14ac:dyDescent="0.25">
      <c r="A243" s="37" t="s">
        <v>576</v>
      </c>
      <c r="B243" s="37"/>
      <c r="C243" s="33"/>
      <c r="D243" s="33"/>
      <c r="E243" s="33"/>
      <c r="J243" s="171"/>
      <c r="K243" s="178"/>
      <c r="L243" s="179"/>
      <c r="M243" s="180"/>
      <c r="N243" s="181"/>
      <c r="O243" s="37">
        <v>0</v>
      </c>
      <c r="P243" s="37"/>
      <c r="Q243" s="37"/>
      <c r="R243" s="37"/>
      <c r="S243" s="37"/>
    </row>
    <row r="244" spans="1:19" s="77" customFormat="1" x14ac:dyDescent="0.25">
      <c r="A244" s="37" t="s">
        <v>398</v>
      </c>
      <c r="B244" s="37"/>
      <c r="C244" s="33"/>
      <c r="D244" s="33"/>
      <c r="E244" s="33"/>
      <c r="J244" s="171"/>
      <c r="K244" s="178"/>
      <c r="L244" s="179"/>
      <c r="M244" s="180"/>
      <c r="N244" s="181"/>
      <c r="O244" s="37">
        <v>0</v>
      </c>
      <c r="P244" s="37"/>
      <c r="Q244" s="37"/>
      <c r="R244" s="37"/>
      <c r="S244" s="37"/>
    </row>
    <row r="245" spans="1:19" s="77" customFormat="1" x14ac:dyDescent="0.25">
      <c r="A245" s="37" t="s">
        <v>577</v>
      </c>
      <c r="B245" s="37"/>
      <c r="C245" s="33"/>
      <c r="D245" s="33"/>
      <c r="E245" s="33"/>
      <c r="J245" s="171"/>
      <c r="K245" s="178"/>
      <c r="L245" s="179"/>
      <c r="M245" s="180"/>
      <c r="N245" s="181"/>
      <c r="O245" s="37">
        <v>0</v>
      </c>
      <c r="P245" s="37"/>
      <c r="Q245" s="37"/>
      <c r="R245" s="37"/>
      <c r="S245" s="37"/>
    </row>
    <row r="246" spans="1:19" s="77" customFormat="1" x14ac:dyDescent="0.25">
      <c r="A246" s="37" t="s">
        <v>578</v>
      </c>
      <c r="B246" s="37"/>
      <c r="C246" s="33"/>
      <c r="D246" s="33"/>
      <c r="E246" s="33"/>
      <c r="J246" s="171"/>
      <c r="K246" s="178"/>
      <c r="L246" s="179"/>
      <c r="M246" s="180"/>
      <c r="N246" s="181"/>
      <c r="O246" s="37">
        <v>0</v>
      </c>
      <c r="P246" s="37"/>
      <c r="Q246" s="37"/>
      <c r="R246" s="37"/>
      <c r="S246" s="37"/>
    </row>
    <row r="247" spans="1:19" s="77" customFormat="1" x14ac:dyDescent="0.25">
      <c r="A247" s="37" t="s">
        <v>399</v>
      </c>
      <c r="B247" s="37"/>
      <c r="C247" s="33"/>
      <c r="D247" s="33"/>
      <c r="E247" s="33"/>
      <c r="J247" s="171"/>
      <c r="K247" s="178"/>
      <c r="L247" s="179"/>
      <c r="M247" s="180"/>
      <c r="N247" s="181"/>
      <c r="O247" s="37">
        <v>0</v>
      </c>
      <c r="P247" s="37"/>
      <c r="Q247" s="37"/>
      <c r="R247" s="37"/>
      <c r="S247" s="37"/>
    </row>
    <row r="248" spans="1:19" s="77" customFormat="1" x14ac:dyDescent="0.25">
      <c r="A248" s="37" t="s">
        <v>400</v>
      </c>
      <c r="B248" s="37"/>
      <c r="C248" s="33"/>
      <c r="D248" s="33"/>
      <c r="E248" s="33"/>
      <c r="J248" s="171"/>
      <c r="K248" s="178"/>
      <c r="L248" s="179"/>
      <c r="M248" s="180"/>
      <c r="N248" s="181"/>
      <c r="O248" s="37">
        <v>0</v>
      </c>
      <c r="P248" s="37"/>
      <c r="Q248" s="37"/>
      <c r="R248" s="37"/>
      <c r="S248" s="37"/>
    </row>
    <row r="249" spans="1:19" s="77" customFormat="1" x14ac:dyDescent="0.25">
      <c r="A249" s="37" t="s">
        <v>579</v>
      </c>
      <c r="B249" s="37"/>
      <c r="C249" s="33"/>
      <c r="D249" s="33"/>
      <c r="E249" s="33"/>
      <c r="J249" s="171"/>
      <c r="K249" s="178"/>
      <c r="L249" s="179"/>
      <c r="M249" s="180"/>
      <c r="N249" s="181"/>
      <c r="O249" s="37">
        <v>0</v>
      </c>
      <c r="P249" s="37"/>
      <c r="Q249" s="37"/>
      <c r="R249" s="37"/>
      <c r="S249" s="37"/>
    </row>
    <row r="250" spans="1:19" s="77" customFormat="1" x14ac:dyDescent="0.25">
      <c r="A250" s="37" t="s">
        <v>401</v>
      </c>
      <c r="B250" s="37"/>
      <c r="C250" s="33"/>
      <c r="D250" s="33"/>
      <c r="E250" s="33"/>
      <c r="J250" s="171"/>
      <c r="K250" s="178"/>
      <c r="L250" s="179"/>
      <c r="M250" s="180"/>
      <c r="N250" s="181"/>
      <c r="O250" s="37">
        <v>0</v>
      </c>
      <c r="P250" s="37"/>
      <c r="Q250" s="37"/>
      <c r="R250" s="37"/>
      <c r="S250" s="37"/>
    </row>
    <row r="251" spans="1:19" s="77" customFormat="1" x14ac:dyDescent="0.25">
      <c r="A251" s="37" t="s">
        <v>402</v>
      </c>
      <c r="B251" s="37"/>
      <c r="C251" s="33"/>
      <c r="D251" s="33"/>
      <c r="E251" s="33"/>
      <c r="J251" s="171"/>
      <c r="K251" s="178"/>
      <c r="L251" s="179"/>
      <c r="M251" s="180"/>
      <c r="N251" s="181"/>
      <c r="O251" s="37">
        <v>0</v>
      </c>
      <c r="P251" s="37"/>
      <c r="Q251" s="37"/>
      <c r="R251" s="37"/>
      <c r="S251" s="37"/>
    </row>
    <row r="252" spans="1:19" s="77" customFormat="1" x14ac:dyDescent="0.25">
      <c r="A252" s="37" t="s">
        <v>403</v>
      </c>
      <c r="B252" s="37"/>
      <c r="C252" s="33"/>
      <c r="D252" s="33"/>
      <c r="E252" s="33"/>
      <c r="J252" s="171"/>
      <c r="K252" s="178"/>
      <c r="L252" s="179"/>
      <c r="M252" s="180"/>
      <c r="N252" s="181"/>
      <c r="O252" s="37">
        <v>0</v>
      </c>
      <c r="P252" s="37"/>
      <c r="Q252" s="37"/>
      <c r="R252" s="37"/>
      <c r="S252" s="37"/>
    </row>
    <row r="253" spans="1:19" s="77" customFormat="1" x14ac:dyDescent="0.25">
      <c r="A253" s="37" t="s">
        <v>580</v>
      </c>
      <c r="B253" s="37"/>
      <c r="C253" s="33"/>
      <c r="D253" s="33"/>
      <c r="E253" s="33"/>
      <c r="J253" s="171"/>
      <c r="K253" s="178"/>
      <c r="L253" s="179"/>
      <c r="M253" s="180"/>
      <c r="N253" s="181"/>
      <c r="O253" s="37">
        <v>0</v>
      </c>
      <c r="P253" s="37"/>
      <c r="Q253" s="37"/>
      <c r="R253" s="37"/>
      <c r="S253" s="37"/>
    </row>
    <row r="254" spans="1:19" s="77" customFormat="1" x14ac:dyDescent="0.25">
      <c r="A254" s="37" t="s">
        <v>404</v>
      </c>
      <c r="B254" s="37"/>
      <c r="C254" s="33"/>
      <c r="D254" s="33"/>
      <c r="E254" s="33"/>
      <c r="J254" s="171"/>
      <c r="K254" s="178"/>
      <c r="L254" s="179"/>
      <c r="M254" s="180"/>
      <c r="N254" s="181"/>
      <c r="O254" s="37">
        <v>0</v>
      </c>
      <c r="P254" s="37"/>
      <c r="Q254" s="37"/>
      <c r="R254" s="37"/>
      <c r="S254" s="37"/>
    </row>
    <row r="255" spans="1:19" s="77" customFormat="1" x14ac:dyDescent="0.25">
      <c r="A255" s="37" t="s">
        <v>405</v>
      </c>
      <c r="B255" s="37"/>
      <c r="C255" s="33"/>
      <c r="D255" s="33"/>
      <c r="E255" s="33"/>
      <c r="J255" s="171"/>
      <c r="K255" s="178"/>
      <c r="L255" s="179"/>
      <c r="M255" s="180"/>
      <c r="N255" s="181"/>
      <c r="O255" s="37">
        <v>0</v>
      </c>
      <c r="P255" s="37"/>
      <c r="Q255" s="37"/>
      <c r="R255" s="37"/>
      <c r="S255" s="37"/>
    </row>
    <row r="256" spans="1:19" s="77" customFormat="1" x14ac:dyDescent="0.25">
      <c r="A256" s="37" t="s">
        <v>581</v>
      </c>
      <c r="B256" s="37"/>
      <c r="C256" s="33"/>
      <c r="D256" s="33"/>
      <c r="E256" s="33"/>
      <c r="J256" s="171"/>
      <c r="K256" s="178"/>
      <c r="L256" s="179"/>
      <c r="M256" s="180"/>
      <c r="N256" s="181"/>
      <c r="O256" s="37">
        <v>0</v>
      </c>
      <c r="P256" s="37"/>
      <c r="Q256" s="37"/>
      <c r="R256" s="37"/>
      <c r="S256" s="37"/>
    </row>
    <row r="257" spans="1:19" s="77" customFormat="1" x14ac:dyDescent="0.25">
      <c r="A257" s="37" t="s">
        <v>406</v>
      </c>
      <c r="B257" s="37"/>
      <c r="C257" s="33"/>
      <c r="D257" s="33"/>
      <c r="E257" s="33"/>
      <c r="J257" s="171"/>
      <c r="K257" s="178"/>
      <c r="L257" s="179"/>
      <c r="M257" s="180"/>
      <c r="N257" s="181"/>
      <c r="O257" s="37">
        <v>0</v>
      </c>
      <c r="P257" s="37"/>
      <c r="Q257" s="37"/>
      <c r="R257" s="37"/>
      <c r="S257" s="37"/>
    </row>
    <row r="258" spans="1:19" s="77" customFormat="1" x14ac:dyDescent="0.25">
      <c r="A258" s="37" t="s">
        <v>407</v>
      </c>
      <c r="B258" s="37"/>
      <c r="C258" s="33"/>
      <c r="D258" s="33"/>
      <c r="E258" s="33"/>
      <c r="J258" s="171"/>
      <c r="K258" s="178"/>
      <c r="L258" s="179"/>
      <c r="M258" s="180"/>
      <c r="N258" s="181"/>
      <c r="O258" s="37">
        <v>0</v>
      </c>
      <c r="P258" s="37"/>
      <c r="Q258" s="37"/>
      <c r="R258" s="37"/>
      <c r="S258" s="37"/>
    </row>
    <row r="259" spans="1:19" s="77" customFormat="1" x14ac:dyDescent="0.25">
      <c r="A259" s="37" t="s">
        <v>408</v>
      </c>
      <c r="B259" s="37"/>
      <c r="C259" s="33"/>
      <c r="D259" s="33"/>
      <c r="E259" s="33"/>
      <c r="J259" s="171"/>
      <c r="K259" s="178"/>
      <c r="L259" s="179"/>
      <c r="M259" s="180"/>
      <c r="N259" s="181"/>
      <c r="O259" s="37">
        <v>0</v>
      </c>
      <c r="P259" s="37"/>
      <c r="Q259" s="37"/>
      <c r="R259" s="37"/>
      <c r="S259" s="37"/>
    </row>
    <row r="260" spans="1:19" s="77" customFormat="1" x14ac:dyDescent="0.25">
      <c r="A260" s="37" t="s">
        <v>582</v>
      </c>
      <c r="B260" s="37"/>
      <c r="C260" s="33"/>
      <c r="D260" s="33"/>
      <c r="E260" s="33"/>
      <c r="J260" s="171"/>
      <c r="K260" s="178"/>
      <c r="L260" s="179"/>
      <c r="M260" s="180"/>
      <c r="N260" s="181"/>
      <c r="O260" s="37">
        <v>0</v>
      </c>
      <c r="P260" s="37"/>
      <c r="Q260" s="37"/>
      <c r="R260" s="37"/>
      <c r="S260" s="37"/>
    </row>
    <row r="261" spans="1:19" s="77" customFormat="1" x14ac:dyDescent="0.25">
      <c r="A261" s="37" t="s">
        <v>409</v>
      </c>
      <c r="B261" s="37"/>
      <c r="C261" s="33"/>
      <c r="D261" s="33"/>
      <c r="E261" s="33"/>
      <c r="J261" s="171"/>
      <c r="K261" s="178"/>
      <c r="L261" s="179"/>
      <c r="M261" s="180"/>
      <c r="N261" s="181"/>
      <c r="O261" s="37">
        <v>0</v>
      </c>
      <c r="P261" s="37"/>
      <c r="Q261" s="37"/>
      <c r="R261" s="37"/>
      <c r="S261" s="37"/>
    </row>
    <row r="262" spans="1:19" s="77" customFormat="1" x14ac:dyDescent="0.25">
      <c r="A262" s="37" t="s">
        <v>583</v>
      </c>
      <c r="B262" s="37"/>
      <c r="C262" s="33"/>
      <c r="D262" s="33"/>
      <c r="E262" s="33"/>
      <c r="J262" s="171"/>
      <c r="K262" s="178"/>
      <c r="L262" s="179"/>
      <c r="M262" s="180"/>
      <c r="N262" s="181"/>
      <c r="O262" s="37">
        <v>0</v>
      </c>
      <c r="P262" s="37"/>
      <c r="Q262" s="37"/>
      <c r="R262" s="37"/>
      <c r="S262" s="37"/>
    </row>
    <row r="263" spans="1:19" s="77" customFormat="1" x14ac:dyDescent="0.25">
      <c r="A263" s="37" t="s">
        <v>584</v>
      </c>
      <c r="B263" s="37"/>
      <c r="C263" s="33"/>
      <c r="D263" s="33"/>
      <c r="E263" s="33"/>
      <c r="J263" s="171"/>
      <c r="K263" s="178"/>
      <c r="L263" s="179"/>
      <c r="M263" s="180"/>
      <c r="N263" s="181"/>
      <c r="O263" s="37">
        <v>0</v>
      </c>
      <c r="P263" s="37"/>
      <c r="Q263" s="37"/>
      <c r="R263" s="37"/>
      <c r="S263" s="37"/>
    </row>
    <row r="264" spans="1:19" s="77" customFormat="1" x14ac:dyDescent="0.25">
      <c r="A264" s="37" t="s">
        <v>410</v>
      </c>
      <c r="B264" s="37"/>
      <c r="C264" s="33"/>
      <c r="D264" s="33"/>
      <c r="E264" s="33"/>
      <c r="J264" s="171"/>
      <c r="K264" s="178"/>
      <c r="L264" s="179"/>
      <c r="M264" s="180"/>
      <c r="N264" s="181"/>
      <c r="O264" s="37">
        <v>0</v>
      </c>
      <c r="P264" s="37"/>
      <c r="Q264" s="37"/>
      <c r="R264" s="37"/>
      <c r="S264" s="37"/>
    </row>
    <row r="265" spans="1:19" s="77" customFormat="1" x14ac:dyDescent="0.25">
      <c r="A265" s="37" t="s">
        <v>411</v>
      </c>
      <c r="B265" s="37"/>
      <c r="C265" s="33"/>
      <c r="D265" s="33"/>
      <c r="E265" s="33"/>
      <c r="J265" s="171"/>
      <c r="K265" s="178"/>
      <c r="L265" s="179"/>
      <c r="M265" s="180"/>
      <c r="N265" s="181"/>
      <c r="O265" s="37">
        <v>0</v>
      </c>
      <c r="P265" s="37"/>
      <c r="Q265" s="37"/>
      <c r="R265" s="37"/>
      <c r="S265" s="37"/>
    </row>
    <row r="266" spans="1:19" s="77" customFormat="1" x14ac:dyDescent="0.25">
      <c r="A266" s="37" t="s">
        <v>585</v>
      </c>
      <c r="B266" s="37"/>
      <c r="C266" s="33"/>
      <c r="D266" s="33"/>
      <c r="E266" s="33"/>
      <c r="J266" s="171"/>
      <c r="K266" s="178"/>
      <c r="L266" s="179"/>
      <c r="M266" s="180"/>
      <c r="N266" s="181"/>
      <c r="O266" s="37">
        <v>0</v>
      </c>
      <c r="P266" s="37"/>
      <c r="Q266" s="37"/>
      <c r="R266" s="37"/>
      <c r="S266" s="37"/>
    </row>
    <row r="267" spans="1:19" s="77" customFormat="1" x14ac:dyDescent="0.25">
      <c r="A267" s="37" t="s">
        <v>412</v>
      </c>
      <c r="B267" s="37"/>
      <c r="C267" s="33"/>
      <c r="D267" s="33"/>
      <c r="E267" s="33"/>
      <c r="J267" s="171"/>
      <c r="K267" s="178"/>
      <c r="L267" s="179"/>
      <c r="M267" s="180"/>
      <c r="N267" s="181"/>
      <c r="O267" s="37">
        <v>0</v>
      </c>
      <c r="P267" s="37"/>
      <c r="Q267" s="37"/>
      <c r="R267" s="37"/>
      <c r="S267" s="37"/>
    </row>
    <row r="268" spans="1:19" s="77" customFormat="1" x14ac:dyDescent="0.25">
      <c r="A268" s="37" t="s">
        <v>586</v>
      </c>
      <c r="B268" s="37"/>
      <c r="C268" s="33"/>
      <c r="D268" s="33"/>
      <c r="E268" s="33"/>
      <c r="J268" s="171"/>
      <c r="K268" s="178"/>
      <c r="L268" s="179"/>
      <c r="M268" s="180"/>
      <c r="N268" s="181"/>
      <c r="O268" s="37">
        <v>0</v>
      </c>
      <c r="P268" s="37"/>
      <c r="Q268" s="37"/>
      <c r="R268" s="37"/>
      <c r="S268" s="37"/>
    </row>
    <row r="269" spans="1:19" s="77" customFormat="1" x14ac:dyDescent="0.25">
      <c r="A269" s="37" t="s">
        <v>587</v>
      </c>
      <c r="B269" s="37"/>
      <c r="C269" s="33"/>
      <c r="D269" s="33"/>
      <c r="E269" s="33"/>
      <c r="J269" s="171"/>
      <c r="K269" s="178"/>
      <c r="L269" s="179"/>
      <c r="M269" s="180"/>
      <c r="N269" s="181"/>
      <c r="O269" s="37">
        <v>0</v>
      </c>
      <c r="P269" s="37"/>
      <c r="Q269" s="37"/>
      <c r="R269" s="37"/>
      <c r="S269" s="37"/>
    </row>
    <row r="270" spans="1:19" s="77" customFormat="1" x14ac:dyDescent="0.25">
      <c r="A270" s="37" t="s">
        <v>413</v>
      </c>
      <c r="B270" s="37"/>
      <c r="C270" s="33"/>
      <c r="D270" s="33"/>
      <c r="E270" s="33"/>
      <c r="J270" s="171"/>
      <c r="K270" s="178"/>
      <c r="L270" s="179"/>
      <c r="M270" s="180"/>
      <c r="N270" s="181"/>
      <c r="O270" s="37">
        <v>0</v>
      </c>
      <c r="P270" s="37"/>
      <c r="Q270" s="37"/>
      <c r="R270" s="37"/>
      <c r="S270" s="37"/>
    </row>
    <row r="271" spans="1:19" s="77" customFormat="1" x14ac:dyDescent="0.25">
      <c r="A271" s="37" t="s">
        <v>414</v>
      </c>
      <c r="B271" s="37"/>
      <c r="C271" s="33"/>
      <c r="D271" s="33"/>
      <c r="E271" s="33"/>
      <c r="J271" s="171"/>
      <c r="K271" s="178"/>
      <c r="L271" s="179"/>
      <c r="M271" s="180"/>
      <c r="N271" s="181"/>
      <c r="O271" s="37">
        <v>0</v>
      </c>
      <c r="P271" s="37"/>
      <c r="Q271" s="37"/>
      <c r="R271" s="37"/>
      <c r="S271" s="37"/>
    </row>
    <row r="272" spans="1:19" s="77" customFormat="1" x14ac:dyDescent="0.25">
      <c r="A272" s="37" t="s">
        <v>415</v>
      </c>
      <c r="B272" s="37"/>
      <c r="C272" s="33"/>
      <c r="D272" s="33"/>
      <c r="E272" s="33"/>
      <c r="J272" s="171"/>
      <c r="K272" s="178"/>
      <c r="L272" s="179"/>
      <c r="M272" s="180"/>
      <c r="N272" s="181"/>
      <c r="O272" s="37">
        <v>0</v>
      </c>
      <c r="P272" s="37"/>
      <c r="Q272" s="37"/>
      <c r="R272" s="37"/>
      <c r="S272" s="37"/>
    </row>
    <row r="273" spans="1:19" s="77" customFormat="1" x14ac:dyDescent="0.25">
      <c r="A273" s="37" t="s">
        <v>588</v>
      </c>
      <c r="B273" s="37"/>
      <c r="C273" s="33"/>
      <c r="D273" s="33"/>
      <c r="E273" s="33"/>
      <c r="J273" s="171"/>
      <c r="K273" s="178"/>
      <c r="L273" s="179"/>
      <c r="M273" s="180"/>
      <c r="N273" s="181"/>
      <c r="O273" s="37">
        <v>0</v>
      </c>
      <c r="P273" s="37"/>
      <c r="Q273" s="37"/>
      <c r="R273" s="37"/>
      <c r="S273" s="37"/>
    </row>
    <row r="274" spans="1:19" s="77" customFormat="1" x14ac:dyDescent="0.25">
      <c r="A274" s="37" t="s">
        <v>416</v>
      </c>
      <c r="B274" s="37"/>
      <c r="C274" s="33"/>
      <c r="D274" s="33"/>
      <c r="E274" s="33"/>
      <c r="J274" s="171"/>
      <c r="K274" s="178"/>
      <c r="L274" s="179"/>
      <c r="M274" s="180"/>
      <c r="N274" s="181"/>
      <c r="O274" s="37">
        <v>0</v>
      </c>
      <c r="P274" s="37"/>
      <c r="Q274" s="37"/>
      <c r="R274" s="37"/>
      <c r="S274" s="37"/>
    </row>
    <row r="275" spans="1:19" s="77" customFormat="1" x14ac:dyDescent="0.25">
      <c r="A275" s="37" t="s">
        <v>417</v>
      </c>
      <c r="B275" s="37"/>
      <c r="C275" s="33"/>
      <c r="D275" s="33"/>
      <c r="E275" s="33"/>
      <c r="J275" s="171"/>
      <c r="K275" s="178"/>
      <c r="L275" s="179"/>
      <c r="M275" s="180"/>
      <c r="N275" s="181"/>
      <c r="O275" s="37">
        <v>0</v>
      </c>
      <c r="P275" s="37"/>
      <c r="Q275" s="37"/>
      <c r="R275" s="37"/>
      <c r="S275" s="37"/>
    </row>
    <row r="276" spans="1:19" s="77" customFormat="1" x14ac:dyDescent="0.25">
      <c r="A276" s="37" t="s">
        <v>589</v>
      </c>
      <c r="B276" s="37"/>
      <c r="C276" s="33"/>
      <c r="D276" s="33"/>
      <c r="E276" s="33"/>
      <c r="J276" s="171"/>
      <c r="K276" s="178"/>
      <c r="L276" s="179"/>
      <c r="M276" s="180"/>
      <c r="N276" s="181"/>
      <c r="O276" s="37">
        <v>0</v>
      </c>
      <c r="P276" s="37"/>
      <c r="Q276" s="37"/>
      <c r="R276" s="37"/>
      <c r="S276" s="37"/>
    </row>
    <row r="277" spans="1:19" s="77" customFormat="1" x14ac:dyDescent="0.25">
      <c r="A277" s="37" t="s">
        <v>418</v>
      </c>
      <c r="B277" s="37"/>
      <c r="C277" s="33"/>
      <c r="D277" s="33"/>
      <c r="E277" s="33"/>
      <c r="J277" s="171"/>
      <c r="K277" s="178"/>
      <c r="L277" s="179"/>
      <c r="M277" s="180"/>
      <c r="N277" s="181"/>
      <c r="O277" s="37">
        <v>0</v>
      </c>
      <c r="P277" s="37"/>
      <c r="Q277" s="37"/>
      <c r="R277" s="37"/>
      <c r="S277" s="37"/>
    </row>
    <row r="278" spans="1:19" s="77" customFormat="1" x14ac:dyDescent="0.25">
      <c r="A278" s="37" t="s">
        <v>419</v>
      </c>
      <c r="B278" s="37"/>
      <c r="C278" s="33"/>
      <c r="D278" s="33"/>
      <c r="E278" s="33"/>
      <c r="J278" s="171"/>
      <c r="K278" s="178"/>
      <c r="L278" s="179"/>
      <c r="M278" s="180"/>
      <c r="N278" s="181"/>
      <c r="O278" s="37">
        <v>0</v>
      </c>
      <c r="P278" s="37"/>
      <c r="Q278" s="37"/>
      <c r="R278" s="37"/>
      <c r="S278" s="37"/>
    </row>
    <row r="279" spans="1:19" s="77" customFormat="1" x14ac:dyDescent="0.25">
      <c r="A279" s="37" t="s">
        <v>590</v>
      </c>
      <c r="B279" s="37"/>
      <c r="C279" s="33"/>
      <c r="D279" s="33"/>
      <c r="E279" s="33"/>
      <c r="J279" s="171"/>
      <c r="K279" s="178"/>
      <c r="L279" s="179"/>
      <c r="M279" s="180"/>
      <c r="N279" s="181"/>
      <c r="O279" s="37">
        <v>0</v>
      </c>
      <c r="P279" s="37"/>
      <c r="Q279" s="37"/>
      <c r="R279" s="37"/>
      <c r="S279" s="37"/>
    </row>
    <row r="280" spans="1:19" s="77" customFormat="1" x14ac:dyDescent="0.25">
      <c r="A280" s="37" t="s">
        <v>591</v>
      </c>
      <c r="B280" s="37"/>
      <c r="C280" s="33"/>
      <c r="D280" s="33"/>
      <c r="E280" s="33"/>
      <c r="J280" s="171"/>
      <c r="K280" s="178"/>
      <c r="L280" s="179"/>
      <c r="M280" s="180"/>
      <c r="N280" s="181"/>
      <c r="O280" s="37">
        <v>0</v>
      </c>
      <c r="P280" s="37"/>
      <c r="Q280" s="37"/>
      <c r="R280" s="37"/>
      <c r="S280" s="37"/>
    </row>
    <row r="281" spans="1:19" s="77" customFormat="1" x14ac:dyDescent="0.25">
      <c r="A281" s="37" t="s">
        <v>420</v>
      </c>
      <c r="B281" s="37"/>
      <c r="C281" s="33"/>
      <c r="D281" s="33"/>
      <c r="E281" s="33"/>
      <c r="J281" s="171"/>
      <c r="K281" s="178"/>
      <c r="L281" s="179"/>
      <c r="M281" s="180"/>
      <c r="N281" s="181"/>
      <c r="O281" s="37">
        <v>0</v>
      </c>
      <c r="P281" s="37"/>
      <c r="Q281" s="37"/>
      <c r="R281" s="37"/>
      <c r="S281" s="37"/>
    </row>
    <row r="282" spans="1:19" s="77" customFormat="1" x14ac:dyDescent="0.25">
      <c r="A282" s="37" t="s">
        <v>421</v>
      </c>
      <c r="B282" s="37"/>
      <c r="C282" s="33"/>
      <c r="D282" s="33"/>
      <c r="E282" s="33"/>
      <c r="J282" s="171"/>
      <c r="K282" s="178"/>
      <c r="L282" s="179"/>
      <c r="M282" s="180"/>
      <c r="N282" s="181"/>
      <c r="O282" s="37">
        <v>0</v>
      </c>
      <c r="P282" s="37"/>
      <c r="Q282" s="37"/>
      <c r="R282" s="37"/>
      <c r="S282" s="37"/>
    </row>
    <row r="283" spans="1:19" s="77" customFormat="1" x14ac:dyDescent="0.25">
      <c r="A283" s="37" t="s">
        <v>422</v>
      </c>
      <c r="B283" s="37"/>
      <c r="C283" s="33"/>
      <c r="D283" s="33"/>
      <c r="E283" s="33"/>
      <c r="J283" s="171"/>
      <c r="K283" s="178"/>
      <c r="L283" s="179"/>
      <c r="M283" s="180"/>
      <c r="N283" s="181"/>
      <c r="O283" s="37">
        <v>0</v>
      </c>
      <c r="P283" s="37"/>
      <c r="Q283" s="37"/>
      <c r="R283" s="37"/>
      <c r="S283" s="37"/>
    </row>
    <row r="284" spans="1:19" s="77" customFormat="1" x14ac:dyDescent="0.25">
      <c r="A284" s="37" t="s">
        <v>423</v>
      </c>
      <c r="B284" s="37"/>
      <c r="C284" s="33"/>
      <c r="D284" s="33"/>
      <c r="E284" s="33"/>
      <c r="J284" s="171"/>
      <c r="K284" s="178"/>
      <c r="L284" s="179"/>
      <c r="M284" s="180"/>
      <c r="N284" s="181"/>
      <c r="O284" s="37">
        <v>0</v>
      </c>
      <c r="P284" s="37"/>
      <c r="Q284" s="37"/>
      <c r="R284" s="37"/>
      <c r="S284" s="37"/>
    </row>
    <row r="285" spans="1:19" s="77" customFormat="1" x14ac:dyDescent="0.25">
      <c r="A285" s="37" t="s">
        <v>424</v>
      </c>
      <c r="B285" s="37"/>
      <c r="C285" s="33"/>
      <c r="D285" s="33"/>
      <c r="E285" s="33"/>
      <c r="J285" s="171"/>
      <c r="K285" s="178"/>
      <c r="L285" s="179"/>
      <c r="M285" s="180"/>
      <c r="N285" s="181"/>
      <c r="O285" s="37">
        <v>0</v>
      </c>
      <c r="P285" s="37"/>
      <c r="Q285" s="37"/>
      <c r="R285" s="37"/>
      <c r="S285" s="37"/>
    </row>
    <row r="286" spans="1:19" s="77" customFormat="1" x14ac:dyDescent="0.25">
      <c r="A286" s="37" t="s">
        <v>425</v>
      </c>
      <c r="B286" s="37"/>
      <c r="C286" s="33"/>
      <c r="D286" s="33"/>
      <c r="E286" s="33"/>
      <c r="J286" s="171"/>
      <c r="K286" s="178"/>
      <c r="L286" s="179"/>
      <c r="M286" s="180"/>
      <c r="N286" s="181"/>
      <c r="O286" s="37">
        <v>0</v>
      </c>
      <c r="P286" s="37"/>
      <c r="Q286" s="37"/>
      <c r="R286" s="37"/>
      <c r="S286" s="37"/>
    </row>
    <row r="287" spans="1:19" s="77" customFormat="1" x14ac:dyDescent="0.25">
      <c r="A287" s="37" t="s">
        <v>426</v>
      </c>
      <c r="B287" s="37"/>
      <c r="C287" s="33"/>
      <c r="D287" s="33"/>
      <c r="E287" s="33"/>
      <c r="J287" s="171"/>
      <c r="K287" s="178"/>
      <c r="L287" s="179"/>
      <c r="M287" s="180"/>
      <c r="N287" s="181"/>
      <c r="O287" s="37">
        <v>0</v>
      </c>
      <c r="P287" s="37"/>
      <c r="Q287" s="37"/>
      <c r="R287" s="37"/>
      <c r="S287" s="37"/>
    </row>
    <row r="288" spans="1:19" s="77" customFormat="1" x14ac:dyDescent="0.25">
      <c r="A288" s="37" t="s">
        <v>592</v>
      </c>
      <c r="B288" s="37"/>
      <c r="C288" s="33"/>
      <c r="D288" s="33"/>
      <c r="E288" s="33"/>
      <c r="J288" s="171"/>
      <c r="K288" s="178"/>
      <c r="L288" s="179"/>
      <c r="M288" s="180"/>
      <c r="N288" s="181"/>
      <c r="O288" s="37">
        <v>0</v>
      </c>
      <c r="P288" s="37"/>
      <c r="Q288" s="37"/>
      <c r="R288" s="37"/>
      <c r="S288" s="37"/>
    </row>
    <row r="289" spans="1:19" s="77" customFormat="1" x14ac:dyDescent="0.25">
      <c r="A289" s="37" t="s">
        <v>427</v>
      </c>
      <c r="B289" s="37"/>
      <c r="C289" s="33"/>
      <c r="D289" s="33"/>
      <c r="E289" s="33"/>
      <c r="J289" s="171"/>
      <c r="K289" s="178"/>
      <c r="L289" s="179"/>
      <c r="M289" s="180"/>
      <c r="N289" s="181"/>
      <c r="O289" s="37">
        <v>0</v>
      </c>
      <c r="P289" s="37"/>
      <c r="Q289" s="37"/>
      <c r="R289" s="37"/>
      <c r="S289" s="37"/>
    </row>
    <row r="290" spans="1:19" s="77" customFormat="1" x14ac:dyDescent="0.25">
      <c r="A290" s="37" t="s">
        <v>428</v>
      </c>
      <c r="B290" s="37"/>
      <c r="C290" s="33"/>
      <c r="D290" s="33"/>
      <c r="E290" s="33"/>
      <c r="J290" s="171"/>
      <c r="K290" s="178"/>
      <c r="L290" s="179"/>
      <c r="M290" s="180"/>
      <c r="N290" s="181"/>
      <c r="O290" s="37">
        <v>0</v>
      </c>
      <c r="P290" s="37"/>
      <c r="Q290" s="37"/>
      <c r="R290" s="37"/>
      <c r="S290" s="37"/>
    </row>
    <row r="291" spans="1:19" s="77" customFormat="1" x14ac:dyDescent="0.25">
      <c r="A291" s="37" t="s">
        <v>429</v>
      </c>
      <c r="B291" s="37"/>
      <c r="C291" s="33"/>
      <c r="D291" s="33"/>
      <c r="E291" s="33"/>
      <c r="J291" s="171"/>
      <c r="K291" s="178"/>
      <c r="L291" s="179"/>
      <c r="M291" s="180"/>
      <c r="N291" s="181"/>
      <c r="O291" s="37">
        <v>0</v>
      </c>
      <c r="P291" s="37"/>
      <c r="Q291" s="37"/>
      <c r="R291" s="37"/>
      <c r="S291" s="37"/>
    </row>
    <row r="292" spans="1:19" s="77" customFormat="1" x14ac:dyDescent="0.25">
      <c r="A292" s="37" t="s">
        <v>430</v>
      </c>
      <c r="B292" s="37"/>
      <c r="C292" s="33"/>
      <c r="D292" s="33"/>
      <c r="E292" s="33"/>
      <c r="J292" s="171"/>
      <c r="K292" s="178"/>
      <c r="L292" s="179"/>
      <c r="M292" s="180"/>
      <c r="N292" s="181"/>
      <c r="O292" s="37">
        <v>0</v>
      </c>
      <c r="P292" s="37"/>
      <c r="Q292" s="37"/>
      <c r="R292" s="37"/>
      <c r="S292" s="37"/>
    </row>
    <row r="293" spans="1:19" s="77" customFormat="1" x14ac:dyDescent="0.25">
      <c r="A293" s="37" t="s">
        <v>431</v>
      </c>
      <c r="B293" s="37"/>
      <c r="C293" s="33"/>
      <c r="D293" s="33"/>
      <c r="E293" s="33"/>
      <c r="J293" s="171"/>
      <c r="K293" s="178"/>
      <c r="L293" s="179"/>
      <c r="M293" s="180"/>
      <c r="N293" s="181"/>
      <c r="O293" s="37">
        <v>0</v>
      </c>
      <c r="P293" s="37"/>
      <c r="Q293" s="37"/>
      <c r="R293" s="37"/>
      <c r="S293" s="37"/>
    </row>
    <row r="294" spans="1:19" s="77" customFormat="1" x14ac:dyDescent="0.25">
      <c r="A294" s="37" t="s">
        <v>432</v>
      </c>
      <c r="B294" s="37"/>
      <c r="C294" s="33"/>
      <c r="D294" s="33"/>
      <c r="E294" s="33"/>
      <c r="J294" s="171"/>
      <c r="K294" s="178"/>
      <c r="L294" s="179"/>
      <c r="M294" s="180"/>
      <c r="N294" s="181"/>
      <c r="O294" s="37">
        <v>0</v>
      </c>
      <c r="P294" s="37"/>
      <c r="Q294" s="37"/>
      <c r="R294" s="37"/>
      <c r="S294" s="37"/>
    </row>
    <row r="295" spans="1:19" s="77" customFormat="1" x14ac:dyDescent="0.25">
      <c r="A295" s="37" t="s">
        <v>433</v>
      </c>
      <c r="B295" s="37"/>
      <c r="C295" s="33"/>
      <c r="D295" s="33"/>
      <c r="E295" s="33"/>
      <c r="J295" s="171"/>
      <c r="K295" s="178"/>
      <c r="L295" s="179"/>
      <c r="M295" s="180"/>
      <c r="N295" s="181"/>
      <c r="O295" s="37">
        <v>0</v>
      </c>
      <c r="P295" s="37"/>
      <c r="Q295" s="37"/>
      <c r="R295" s="37"/>
      <c r="S295" s="37"/>
    </row>
    <row r="296" spans="1:19" s="77" customFormat="1" x14ac:dyDescent="0.25">
      <c r="A296" s="37" t="s">
        <v>593</v>
      </c>
      <c r="B296" s="37"/>
      <c r="C296" s="33"/>
      <c r="D296" s="33"/>
      <c r="E296" s="33"/>
      <c r="J296" s="171"/>
      <c r="K296" s="178"/>
      <c r="L296" s="179"/>
      <c r="M296" s="180"/>
      <c r="N296" s="181"/>
      <c r="O296" s="37">
        <v>0</v>
      </c>
      <c r="P296" s="37"/>
      <c r="Q296" s="37"/>
      <c r="R296" s="37"/>
      <c r="S296" s="37"/>
    </row>
    <row r="297" spans="1:19" s="77" customFormat="1" x14ac:dyDescent="0.25">
      <c r="A297" s="37" t="s">
        <v>434</v>
      </c>
      <c r="B297" s="37"/>
      <c r="C297" s="33"/>
      <c r="D297" s="33"/>
      <c r="E297" s="33"/>
      <c r="J297" s="171"/>
      <c r="K297" s="178"/>
      <c r="L297" s="179"/>
      <c r="M297" s="180"/>
      <c r="N297" s="181"/>
      <c r="O297" s="37">
        <v>0</v>
      </c>
      <c r="P297" s="37"/>
      <c r="Q297" s="37"/>
      <c r="R297" s="37"/>
      <c r="S297" s="37"/>
    </row>
    <row r="298" spans="1:19" s="77" customFormat="1" x14ac:dyDescent="0.25">
      <c r="A298" s="37" t="s">
        <v>435</v>
      </c>
      <c r="B298" s="37"/>
      <c r="C298" s="33"/>
      <c r="D298" s="33"/>
      <c r="E298" s="33"/>
      <c r="J298" s="171"/>
      <c r="K298" s="178"/>
      <c r="L298" s="179"/>
      <c r="M298" s="180"/>
      <c r="N298" s="181"/>
      <c r="O298" s="37">
        <v>0</v>
      </c>
      <c r="P298" s="37"/>
      <c r="Q298" s="37"/>
      <c r="R298" s="37"/>
      <c r="S298" s="37"/>
    </row>
    <row r="299" spans="1:19" s="77" customFormat="1" x14ac:dyDescent="0.25">
      <c r="A299" s="37" t="s">
        <v>436</v>
      </c>
      <c r="B299" s="37"/>
      <c r="C299" s="33"/>
      <c r="D299" s="33"/>
      <c r="E299" s="33"/>
      <c r="J299" s="171"/>
      <c r="K299" s="178"/>
      <c r="L299" s="179"/>
      <c r="M299" s="180"/>
      <c r="N299" s="181"/>
      <c r="O299" s="37">
        <v>0</v>
      </c>
      <c r="P299" s="37"/>
      <c r="Q299" s="37"/>
      <c r="R299" s="37"/>
      <c r="S299" s="37"/>
    </row>
    <row r="300" spans="1:19" s="77" customFormat="1" x14ac:dyDescent="0.25">
      <c r="A300" s="37" t="s">
        <v>437</v>
      </c>
      <c r="B300" s="37"/>
      <c r="C300" s="33"/>
      <c r="D300" s="33"/>
      <c r="E300" s="33"/>
      <c r="J300" s="171"/>
      <c r="K300" s="178"/>
      <c r="L300" s="179"/>
      <c r="M300" s="180"/>
      <c r="N300" s="181"/>
      <c r="O300" s="37">
        <v>0</v>
      </c>
      <c r="P300" s="37"/>
      <c r="Q300" s="37"/>
      <c r="R300" s="37"/>
      <c r="S300" s="37"/>
    </row>
    <row r="301" spans="1:19" s="77" customFormat="1" x14ac:dyDescent="0.25">
      <c r="A301" s="37" t="s">
        <v>438</v>
      </c>
      <c r="B301" s="37"/>
      <c r="C301" s="33"/>
      <c r="D301" s="33"/>
      <c r="E301" s="33"/>
      <c r="J301" s="171"/>
      <c r="K301" s="178"/>
      <c r="L301" s="179"/>
      <c r="M301" s="180"/>
      <c r="N301" s="181"/>
      <c r="O301" s="37">
        <v>0</v>
      </c>
      <c r="P301" s="37"/>
      <c r="Q301" s="37"/>
      <c r="R301" s="37"/>
      <c r="S301" s="37"/>
    </row>
    <row r="302" spans="1:19" s="77" customFormat="1" x14ac:dyDescent="0.25">
      <c r="A302" s="37" t="s">
        <v>439</v>
      </c>
      <c r="B302" s="37"/>
      <c r="C302" s="33"/>
      <c r="D302" s="33"/>
      <c r="E302" s="33"/>
      <c r="J302" s="171"/>
      <c r="K302" s="178"/>
      <c r="L302" s="179"/>
      <c r="M302" s="180"/>
      <c r="N302" s="181"/>
      <c r="O302" s="37">
        <v>0</v>
      </c>
      <c r="P302" s="37"/>
      <c r="Q302" s="37"/>
      <c r="R302" s="37"/>
      <c r="S302" s="37"/>
    </row>
    <row r="303" spans="1:19" s="77" customFormat="1" x14ac:dyDescent="0.25">
      <c r="A303" s="37" t="s">
        <v>594</v>
      </c>
      <c r="B303" s="37"/>
      <c r="C303" s="33"/>
      <c r="D303" s="33"/>
      <c r="E303" s="33"/>
      <c r="J303" s="171"/>
      <c r="K303" s="178"/>
      <c r="L303" s="179"/>
      <c r="M303" s="180"/>
      <c r="N303" s="181"/>
      <c r="O303" s="37">
        <v>0</v>
      </c>
      <c r="P303" s="37"/>
      <c r="Q303" s="37"/>
      <c r="R303" s="37"/>
      <c r="S303" s="37"/>
    </row>
    <row r="304" spans="1:19" s="77" customFormat="1" x14ac:dyDescent="0.25">
      <c r="A304" s="37" t="s">
        <v>595</v>
      </c>
      <c r="B304" s="37"/>
      <c r="C304" s="33"/>
      <c r="D304" s="33"/>
      <c r="E304" s="33"/>
      <c r="J304" s="171"/>
      <c r="K304" s="178"/>
      <c r="L304" s="179"/>
      <c r="M304" s="180"/>
      <c r="N304" s="181"/>
      <c r="O304" s="37">
        <v>0</v>
      </c>
      <c r="P304" s="37"/>
      <c r="Q304" s="37"/>
      <c r="R304" s="37"/>
      <c r="S304" s="37"/>
    </row>
    <row r="305" spans="1:19" s="77" customFormat="1" x14ac:dyDescent="0.25">
      <c r="A305" s="37" t="s">
        <v>440</v>
      </c>
      <c r="B305" s="37"/>
      <c r="C305" s="33"/>
      <c r="D305" s="33"/>
      <c r="E305" s="33"/>
      <c r="J305" s="171"/>
      <c r="K305" s="178"/>
      <c r="L305" s="179"/>
      <c r="M305" s="180"/>
      <c r="N305" s="181"/>
      <c r="O305" s="37">
        <v>0</v>
      </c>
      <c r="P305" s="37"/>
      <c r="Q305" s="37"/>
      <c r="R305" s="37"/>
      <c r="S305" s="37"/>
    </row>
    <row r="306" spans="1:19" s="77" customFormat="1" x14ac:dyDescent="0.25">
      <c r="A306" s="37" t="s">
        <v>441</v>
      </c>
      <c r="B306" s="37"/>
      <c r="C306" s="33"/>
      <c r="D306" s="33"/>
      <c r="E306" s="33"/>
      <c r="J306" s="171"/>
      <c r="K306" s="178"/>
      <c r="L306" s="179"/>
      <c r="M306" s="180"/>
      <c r="N306" s="181"/>
      <c r="O306" s="37">
        <v>0</v>
      </c>
      <c r="P306" s="37"/>
      <c r="Q306" s="37"/>
      <c r="R306" s="37"/>
      <c r="S306" s="37"/>
    </row>
    <row r="307" spans="1:19" s="77" customFormat="1" x14ac:dyDescent="0.25">
      <c r="A307" s="37" t="s">
        <v>442</v>
      </c>
      <c r="B307" s="37"/>
      <c r="C307" s="33"/>
      <c r="D307" s="33"/>
      <c r="E307" s="33"/>
      <c r="J307" s="171"/>
      <c r="K307" s="178"/>
      <c r="L307" s="179"/>
      <c r="M307" s="180"/>
      <c r="N307" s="181"/>
      <c r="O307" s="37">
        <v>0</v>
      </c>
      <c r="P307" s="37"/>
      <c r="Q307" s="37"/>
      <c r="R307" s="37"/>
      <c r="S307" s="37"/>
    </row>
    <row r="308" spans="1:19" s="77" customFormat="1" x14ac:dyDescent="0.25">
      <c r="A308" s="37" t="s">
        <v>443</v>
      </c>
      <c r="B308" s="37"/>
      <c r="C308" s="33"/>
      <c r="D308" s="33"/>
      <c r="E308" s="33"/>
      <c r="J308" s="171"/>
      <c r="K308" s="178"/>
      <c r="L308" s="179"/>
      <c r="M308" s="180"/>
      <c r="N308" s="181"/>
      <c r="O308" s="37">
        <v>0</v>
      </c>
      <c r="P308" s="37"/>
      <c r="Q308" s="37"/>
      <c r="R308" s="37"/>
      <c r="S308" s="37"/>
    </row>
    <row r="309" spans="1:19" s="77" customFormat="1" x14ac:dyDescent="0.25">
      <c r="A309" s="37" t="s">
        <v>444</v>
      </c>
      <c r="B309" s="37"/>
      <c r="C309" s="33"/>
      <c r="D309" s="33"/>
      <c r="E309" s="33"/>
      <c r="J309" s="171"/>
      <c r="K309" s="178"/>
      <c r="L309" s="179"/>
      <c r="M309" s="180"/>
      <c r="N309" s="181"/>
      <c r="O309" s="37">
        <v>0</v>
      </c>
      <c r="P309" s="37"/>
      <c r="Q309" s="37"/>
      <c r="R309" s="37"/>
      <c r="S309" s="37"/>
    </row>
    <row r="310" spans="1:19" s="77" customFormat="1" x14ac:dyDescent="0.25">
      <c r="A310" s="37" t="s">
        <v>596</v>
      </c>
      <c r="B310" s="37"/>
      <c r="C310" s="33"/>
      <c r="D310" s="33"/>
      <c r="E310" s="33"/>
      <c r="J310" s="171"/>
      <c r="K310" s="178"/>
      <c r="L310" s="179"/>
      <c r="M310" s="180"/>
      <c r="N310" s="181"/>
      <c r="O310" s="37">
        <v>0</v>
      </c>
      <c r="P310" s="37"/>
      <c r="Q310" s="37"/>
      <c r="R310" s="37"/>
      <c r="S310" s="37"/>
    </row>
    <row r="311" spans="1:19" s="77" customFormat="1" x14ac:dyDescent="0.25">
      <c r="A311" s="37" t="s">
        <v>445</v>
      </c>
      <c r="B311" s="37"/>
      <c r="C311" s="33"/>
      <c r="D311" s="33"/>
      <c r="E311" s="33"/>
      <c r="J311" s="171"/>
      <c r="K311" s="178"/>
      <c r="L311" s="179"/>
      <c r="M311" s="180"/>
      <c r="N311" s="181"/>
      <c r="O311" s="37">
        <v>0</v>
      </c>
      <c r="P311" s="37"/>
      <c r="Q311" s="37"/>
      <c r="R311" s="37"/>
      <c r="S311" s="37"/>
    </row>
    <row r="312" spans="1:19" s="77" customFormat="1" x14ac:dyDescent="0.25">
      <c r="A312" s="37" t="s">
        <v>446</v>
      </c>
      <c r="B312" s="37"/>
      <c r="C312" s="33"/>
      <c r="D312" s="33"/>
      <c r="E312" s="33"/>
      <c r="J312" s="171"/>
      <c r="K312" s="178"/>
      <c r="L312" s="179"/>
      <c r="M312" s="180"/>
      <c r="N312" s="181"/>
      <c r="O312" s="37">
        <v>0</v>
      </c>
      <c r="P312" s="37"/>
      <c r="Q312" s="37"/>
      <c r="R312" s="37"/>
      <c r="S312" s="37"/>
    </row>
    <row r="313" spans="1:19" s="77" customFormat="1" x14ac:dyDescent="0.25">
      <c r="A313" s="37" t="s">
        <v>447</v>
      </c>
      <c r="B313" s="37"/>
      <c r="C313" s="33"/>
      <c r="D313" s="33"/>
      <c r="E313" s="33"/>
      <c r="J313" s="171"/>
      <c r="K313" s="178"/>
      <c r="L313" s="179"/>
      <c r="M313" s="180"/>
      <c r="N313" s="181"/>
      <c r="O313" s="37">
        <v>0</v>
      </c>
      <c r="P313" s="37"/>
      <c r="Q313" s="37"/>
      <c r="R313" s="37"/>
      <c r="S313" s="37"/>
    </row>
    <row r="314" spans="1:19" s="77" customFormat="1" x14ac:dyDescent="0.25">
      <c r="A314" s="37" t="s">
        <v>448</v>
      </c>
      <c r="B314" s="37"/>
      <c r="C314" s="33"/>
      <c r="D314" s="33"/>
      <c r="E314" s="33"/>
      <c r="J314" s="171"/>
      <c r="K314" s="178"/>
      <c r="L314" s="179"/>
      <c r="M314" s="180"/>
      <c r="N314" s="181"/>
      <c r="O314" s="37">
        <v>0</v>
      </c>
      <c r="P314" s="37"/>
      <c r="Q314" s="37"/>
      <c r="R314" s="37"/>
      <c r="S314" s="37"/>
    </row>
    <row r="315" spans="1:19" s="77" customFormat="1" x14ac:dyDescent="0.25">
      <c r="A315" s="37" t="s">
        <v>449</v>
      </c>
      <c r="B315" s="37"/>
      <c r="C315" s="33"/>
      <c r="D315" s="33"/>
      <c r="E315" s="33"/>
      <c r="J315" s="171"/>
      <c r="K315" s="178"/>
      <c r="L315" s="179"/>
      <c r="M315" s="180"/>
      <c r="N315" s="181"/>
      <c r="O315" s="37">
        <v>0</v>
      </c>
      <c r="P315" s="37"/>
      <c r="Q315" s="37"/>
      <c r="R315" s="37"/>
      <c r="S315" s="37"/>
    </row>
    <row r="316" spans="1:19" s="77" customFormat="1" x14ac:dyDescent="0.25">
      <c r="A316" s="37" t="s">
        <v>450</v>
      </c>
      <c r="B316" s="37"/>
      <c r="C316" s="33"/>
      <c r="D316" s="33"/>
      <c r="E316" s="33"/>
      <c r="J316" s="171"/>
      <c r="K316" s="178"/>
      <c r="L316" s="179"/>
      <c r="M316" s="180"/>
      <c r="N316" s="181"/>
      <c r="O316" s="37">
        <v>0</v>
      </c>
      <c r="P316" s="37"/>
      <c r="Q316" s="37"/>
      <c r="R316" s="37"/>
      <c r="S316" s="37"/>
    </row>
    <row r="317" spans="1:19" s="77" customFormat="1" x14ac:dyDescent="0.25">
      <c r="A317" s="37" t="s">
        <v>451</v>
      </c>
      <c r="B317" s="37"/>
      <c r="C317" s="33"/>
      <c r="D317" s="33"/>
      <c r="E317" s="33"/>
      <c r="J317" s="171"/>
      <c r="K317" s="178"/>
      <c r="L317" s="179"/>
      <c r="M317" s="180"/>
      <c r="N317" s="181"/>
      <c r="O317" s="37">
        <v>0</v>
      </c>
      <c r="P317" s="37"/>
      <c r="Q317" s="37"/>
      <c r="R317" s="37"/>
      <c r="S317" s="37"/>
    </row>
    <row r="318" spans="1:19" s="77" customFormat="1" x14ac:dyDescent="0.25">
      <c r="A318" s="37" t="s">
        <v>452</v>
      </c>
      <c r="B318" s="37"/>
      <c r="C318" s="33"/>
      <c r="D318" s="33"/>
      <c r="E318" s="33"/>
      <c r="J318" s="171"/>
      <c r="K318" s="178"/>
      <c r="L318" s="179"/>
      <c r="M318" s="180"/>
      <c r="N318" s="181"/>
      <c r="O318" s="37">
        <v>0</v>
      </c>
      <c r="P318" s="37"/>
      <c r="Q318" s="37"/>
      <c r="R318" s="37"/>
      <c r="S318" s="37"/>
    </row>
    <row r="319" spans="1:19" s="77" customFormat="1" x14ac:dyDescent="0.25">
      <c r="A319" s="37" t="s">
        <v>453</v>
      </c>
      <c r="B319" s="37"/>
      <c r="C319" s="33"/>
      <c r="D319" s="33"/>
      <c r="E319" s="33"/>
      <c r="J319" s="171"/>
      <c r="K319" s="178"/>
      <c r="L319" s="179"/>
      <c r="M319" s="180"/>
      <c r="N319" s="181"/>
      <c r="O319" s="37">
        <v>0</v>
      </c>
      <c r="P319" s="37"/>
      <c r="Q319" s="37"/>
      <c r="R319" s="37"/>
      <c r="S319" s="37"/>
    </row>
    <row r="320" spans="1:19" s="77" customFormat="1" x14ac:dyDescent="0.25">
      <c r="A320" s="37" t="s">
        <v>454</v>
      </c>
      <c r="B320" s="37"/>
      <c r="C320" s="33"/>
      <c r="D320" s="33"/>
      <c r="E320" s="33"/>
      <c r="J320" s="171"/>
      <c r="K320" s="178"/>
      <c r="L320" s="179"/>
      <c r="M320" s="180"/>
      <c r="N320" s="181"/>
      <c r="O320" s="37">
        <v>0</v>
      </c>
      <c r="P320" s="37"/>
      <c r="Q320" s="37"/>
      <c r="R320" s="37"/>
      <c r="S320" s="37"/>
    </row>
    <row r="321" spans="1:19" s="77" customFormat="1" x14ac:dyDescent="0.25">
      <c r="A321" s="37" t="s">
        <v>597</v>
      </c>
      <c r="B321" s="37"/>
      <c r="C321" s="33"/>
      <c r="D321" s="33"/>
      <c r="E321" s="33"/>
      <c r="J321" s="171"/>
      <c r="K321" s="178"/>
      <c r="L321" s="179"/>
      <c r="M321" s="180"/>
      <c r="N321" s="181"/>
      <c r="O321" s="37">
        <v>0</v>
      </c>
      <c r="P321" s="37"/>
      <c r="Q321" s="37"/>
      <c r="R321" s="37"/>
      <c r="S321" s="37"/>
    </row>
    <row r="322" spans="1:19" s="77" customFormat="1" x14ac:dyDescent="0.25">
      <c r="A322" s="37" t="s">
        <v>455</v>
      </c>
      <c r="B322" s="37"/>
      <c r="C322" s="33"/>
      <c r="D322" s="33"/>
      <c r="E322" s="33"/>
      <c r="J322" s="171"/>
      <c r="K322" s="178"/>
      <c r="L322" s="179"/>
      <c r="M322" s="180"/>
      <c r="N322" s="181"/>
      <c r="O322" s="37">
        <v>0</v>
      </c>
      <c r="P322" s="37"/>
      <c r="Q322" s="37"/>
      <c r="R322" s="37"/>
      <c r="S322" s="37"/>
    </row>
    <row r="323" spans="1:19" s="77" customFormat="1" x14ac:dyDescent="0.25">
      <c r="A323" s="37" t="s">
        <v>456</v>
      </c>
      <c r="B323" s="37"/>
      <c r="C323" s="33"/>
      <c r="D323" s="33"/>
      <c r="E323" s="33"/>
      <c r="J323" s="171"/>
      <c r="K323" s="178"/>
      <c r="L323" s="179"/>
      <c r="M323" s="180"/>
      <c r="N323" s="181"/>
      <c r="O323" s="37">
        <v>0</v>
      </c>
      <c r="P323" s="37"/>
      <c r="Q323" s="37"/>
      <c r="R323" s="37"/>
      <c r="S323" s="37"/>
    </row>
    <row r="324" spans="1:19" s="77" customFormat="1" x14ac:dyDescent="0.25">
      <c r="A324" s="37" t="s">
        <v>457</v>
      </c>
      <c r="B324" s="37"/>
      <c r="C324" s="33"/>
      <c r="D324" s="33"/>
      <c r="E324" s="33"/>
      <c r="J324" s="171"/>
      <c r="K324" s="178"/>
      <c r="L324" s="179"/>
      <c r="M324" s="180"/>
      <c r="N324" s="181"/>
      <c r="O324" s="37">
        <v>0</v>
      </c>
      <c r="P324" s="37"/>
      <c r="Q324" s="37"/>
      <c r="R324" s="37"/>
      <c r="S324" s="37"/>
    </row>
    <row r="325" spans="1:19" s="77" customFormat="1" x14ac:dyDescent="0.25">
      <c r="A325" s="37" t="s">
        <v>598</v>
      </c>
      <c r="B325" s="37"/>
      <c r="C325" s="33"/>
      <c r="D325" s="33"/>
      <c r="E325" s="33"/>
      <c r="J325" s="171"/>
      <c r="K325" s="178"/>
      <c r="L325" s="179"/>
      <c r="M325" s="180"/>
      <c r="N325" s="181"/>
      <c r="O325" s="37">
        <v>0</v>
      </c>
      <c r="P325" s="37"/>
      <c r="Q325" s="37"/>
      <c r="R325" s="37"/>
      <c r="S325" s="37"/>
    </row>
    <row r="326" spans="1:19" s="77" customFormat="1" x14ac:dyDescent="0.25">
      <c r="A326" s="37" t="s">
        <v>458</v>
      </c>
      <c r="B326" s="37"/>
      <c r="C326" s="33"/>
      <c r="D326" s="33"/>
      <c r="E326" s="33"/>
      <c r="J326" s="171"/>
      <c r="K326" s="178"/>
      <c r="L326" s="179"/>
      <c r="M326" s="180"/>
      <c r="N326" s="181"/>
      <c r="O326" s="37">
        <v>0</v>
      </c>
      <c r="P326" s="37"/>
      <c r="Q326" s="37"/>
      <c r="R326" s="37"/>
      <c r="S326" s="37"/>
    </row>
    <row r="327" spans="1:19" s="77" customFormat="1" x14ac:dyDescent="0.25">
      <c r="A327" s="37" t="s">
        <v>459</v>
      </c>
      <c r="B327" s="37"/>
      <c r="C327" s="33"/>
      <c r="D327" s="33"/>
      <c r="E327" s="33"/>
      <c r="J327" s="171"/>
      <c r="K327" s="178"/>
      <c r="L327" s="179"/>
      <c r="M327" s="180"/>
      <c r="N327" s="181"/>
      <c r="O327" s="37">
        <v>0</v>
      </c>
      <c r="P327" s="37"/>
      <c r="Q327" s="37"/>
      <c r="R327" s="37"/>
      <c r="S327" s="37"/>
    </row>
    <row r="328" spans="1:19" s="77" customFormat="1" x14ac:dyDescent="0.25">
      <c r="A328" s="37" t="s">
        <v>460</v>
      </c>
      <c r="B328" s="37"/>
      <c r="C328" s="33"/>
      <c r="D328" s="33"/>
      <c r="E328" s="33"/>
      <c r="J328" s="171"/>
      <c r="K328" s="178"/>
      <c r="L328" s="179"/>
      <c r="M328" s="180"/>
      <c r="N328" s="181"/>
      <c r="O328" s="37">
        <v>0</v>
      </c>
      <c r="P328" s="37"/>
      <c r="Q328" s="37"/>
      <c r="R328" s="37"/>
      <c r="S328" s="37"/>
    </row>
    <row r="329" spans="1:19" s="77" customFormat="1" x14ac:dyDescent="0.25">
      <c r="A329" s="37" t="s">
        <v>461</v>
      </c>
      <c r="B329" s="37"/>
      <c r="C329" s="33"/>
      <c r="D329" s="33"/>
      <c r="E329" s="33"/>
      <c r="J329" s="171"/>
      <c r="K329" s="178"/>
      <c r="L329" s="179"/>
      <c r="M329" s="180"/>
      <c r="N329" s="181"/>
      <c r="O329" s="37">
        <v>0</v>
      </c>
      <c r="P329" s="37"/>
      <c r="Q329" s="37"/>
      <c r="R329" s="37"/>
      <c r="S329" s="37"/>
    </row>
    <row r="330" spans="1:19" s="77" customFormat="1" x14ac:dyDescent="0.25">
      <c r="A330" s="37" t="s">
        <v>462</v>
      </c>
      <c r="B330" s="37"/>
      <c r="C330" s="33"/>
      <c r="D330" s="33"/>
      <c r="E330" s="33"/>
      <c r="J330" s="171"/>
      <c r="K330" s="178"/>
      <c r="L330" s="179"/>
      <c r="M330" s="180"/>
      <c r="N330" s="181"/>
      <c r="O330" s="37">
        <v>0</v>
      </c>
      <c r="P330" s="37"/>
      <c r="Q330" s="37"/>
      <c r="R330" s="37"/>
      <c r="S330" s="37"/>
    </row>
    <row r="331" spans="1:19" s="77" customFormat="1" x14ac:dyDescent="0.25">
      <c r="A331" s="37" t="s">
        <v>599</v>
      </c>
      <c r="B331" s="37"/>
      <c r="C331" s="33"/>
      <c r="D331" s="33"/>
      <c r="E331" s="33"/>
      <c r="J331" s="171"/>
      <c r="K331" s="178"/>
      <c r="L331" s="179"/>
      <c r="M331" s="180"/>
      <c r="N331" s="181"/>
      <c r="O331" s="37">
        <v>0</v>
      </c>
      <c r="P331" s="37"/>
      <c r="Q331" s="37"/>
      <c r="R331" s="37"/>
      <c r="S331" s="37"/>
    </row>
    <row r="332" spans="1:19" s="77" customFormat="1" x14ac:dyDescent="0.25">
      <c r="A332" s="37" t="s">
        <v>463</v>
      </c>
      <c r="B332" s="37"/>
      <c r="C332" s="33"/>
      <c r="D332" s="33"/>
      <c r="E332" s="33"/>
      <c r="J332" s="171"/>
      <c r="K332" s="178"/>
      <c r="L332" s="179"/>
      <c r="M332" s="180"/>
      <c r="N332" s="181"/>
      <c r="O332" s="37">
        <v>0</v>
      </c>
      <c r="P332" s="37"/>
      <c r="Q332" s="37"/>
      <c r="R332" s="37"/>
      <c r="S332" s="37"/>
    </row>
    <row r="333" spans="1:19" s="77" customFormat="1" x14ac:dyDescent="0.25">
      <c r="A333" s="37" t="s">
        <v>464</v>
      </c>
      <c r="B333" s="37"/>
      <c r="C333" s="33"/>
      <c r="D333" s="33"/>
      <c r="E333" s="33"/>
      <c r="J333" s="171"/>
      <c r="K333" s="178"/>
      <c r="L333" s="179"/>
      <c r="M333" s="180"/>
      <c r="N333" s="181"/>
      <c r="O333" s="37">
        <v>0</v>
      </c>
      <c r="P333" s="37"/>
      <c r="Q333" s="37"/>
      <c r="R333" s="37"/>
      <c r="S333" s="37"/>
    </row>
    <row r="334" spans="1:19" s="77" customFormat="1" x14ac:dyDescent="0.25">
      <c r="A334" s="37" t="s">
        <v>465</v>
      </c>
      <c r="B334" s="37"/>
      <c r="C334" s="33"/>
      <c r="D334" s="33"/>
      <c r="E334" s="33"/>
      <c r="J334" s="171"/>
      <c r="K334" s="178"/>
      <c r="L334" s="179"/>
      <c r="M334" s="180"/>
      <c r="N334" s="181"/>
      <c r="O334" s="37">
        <v>0</v>
      </c>
      <c r="P334" s="37"/>
      <c r="Q334" s="37"/>
      <c r="R334" s="37"/>
      <c r="S334" s="37"/>
    </row>
    <row r="335" spans="1:19" s="77" customFormat="1" x14ac:dyDescent="0.25">
      <c r="A335" s="37" t="s">
        <v>466</v>
      </c>
      <c r="B335" s="37"/>
      <c r="C335" s="33"/>
      <c r="D335" s="33"/>
      <c r="E335" s="33"/>
      <c r="J335" s="171"/>
      <c r="K335" s="178"/>
      <c r="L335" s="179"/>
      <c r="M335" s="180"/>
      <c r="N335" s="181"/>
      <c r="O335" s="37">
        <v>0</v>
      </c>
      <c r="P335" s="37"/>
      <c r="Q335" s="37"/>
      <c r="R335" s="37"/>
      <c r="S335" s="37"/>
    </row>
    <row r="336" spans="1:19" s="77" customFormat="1" x14ac:dyDescent="0.25">
      <c r="A336" s="37" t="s">
        <v>600</v>
      </c>
      <c r="B336" s="37"/>
      <c r="C336" s="33"/>
      <c r="D336" s="33"/>
      <c r="E336" s="33"/>
      <c r="J336" s="171"/>
      <c r="K336" s="178"/>
      <c r="L336" s="179"/>
      <c r="M336" s="180"/>
      <c r="N336" s="181"/>
      <c r="O336" s="37">
        <v>0</v>
      </c>
      <c r="P336" s="37"/>
      <c r="Q336" s="37"/>
      <c r="R336" s="37"/>
      <c r="S336" s="37"/>
    </row>
    <row r="337" spans="1:19" s="77" customFormat="1" x14ac:dyDescent="0.25">
      <c r="A337" s="37" t="s">
        <v>601</v>
      </c>
      <c r="B337" s="37"/>
      <c r="C337" s="33"/>
      <c r="D337" s="33"/>
      <c r="E337" s="33"/>
      <c r="J337" s="171"/>
      <c r="K337" s="178"/>
      <c r="L337" s="179"/>
      <c r="M337" s="180"/>
      <c r="N337" s="181"/>
      <c r="O337" s="37">
        <v>0</v>
      </c>
      <c r="P337" s="37"/>
      <c r="Q337" s="37"/>
      <c r="R337" s="37"/>
      <c r="S337" s="37"/>
    </row>
    <row r="338" spans="1:19" s="77" customFormat="1" x14ac:dyDescent="0.25">
      <c r="A338" s="37" t="s">
        <v>467</v>
      </c>
      <c r="B338" s="37"/>
      <c r="C338" s="33"/>
      <c r="D338" s="33"/>
      <c r="E338" s="33"/>
      <c r="J338" s="171"/>
      <c r="K338" s="178"/>
      <c r="L338" s="179"/>
      <c r="M338" s="180"/>
      <c r="N338" s="181"/>
      <c r="O338" s="37">
        <v>0</v>
      </c>
      <c r="P338" s="37"/>
      <c r="Q338" s="37"/>
      <c r="R338" s="37"/>
      <c r="S338" s="37"/>
    </row>
    <row r="339" spans="1:19" s="77" customFormat="1" x14ac:dyDescent="0.25">
      <c r="A339" s="37" t="s">
        <v>468</v>
      </c>
      <c r="B339" s="37"/>
      <c r="C339" s="33"/>
      <c r="D339" s="33"/>
      <c r="E339" s="33"/>
      <c r="J339" s="171"/>
      <c r="K339" s="178"/>
      <c r="L339" s="179"/>
      <c r="M339" s="180"/>
      <c r="N339" s="181"/>
      <c r="O339" s="37">
        <v>0</v>
      </c>
      <c r="P339" s="37"/>
      <c r="Q339" s="37"/>
      <c r="R339" s="37"/>
      <c r="S339" s="37"/>
    </row>
    <row r="340" spans="1:19" s="77" customFormat="1" x14ac:dyDescent="0.25">
      <c r="A340" s="37" t="s">
        <v>469</v>
      </c>
      <c r="B340" s="37"/>
      <c r="C340" s="33"/>
      <c r="D340" s="33"/>
      <c r="E340" s="33"/>
      <c r="J340" s="171"/>
      <c r="K340" s="178"/>
      <c r="L340" s="179"/>
      <c r="M340" s="180"/>
      <c r="N340" s="181"/>
      <c r="O340" s="37">
        <v>0</v>
      </c>
      <c r="P340" s="37"/>
      <c r="Q340" s="37"/>
      <c r="R340" s="37"/>
      <c r="S340" s="37"/>
    </row>
    <row r="341" spans="1:19" s="77" customFormat="1" x14ac:dyDescent="0.25">
      <c r="A341" s="37" t="s">
        <v>470</v>
      </c>
      <c r="B341" s="37"/>
      <c r="C341" s="33"/>
      <c r="D341" s="33"/>
      <c r="E341" s="33"/>
      <c r="J341" s="171"/>
      <c r="K341" s="178"/>
      <c r="L341" s="179"/>
      <c r="M341" s="180"/>
      <c r="N341" s="181"/>
      <c r="O341" s="37">
        <v>0</v>
      </c>
      <c r="P341" s="37"/>
      <c r="Q341" s="37"/>
      <c r="R341" s="37"/>
      <c r="S341" s="37"/>
    </row>
    <row r="342" spans="1:19" s="77" customFormat="1" x14ac:dyDescent="0.25">
      <c r="A342" s="37" t="s">
        <v>471</v>
      </c>
      <c r="B342" s="37"/>
      <c r="C342" s="33"/>
      <c r="D342" s="33"/>
      <c r="E342" s="33"/>
      <c r="J342" s="171"/>
      <c r="K342" s="178"/>
      <c r="L342" s="179"/>
      <c r="M342" s="180"/>
      <c r="N342" s="181"/>
      <c r="O342" s="37">
        <v>0</v>
      </c>
      <c r="P342" s="37"/>
      <c r="Q342" s="37"/>
      <c r="R342" s="37"/>
      <c r="S342" s="37"/>
    </row>
    <row r="343" spans="1:19" s="77" customFormat="1" x14ac:dyDescent="0.25">
      <c r="A343" s="37" t="s">
        <v>472</v>
      </c>
      <c r="B343" s="37"/>
      <c r="C343" s="33"/>
      <c r="D343" s="33"/>
      <c r="E343" s="33"/>
      <c r="J343" s="171"/>
      <c r="K343" s="178"/>
      <c r="L343" s="179"/>
      <c r="M343" s="180"/>
      <c r="N343" s="181"/>
      <c r="O343" s="37">
        <v>0</v>
      </c>
      <c r="P343" s="37"/>
      <c r="Q343" s="37"/>
      <c r="R343" s="37"/>
      <c r="S343" s="37"/>
    </row>
    <row r="344" spans="1:19" s="77" customFormat="1" x14ac:dyDescent="0.25">
      <c r="A344" s="37" t="s">
        <v>602</v>
      </c>
      <c r="B344" s="37"/>
      <c r="C344" s="33"/>
      <c r="D344" s="33"/>
      <c r="E344" s="33"/>
      <c r="J344" s="171"/>
      <c r="K344" s="178"/>
      <c r="L344" s="179"/>
      <c r="M344" s="180"/>
      <c r="N344" s="181"/>
      <c r="O344" s="37">
        <v>0</v>
      </c>
      <c r="P344" s="37"/>
      <c r="Q344" s="37"/>
      <c r="R344" s="37"/>
      <c r="S344" s="37"/>
    </row>
    <row r="345" spans="1:19" s="77" customFormat="1" x14ac:dyDescent="0.25">
      <c r="A345" s="37" t="s">
        <v>603</v>
      </c>
      <c r="B345" s="37"/>
      <c r="C345" s="33"/>
      <c r="D345" s="33"/>
      <c r="E345" s="33"/>
      <c r="J345" s="171"/>
      <c r="K345" s="178"/>
      <c r="L345" s="179"/>
      <c r="M345" s="180"/>
      <c r="N345" s="181"/>
      <c r="O345" s="37">
        <v>0</v>
      </c>
      <c r="P345" s="37"/>
      <c r="Q345" s="37"/>
      <c r="R345" s="37"/>
      <c r="S345" s="37"/>
    </row>
    <row r="346" spans="1:19" s="77" customFormat="1" x14ac:dyDescent="0.25">
      <c r="A346" s="37" t="s">
        <v>473</v>
      </c>
      <c r="B346" s="37"/>
      <c r="C346" s="33"/>
      <c r="D346" s="33"/>
      <c r="E346" s="33"/>
      <c r="J346" s="171"/>
      <c r="K346" s="178"/>
      <c r="L346" s="179"/>
      <c r="M346" s="180"/>
      <c r="N346" s="181"/>
      <c r="O346" s="37">
        <v>0</v>
      </c>
      <c r="P346" s="37"/>
      <c r="Q346" s="37"/>
      <c r="R346" s="37"/>
      <c r="S346" s="37"/>
    </row>
    <row r="347" spans="1:19" s="77" customFormat="1" x14ac:dyDescent="0.25">
      <c r="A347" s="37" t="s">
        <v>474</v>
      </c>
      <c r="B347" s="37"/>
      <c r="C347" s="33"/>
      <c r="D347" s="33"/>
      <c r="E347" s="33"/>
      <c r="J347" s="171"/>
      <c r="K347" s="178"/>
      <c r="L347" s="179"/>
      <c r="M347" s="180"/>
      <c r="N347" s="181"/>
      <c r="O347" s="37">
        <v>0</v>
      </c>
      <c r="P347" s="37"/>
      <c r="Q347" s="37"/>
      <c r="R347" s="37"/>
      <c r="S347" s="37"/>
    </row>
    <row r="348" spans="1:19" s="77" customFormat="1" x14ac:dyDescent="0.25">
      <c r="A348" s="37" t="s">
        <v>475</v>
      </c>
      <c r="B348" s="37"/>
      <c r="C348" s="33"/>
      <c r="D348" s="33"/>
      <c r="E348" s="33"/>
      <c r="J348" s="171"/>
      <c r="K348" s="178"/>
      <c r="L348" s="179"/>
      <c r="M348" s="180"/>
      <c r="N348" s="181"/>
      <c r="O348" s="37">
        <v>0</v>
      </c>
      <c r="P348" s="37"/>
      <c r="Q348" s="37"/>
      <c r="R348" s="37"/>
      <c r="S348" s="37"/>
    </row>
    <row r="349" spans="1:19" s="77" customFormat="1" x14ac:dyDescent="0.25">
      <c r="A349" s="37" t="s">
        <v>476</v>
      </c>
      <c r="B349" s="37"/>
      <c r="C349" s="33"/>
      <c r="D349" s="33"/>
      <c r="E349" s="33"/>
      <c r="J349" s="171"/>
      <c r="K349" s="178"/>
      <c r="L349" s="179"/>
      <c r="M349" s="180"/>
      <c r="N349" s="181"/>
      <c r="O349" s="37">
        <v>0</v>
      </c>
      <c r="P349" s="37"/>
      <c r="Q349" s="37"/>
      <c r="R349" s="37"/>
      <c r="S349" s="37"/>
    </row>
    <row r="350" spans="1:19" s="77" customFormat="1" x14ac:dyDescent="0.25">
      <c r="A350" s="37" t="s">
        <v>477</v>
      </c>
      <c r="B350" s="37"/>
      <c r="C350" s="33"/>
      <c r="D350" s="33"/>
      <c r="E350" s="33"/>
      <c r="J350" s="171"/>
      <c r="K350" s="178"/>
      <c r="L350" s="179"/>
      <c r="M350" s="180"/>
      <c r="N350" s="181"/>
      <c r="O350" s="37">
        <v>0</v>
      </c>
      <c r="P350" s="37"/>
      <c r="Q350" s="37"/>
      <c r="R350" s="37"/>
      <c r="S350" s="37"/>
    </row>
    <row r="351" spans="1:19" s="77" customFormat="1" x14ac:dyDescent="0.25">
      <c r="A351" s="37" t="s">
        <v>478</v>
      </c>
      <c r="B351" s="37"/>
      <c r="C351" s="33"/>
      <c r="D351" s="33"/>
      <c r="E351" s="33"/>
      <c r="J351" s="171"/>
      <c r="K351" s="178"/>
      <c r="L351" s="179"/>
      <c r="M351" s="180"/>
      <c r="N351" s="181"/>
      <c r="O351" s="37">
        <v>0</v>
      </c>
      <c r="P351" s="37"/>
      <c r="Q351" s="37"/>
      <c r="R351" s="37"/>
      <c r="S351" s="37"/>
    </row>
    <row r="352" spans="1:19" s="77" customFormat="1" x14ac:dyDescent="0.25">
      <c r="A352" s="37" t="s">
        <v>479</v>
      </c>
      <c r="B352" s="37"/>
      <c r="C352" s="33"/>
      <c r="D352" s="33"/>
      <c r="E352" s="33"/>
      <c r="J352" s="171"/>
      <c r="K352" s="178"/>
      <c r="L352" s="179"/>
      <c r="M352" s="180"/>
      <c r="N352" s="181"/>
      <c r="O352" s="37">
        <v>0</v>
      </c>
      <c r="P352" s="37"/>
      <c r="Q352" s="37"/>
      <c r="R352" s="37"/>
      <c r="S352" s="37"/>
    </row>
    <row r="353" spans="1:19" s="77" customFormat="1" x14ac:dyDescent="0.25">
      <c r="A353" s="37" t="s">
        <v>480</v>
      </c>
      <c r="B353" s="37"/>
      <c r="C353" s="33"/>
      <c r="D353" s="33"/>
      <c r="E353" s="33"/>
      <c r="J353" s="171"/>
      <c r="K353" s="178"/>
      <c r="L353" s="179"/>
      <c r="M353" s="180"/>
      <c r="N353" s="181"/>
      <c r="O353" s="37">
        <v>0</v>
      </c>
      <c r="P353" s="37"/>
      <c r="Q353" s="37"/>
      <c r="R353" s="37"/>
      <c r="S353" s="37"/>
    </row>
    <row r="354" spans="1:19" s="77" customFormat="1" x14ac:dyDescent="0.25">
      <c r="A354" s="37" t="s">
        <v>481</v>
      </c>
      <c r="B354" s="37"/>
      <c r="C354" s="33"/>
      <c r="D354" s="33"/>
      <c r="E354" s="33"/>
      <c r="J354" s="171"/>
      <c r="K354" s="178"/>
      <c r="L354" s="179"/>
      <c r="M354" s="180"/>
      <c r="N354" s="181"/>
      <c r="O354" s="37">
        <v>0</v>
      </c>
      <c r="P354" s="37"/>
      <c r="Q354" s="37"/>
      <c r="R354" s="37"/>
      <c r="S354" s="37"/>
    </row>
    <row r="355" spans="1:19" s="77" customFormat="1" x14ac:dyDescent="0.25">
      <c r="A355" s="37" t="s">
        <v>482</v>
      </c>
      <c r="B355" s="37"/>
      <c r="C355" s="33"/>
      <c r="D355" s="33"/>
      <c r="E355" s="33"/>
      <c r="J355" s="171"/>
      <c r="K355" s="178"/>
      <c r="L355" s="179"/>
      <c r="M355" s="180"/>
      <c r="N355" s="181"/>
      <c r="O355" s="37">
        <v>0</v>
      </c>
      <c r="P355" s="37"/>
      <c r="Q355" s="37"/>
      <c r="R355" s="37"/>
      <c r="S355" s="37"/>
    </row>
    <row r="356" spans="1:19" s="77" customFormat="1" x14ac:dyDescent="0.25">
      <c r="A356" s="37" t="s">
        <v>483</v>
      </c>
      <c r="B356" s="37"/>
      <c r="C356" s="33"/>
      <c r="D356" s="33"/>
      <c r="E356" s="33"/>
      <c r="J356" s="171"/>
      <c r="K356" s="178"/>
      <c r="L356" s="179"/>
      <c r="M356" s="180"/>
      <c r="N356" s="181"/>
      <c r="O356" s="37">
        <v>0</v>
      </c>
      <c r="P356" s="37"/>
      <c r="Q356" s="37"/>
      <c r="R356" s="37"/>
      <c r="S356" s="37"/>
    </row>
    <row r="357" spans="1:19" s="77" customFormat="1" x14ac:dyDescent="0.25">
      <c r="A357" s="37" t="s">
        <v>484</v>
      </c>
      <c r="B357" s="37"/>
      <c r="C357" s="33"/>
      <c r="D357" s="33"/>
      <c r="E357" s="33"/>
      <c r="J357" s="171"/>
      <c r="K357" s="178"/>
      <c r="L357" s="179"/>
      <c r="M357" s="180"/>
      <c r="N357" s="181"/>
      <c r="O357" s="37">
        <v>0</v>
      </c>
      <c r="P357" s="37"/>
      <c r="Q357" s="37"/>
      <c r="R357" s="37"/>
      <c r="S357" s="37"/>
    </row>
    <row r="358" spans="1:19" s="77" customFormat="1" x14ac:dyDescent="0.25">
      <c r="A358" s="37" t="s">
        <v>485</v>
      </c>
      <c r="B358" s="37"/>
      <c r="C358" s="33"/>
      <c r="D358" s="33"/>
      <c r="E358" s="33"/>
      <c r="J358" s="171"/>
      <c r="K358" s="178"/>
      <c r="L358" s="179"/>
      <c r="M358" s="180"/>
      <c r="N358" s="181"/>
      <c r="O358" s="37">
        <v>0</v>
      </c>
      <c r="P358" s="37"/>
      <c r="Q358" s="37"/>
      <c r="R358" s="37"/>
      <c r="S358" s="37"/>
    </row>
    <row r="359" spans="1:19" s="77" customFormat="1" x14ac:dyDescent="0.25">
      <c r="A359" s="37" t="s">
        <v>486</v>
      </c>
      <c r="B359" s="37"/>
      <c r="C359" s="33"/>
      <c r="D359" s="33"/>
      <c r="E359" s="33"/>
      <c r="J359" s="171"/>
      <c r="K359" s="178"/>
      <c r="L359" s="179"/>
      <c r="M359" s="180"/>
      <c r="N359" s="181"/>
      <c r="O359" s="37">
        <v>0</v>
      </c>
      <c r="P359" s="37"/>
      <c r="Q359" s="37"/>
      <c r="R359" s="37"/>
      <c r="S359" s="37"/>
    </row>
    <row r="360" spans="1:19" s="77" customFormat="1" x14ac:dyDescent="0.25">
      <c r="A360" s="37" t="s">
        <v>487</v>
      </c>
      <c r="B360" s="37"/>
      <c r="C360" s="33"/>
      <c r="D360" s="33"/>
      <c r="E360" s="33"/>
      <c r="J360" s="171"/>
      <c r="K360" s="178"/>
      <c r="L360" s="179"/>
      <c r="M360" s="180"/>
      <c r="N360" s="181"/>
      <c r="O360" s="37">
        <v>0</v>
      </c>
      <c r="P360" s="37"/>
      <c r="Q360" s="37"/>
      <c r="R360" s="37"/>
      <c r="S360" s="37"/>
    </row>
    <row r="361" spans="1:19" s="77" customFormat="1" x14ac:dyDescent="0.25">
      <c r="A361" s="37" t="s">
        <v>488</v>
      </c>
      <c r="B361" s="37"/>
      <c r="C361" s="33"/>
      <c r="D361" s="33"/>
      <c r="E361" s="33"/>
      <c r="J361" s="171"/>
      <c r="K361" s="178"/>
      <c r="L361" s="179"/>
      <c r="M361" s="180"/>
      <c r="N361" s="181"/>
      <c r="O361" s="37">
        <v>0</v>
      </c>
      <c r="P361" s="37"/>
      <c r="Q361" s="37"/>
      <c r="R361" s="37"/>
      <c r="S361" s="37"/>
    </row>
    <row r="362" spans="1:19" s="77" customFormat="1" x14ac:dyDescent="0.25">
      <c r="A362" s="37" t="s">
        <v>604</v>
      </c>
      <c r="B362" s="37"/>
      <c r="C362" s="33"/>
      <c r="D362" s="33"/>
      <c r="E362" s="33"/>
      <c r="J362" s="171"/>
      <c r="K362" s="178"/>
      <c r="L362" s="179"/>
      <c r="M362" s="180"/>
      <c r="N362" s="181"/>
      <c r="O362" s="37">
        <v>0</v>
      </c>
      <c r="P362" s="37"/>
      <c r="Q362" s="37"/>
      <c r="R362" s="37"/>
      <c r="S362" s="37"/>
    </row>
    <row r="363" spans="1:19" s="77" customFormat="1" x14ac:dyDescent="0.25">
      <c r="A363" s="37" t="s">
        <v>489</v>
      </c>
      <c r="B363" s="37"/>
      <c r="C363" s="33"/>
      <c r="D363" s="33"/>
      <c r="E363" s="33"/>
      <c r="J363" s="171"/>
      <c r="K363" s="178"/>
      <c r="L363" s="179"/>
      <c r="M363" s="180"/>
      <c r="N363" s="181"/>
      <c r="O363" s="37">
        <v>0</v>
      </c>
      <c r="P363" s="37"/>
      <c r="Q363" s="37"/>
      <c r="R363" s="37"/>
      <c r="S363" s="37"/>
    </row>
    <row r="364" spans="1:19" s="77" customFormat="1" x14ac:dyDescent="0.25">
      <c r="A364" s="37" t="s">
        <v>490</v>
      </c>
      <c r="B364" s="37"/>
      <c r="C364" s="33"/>
      <c r="D364" s="33"/>
      <c r="E364" s="33"/>
      <c r="J364" s="171"/>
      <c r="K364" s="178"/>
      <c r="L364" s="179"/>
      <c r="M364" s="180"/>
      <c r="N364" s="181"/>
      <c r="O364" s="37">
        <v>0</v>
      </c>
      <c r="P364" s="37"/>
      <c r="Q364" s="37"/>
      <c r="R364" s="37"/>
      <c r="S364" s="37"/>
    </row>
    <row r="365" spans="1:19" s="77" customFormat="1" x14ac:dyDescent="0.25">
      <c r="A365" s="37" t="s">
        <v>605</v>
      </c>
      <c r="B365" s="37"/>
      <c r="C365" s="33"/>
      <c r="D365" s="33"/>
      <c r="E365" s="33"/>
      <c r="J365" s="171"/>
      <c r="K365" s="178"/>
      <c r="L365" s="179"/>
      <c r="M365" s="180"/>
      <c r="N365" s="181"/>
      <c r="O365" s="37">
        <v>0</v>
      </c>
      <c r="P365" s="37"/>
      <c r="Q365" s="37"/>
      <c r="R365" s="37"/>
      <c r="S365" s="37"/>
    </row>
    <row r="366" spans="1:19" s="77" customFormat="1" x14ac:dyDescent="0.25">
      <c r="A366" s="37" t="s">
        <v>491</v>
      </c>
      <c r="B366" s="37"/>
      <c r="C366" s="33"/>
      <c r="D366" s="33"/>
      <c r="E366" s="33"/>
      <c r="J366" s="171"/>
      <c r="K366" s="178"/>
      <c r="L366" s="179"/>
      <c r="M366" s="180"/>
      <c r="N366" s="181"/>
      <c r="O366" s="37">
        <v>0</v>
      </c>
      <c r="P366" s="37"/>
      <c r="Q366" s="37"/>
      <c r="R366" s="37"/>
      <c r="S366" s="37"/>
    </row>
    <row r="367" spans="1:19" s="77" customFormat="1" x14ac:dyDescent="0.25">
      <c r="A367" s="37" t="s">
        <v>492</v>
      </c>
      <c r="B367" s="37"/>
      <c r="C367" s="33"/>
      <c r="D367" s="33"/>
      <c r="E367" s="33"/>
      <c r="J367" s="171"/>
      <c r="K367" s="178"/>
      <c r="L367" s="179"/>
      <c r="M367" s="180"/>
      <c r="N367" s="181"/>
      <c r="O367" s="37">
        <v>0</v>
      </c>
      <c r="P367" s="37"/>
      <c r="Q367" s="37"/>
      <c r="R367" s="37"/>
      <c r="S367" s="37"/>
    </row>
    <row r="368" spans="1:19" s="77" customFormat="1" x14ac:dyDescent="0.25">
      <c r="A368" s="37" t="s">
        <v>493</v>
      </c>
      <c r="B368" s="37"/>
      <c r="C368" s="33"/>
      <c r="D368" s="33"/>
      <c r="E368" s="33"/>
      <c r="J368" s="171"/>
      <c r="K368" s="178"/>
      <c r="L368" s="179"/>
      <c r="M368" s="180"/>
      <c r="N368" s="181"/>
      <c r="O368" s="37">
        <v>0</v>
      </c>
      <c r="P368" s="37"/>
      <c r="Q368" s="37"/>
      <c r="R368" s="37"/>
      <c r="S368" s="37"/>
    </row>
    <row r="369" spans="1:19" s="77" customFormat="1" x14ac:dyDescent="0.25">
      <c r="A369" s="37" t="s">
        <v>494</v>
      </c>
      <c r="B369" s="37"/>
      <c r="C369" s="33"/>
      <c r="D369" s="33"/>
      <c r="E369" s="33"/>
      <c r="J369" s="171"/>
      <c r="K369" s="178"/>
      <c r="L369" s="179"/>
      <c r="M369" s="180"/>
      <c r="N369" s="181"/>
      <c r="O369" s="37">
        <v>0</v>
      </c>
      <c r="P369" s="37"/>
      <c r="Q369" s="37"/>
      <c r="R369" s="37"/>
      <c r="S369" s="37"/>
    </row>
    <row r="370" spans="1:19" s="77" customFormat="1" x14ac:dyDescent="0.25">
      <c r="A370" s="37" t="s">
        <v>606</v>
      </c>
      <c r="B370" s="37"/>
      <c r="C370" s="33"/>
      <c r="D370" s="33"/>
      <c r="E370" s="33"/>
      <c r="J370" s="171"/>
      <c r="K370" s="178"/>
      <c r="L370" s="179"/>
      <c r="M370" s="180"/>
      <c r="N370" s="181"/>
      <c r="O370" s="37">
        <v>0</v>
      </c>
      <c r="P370" s="37"/>
      <c r="Q370" s="37"/>
      <c r="R370" s="37"/>
      <c r="S370" s="37"/>
    </row>
    <row r="371" spans="1:19" s="77" customFormat="1" x14ac:dyDescent="0.25">
      <c r="A371" s="37" t="s">
        <v>495</v>
      </c>
      <c r="B371" s="37"/>
      <c r="C371" s="33"/>
      <c r="D371" s="33"/>
      <c r="E371" s="33"/>
      <c r="J371" s="171"/>
      <c r="K371" s="178"/>
      <c r="L371" s="179"/>
      <c r="M371" s="180"/>
      <c r="N371" s="181"/>
      <c r="O371" s="37">
        <v>0</v>
      </c>
      <c r="P371" s="37"/>
      <c r="Q371" s="37"/>
      <c r="R371" s="37"/>
      <c r="S371" s="37"/>
    </row>
    <row r="372" spans="1:19" s="77" customFormat="1" x14ac:dyDescent="0.25">
      <c r="A372" s="37" t="s">
        <v>496</v>
      </c>
      <c r="B372" s="37"/>
      <c r="C372" s="33"/>
      <c r="D372" s="33"/>
      <c r="E372" s="33"/>
      <c r="J372" s="171"/>
      <c r="K372" s="178"/>
      <c r="L372" s="179"/>
      <c r="M372" s="180"/>
      <c r="N372" s="181"/>
      <c r="O372" s="37">
        <v>0</v>
      </c>
      <c r="P372" s="37"/>
      <c r="Q372" s="37"/>
      <c r="R372" s="37"/>
      <c r="S372" s="37"/>
    </row>
    <row r="373" spans="1:19" s="77" customFormat="1" x14ac:dyDescent="0.25">
      <c r="A373" s="37" t="s">
        <v>497</v>
      </c>
      <c r="B373" s="37"/>
      <c r="C373" s="33"/>
      <c r="D373" s="33"/>
      <c r="E373" s="33"/>
      <c r="J373" s="171"/>
      <c r="K373" s="178"/>
      <c r="L373" s="179"/>
      <c r="M373" s="180"/>
      <c r="N373" s="181"/>
      <c r="O373" s="37">
        <v>0</v>
      </c>
      <c r="P373" s="37"/>
      <c r="Q373" s="37"/>
      <c r="R373" s="37"/>
      <c r="S373" s="37"/>
    </row>
    <row r="374" spans="1:19" s="77" customFormat="1" x14ac:dyDescent="0.25">
      <c r="A374" s="37" t="s">
        <v>607</v>
      </c>
      <c r="B374" s="37"/>
      <c r="C374" s="33"/>
      <c r="D374" s="33"/>
      <c r="E374" s="33"/>
      <c r="J374" s="171"/>
      <c r="K374" s="178"/>
      <c r="L374" s="179"/>
      <c r="M374" s="180"/>
      <c r="N374" s="181"/>
      <c r="O374" s="37">
        <v>0</v>
      </c>
      <c r="P374" s="37"/>
      <c r="Q374" s="37"/>
      <c r="R374" s="37"/>
      <c r="S374" s="37"/>
    </row>
    <row r="375" spans="1:19" s="77" customFormat="1" x14ac:dyDescent="0.25">
      <c r="A375" s="37" t="s">
        <v>608</v>
      </c>
      <c r="B375" s="37"/>
      <c r="C375" s="33"/>
      <c r="D375" s="33"/>
      <c r="E375" s="33"/>
      <c r="J375" s="171"/>
      <c r="K375" s="178"/>
      <c r="L375" s="179"/>
      <c r="M375" s="180"/>
      <c r="N375" s="181"/>
      <c r="O375" s="37">
        <v>0</v>
      </c>
      <c r="P375" s="37"/>
      <c r="Q375" s="37"/>
      <c r="R375" s="37"/>
      <c r="S375" s="37"/>
    </row>
    <row r="376" spans="1:19" s="77" customFormat="1" x14ac:dyDescent="0.25">
      <c r="A376" s="37" t="s">
        <v>498</v>
      </c>
      <c r="B376" s="37"/>
      <c r="C376" s="33"/>
      <c r="D376" s="33"/>
      <c r="E376" s="33"/>
      <c r="J376" s="171"/>
      <c r="K376" s="178"/>
      <c r="L376" s="179"/>
      <c r="M376" s="180"/>
      <c r="N376" s="181"/>
      <c r="O376" s="37">
        <v>0</v>
      </c>
      <c r="P376" s="37"/>
      <c r="Q376" s="37"/>
      <c r="R376" s="37"/>
      <c r="S376" s="37"/>
    </row>
    <row r="377" spans="1:19" s="77" customFormat="1" x14ac:dyDescent="0.25">
      <c r="A377" s="37" t="s">
        <v>499</v>
      </c>
      <c r="B377" s="37"/>
      <c r="C377" s="33"/>
      <c r="D377" s="33"/>
      <c r="E377" s="33"/>
      <c r="J377" s="171"/>
      <c r="K377" s="178"/>
      <c r="L377" s="179"/>
      <c r="M377" s="180"/>
      <c r="N377" s="181"/>
      <c r="O377" s="37">
        <v>0</v>
      </c>
      <c r="P377" s="37"/>
      <c r="Q377" s="37"/>
      <c r="R377" s="37"/>
      <c r="S377" s="37"/>
    </row>
    <row r="378" spans="1:19" s="77" customFormat="1" x14ac:dyDescent="0.25">
      <c r="A378" s="37" t="s">
        <v>500</v>
      </c>
      <c r="B378" s="37"/>
      <c r="C378" s="33"/>
      <c r="D378" s="33"/>
      <c r="E378" s="33"/>
      <c r="J378" s="171"/>
      <c r="K378" s="178"/>
      <c r="L378" s="179"/>
      <c r="M378" s="180"/>
      <c r="N378" s="181"/>
      <c r="O378" s="37">
        <v>0</v>
      </c>
      <c r="P378" s="37"/>
      <c r="Q378" s="37"/>
      <c r="R378" s="37"/>
      <c r="S378" s="37"/>
    </row>
    <row r="379" spans="1:19" s="77" customFormat="1" x14ac:dyDescent="0.25">
      <c r="A379" s="37" t="s">
        <v>501</v>
      </c>
      <c r="B379" s="37"/>
      <c r="C379" s="33"/>
      <c r="D379" s="33"/>
      <c r="E379" s="33"/>
      <c r="J379" s="171"/>
      <c r="K379" s="178"/>
      <c r="L379" s="179"/>
      <c r="M379" s="180"/>
      <c r="N379" s="181"/>
      <c r="O379" s="37">
        <v>0</v>
      </c>
      <c r="P379" s="37"/>
      <c r="Q379" s="37"/>
      <c r="R379" s="37"/>
      <c r="S379" s="37"/>
    </row>
    <row r="380" spans="1:19" s="77" customFormat="1" x14ac:dyDescent="0.25">
      <c r="A380" s="37" t="s">
        <v>609</v>
      </c>
      <c r="B380" s="37"/>
      <c r="C380" s="33"/>
      <c r="D380" s="33"/>
      <c r="E380" s="33"/>
      <c r="J380" s="171"/>
      <c r="K380" s="178"/>
      <c r="L380" s="179"/>
      <c r="M380" s="180"/>
      <c r="N380" s="181"/>
      <c r="O380" s="37">
        <v>0</v>
      </c>
      <c r="P380" s="37"/>
      <c r="Q380" s="37"/>
      <c r="R380" s="37"/>
      <c r="S380" s="37"/>
    </row>
    <row r="381" spans="1:19" s="77" customFormat="1" x14ac:dyDescent="0.25">
      <c r="A381" s="37" t="s">
        <v>502</v>
      </c>
      <c r="B381" s="37"/>
      <c r="C381" s="33"/>
      <c r="D381" s="33"/>
      <c r="E381" s="33"/>
      <c r="J381" s="171"/>
      <c r="K381" s="178"/>
      <c r="L381" s="179"/>
      <c r="M381" s="180"/>
      <c r="N381" s="181"/>
      <c r="O381" s="37">
        <v>0</v>
      </c>
      <c r="P381" s="37"/>
      <c r="Q381" s="37"/>
      <c r="R381" s="37"/>
      <c r="S381" s="37"/>
    </row>
    <row r="382" spans="1:19" s="77" customFormat="1" x14ac:dyDescent="0.25">
      <c r="A382" s="37" t="s">
        <v>503</v>
      </c>
      <c r="B382" s="37"/>
      <c r="C382" s="33"/>
      <c r="D382" s="33"/>
      <c r="E382" s="33"/>
      <c r="J382" s="171"/>
      <c r="K382" s="178"/>
      <c r="L382" s="179"/>
      <c r="M382" s="180"/>
      <c r="N382" s="181"/>
      <c r="O382" s="37">
        <v>0</v>
      </c>
      <c r="P382" s="37"/>
      <c r="Q382" s="37"/>
      <c r="R382" s="37"/>
      <c r="S382" s="37"/>
    </row>
    <row r="383" spans="1:19" s="77" customFormat="1" x14ac:dyDescent="0.25">
      <c r="A383" s="37" t="s">
        <v>504</v>
      </c>
      <c r="B383" s="37"/>
      <c r="C383" s="33"/>
      <c r="D383" s="33"/>
      <c r="E383" s="33"/>
      <c r="J383" s="171"/>
      <c r="K383" s="178"/>
      <c r="L383" s="179"/>
      <c r="M383" s="180"/>
      <c r="N383" s="181"/>
      <c r="O383" s="37">
        <v>0</v>
      </c>
      <c r="P383" s="37"/>
      <c r="Q383" s="37"/>
      <c r="R383" s="37"/>
      <c r="S383" s="37"/>
    </row>
    <row r="384" spans="1:19" s="77" customFormat="1" x14ac:dyDescent="0.25">
      <c r="A384" s="37" t="s">
        <v>505</v>
      </c>
      <c r="B384" s="37"/>
      <c r="C384" s="33"/>
      <c r="D384" s="33"/>
      <c r="E384" s="33"/>
      <c r="J384" s="171"/>
      <c r="K384" s="178"/>
      <c r="L384" s="179"/>
      <c r="M384" s="180"/>
      <c r="N384" s="181"/>
      <c r="O384" s="37">
        <v>0</v>
      </c>
      <c r="P384" s="37"/>
      <c r="Q384" s="37"/>
      <c r="R384" s="37"/>
      <c r="S384" s="37"/>
    </row>
    <row r="385" spans="1:19" s="77" customFormat="1" x14ac:dyDescent="0.25">
      <c r="A385" s="37" t="s">
        <v>506</v>
      </c>
      <c r="B385" s="37"/>
      <c r="C385" s="33"/>
      <c r="D385" s="33"/>
      <c r="E385" s="33"/>
      <c r="J385" s="171"/>
      <c r="K385" s="178"/>
      <c r="L385" s="179"/>
      <c r="M385" s="180"/>
      <c r="N385" s="181"/>
      <c r="O385" s="37">
        <v>0</v>
      </c>
      <c r="P385" s="37"/>
      <c r="Q385" s="37"/>
      <c r="R385" s="37"/>
      <c r="S385" s="37"/>
    </row>
    <row r="386" spans="1:19" s="77" customFormat="1" x14ac:dyDescent="0.25">
      <c r="A386" s="37" t="s">
        <v>507</v>
      </c>
      <c r="B386" s="37"/>
      <c r="C386" s="33"/>
      <c r="D386" s="33"/>
      <c r="E386" s="33"/>
      <c r="J386" s="171"/>
      <c r="K386" s="178"/>
      <c r="L386" s="179"/>
      <c r="M386" s="180"/>
      <c r="N386" s="181"/>
      <c r="O386" s="37">
        <v>0</v>
      </c>
      <c r="P386" s="37"/>
      <c r="Q386" s="37"/>
      <c r="R386" s="37"/>
      <c r="S386" s="37"/>
    </row>
    <row r="387" spans="1:19" s="77" customFormat="1" x14ac:dyDescent="0.25">
      <c r="A387" s="37" t="s">
        <v>508</v>
      </c>
      <c r="B387" s="37"/>
      <c r="C387" s="33"/>
      <c r="D387" s="33"/>
      <c r="E387" s="33"/>
      <c r="J387" s="171"/>
      <c r="K387" s="178"/>
      <c r="L387" s="179"/>
      <c r="M387" s="180"/>
      <c r="N387" s="181"/>
      <c r="O387" s="37">
        <v>0</v>
      </c>
      <c r="P387" s="37"/>
      <c r="Q387" s="37"/>
      <c r="R387" s="37"/>
      <c r="S387" s="37"/>
    </row>
    <row r="388" spans="1:19" s="77" customFormat="1" x14ac:dyDescent="0.25">
      <c r="A388" s="37" t="s">
        <v>509</v>
      </c>
      <c r="B388" s="37"/>
      <c r="C388" s="33"/>
      <c r="D388" s="33"/>
      <c r="E388" s="33"/>
      <c r="J388" s="171"/>
      <c r="K388" s="178"/>
      <c r="L388" s="179"/>
      <c r="M388" s="180"/>
      <c r="N388" s="181"/>
      <c r="O388" s="37">
        <v>0</v>
      </c>
      <c r="P388" s="37"/>
      <c r="Q388" s="37"/>
      <c r="R388" s="37"/>
      <c r="S388" s="37"/>
    </row>
    <row r="389" spans="1:19" s="77" customFormat="1" x14ac:dyDescent="0.25">
      <c r="A389" s="37" t="s">
        <v>510</v>
      </c>
      <c r="B389" s="37"/>
      <c r="C389" s="33"/>
      <c r="D389" s="33"/>
      <c r="E389" s="33"/>
      <c r="J389" s="171"/>
      <c r="K389" s="178"/>
      <c r="L389" s="179"/>
      <c r="M389" s="180"/>
      <c r="N389" s="181"/>
      <c r="O389" s="37">
        <v>0</v>
      </c>
      <c r="P389" s="37"/>
      <c r="Q389" s="37"/>
      <c r="R389" s="37"/>
      <c r="S389" s="37"/>
    </row>
    <row r="390" spans="1:19" s="77" customFormat="1" x14ac:dyDescent="0.25">
      <c r="A390" s="37" t="s">
        <v>511</v>
      </c>
      <c r="B390" s="37"/>
      <c r="C390" s="33"/>
      <c r="D390" s="33"/>
      <c r="E390" s="33"/>
      <c r="J390" s="171"/>
      <c r="K390" s="178"/>
      <c r="L390" s="179"/>
      <c r="M390" s="180"/>
      <c r="N390" s="181"/>
      <c r="O390" s="37">
        <v>0</v>
      </c>
      <c r="P390" s="37"/>
      <c r="Q390" s="37"/>
      <c r="R390" s="37"/>
      <c r="S390" s="37"/>
    </row>
    <row r="391" spans="1:19" s="77" customFormat="1" x14ac:dyDescent="0.25">
      <c r="A391" s="37" t="s">
        <v>512</v>
      </c>
      <c r="B391" s="37"/>
      <c r="C391" s="33"/>
      <c r="D391" s="33"/>
      <c r="E391" s="33"/>
      <c r="J391" s="171"/>
      <c r="K391" s="178"/>
      <c r="L391" s="179"/>
      <c r="M391" s="180"/>
      <c r="N391" s="181"/>
      <c r="O391" s="37">
        <v>0</v>
      </c>
      <c r="P391" s="37"/>
      <c r="Q391" s="37"/>
      <c r="R391" s="37"/>
      <c r="S391" s="37"/>
    </row>
    <row r="392" spans="1:19" s="77" customFormat="1" x14ac:dyDescent="0.25">
      <c r="A392" s="37" t="s">
        <v>513</v>
      </c>
      <c r="B392" s="37"/>
      <c r="C392" s="33"/>
      <c r="D392" s="33"/>
      <c r="E392" s="33"/>
      <c r="J392" s="171"/>
      <c r="K392" s="178"/>
      <c r="L392" s="179"/>
      <c r="M392" s="180"/>
      <c r="N392" s="181"/>
      <c r="O392" s="37">
        <v>0</v>
      </c>
      <c r="P392" s="37"/>
      <c r="Q392" s="37"/>
      <c r="R392" s="37"/>
      <c r="S392" s="37"/>
    </row>
    <row r="393" spans="1:19" s="77" customFormat="1" x14ac:dyDescent="0.25">
      <c r="A393" s="37" t="s">
        <v>514</v>
      </c>
      <c r="B393" s="37"/>
      <c r="C393" s="33"/>
      <c r="D393" s="33"/>
      <c r="E393" s="33"/>
      <c r="J393" s="171"/>
      <c r="K393" s="178"/>
      <c r="L393" s="179"/>
      <c r="M393" s="180"/>
      <c r="N393" s="181"/>
      <c r="O393" s="37">
        <v>0</v>
      </c>
      <c r="P393" s="37"/>
      <c r="Q393" s="37"/>
      <c r="R393" s="37"/>
      <c r="S393" s="37"/>
    </row>
    <row r="394" spans="1:19" s="77" customFormat="1" x14ac:dyDescent="0.25">
      <c r="A394" s="37" t="s">
        <v>610</v>
      </c>
      <c r="B394" s="37"/>
      <c r="C394" s="33"/>
      <c r="D394" s="33"/>
      <c r="E394" s="33"/>
      <c r="J394" s="171"/>
      <c r="K394" s="178"/>
      <c r="L394" s="179"/>
      <c r="M394" s="180"/>
      <c r="N394" s="181"/>
      <c r="O394" s="37">
        <v>0</v>
      </c>
      <c r="P394" s="37"/>
      <c r="Q394" s="37"/>
      <c r="R394" s="37"/>
      <c r="S394" s="37"/>
    </row>
    <row r="395" spans="1:19" s="77" customFormat="1" x14ac:dyDescent="0.25">
      <c r="A395" s="37" t="s">
        <v>515</v>
      </c>
      <c r="B395" s="37"/>
      <c r="C395" s="33"/>
      <c r="D395" s="33"/>
      <c r="E395" s="33"/>
      <c r="J395" s="171"/>
      <c r="K395" s="178"/>
      <c r="L395" s="179"/>
      <c r="M395" s="180"/>
      <c r="N395" s="181"/>
      <c r="O395" s="37">
        <v>0</v>
      </c>
      <c r="P395" s="37"/>
      <c r="Q395" s="37"/>
      <c r="R395" s="37"/>
      <c r="S395" s="37"/>
    </row>
    <row r="396" spans="1:19" s="77" customFormat="1" x14ac:dyDescent="0.25">
      <c r="A396" s="37" t="s">
        <v>516</v>
      </c>
      <c r="B396" s="37"/>
      <c r="C396" s="33"/>
      <c r="D396" s="33"/>
      <c r="E396" s="33"/>
      <c r="J396" s="171"/>
      <c r="K396" s="178"/>
      <c r="L396" s="179"/>
      <c r="M396" s="180"/>
      <c r="N396" s="181"/>
      <c r="O396" s="37">
        <v>0</v>
      </c>
      <c r="P396" s="37"/>
      <c r="Q396" s="37"/>
      <c r="R396" s="37"/>
      <c r="S396" s="37"/>
    </row>
    <row r="397" spans="1:19" s="77" customFormat="1" x14ac:dyDescent="0.25">
      <c r="A397" s="37" t="s">
        <v>517</v>
      </c>
      <c r="B397" s="37"/>
      <c r="C397" s="33"/>
      <c r="D397" s="33"/>
      <c r="E397" s="33"/>
      <c r="J397" s="171"/>
      <c r="K397" s="178"/>
      <c r="L397" s="179"/>
      <c r="M397" s="180"/>
      <c r="N397" s="181"/>
      <c r="O397" s="37">
        <v>0</v>
      </c>
      <c r="P397" s="37"/>
      <c r="Q397" s="37"/>
      <c r="R397" s="37"/>
      <c r="S397" s="37"/>
    </row>
    <row r="398" spans="1:19" s="77" customFormat="1" x14ac:dyDescent="0.25">
      <c r="A398" s="37" t="s">
        <v>518</v>
      </c>
      <c r="B398" s="37"/>
      <c r="C398" s="33"/>
      <c r="D398" s="33"/>
      <c r="E398" s="33"/>
      <c r="J398" s="171"/>
      <c r="K398" s="178"/>
      <c r="L398" s="179"/>
      <c r="M398" s="180"/>
      <c r="N398" s="181"/>
      <c r="O398" s="37">
        <v>0</v>
      </c>
      <c r="P398" s="37"/>
      <c r="Q398" s="37"/>
      <c r="R398" s="37"/>
      <c r="S398" s="37"/>
    </row>
    <row r="399" spans="1:19" s="77" customFormat="1" x14ac:dyDescent="0.25">
      <c r="A399" s="37" t="s">
        <v>611</v>
      </c>
      <c r="B399" s="37"/>
      <c r="C399" s="33"/>
      <c r="D399" s="33"/>
      <c r="E399" s="33"/>
      <c r="J399" s="171"/>
      <c r="K399" s="178"/>
      <c r="L399" s="179"/>
      <c r="M399" s="180"/>
      <c r="N399" s="181"/>
      <c r="O399" s="37">
        <v>0</v>
      </c>
      <c r="P399" s="37"/>
      <c r="Q399" s="37"/>
      <c r="R399" s="37"/>
      <c r="S399" s="37"/>
    </row>
    <row r="400" spans="1:19" s="77" customFormat="1" x14ac:dyDescent="0.25">
      <c r="A400" s="37" t="s">
        <v>519</v>
      </c>
      <c r="B400" s="37"/>
      <c r="C400" s="33"/>
      <c r="D400" s="33"/>
      <c r="E400" s="33"/>
      <c r="J400" s="171"/>
      <c r="K400" s="178"/>
      <c r="L400" s="179"/>
      <c r="M400" s="180"/>
      <c r="N400" s="181"/>
      <c r="O400" s="37">
        <v>0</v>
      </c>
      <c r="P400" s="37"/>
      <c r="Q400" s="37"/>
      <c r="R400" s="37"/>
      <c r="S400" s="37"/>
    </row>
    <row r="401" spans="1:19" s="77" customFormat="1" x14ac:dyDescent="0.25">
      <c r="A401" s="37" t="s">
        <v>520</v>
      </c>
      <c r="B401" s="37"/>
      <c r="C401" s="33"/>
      <c r="D401" s="33"/>
      <c r="E401" s="33"/>
      <c r="J401" s="171"/>
      <c r="K401" s="178"/>
      <c r="L401" s="179"/>
      <c r="M401" s="180"/>
      <c r="N401" s="181"/>
      <c r="O401" s="37">
        <v>0</v>
      </c>
      <c r="P401" s="37"/>
      <c r="Q401" s="37"/>
      <c r="R401" s="37"/>
      <c r="S401" s="37"/>
    </row>
    <row r="402" spans="1:19" s="77" customFormat="1" x14ac:dyDescent="0.25">
      <c r="A402" s="37" t="s">
        <v>521</v>
      </c>
      <c r="B402" s="37"/>
      <c r="C402" s="33"/>
      <c r="D402" s="33"/>
      <c r="E402" s="33"/>
      <c r="J402" s="171"/>
      <c r="K402" s="178"/>
      <c r="L402" s="179"/>
      <c r="M402" s="180"/>
      <c r="N402" s="181"/>
      <c r="O402" s="37">
        <v>0</v>
      </c>
      <c r="P402" s="37"/>
      <c r="Q402" s="37"/>
      <c r="R402" s="37"/>
      <c r="S402" s="37"/>
    </row>
    <row r="403" spans="1:19" s="77" customFormat="1" x14ac:dyDescent="0.25">
      <c r="A403" s="37" t="s">
        <v>522</v>
      </c>
      <c r="B403" s="37"/>
      <c r="C403" s="33"/>
      <c r="D403" s="33"/>
      <c r="E403" s="33"/>
      <c r="J403" s="171"/>
      <c r="K403" s="178"/>
      <c r="L403" s="179"/>
      <c r="M403" s="180"/>
      <c r="N403" s="181"/>
      <c r="O403" s="37">
        <v>0</v>
      </c>
      <c r="P403" s="37"/>
      <c r="Q403" s="37"/>
      <c r="R403" s="37"/>
      <c r="S403" s="37"/>
    </row>
    <row r="404" spans="1:19" s="77" customFormat="1" x14ac:dyDescent="0.25">
      <c r="A404" s="37" t="s">
        <v>547</v>
      </c>
      <c r="B404" s="37"/>
      <c r="C404" s="33"/>
      <c r="D404" s="33"/>
      <c r="E404" s="33"/>
      <c r="J404" s="171"/>
      <c r="K404" s="178"/>
      <c r="L404" s="179"/>
      <c r="M404" s="180"/>
      <c r="N404" s="181"/>
      <c r="O404" s="37">
        <v>0</v>
      </c>
      <c r="P404" s="37"/>
      <c r="Q404" s="37"/>
      <c r="R404" s="37"/>
      <c r="S404" s="37"/>
    </row>
    <row r="405" spans="1:19" s="77" customFormat="1" x14ac:dyDescent="0.25">
      <c r="A405" s="37" t="s">
        <v>548</v>
      </c>
      <c r="B405" s="37"/>
      <c r="C405" s="33"/>
      <c r="D405" s="33"/>
      <c r="E405" s="33"/>
      <c r="J405" s="171"/>
      <c r="K405" s="178"/>
      <c r="L405" s="179"/>
      <c r="M405" s="180"/>
      <c r="N405" s="181"/>
      <c r="O405" s="37">
        <v>0</v>
      </c>
      <c r="P405" s="37"/>
      <c r="Q405" s="37"/>
      <c r="R405" s="37"/>
      <c r="S405" s="37"/>
    </row>
    <row r="406" spans="1:19" s="77" customFormat="1" x14ac:dyDescent="0.25">
      <c r="A406" s="37" t="s">
        <v>549</v>
      </c>
      <c r="B406" s="37"/>
      <c r="C406" s="33"/>
      <c r="D406" s="33"/>
      <c r="E406" s="33"/>
      <c r="J406" s="171"/>
      <c r="K406" s="178"/>
      <c r="L406" s="179"/>
      <c r="M406" s="180"/>
      <c r="N406" s="181"/>
      <c r="O406" s="37">
        <v>0</v>
      </c>
      <c r="P406" s="37"/>
      <c r="Q406" s="37"/>
      <c r="R406" s="37"/>
      <c r="S406" s="37"/>
    </row>
    <row r="407" spans="1:19" s="77" customFormat="1" x14ac:dyDescent="0.25">
      <c r="A407" s="37" t="s">
        <v>187</v>
      </c>
      <c r="B407" s="37"/>
      <c r="C407" s="33"/>
      <c r="D407" s="33"/>
      <c r="E407" s="33"/>
      <c r="J407" s="171"/>
      <c r="K407" s="178"/>
      <c r="L407" s="179"/>
      <c r="M407" s="180"/>
      <c r="N407" s="181"/>
      <c r="O407" s="37">
        <v>0</v>
      </c>
      <c r="P407" s="37"/>
      <c r="Q407" s="37"/>
      <c r="R407" s="37"/>
      <c r="S407" s="37"/>
    </row>
    <row r="408" spans="1:19" s="77" customFormat="1" x14ac:dyDescent="0.25">
      <c r="A408" s="37" t="s">
        <v>188</v>
      </c>
      <c r="B408" s="37"/>
      <c r="C408" s="33"/>
      <c r="D408" s="33"/>
      <c r="E408" s="33"/>
      <c r="J408" s="171"/>
      <c r="K408" s="178"/>
      <c r="L408" s="179"/>
      <c r="M408" s="180"/>
      <c r="N408" s="181"/>
      <c r="O408" s="37">
        <v>0</v>
      </c>
      <c r="P408" s="37"/>
      <c r="Q408" s="37"/>
      <c r="R408" s="37"/>
      <c r="S408" s="37"/>
    </row>
    <row r="409" spans="1:19" s="77" customFormat="1" x14ac:dyDescent="0.25">
      <c r="A409" s="37" t="s">
        <v>523</v>
      </c>
      <c r="B409" s="37"/>
      <c r="C409" s="33"/>
      <c r="D409" s="33"/>
      <c r="E409" s="33"/>
      <c r="J409" s="171"/>
      <c r="K409" s="178"/>
      <c r="L409" s="179"/>
      <c r="M409" s="180"/>
      <c r="N409" s="181"/>
      <c r="O409" s="37">
        <v>0</v>
      </c>
      <c r="P409" s="37"/>
      <c r="Q409" s="37"/>
      <c r="R409" s="37"/>
      <c r="S409" s="37"/>
    </row>
    <row r="410" spans="1:19" x14ac:dyDescent="0.25">
      <c r="A410" s="37" t="s">
        <v>189</v>
      </c>
      <c r="B410" s="37"/>
      <c r="C410" s="33"/>
      <c r="D410" s="33"/>
      <c r="E410" s="33"/>
      <c r="F410" s="77"/>
      <c r="H410" s="77"/>
      <c r="I410" s="77"/>
      <c r="J410" s="171"/>
      <c r="K410" s="178"/>
      <c r="L410" s="179"/>
      <c r="M410" s="180"/>
      <c r="N410" s="181"/>
      <c r="O410" s="37">
        <v>0</v>
      </c>
    </row>
    <row r="411" spans="1:19" x14ac:dyDescent="0.25">
      <c r="A411" s="37" t="s">
        <v>550</v>
      </c>
      <c r="B411" s="37"/>
      <c r="C411" s="33"/>
      <c r="D411" s="33"/>
      <c r="E411" s="33"/>
      <c r="F411" s="77"/>
      <c r="H411" s="77"/>
      <c r="I411" s="77"/>
      <c r="J411" s="171"/>
      <c r="K411" s="178"/>
      <c r="L411" s="179"/>
      <c r="M411" s="180"/>
      <c r="N411" s="181"/>
      <c r="O411" s="37">
        <v>0</v>
      </c>
    </row>
    <row r="412" spans="1:19" x14ac:dyDescent="0.25">
      <c r="A412" s="37" t="s">
        <v>190</v>
      </c>
      <c r="B412" s="37"/>
      <c r="C412" s="33"/>
      <c r="D412" s="33"/>
      <c r="E412" s="33"/>
      <c r="F412" s="77"/>
      <c r="H412" s="77"/>
      <c r="I412" s="77"/>
      <c r="J412" s="171"/>
      <c r="K412" s="178"/>
      <c r="L412" s="179"/>
      <c r="M412" s="180"/>
      <c r="N412" s="181"/>
      <c r="O412" s="37">
        <v>0</v>
      </c>
    </row>
    <row r="413" spans="1:19" x14ac:dyDescent="0.25">
      <c r="A413" s="37" t="s">
        <v>191</v>
      </c>
      <c r="B413" s="37"/>
      <c r="C413" s="33"/>
      <c r="D413" s="33"/>
      <c r="E413" s="33"/>
      <c r="F413" s="77"/>
      <c r="H413" s="77"/>
      <c r="I413" s="77"/>
      <c r="J413" s="171"/>
      <c r="K413" s="178"/>
      <c r="L413" s="179"/>
      <c r="M413" s="180"/>
      <c r="N413" s="181"/>
      <c r="O413" s="37">
        <v>0</v>
      </c>
    </row>
    <row r="414" spans="1:19" x14ac:dyDescent="0.25">
      <c r="A414" s="37" t="s">
        <v>551</v>
      </c>
      <c r="B414" s="37"/>
      <c r="C414" s="33"/>
      <c r="D414" s="33"/>
      <c r="E414" s="33"/>
      <c r="J414" s="171"/>
      <c r="K414" s="178"/>
      <c r="L414" s="179"/>
      <c r="M414" s="180"/>
      <c r="N414" s="181"/>
      <c r="O414" s="37">
        <v>0</v>
      </c>
    </row>
    <row r="415" spans="1:19" x14ac:dyDescent="0.25">
      <c r="A415" s="37" t="s">
        <v>192</v>
      </c>
      <c r="B415" s="37"/>
      <c r="C415" s="33"/>
      <c r="D415" s="33"/>
      <c r="E415" s="33"/>
      <c r="J415" s="171"/>
      <c r="K415" s="178"/>
      <c r="L415" s="179"/>
      <c r="M415" s="180"/>
      <c r="N415" s="181"/>
      <c r="O415" s="37">
        <v>0</v>
      </c>
    </row>
    <row r="416" spans="1:19" x14ac:dyDescent="0.25">
      <c r="A416" s="37" t="s">
        <v>193</v>
      </c>
      <c r="B416" s="37"/>
      <c r="C416" s="33"/>
      <c r="D416" s="33"/>
      <c r="E416" s="33"/>
      <c r="J416" s="171"/>
      <c r="K416" s="178"/>
      <c r="L416" s="179"/>
      <c r="M416" s="180"/>
      <c r="N416" s="181"/>
      <c r="O416" s="37">
        <v>0</v>
      </c>
    </row>
    <row r="417" spans="1:15" x14ac:dyDescent="0.25">
      <c r="A417" s="37" t="s">
        <v>194</v>
      </c>
      <c r="B417" s="37"/>
      <c r="C417" s="33"/>
      <c r="D417" s="33"/>
      <c r="E417" s="33"/>
      <c r="J417" s="171"/>
      <c r="K417" s="178"/>
      <c r="L417" s="179"/>
      <c r="M417" s="180"/>
      <c r="N417" s="181"/>
      <c r="O417" s="37">
        <v>0</v>
      </c>
    </row>
    <row r="418" spans="1:15" x14ac:dyDescent="0.25">
      <c r="A418" s="37" t="s">
        <v>195</v>
      </c>
      <c r="B418" s="37"/>
      <c r="C418" s="33"/>
      <c r="D418" s="33"/>
      <c r="E418" s="33"/>
      <c r="J418" s="171"/>
      <c r="K418" s="178"/>
      <c r="L418" s="179"/>
      <c r="M418" s="180"/>
      <c r="N418" s="181"/>
      <c r="O418" s="37">
        <v>0</v>
      </c>
    </row>
    <row r="419" spans="1:15" x14ac:dyDescent="0.25">
      <c r="A419" s="37" t="s">
        <v>552</v>
      </c>
      <c r="B419" s="37"/>
      <c r="C419" s="33"/>
      <c r="D419" s="33"/>
      <c r="E419" s="33"/>
      <c r="J419" s="171"/>
      <c r="K419" s="178"/>
      <c r="L419" s="179"/>
      <c r="M419" s="180"/>
      <c r="N419" s="181"/>
      <c r="O419" s="37">
        <v>0</v>
      </c>
    </row>
    <row r="420" spans="1:15" x14ac:dyDescent="0.25">
      <c r="A420" s="37" t="s">
        <v>553</v>
      </c>
      <c r="B420" s="37"/>
      <c r="C420" s="33"/>
      <c r="D420" s="33"/>
      <c r="E420" s="33"/>
      <c r="J420" s="171"/>
      <c r="K420" s="178"/>
      <c r="L420" s="179"/>
      <c r="M420" s="180"/>
      <c r="N420" s="181"/>
      <c r="O420" s="37">
        <v>0</v>
      </c>
    </row>
    <row r="421" spans="1:15" x14ac:dyDescent="0.25">
      <c r="A421" s="37" t="s">
        <v>196</v>
      </c>
      <c r="B421" s="37"/>
      <c r="C421" s="33"/>
      <c r="D421" s="33"/>
      <c r="E421" s="33"/>
      <c r="J421" s="171"/>
      <c r="K421" s="178"/>
      <c r="L421" s="179"/>
      <c r="M421" s="180"/>
      <c r="N421" s="181"/>
      <c r="O421" s="37">
        <v>0</v>
      </c>
    </row>
    <row r="422" spans="1:15" x14ac:dyDescent="0.25">
      <c r="A422" s="37" t="s">
        <v>197</v>
      </c>
      <c r="B422" s="37"/>
      <c r="C422" s="33"/>
      <c r="D422" s="33"/>
      <c r="E422" s="33"/>
      <c r="J422" s="171"/>
      <c r="K422" s="178"/>
      <c r="L422" s="179"/>
      <c r="M422" s="180"/>
      <c r="N422" s="181"/>
      <c r="O422" s="37">
        <v>0</v>
      </c>
    </row>
    <row r="423" spans="1:15" x14ac:dyDescent="0.25">
      <c r="A423" s="37" t="s">
        <v>198</v>
      </c>
      <c r="B423" s="37"/>
      <c r="C423" s="33"/>
      <c r="D423" s="33"/>
      <c r="E423" s="33"/>
      <c r="J423" s="171"/>
      <c r="K423" s="178"/>
      <c r="L423" s="179"/>
      <c r="M423" s="180"/>
      <c r="N423" s="181"/>
      <c r="O423" s="37">
        <v>0</v>
      </c>
    </row>
    <row r="424" spans="1:15" x14ac:dyDescent="0.25">
      <c r="A424" s="37" t="s">
        <v>345</v>
      </c>
      <c r="B424" s="37"/>
      <c r="C424" s="33"/>
      <c r="D424" s="33"/>
      <c r="E424" s="33"/>
      <c r="J424" s="171"/>
      <c r="K424" s="178"/>
      <c r="L424" s="179"/>
      <c r="M424" s="180"/>
      <c r="N424" s="181"/>
      <c r="O424" s="37">
        <v>0</v>
      </c>
    </row>
    <row r="425" spans="1:15" x14ac:dyDescent="0.25">
      <c r="A425" s="37" t="s">
        <v>524</v>
      </c>
      <c r="B425" s="37"/>
      <c r="C425" s="33"/>
      <c r="D425" s="33"/>
      <c r="E425" s="33"/>
      <c r="J425" s="171"/>
      <c r="K425" s="178"/>
      <c r="L425" s="179"/>
      <c r="M425" s="180"/>
      <c r="N425" s="181"/>
      <c r="O425" s="37">
        <v>0</v>
      </c>
    </row>
    <row r="426" spans="1:15" x14ac:dyDescent="0.25">
      <c r="A426" s="37" t="s">
        <v>199</v>
      </c>
      <c r="B426" s="37"/>
      <c r="C426" s="33"/>
      <c r="D426" s="33"/>
      <c r="E426" s="33"/>
      <c r="J426" s="171"/>
      <c r="K426" s="178"/>
      <c r="L426" s="179"/>
      <c r="M426" s="180"/>
      <c r="N426" s="181"/>
      <c r="O426" s="37">
        <v>0</v>
      </c>
    </row>
    <row r="427" spans="1:15" x14ac:dyDescent="0.25">
      <c r="A427" s="37" t="s">
        <v>200</v>
      </c>
      <c r="B427" s="37"/>
      <c r="C427" s="33"/>
      <c r="D427" s="33"/>
      <c r="E427" s="33"/>
      <c r="J427" s="171"/>
      <c r="K427" s="178"/>
      <c r="L427" s="179"/>
      <c r="M427" s="180"/>
      <c r="N427" s="181"/>
      <c r="O427" s="37">
        <v>0</v>
      </c>
    </row>
    <row r="428" spans="1:15" x14ac:dyDescent="0.25">
      <c r="A428" s="37" t="s">
        <v>201</v>
      </c>
      <c r="B428" s="37"/>
      <c r="C428" s="33"/>
      <c r="D428" s="33"/>
      <c r="E428" s="33"/>
      <c r="J428" s="171"/>
      <c r="K428" s="178"/>
      <c r="L428" s="179"/>
      <c r="M428" s="180"/>
      <c r="N428" s="181"/>
      <c r="O428" s="37">
        <v>0</v>
      </c>
    </row>
    <row r="429" spans="1:15" x14ac:dyDescent="0.25">
      <c r="A429" s="37" t="s">
        <v>202</v>
      </c>
      <c r="B429" s="37"/>
      <c r="C429" s="33"/>
      <c r="D429" s="33"/>
      <c r="E429" s="33"/>
      <c r="J429" s="171"/>
      <c r="K429" s="178"/>
      <c r="L429" s="179"/>
      <c r="M429" s="180"/>
      <c r="N429" s="181"/>
      <c r="O429" s="37">
        <v>0</v>
      </c>
    </row>
    <row r="430" spans="1:15" x14ac:dyDescent="0.25">
      <c r="A430" s="37" t="s">
        <v>203</v>
      </c>
      <c r="B430" s="37"/>
      <c r="C430" s="33"/>
      <c r="D430" s="33"/>
      <c r="E430" s="33"/>
      <c r="J430" s="171"/>
      <c r="K430" s="178"/>
      <c r="L430" s="179"/>
      <c r="M430" s="180"/>
      <c r="N430" s="181"/>
      <c r="O430" s="37">
        <v>0</v>
      </c>
    </row>
    <row r="431" spans="1:15" x14ac:dyDescent="0.25">
      <c r="A431" s="37" t="s">
        <v>204</v>
      </c>
      <c r="B431" s="37"/>
      <c r="C431" s="33"/>
      <c r="D431" s="33"/>
      <c r="E431" s="33"/>
      <c r="J431" s="171"/>
      <c r="K431" s="178"/>
      <c r="L431" s="179"/>
      <c r="M431" s="180"/>
      <c r="N431" s="181"/>
      <c r="O431" s="37">
        <v>0</v>
      </c>
    </row>
    <row r="432" spans="1:15" x14ac:dyDescent="0.25">
      <c r="A432" s="37" t="s">
        <v>205</v>
      </c>
      <c r="B432" s="37"/>
      <c r="C432" s="33"/>
      <c r="D432" s="33"/>
      <c r="E432" s="33"/>
      <c r="J432" s="171"/>
      <c r="K432" s="178"/>
      <c r="L432" s="179"/>
      <c r="M432" s="180"/>
      <c r="N432" s="181"/>
      <c r="O432" s="37">
        <v>0</v>
      </c>
    </row>
    <row r="433" spans="1:15" x14ac:dyDescent="0.25">
      <c r="A433" s="37" t="s">
        <v>206</v>
      </c>
      <c r="B433" s="37"/>
      <c r="C433" s="33"/>
      <c r="D433" s="33"/>
      <c r="E433" s="33"/>
      <c r="J433" s="171"/>
      <c r="K433" s="178"/>
      <c r="L433" s="179"/>
      <c r="M433" s="180"/>
      <c r="N433" s="181"/>
      <c r="O433" s="37">
        <v>0</v>
      </c>
    </row>
    <row r="434" spans="1:15" x14ac:dyDescent="0.25">
      <c r="A434" s="37" t="s">
        <v>207</v>
      </c>
      <c r="B434" s="37"/>
      <c r="C434" s="33"/>
      <c r="D434" s="33"/>
      <c r="E434" s="33"/>
      <c r="J434" s="171"/>
      <c r="K434" s="178"/>
      <c r="L434" s="179"/>
      <c r="M434" s="180"/>
      <c r="N434" s="181"/>
      <c r="O434" s="37">
        <v>0</v>
      </c>
    </row>
    <row r="435" spans="1:15" x14ac:dyDescent="0.25">
      <c r="A435" s="37" t="s">
        <v>208</v>
      </c>
      <c r="B435" s="37"/>
      <c r="C435" s="33"/>
      <c r="D435" s="33"/>
      <c r="E435" s="33"/>
      <c r="J435" s="171"/>
      <c r="K435" s="178"/>
      <c r="L435" s="179"/>
      <c r="M435" s="180"/>
      <c r="N435" s="181"/>
      <c r="O435" s="37">
        <v>0</v>
      </c>
    </row>
    <row r="436" spans="1:15" x14ac:dyDescent="0.25">
      <c r="A436" s="37" t="s">
        <v>554</v>
      </c>
      <c r="B436" s="37"/>
      <c r="C436" s="33"/>
      <c r="D436" s="33"/>
      <c r="E436" s="33"/>
      <c r="J436" s="171"/>
      <c r="K436" s="178"/>
      <c r="L436" s="179"/>
      <c r="M436" s="180"/>
      <c r="N436" s="181"/>
      <c r="O436" s="37">
        <v>0</v>
      </c>
    </row>
    <row r="437" spans="1:15" x14ac:dyDescent="0.25">
      <c r="A437" s="37" t="s">
        <v>209</v>
      </c>
      <c r="B437" s="37"/>
      <c r="C437" s="33"/>
      <c r="D437" s="33"/>
      <c r="E437" s="33"/>
      <c r="J437" s="171"/>
      <c r="K437" s="178"/>
      <c r="L437" s="179"/>
      <c r="M437" s="180"/>
      <c r="N437" s="181"/>
      <c r="O437" s="37">
        <v>0</v>
      </c>
    </row>
    <row r="438" spans="1:15" x14ac:dyDescent="0.25">
      <c r="A438" s="37" t="s">
        <v>555</v>
      </c>
      <c r="B438" s="37"/>
      <c r="C438" s="33"/>
      <c r="D438" s="33"/>
      <c r="E438" s="33"/>
      <c r="J438" s="171"/>
      <c r="K438" s="178"/>
      <c r="L438" s="179"/>
      <c r="M438" s="180"/>
      <c r="N438" s="181"/>
      <c r="O438" s="37">
        <v>0</v>
      </c>
    </row>
    <row r="439" spans="1:15" x14ac:dyDescent="0.25">
      <c r="A439" s="37" t="s">
        <v>210</v>
      </c>
      <c r="B439" s="37"/>
      <c r="C439" s="33"/>
      <c r="D439" s="33"/>
      <c r="E439" s="33"/>
      <c r="J439" s="171"/>
      <c r="K439" s="178"/>
      <c r="L439" s="179"/>
      <c r="M439" s="180"/>
      <c r="N439" s="181"/>
      <c r="O439" s="37">
        <v>0</v>
      </c>
    </row>
    <row r="440" spans="1:15" x14ac:dyDescent="0.25">
      <c r="A440" s="37" t="s">
        <v>211</v>
      </c>
      <c r="B440" s="37"/>
      <c r="C440" s="33"/>
      <c r="D440" s="33"/>
      <c r="E440" s="33"/>
      <c r="J440" s="171"/>
      <c r="K440" s="178"/>
      <c r="L440" s="179"/>
      <c r="M440" s="180"/>
      <c r="N440" s="181"/>
      <c r="O440" s="37">
        <v>0</v>
      </c>
    </row>
    <row r="441" spans="1:15" x14ac:dyDescent="0.25">
      <c r="A441" s="37" t="s">
        <v>525</v>
      </c>
      <c r="B441" s="37"/>
      <c r="C441" s="33"/>
      <c r="D441" s="33"/>
      <c r="E441" s="33"/>
      <c r="J441" s="171"/>
      <c r="K441" s="178"/>
      <c r="L441" s="179"/>
      <c r="M441" s="180"/>
      <c r="N441" s="181"/>
      <c r="O441" s="37">
        <v>0</v>
      </c>
    </row>
    <row r="442" spans="1:15" x14ac:dyDescent="0.25">
      <c r="A442" s="37" t="s">
        <v>212</v>
      </c>
      <c r="B442" s="37"/>
      <c r="C442" s="33"/>
      <c r="D442" s="33"/>
      <c r="E442" s="33"/>
      <c r="J442" s="171"/>
      <c r="K442" s="178"/>
      <c r="L442" s="179"/>
      <c r="M442" s="180"/>
      <c r="N442" s="181"/>
      <c r="O442" s="37">
        <v>0</v>
      </c>
    </row>
    <row r="443" spans="1:15" x14ac:dyDescent="0.25">
      <c r="A443" s="37" t="s">
        <v>213</v>
      </c>
      <c r="B443" s="37"/>
      <c r="C443" s="33"/>
      <c r="D443" s="33"/>
      <c r="E443" s="33"/>
      <c r="J443" s="171"/>
      <c r="K443" s="178"/>
      <c r="L443" s="179"/>
      <c r="M443" s="180"/>
      <c r="N443" s="181"/>
      <c r="O443" s="37">
        <v>0</v>
      </c>
    </row>
    <row r="444" spans="1:15" x14ac:dyDescent="0.25">
      <c r="A444" s="37" t="s">
        <v>214</v>
      </c>
      <c r="B444" s="37"/>
      <c r="C444" s="33"/>
      <c r="D444" s="33"/>
      <c r="E444" s="33"/>
      <c r="J444" s="171"/>
      <c r="K444" s="178"/>
      <c r="L444" s="179"/>
      <c r="M444" s="180"/>
      <c r="N444" s="181"/>
      <c r="O444" s="37">
        <v>0</v>
      </c>
    </row>
    <row r="445" spans="1:15" x14ac:dyDescent="0.25">
      <c r="A445" s="37" t="s">
        <v>215</v>
      </c>
      <c r="B445" s="37"/>
      <c r="C445" s="33"/>
      <c r="D445" s="33"/>
      <c r="E445" s="33"/>
      <c r="J445" s="171"/>
      <c r="K445" s="178"/>
      <c r="L445" s="179"/>
      <c r="M445" s="180"/>
      <c r="N445" s="181"/>
      <c r="O445" s="37">
        <v>0</v>
      </c>
    </row>
    <row r="446" spans="1:15" x14ac:dyDescent="0.25">
      <c r="A446" s="37" t="s">
        <v>556</v>
      </c>
      <c r="B446" s="37"/>
      <c r="C446" s="33"/>
      <c r="D446" s="33"/>
      <c r="E446" s="33"/>
      <c r="J446" s="171"/>
      <c r="K446" s="178"/>
      <c r="L446" s="179"/>
      <c r="M446" s="180"/>
      <c r="N446" s="181"/>
      <c r="O446" s="37">
        <v>0</v>
      </c>
    </row>
    <row r="447" spans="1:15" x14ac:dyDescent="0.25">
      <c r="A447" s="37" t="s">
        <v>216</v>
      </c>
      <c r="B447" s="37"/>
      <c r="C447" s="33"/>
      <c r="D447" s="33"/>
      <c r="E447" s="33"/>
      <c r="J447" s="171"/>
      <c r="K447" s="178"/>
      <c r="L447" s="179"/>
      <c r="M447" s="180"/>
      <c r="N447" s="181"/>
      <c r="O447" s="37">
        <v>0</v>
      </c>
    </row>
    <row r="448" spans="1:15" x14ac:dyDescent="0.25">
      <c r="A448" s="37" t="s">
        <v>217</v>
      </c>
      <c r="B448" s="37"/>
      <c r="C448" s="33"/>
      <c r="D448" s="33"/>
      <c r="E448" s="33"/>
      <c r="J448" s="171"/>
      <c r="K448" s="178"/>
      <c r="L448" s="179"/>
      <c r="M448" s="180"/>
      <c r="N448" s="181"/>
      <c r="O448" s="37">
        <v>0</v>
      </c>
    </row>
    <row r="449" spans="1:15" x14ac:dyDescent="0.25">
      <c r="A449" s="37" t="s">
        <v>218</v>
      </c>
      <c r="B449" s="37"/>
      <c r="C449" s="33"/>
      <c r="D449" s="33"/>
      <c r="E449" s="33"/>
      <c r="J449" s="171"/>
      <c r="K449" s="178"/>
      <c r="L449" s="179"/>
      <c r="M449" s="180"/>
      <c r="N449" s="181"/>
      <c r="O449" s="37">
        <v>0</v>
      </c>
    </row>
    <row r="450" spans="1:15" x14ac:dyDescent="0.25">
      <c r="A450" s="37" t="s">
        <v>219</v>
      </c>
      <c r="B450" s="37"/>
      <c r="C450" s="33"/>
      <c r="D450" s="33"/>
      <c r="E450" s="33"/>
      <c r="J450" s="171"/>
      <c r="K450" s="178"/>
      <c r="L450" s="179"/>
      <c r="M450" s="180"/>
      <c r="N450" s="181"/>
      <c r="O450" s="37">
        <v>0</v>
      </c>
    </row>
    <row r="451" spans="1:15" x14ac:dyDescent="0.25">
      <c r="A451" s="37" t="s">
        <v>557</v>
      </c>
      <c r="B451" s="37"/>
      <c r="C451" s="33"/>
      <c r="D451" s="33"/>
      <c r="E451" s="33"/>
      <c r="J451" s="171"/>
      <c r="K451" s="178"/>
      <c r="L451" s="179"/>
      <c r="M451" s="180"/>
      <c r="N451" s="181"/>
      <c r="O451" s="37">
        <v>0</v>
      </c>
    </row>
    <row r="452" spans="1:15" x14ac:dyDescent="0.25">
      <c r="A452" s="37" t="s">
        <v>220</v>
      </c>
      <c r="B452" s="37"/>
      <c r="C452" s="33"/>
      <c r="D452" s="33"/>
      <c r="E452" s="33"/>
      <c r="J452" s="171"/>
      <c r="K452" s="178"/>
      <c r="L452" s="179"/>
      <c r="M452" s="180"/>
      <c r="N452" s="181"/>
      <c r="O452" s="37">
        <v>0</v>
      </c>
    </row>
    <row r="453" spans="1:15" x14ac:dyDescent="0.25">
      <c r="A453" s="37" t="s">
        <v>221</v>
      </c>
      <c r="B453" s="37"/>
      <c r="C453" s="33"/>
      <c r="D453" s="33"/>
      <c r="E453" s="33"/>
      <c r="J453" s="171"/>
      <c r="K453" s="178"/>
      <c r="L453" s="179"/>
      <c r="M453" s="180"/>
      <c r="N453" s="181"/>
      <c r="O453" s="37">
        <v>0</v>
      </c>
    </row>
    <row r="454" spans="1:15" x14ac:dyDescent="0.25">
      <c r="A454" s="37" t="s">
        <v>222</v>
      </c>
      <c r="B454" s="37"/>
      <c r="C454" s="33"/>
      <c r="D454" s="33"/>
      <c r="E454" s="33"/>
      <c r="J454" s="171"/>
      <c r="K454" s="178"/>
      <c r="L454" s="179"/>
      <c r="M454" s="180"/>
      <c r="N454" s="181"/>
      <c r="O454" s="37">
        <v>0</v>
      </c>
    </row>
    <row r="455" spans="1:15" x14ac:dyDescent="0.25">
      <c r="A455" s="37" t="s">
        <v>346</v>
      </c>
      <c r="B455" s="37"/>
      <c r="C455" s="33"/>
      <c r="D455" s="33"/>
      <c r="E455" s="33"/>
      <c r="J455" s="171"/>
      <c r="K455" s="178"/>
      <c r="L455" s="179"/>
      <c r="M455" s="180"/>
      <c r="N455" s="181"/>
      <c r="O455" s="37">
        <v>0</v>
      </c>
    </row>
    <row r="456" spans="1:15" x14ac:dyDescent="0.25">
      <c r="A456" s="37" t="s">
        <v>347</v>
      </c>
      <c r="B456" s="37"/>
      <c r="C456" s="33"/>
      <c r="D456" s="33"/>
      <c r="E456" s="33"/>
      <c r="J456" s="171"/>
      <c r="K456" s="178"/>
      <c r="L456" s="179"/>
      <c r="M456" s="180"/>
      <c r="N456" s="181"/>
      <c r="O456" s="37">
        <v>0</v>
      </c>
    </row>
    <row r="457" spans="1:15" x14ac:dyDescent="0.25">
      <c r="A457" s="37" t="s">
        <v>223</v>
      </c>
      <c r="B457" s="37"/>
      <c r="C457" s="33"/>
      <c r="D457" s="33"/>
      <c r="E457" s="33"/>
      <c r="J457" s="171"/>
      <c r="K457" s="178"/>
      <c r="L457" s="179"/>
      <c r="M457" s="180"/>
      <c r="N457" s="181"/>
      <c r="O457" s="37">
        <v>0</v>
      </c>
    </row>
    <row r="458" spans="1:15" x14ac:dyDescent="0.25">
      <c r="A458" s="37" t="s">
        <v>526</v>
      </c>
      <c r="B458" s="37"/>
      <c r="C458" s="33"/>
      <c r="D458" s="33"/>
      <c r="E458" s="33"/>
      <c r="J458" s="171"/>
      <c r="K458" s="178"/>
      <c r="L458" s="179"/>
      <c r="M458" s="180"/>
      <c r="N458" s="181"/>
      <c r="O458" s="37">
        <v>0</v>
      </c>
    </row>
    <row r="459" spans="1:15" x14ac:dyDescent="0.25">
      <c r="A459" s="37" t="s">
        <v>224</v>
      </c>
      <c r="B459" s="37"/>
      <c r="C459" s="33"/>
      <c r="D459" s="33"/>
      <c r="E459" s="33"/>
      <c r="J459" s="171"/>
      <c r="K459" s="178"/>
      <c r="L459" s="179"/>
      <c r="M459" s="180"/>
      <c r="N459" s="181"/>
      <c r="O459" s="37">
        <v>0</v>
      </c>
    </row>
    <row r="460" spans="1:15" x14ac:dyDescent="0.25">
      <c r="A460" s="37" t="s">
        <v>225</v>
      </c>
      <c r="B460" s="37"/>
      <c r="C460" s="33"/>
      <c r="D460" s="33"/>
      <c r="E460" s="33"/>
      <c r="J460" s="171"/>
      <c r="K460" s="178"/>
      <c r="L460" s="179"/>
      <c r="M460" s="180"/>
      <c r="N460" s="181"/>
      <c r="O460" s="37">
        <v>0</v>
      </c>
    </row>
    <row r="461" spans="1:15" x14ac:dyDescent="0.25">
      <c r="A461" s="37" t="s">
        <v>226</v>
      </c>
      <c r="B461" s="37"/>
      <c r="C461" s="33"/>
      <c r="D461" s="33"/>
      <c r="E461" s="33"/>
      <c r="J461" s="171"/>
      <c r="K461" s="178"/>
      <c r="L461" s="179"/>
      <c r="M461" s="180"/>
      <c r="N461" s="181"/>
      <c r="O461" s="37">
        <v>0</v>
      </c>
    </row>
    <row r="462" spans="1:15" x14ac:dyDescent="0.25">
      <c r="A462" s="37" t="s">
        <v>227</v>
      </c>
      <c r="B462" s="37"/>
      <c r="C462" s="33"/>
      <c r="D462" s="33"/>
      <c r="E462" s="33"/>
      <c r="J462" s="171"/>
      <c r="K462" s="178"/>
      <c r="L462" s="179"/>
      <c r="M462" s="180"/>
      <c r="N462" s="181"/>
      <c r="O462" s="37">
        <v>0</v>
      </c>
    </row>
    <row r="463" spans="1:15" x14ac:dyDescent="0.25">
      <c r="A463" s="37" t="s">
        <v>228</v>
      </c>
      <c r="B463" s="37"/>
      <c r="C463" s="33"/>
      <c r="D463" s="33"/>
      <c r="E463" s="33"/>
      <c r="J463" s="171"/>
      <c r="K463" s="178"/>
      <c r="L463" s="179"/>
      <c r="M463" s="180"/>
      <c r="N463" s="181"/>
      <c r="O463" s="37">
        <v>0</v>
      </c>
    </row>
    <row r="464" spans="1:15" x14ac:dyDescent="0.25">
      <c r="A464" s="37" t="s">
        <v>229</v>
      </c>
      <c r="B464" s="37"/>
      <c r="C464" s="33"/>
      <c r="D464" s="33"/>
      <c r="E464" s="33"/>
      <c r="J464" s="171"/>
      <c r="K464" s="178"/>
      <c r="L464" s="179"/>
      <c r="M464" s="180"/>
      <c r="N464" s="181"/>
      <c r="O464" s="37">
        <v>0</v>
      </c>
    </row>
    <row r="465" spans="1:15" x14ac:dyDescent="0.25">
      <c r="A465" s="37" t="s">
        <v>230</v>
      </c>
      <c r="B465" s="37"/>
      <c r="C465" s="33"/>
      <c r="D465" s="33"/>
      <c r="E465" s="33"/>
      <c r="J465" s="171"/>
      <c r="K465" s="178"/>
      <c r="L465" s="179"/>
      <c r="M465" s="180"/>
      <c r="N465" s="181"/>
      <c r="O465" s="37">
        <v>0</v>
      </c>
    </row>
    <row r="466" spans="1:15" x14ac:dyDescent="0.25">
      <c r="A466" s="37" t="s">
        <v>231</v>
      </c>
      <c r="B466" s="37"/>
      <c r="C466" s="33"/>
      <c r="D466" s="33"/>
      <c r="E466" s="33"/>
      <c r="J466" s="171"/>
      <c r="K466" s="178"/>
      <c r="L466" s="179"/>
      <c r="M466" s="180"/>
      <c r="N466" s="181"/>
      <c r="O466" s="37">
        <v>0</v>
      </c>
    </row>
    <row r="467" spans="1:15" x14ac:dyDescent="0.25">
      <c r="A467" s="37" t="s">
        <v>232</v>
      </c>
      <c r="B467" s="37"/>
      <c r="C467" s="33"/>
      <c r="D467" s="33"/>
      <c r="E467" s="33"/>
      <c r="J467" s="171"/>
      <c r="K467" s="178"/>
      <c r="L467" s="179"/>
      <c r="M467" s="180"/>
      <c r="N467" s="181"/>
      <c r="O467" s="37">
        <v>0</v>
      </c>
    </row>
    <row r="468" spans="1:15" x14ac:dyDescent="0.25">
      <c r="A468" s="37" t="s">
        <v>233</v>
      </c>
      <c r="B468" s="37"/>
      <c r="C468" s="33"/>
      <c r="D468" s="33"/>
      <c r="E468" s="33"/>
      <c r="J468" s="171"/>
      <c r="K468" s="178"/>
      <c r="L468" s="179"/>
      <c r="M468" s="180"/>
      <c r="N468" s="181"/>
      <c r="O468" s="37">
        <v>0</v>
      </c>
    </row>
    <row r="469" spans="1:15" x14ac:dyDescent="0.25">
      <c r="A469" s="37" t="s">
        <v>234</v>
      </c>
      <c r="B469" s="37"/>
      <c r="C469" s="33"/>
      <c r="D469" s="33"/>
      <c r="E469" s="33"/>
      <c r="J469" s="171"/>
      <c r="K469" s="178"/>
      <c r="L469" s="179"/>
      <c r="M469" s="180"/>
      <c r="N469" s="181"/>
      <c r="O469" s="37">
        <v>0</v>
      </c>
    </row>
    <row r="470" spans="1:15" x14ac:dyDescent="0.25">
      <c r="A470" s="37" t="s">
        <v>235</v>
      </c>
      <c r="B470" s="37"/>
      <c r="C470" s="33"/>
      <c r="D470" s="33"/>
      <c r="E470" s="33"/>
      <c r="J470" s="171"/>
      <c r="K470" s="178"/>
      <c r="L470" s="179"/>
      <c r="M470" s="180"/>
      <c r="N470" s="181"/>
      <c r="O470" s="37">
        <v>0</v>
      </c>
    </row>
    <row r="471" spans="1:15" x14ac:dyDescent="0.25">
      <c r="A471" s="37" t="s">
        <v>348</v>
      </c>
      <c r="B471" s="37"/>
      <c r="C471" s="33"/>
      <c r="D471" s="33"/>
      <c r="E471" s="33"/>
      <c r="J471" s="171"/>
      <c r="K471" s="178"/>
      <c r="L471" s="179"/>
      <c r="M471" s="180"/>
      <c r="N471" s="181"/>
      <c r="O471" s="37">
        <v>0</v>
      </c>
    </row>
    <row r="472" spans="1:15" x14ac:dyDescent="0.25">
      <c r="A472" s="37" t="s">
        <v>236</v>
      </c>
      <c r="B472" s="37"/>
      <c r="C472" s="33"/>
      <c r="D472" s="33"/>
      <c r="E472" s="33"/>
      <c r="J472" s="171"/>
      <c r="K472" s="182"/>
      <c r="L472" s="183"/>
      <c r="M472" s="180"/>
      <c r="N472" s="181"/>
      <c r="O472" s="37">
        <v>0</v>
      </c>
    </row>
    <row r="473" spans="1:15" x14ac:dyDescent="0.25">
      <c r="A473" s="37" t="s">
        <v>237</v>
      </c>
      <c r="B473" s="37"/>
      <c r="C473" s="33"/>
      <c r="D473" s="33"/>
      <c r="E473" s="33"/>
      <c r="J473" s="171"/>
      <c r="K473" s="182"/>
      <c r="L473" s="183"/>
      <c r="M473" s="180"/>
      <c r="N473" s="181"/>
      <c r="O473" s="37">
        <v>0</v>
      </c>
    </row>
    <row r="474" spans="1:15" x14ac:dyDescent="0.25">
      <c r="A474" s="37" t="s">
        <v>238</v>
      </c>
      <c r="B474" s="37"/>
      <c r="C474" s="33"/>
      <c r="D474" s="33"/>
      <c r="E474" s="33"/>
      <c r="J474" s="171"/>
      <c r="K474" s="182"/>
      <c r="L474" s="183"/>
      <c r="M474" s="180"/>
      <c r="N474" s="181"/>
      <c r="O474" s="37">
        <v>0</v>
      </c>
    </row>
    <row r="475" spans="1:15" x14ac:dyDescent="0.25">
      <c r="A475" s="37" t="s">
        <v>349</v>
      </c>
      <c r="B475" s="37"/>
      <c r="C475" s="33"/>
      <c r="D475" s="33"/>
      <c r="E475" s="33"/>
      <c r="J475" s="171"/>
      <c r="K475" s="182"/>
      <c r="L475" s="183"/>
      <c r="M475" s="180"/>
      <c r="N475" s="181"/>
      <c r="O475" s="37">
        <v>0</v>
      </c>
    </row>
    <row r="476" spans="1:15" x14ac:dyDescent="0.25">
      <c r="A476" s="37" t="s">
        <v>239</v>
      </c>
      <c r="B476" s="37"/>
      <c r="C476" s="33"/>
      <c r="D476" s="33"/>
      <c r="E476" s="33"/>
      <c r="J476" s="171"/>
      <c r="K476" s="182"/>
      <c r="L476" s="183"/>
      <c r="M476" s="180"/>
      <c r="N476" s="181"/>
      <c r="O476" s="37">
        <v>0</v>
      </c>
    </row>
    <row r="477" spans="1:15" x14ac:dyDescent="0.25">
      <c r="A477" s="37" t="s">
        <v>240</v>
      </c>
      <c r="B477" s="37"/>
      <c r="C477" s="33"/>
      <c r="D477" s="33"/>
      <c r="E477" s="33"/>
      <c r="J477" s="171"/>
      <c r="K477" s="182"/>
      <c r="L477" s="183"/>
      <c r="M477" s="180"/>
      <c r="N477" s="181"/>
      <c r="O477" s="37">
        <v>0</v>
      </c>
    </row>
    <row r="478" spans="1:15" x14ac:dyDescent="0.25">
      <c r="A478" s="37" t="s">
        <v>241</v>
      </c>
      <c r="B478" s="37"/>
      <c r="C478" s="33"/>
      <c r="D478" s="33"/>
      <c r="E478" s="33"/>
      <c r="J478" s="171"/>
      <c r="K478" s="182"/>
      <c r="L478" s="183"/>
      <c r="M478" s="180"/>
      <c r="N478" s="181"/>
      <c r="O478" s="37">
        <v>0</v>
      </c>
    </row>
    <row r="479" spans="1:15" x14ac:dyDescent="0.25">
      <c r="A479" s="37" t="s">
        <v>242</v>
      </c>
      <c r="B479" s="37"/>
      <c r="C479" s="33"/>
      <c r="D479" s="33"/>
      <c r="E479" s="33"/>
      <c r="J479" s="171"/>
      <c r="K479" s="182"/>
      <c r="L479" s="183"/>
      <c r="M479" s="180"/>
      <c r="N479" s="181"/>
      <c r="O479" s="37">
        <v>0</v>
      </c>
    </row>
    <row r="480" spans="1:15" x14ac:dyDescent="0.25">
      <c r="A480" s="37" t="s">
        <v>243</v>
      </c>
      <c r="B480" s="37"/>
      <c r="C480" s="33"/>
      <c r="D480" s="33"/>
      <c r="E480" s="33"/>
      <c r="J480" s="171"/>
      <c r="K480" s="182"/>
      <c r="L480" s="183"/>
      <c r="M480" s="180"/>
      <c r="N480" s="181"/>
      <c r="O480" s="37">
        <v>0</v>
      </c>
    </row>
    <row r="481" spans="1:15" x14ac:dyDescent="0.25">
      <c r="A481" s="37" t="s">
        <v>244</v>
      </c>
      <c r="B481" s="37"/>
      <c r="C481" s="33"/>
      <c r="D481" s="33"/>
      <c r="E481" s="33"/>
      <c r="J481" s="171"/>
      <c r="K481" s="182"/>
      <c r="L481" s="183"/>
      <c r="M481" s="180"/>
      <c r="N481" s="181"/>
      <c r="O481" s="37">
        <v>0</v>
      </c>
    </row>
    <row r="482" spans="1:15" x14ac:dyDescent="0.25">
      <c r="A482" s="37" t="s">
        <v>245</v>
      </c>
      <c r="B482" s="37"/>
      <c r="C482" s="33"/>
      <c r="D482" s="33"/>
      <c r="E482" s="33"/>
      <c r="J482" s="171"/>
      <c r="K482" s="182"/>
      <c r="L482" s="183"/>
      <c r="M482" s="180"/>
      <c r="N482" s="181"/>
      <c r="O482" s="37">
        <v>0</v>
      </c>
    </row>
    <row r="483" spans="1:15" x14ac:dyDescent="0.25">
      <c r="A483" s="37" t="s">
        <v>246</v>
      </c>
      <c r="B483" s="37"/>
      <c r="C483" s="33"/>
      <c r="D483" s="33"/>
      <c r="E483" s="33"/>
      <c r="J483" s="171"/>
      <c r="K483" s="182"/>
      <c r="L483" s="183"/>
      <c r="M483" s="180"/>
      <c r="N483" s="181"/>
      <c r="O483" s="37">
        <v>0</v>
      </c>
    </row>
    <row r="484" spans="1:15" x14ac:dyDescent="0.25">
      <c r="A484" s="37" t="s">
        <v>247</v>
      </c>
      <c r="B484" s="37"/>
      <c r="C484" s="33"/>
      <c r="D484" s="33"/>
      <c r="E484" s="33"/>
      <c r="J484" s="171"/>
      <c r="K484" s="182"/>
      <c r="L484" s="183"/>
      <c r="M484" s="180"/>
      <c r="N484" s="181"/>
      <c r="O484" s="37">
        <v>0</v>
      </c>
    </row>
    <row r="485" spans="1:15" x14ac:dyDescent="0.25">
      <c r="A485" s="37" t="s">
        <v>248</v>
      </c>
      <c r="B485" s="37"/>
      <c r="C485" s="33"/>
      <c r="D485" s="33"/>
      <c r="E485" s="33"/>
      <c r="J485" s="171"/>
      <c r="K485" s="182"/>
      <c r="L485" s="183"/>
      <c r="M485" s="180"/>
      <c r="N485" s="181"/>
      <c r="O485" s="37">
        <v>0</v>
      </c>
    </row>
    <row r="486" spans="1:15" x14ac:dyDescent="0.25">
      <c r="A486" s="37" t="s">
        <v>527</v>
      </c>
      <c r="B486" s="37"/>
      <c r="C486" s="33"/>
      <c r="D486" s="33"/>
      <c r="E486" s="33"/>
      <c r="J486" s="171"/>
      <c r="K486" s="182"/>
      <c r="L486" s="183"/>
      <c r="M486" s="180"/>
      <c r="N486" s="181"/>
      <c r="O486" s="37">
        <v>0</v>
      </c>
    </row>
    <row r="487" spans="1:15" x14ac:dyDescent="0.25">
      <c r="A487" s="37" t="s">
        <v>528</v>
      </c>
      <c r="B487" s="37"/>
      <c r="C487" s="33"/>
      <c r="D487" s="33"/>
      <c r="E487" s="33"/>
      <c r="J487" s="171"/>
      <c r="K487" s="182"/>
      <c r="L487" s="183"/>
      <c r="M487" s="180"/>
      <c r="N487" s="181"/>
      <c r="O487" s="37">
        <v>0</v>
      </c>
    </row>
    <row r="488" spans="1:15" x14ac:dyDescent="0.25">
      <c r="A488" s="37" t="s">
        <v>350</v>
      </c>
      <c r="B488" s="37"/>
      <c r="C488" s="33"/>
      <c r="D488" s="33"/>
      <c r="E488" s="33"/>
      <c r="J488" s="171"/>
      <c r="K488" s="182"/>
      <c r="L488" s="183"/>
      <c r="M488" s="180"/>
      <c r="N488" s="181"/>
      <c r="O488" s="37">
        <v>0</v>
      </c>
    </row>
    <row r="489" spans="1:15" x14ac:dyDescent="0.25">
      <c r="A489" s="37" t="s">
        <v>249</v>
      </c>
      <c r="B489" s="37"/>
      <c r="C489" s="33"/>
      <c r="D489" s="33"/>
      <c r="E489" s="33"/>
      <c r="J489" s="171"/>
      <c r="K489" s="182"/>
      <c r="L489" s="183"/>
      <c r="M489" s="180"/>
      <c r="N489" s="181"/>
      <c r="O489" s="37">
        <v>0</v>
      </c>
    </row>
    <row r="490" spans="1:15" x14ac:dyDescent="0.25">
      <c r="A490" s="37" t="s">
        <v>250</v>
      </c>
      <c r="B490" s="37"/>
      <c r="C490" s="33"/>
      <c r="D490" s="33"/>
      <c r="E490" s="33"/>
      <c r="J490" s="171"/>
      <c r="K490" s="182"/>
      <c r="L490" s="183"/>
      <c r="M490" s="180"/>
      <c r="N490" s="181"/>
      <c r="O490" s="37">
        <v>0</v>
      </c>
    </row>
    <row r="491" spans="1:15" x14ac:dyDescent="0.25">
      <c r="A491" s="37" t="s">
        <v>529</v>
      </c>
      <c r="B491" s="37"/>
      <c r="C491" s="33"/>
      <c r="D491" s="33"/>
      <c r="E491" s="33"/>
      <c r="J491" s="171"/>
      <c r="K491" s="182"/>
      <c r="L491" s="183"/>
      <c r="M491" s="180"/>
      <c r="N491" s="181"/>
      <c r="O491" s="37">
        <v>0</v>
      </c>
    </row>
    <row r="492" spans="1:15" x14ac:dyDescent="0.25">
      <c r="A492" s="37" t="s">
        <v>351</v>
      </c>
      <c r="B492" s="37"/>
      <c r="C492" s="33"/>
      <c r="D492" s="33"/>
      <c r="E492" s="33"/>
      <c r="J492" s="171"/>
      <c r="K492" s="182"/>
      <c r="L492" s="183"/>
      <c r="M492" s="180"/>
      <c r="N492" s="181"/>
      <c r="O492" s="37">
        <v>0</v>
      </c>
    </row>
    <row r="493" spans="1:15" x14ac:dyDescent="0.25">
      <c r="A493" s="37" t="s">
        <v>251</v>
      </c>
      <c r="B493" s="37"/>
      <c r="C493" s="33"/>
      <c r="D493" s="33"/>
      <c r="E493" s="33"/>
      <c r="J493" s="171"/>
      <c r="K493" s="182"/>
      <c r="L493" s="183"/>
      <c r="M493" s="180"/>
      <c r="N493" s="181"/>
      <c r="O493" s="37">
        <v>0</v>
      </c>
    </row>
    <row r="494" spans="1:15" x14ac:dyDescent="0.25">
      <c r="A494" s="37" t="s">
        <v>252</v>
      </c>
      <c r="B494" s="33"/>
      <c r="C494" s="33"/>
      <c r="D494" s="33"/>
      <c r="E494" s="33"/>
      <c r="J494" s="171"/>
      <c r="K494" s="182"/>
      <c r="L494" s="183"/>
      <c r="M494" s="180"/>
      <c r="N494" s="181"/>
      <c r="O494" s="37">
        <v>0</v>
      </c>
    </row>
    <row r="495" spans="1:15" x14ac:dyDescent="0.25">
      <c r="A495" s="37" t="s">
        <v>253</v>
      </c>
      <c r="B495" s="33"/>
      <c r="C495" s="33"/>
      <c r="D495" s="33"/>
      <c r="E495" s="33"/>
      <c r="J495" s="171"/>
      <c r="K495" s="182"/>
      <c r="L495" s="183"/>
      <c r="M495" s="180"/>
      <c r="N495" s="181"/>
      <c r="O495" s="37">
        <v>0</v>
      </c>
    </row>
    <row r="496" spans="1:15" x14ac:dyDescent="0.25">
      <c r="A496" s="37" t="s">
        <v>254</v>
      </c>
      <c r="B496" s="33"/>
      <c r="C496" s="33"/>
      <c r="D496" s="33"/>
      <c r="E496" s="33"/>
      <c r="J496" s="171"/>
      <c r="K496" s="182"/>
      <c r="L496" s="183"/>
      <c r="M496" s="180"/>
      <c r="N496" s="181"/>
      <c r="O496" s="37">
        <v>0</v>
      </c>
    </row>
    <row r="497" spans="1:15" x14ac:dyDescent="0.25">
      <c r="A497" s="37" t="s">
        <v>530</v>
      </c>
      <c r="B497" s="33"/>
      <c r="C497" s="33"/>
      <c r="D497" s="33"/>
      <c r="E497" s="33"/>
      <c r="J497" s="171"/>
      <c r="K497" s="182"/>
      <c r="L497" s="183"/>
      <c r="M497" s="180"/>
      <c r="N497" s="181"/>
      <c r="O497" s="37">
        <v>0</v>
      </c>
    </row>
    <row r="498" spans="1:15" x14ac:dyDescent="0.25">
      <c r="A498" s="37" t="s">
        <v>255</v>
      </c>
      <c r="B498" s="33"/>
      <c r="C498" s="33"/>
      <c r="D498" s="33"/>
      <c r="E498" s="33"/>
      <c r="J498" s="171"/>
      <c r="K498" s="182"/>
      <c r="L498" s="183"/>
      <c r="M498" s="180"/>
      <c r="N498" s="181"/>
      <c r="O498" s="37">
        <v>0</v>
      </c>
    </row>
    <row r="499" spans="1:15" x14ac:dyDescent="0.25">
      <c r="A499" s="37" t="s">
        <v>256</v>
      </c>
      <c r="B499" s="33"/>
      <c r="C499" s="33"/>
      <c r="D499" s="33"/>
      <c r="E499" s="33"/>
      <c r="J499" s="171"/>
      <c r="K499" s="182"/>
      <c r="L499" s="183"/>
      <c r="M499" s="180"/>
      <c r="N499" s="181"/>
      <c r="O499" s="37">
        <v>0</v>
      </c>
    </row>
    <row r="500" spans="1:15" x14ac:dyDescent="0.25">
      <c r="A500" s="37" t="s">
        <v>531</v>
      </c>
      <c r="B500" s="33"/>
      <c r="C500" s="33"/>
      <c r="D500" s="33"/>
      <c r="E500" s="33"/>
      <c r="J500" s="171"/>
      <c r="K500" s="182"/>
      <c r="L500" s="183"/>
      <c r="M500" s="180"/>
      <c r="N500" s="181"/>
      <c r="O500" s="37">
        <v>0</v>
      </c>
    </row>
    <row r="501" spans="1:15" x14ac:dyDescent="0.25">
      <c r="A501" s="37" t="s">
        <v>257</v>
      </c>
      <c r="B501" s="33"/>
      <c r="C501" s="33"/>
      <c r="D501" s="33"/>
      <c r="E501" s="33"/>
      <c r="J501" s="171"/>
      <c r="K501" s="182"/>
      <c r="L501" s="183"/>
      <c r="M501" s="180"/>
      <c r="N501" s="181"/>
      <c r="O501" s="37">
        <v>0</v>
      </c>
    </row>
    <row r="502" spans="1:15" x14ac:dyDescent="0.25">
      <c r="A502" s="37" t="s">
        <v>258</v>
      </c>
      <c r="B502" s="33"/>
      <c r="C502" s="33"/>
      <c r="D502" s="33"/>
      <c r="E502" s="33"/>
      <c r="J502" s="171"/>
      <c r="K502" s="182"/>
      <c r="L502" s="183"/>
      <c r="M502" s="180"/>
      <c r="N502" s="181"/>
      <c r="O502" s="37">
        <v>0</v>
      </c>
    </row>
    <row r="503" spans="1:15" x14ac:dyDescent="0.25">
      <c r="A503" s="37" t="s">
        <v>259</v>
      </c>
      <c r="B503" s="33"/>
      <c r="C503" s="33"/>
      <c r="D503" s="33"/>
      <c r="E503" s="33"/>
      <c r="J503" s="171"/>
      <c r="K503" s="182"/>
      <c r="L503" s="183"/>
      <c r="M503" s="180"/>
      <c r="N503" s="181"/>
      <c r="O503" s="37">
        <v>0</v>
      </c>
    </row>
    <row r="504" spans="1:15" x14ac:dyDescent="0.25">
      <c r="A504" s="37" t="s">
        <v>532</v>
      </c>
      <c r="B504" s="33"/>
      <c r="C504" s="33"/>
      <c r="D504" s="33"/>
      <c r="E504" s="33"/>
      <c r="J504" s="171"/>
      <c r="K504" s="182"/>
      <c r="L504" s="183"/>
      <c r="M504" s="180"/>
      <c r="N504" s="181"/>
      <c r="O504" s="37">
        <v>0</v>
      </c>
    </row>
    <row r="505" spans="1:15" x14ac:dyDescent="0.25">
      <c r="A505" s="37" t="s">
        <v>260</v>
      </c>
      <c r="B505" s="33"/>
      <c r="C505" s="33"/>
      <c r="D505" s="33"/>
      <c r="E505" s="33"/>
      <c r="J505" s="171"/>
      <c r="K505" s="182"/>
      <c r="L505" s="183"/>
      <c r="M505" s="180"/>
      <c r="N505" s="181"/>
      <c r="O505" s="37">
        <v>0</v>
      </c>
    </row>
    <row r="506" spans="1:15" x14ac:dyDescent="0.25">
      <c r="A506" s="37" t="s">
        <v>261</v>
      </c>
      <c r="B506" s="33"/>
      <c r="C506" s="33"/>
      <c r="D506" s="33"/>
      <c r="E506" s="33"/>
      <c r="J506" s="171"/>
      <c r="K506" s="182"/>
      <c r="L506" s="183"/>
      <c r="M506" s="180"/>
      <c r="N506" s="181"/>
      <c r="O506" s="37">
        <v>0</v>
      </c>
    </row>
    <row r="507" spans="1:15" x14ac:dyDescent="0.25">
      <c r="A507" s="37" t="s">
        <v>262</v>
      </c>
      <c r="B507" s="33"/>
      <c r="C507" s="33"/>
      <c r="D507" s="33"/>
      <c r="E507" s="33"/>
      <c r="J507" s="171"/>
      <c r="K507" s="182"/>
      <c r="L507" s="183"/>
      <c r="M507" s="180"/>
      <c r="N507" s="181"/>
      <c r="O507" s="37">
        <v>0</v>
      </c>
    </row>
    <row r="508" spans="1:15" x14ac:dyDescent="0.25">
      <c r="A508" s="37" t="s">
        <v>263</v>
      </c>
      <c r="B508" s="33"/>
      <c r="C508" s="33"/>
      <c r="D508" s="33"/>
      <c r="E508" s="33"/>
      <c r="J508" s="171"/>
      <c r="K508" s="182"/>
      <c r="L508" s="183"/>
      <c r="M508" s="180"/>
      <c r="N508" s="181"/>
      <c r="O508" s="37">
        <v>0</v>
      </c>
    </row>
    <row r="509" spans="1:15" x14ac:dyDescent="0.25">
      <c r="A509" s="37" t="s">
        <v>264</v>
      </c>
      <c r="B509" s="33"/>
      <c r="C509" s="33"/>
      <c r="D509" s="33"/>
      <c r="E509" s="33"/>
      <c r="J509" s="171"/>
      <c r="K509" s="182"/>
      <c r="L509" s="183"/>
      <c r="M509" s="180"/>
      <c r="N509" s="181"/>
      <c r="O509" s="37">
        <v>0</v>
      </c>
    </row>
    <row r="510" spans="1:15" x14ac:dyDescent="0.25">
      <c r="A510" s="37" t="s">
        <v>558</v>
      </c>
      <c r="B510" s="33"/>
      <c r="C510" s="33"/>
      <c r="D510" s="33"/>
      <c r="E510" s="33"/>
      <c r="J510" s="171"/>
      <c r="K510" s="182"/>
      <c r="L510" s="183"/>
      <c r="M510" s="180"/>
      <c r="N510" s="181"/>
      <c r="O510" s="37">
        <v>0</v>
      </c>
    </row>
    <row r="511" spans="1:15" x14ac:dyDescent="0.25">
      <c r="A511" s="37" t="s">
        <v>265</v>
      </c>
      <c r="B511" s="33"/>
      <c r="C511" s="33"/>
      <c r="D511" s="33"/>
      <c r="E511" s="33"/>
      <c r="J511" s="171"/>
      <c r="K511" s="182"/>
      <c r="L511" s="183"/>
      <c r="M511" s="180"/>
      <c r="N511" s="181"/>
      <c r="O511" s="37">
        <v>0</v>
      </c>
    </row>
    <row r="512" spans="1:15" x14ac:dyDescent="0.25">
      <c r="A512" s="37" t="s">
        <v>352</v>
      </c>
      <c r="B512" s="33"/>
      <c r="C512" s="33"/>
      <c r="D512" s="33"/>
      <c r="E512" s="33"/>
      <c r="J512" s="171"/>
      <c r="K512" s="182"/>
      <c r="L512" s="183"/>
      <c r="M512" s="180"/>
      <c r="N512" s="181"/>
      <c r="O512" s="37">
        <v>0</v>
      </c>
    </row>
    <row r="513" spans="1:15" x14ac:dyDescent="0.25">
      <c r="A513" s="37" t="s">
        <v>266</v>
      </c>
      <c r="B513" s="33"/>
      <c r="C513" s="33"/>
      <c r="D513" s="33"/>
      <c r="E513" s="33"/>
      <c r="J513" s="171"/>
      <c r="K513" s="182"/>
      <c r="L513" s="183"/>
      <c r="M513" s="180"/>
      <c r="N513" s="181"/>
      <c r="O513" s="37">
        <v>0</v>
      </c>
    </row>
    <row r="514" spans="1:15" x14ac:dyDescent="0.25">
      <c r="A514" s="37" t="s">
        <v>267</v>
      </c>
      <c r="B514" s="33"/>
      <c r="C514" s="33"/>
      <c r="D514" s="33"/>
      <c r="E514" s="33"/>
      <c r="J514" s="171"/>
      <c r="K514" s="182"/>
      <c r="L514" s="183"/>
      <c r="M514" s="180"/>
      <c r="N514" s="181"/>
      <c r="O514" s="37">
        <v>0</v>
      </c>
    </row>
    <row r="515" spans="1:15" x14ac:dyDescent="0.25">
      <c r="A515" s="37" t="s">
        <v>268</v>
      </c>
      <c r="B515" s="33"/>
      <c r="C515" s="33"/>
      <c r="D515" s="33"/>
      <c r="E515" s="33"/>
      <c r="J515" s="171"/>
      <c r="K515" s="182"/>
      <c r="L515" s="183"/>
      <c r="M515" s="180"/>
      <c r="N515" s="181"/>
      <c r="O515" s="37">
        <v>0</v>
      </c>
    </row>
    <row r="516" spans="1:15" x14ac:dyDescent="0.25">
      <c r="A516" s="37" t="s">
        <v>269</v>
      </c>
      <c r="B516" s="33"/>
      <c r="C516" s="33"/>
      <c r="D516" s="33"/>
      <c r="E516" s="33"/>
      <c r="J516" s="171"/>
      <c r="K516" s="182"/>
      <c r="L516" s="183"/>
      <c r="M516" s="180"/>
      <c r="N516" s="181"/>
      <c r="O516" s="37">
        <v>0</v>
      </c>
    </row>
    <row r="517" spans="1:15" x14ac:dyDescent="0.25">
      <c r="A517" s="37" t="s">
        <v>270</v>
      </c>
      <c r="B517" s="33"/>
      <c r="C517" s="33"/>
      <c r="D517" s="33"/>
      <c r="E517" s="33"/>
      <c r="J517" s="171"/>
      <c r="K517" s="182"/>
      <c r="L517" s="183"/>
      <c r="M517" s="180"/>
      <c r="N517" s="181"/>
      <c r="O517" s="37">
        <v>0</v>
      </c>
    </row>
    <row r="518" spans="1:15" x14ac:dyDescent="0.25">
      <c r="A518" s="37" t="s">
        <v>559</v>
      </c>
      <c r="B518" s="33"/>
      <c r="C518" s="33"/>
      <c r="D518" s="33"/>
      <c r="E518" s="33"/>
      <c r="J518" s="171"/>
      <c r="K518" s="182"/>
      <c r="L518" s="183"/>
      <c r="M518" s="180"/>
      <c r="N518" s="181"/>
      <c r="O518" s="37">
        <v>0</v>
      </c>
    </row>
    <row r="519" spans="1:15" x14ac:dyDescent="0.25">
      <c r="A519" s="37" t="s">
        <v>533</v>
      </c>
      <c r="B519" s="33"/>
      <c r="C519" s="33"/>
      <c r="D519" s="33"/>
      <c r="E519" s="33"/>
      <c r="J519" s="171"/>
      <c r="K519" s="182"/>
      <c r="L519" s="183"/>
      <c r="M519" s="180"/>
      <c r="N519" s="181"/>
      <c r="O519" s="37">
        <v>0</v>
      </c>
    </row>
    <row r="520" spans="1:15" x14ac:dyDescent="0.25">
      <c r="A520" s="37" t="s">
        <v>560</v>
      </c>
      <c r="B520" s="33"/>
      <c r="C520" s="33"/>
      <c r="D520" s="33"/>
      <c r="E520" s="33"/>
      <c r="J520" s="171"/>
      <c r="K520" s="182"/>
      <c r="L520" s="183"/>
      <c r="M520" s="180"/>
      <c r="N520" s="181"/>
      <c r="O520" s="37">
        <v>0</v>
      </c>
    </row>
    <row r="521" spans="1:15" x14ac:dyDescent="0.25">
      <c r="A521" s="37" t="s">
        <v>271</v>
      </c>
      <c r="B521" s="33"/>
      <c r="C521" s="33"/>
      <c r="D521" s="33"/>
      <c r="E521" s="33"/>
      <c r="J521" s="171"/>
      <c r="K521" s="182"/>
      <c r="L521" s="183"/>
      <c r="M521" s="180"/>
      <c r="N521" s="181"/>
      <c r="O521" s="37">
        <v>0</v>
      </c>
    </row>
    <row r="522" spans="1:15" x14ac:dyDescent="0.25">
      <c r="A522" s="37" t="s">
        <v>353</v>
      </c>
      <c r="B522" s="33"/>
      <c r="C522" s="33"/>
      <c r="D522" s="33"/>
      <c r="E522" s="33"/>
      <c r="J522" s="171"/>
      <c r="K522" s="178"/>
      <c r="L522" s="179"/>
      <c r="M522" s="180"/>
      <c r="N522" s="181"/>
      <c r="O522" s="37">
        <v>0</v>
      </c>
    </row>
    <row r="523" spans="1:15" x14ac:dyDescent="0.25">
      <c r="A523" s="37" t="s">
        <v>272</v>
      </c>
      <c r="B523" s="33"/>
      <c r="C523" s="33"/>
      <c r="D523" s="33"/>
      <c r="E523" s="33"/>
      <c r="J523" s="171"/>
      <c r="K523" s="178"/>
      <c r="L523" s="179"/>
      <c r="M523" s="180"/>
      <c r="N523" s="181"/>
      <c r="O523" s="37">
        <v>0</v>
      </c>
    </row>
    <row r="524" spans="1:15" ht="15.75" thickBot="1" x14ac:dyDescent="0.3">
      <c r="A524" s="37" t="s">
        <v>273</v>
      </c>
      <c r="B524" s="33"/>
      <c r="C524" s="33"/>
      <c r="D524" s="33"/>
      <c r="E524" s="33"/>
      <c r="J524" s="173"/>
      <c r="K524" s="184"/>
      <c r="L524" s="185"/>
      <c r="M524" s="186"/>
      <c r="N524" s="187"/>
      <c r="O524" s="37">
        <v>0</v>
      </c>
    </row>
    <row r="525" spans="1:15" x14ac:dyDescent="0.25">
      <c r="A525" s="37" t="s">
        <v>354</v>
      </c>
      <c r="B525" s="33"/>
      <c r="C525" s="33"/>
      <c r="D525" s="33"/>
      <c r="E525" s="33"/>
      <c r="J525" s="51"/>
      <c r="M525" s="54"/>
      <c r="N525" s="54"/>
    </row>
    <row r="526" spans="1:15" x14ac:dyDescent="0.25">
      <c r="A526" s="37" t="s">
        <v>274</v>
      </c>
      <c r="B526" s="33"/>
      <c r="C526" s="33"/>
      <c r="D526" s="33"/>
      <c r="E526" s="33"/>
    </row>
    <row r="527" spans="1:15" x14ac:dyDescent="0.25">
      <c r="A527" s="37" t="s">
        <v>355</v>
      </c>
      <c r="B527" s="33"/>
      <c r="C527" s="33"/>
      <c r="D527" s="33"/>
      <c r="E527" s="33"/>
    </row>
    <row r="528" spans="1:15" x14ac:dyDescent="0.25">
      <c r="A528" s="37" t="s">
        <v>275</v>
      </c>
      <c r="B528" s="33"/>
      <c r="C528" s="33"/>
      <c r="D528" s="33"/>
      <c r="E528" s="33"/>
    </row>
    <row r="529" spans="1:5" x14ac:dyDescent="0.25">
      <c r="A529" s="37" t="s">
        <v>276</v>
      </c>
      <c r="B529" s="33"/>
      <c r="C529" s="33"/>
      <c r="D529" s="33"/>
      <c r="E529" s="33"/>
    </row>
    <row r="530" spans="1:5" x14ac:dyDescent="0.25">
      <c r="A530" s="37" t="s">
        <v>277</v>
      </c>
      <c r="B530" s="33"/>
      <c r="C530" s="33"/>
      <c r="D530" s="33"/>
      <c r="E530" s="33"/>
    </row>
    <row r="531" spans="1:5" x14ac:dyDescent="0.25">
      <c r="A531" s="37"/>
      <c r="B531" s="33"/>
      <c r="C531" s="33"/>
      <c r="D531" s="33"/>
      <c r="E531" s="33"/>
    </row>
    <row r="532" spans="1:5" x14ac:dyDescent="0.25">
      <c r="A532" s="37"/>
      <c r="B532" s="33"/>
      <c r="C532" s="33"/>
      <c r="D532" s="33"/>
      <c r="E532" s="33"/>
    </row>
    <row r="533" spans="1:5" x14ac:dyDescent="0.25">
      <c r="A533" s="37"/>
      <c r="B533" s="33"/>
      <c r="C533" s="33"/>
      <c r="D533" s="33"/>
      <c r="E533" s="33"/>
    </row>
    <row r="534" spans="1:5" x14ac:dyDescent="0.25">
      <c r="A534" s="37"/>
      <c r="B534" s="33"/>
      <c r="C534" s="33"/>
      <c r="D534" s="33"/>
      <c r="E534" s="33"/>
    </row>
    <row r="535" spans="1:5" x14ac:dyDescent="0.25">
      <c r="A535" s="37"/>
      <c r="B535" s="33"/>
      <c r="C535" s="33"/>
      <c r="D535" s="33"/>
      <c r="E535" s="33"/>
    </row>
    <row r="536" spans="1:5" x14ac:dyDescent="0.25">
      <c r="A536" s="37"/>
      <c r="B536" s="33"/>
      <c r="C536" s="33"/>
      <c r="D536" s="33"/>
      <c r="E536" s="33"/>
    </row>
    <row r="537" spans="1:5" x14ac:dyDescent="0.25">
      <c r="A537" s="37"/>
      <c r="B537" s="33"/>
      <c r="C537" s="33"/>
      <c r="D537" s="33"/>
      <c r="E537" s="33"/>
    </row>
    <row r="538" spans="1:5" x14ac:dyDescent="0.25">
      <c r="A538" s="37"/>
      <c r="B538" s="33"/>
      <c r="C538" s="33"/>
      <c r="D538" s="33"/>
      <c r="E538" s="33"/>
    </row>
    <row r="539" spans="1:5" x14ac:dyDescent="0.25">
      <c r="A539" s="37"/>
      <c r="B539" s="33"/>
      <c r="C539" s="33"/>
      <c r="D539" s="33"/>
      <c r="E539" s="33"/>
    </row>
    <row r="540" spans="1:5" x14ac:dyDescent="0.25">
      <c r="A540" s="37"/>
      <c r="B540" s="33"/>
      <c r="C540" s="33"/>
      <c r="D540" s="33"/>
      <c r="E540" s="33"/>
    </row>
    <row r="541" spans="1:5" x14ac:dyDescent="0.25">
      <c r="A541" s="37"/>
      <c r="B541" s="33"/>
      <c r="C541" s="33"/>
      <c r="D541" s="33"/>
      <c r="E541" s="33"/>
    </row>
    <row r="542" spans="1:5" x14ac:dyDescent="0.25">
      <c r="A542" s="37"/>
      <c r="B542" s="33"/>
      <c r="C542" s="33"/>
      <c r="D542" s="33"/>
      <c r="E542" s="33"/>
    </row>
    <row r="543" spans="1:5" x14ac:dyDescent="0.25">
      <c r="A543" s="37"/>
      <c r="B543" s="33"/>
      <c r="C543" s="33"/>
      <c r="D543" s="33"/>
      <c r="E543" s="33"/>
    </row>
    <row r="544" spans="1:5" x14ac:dyDescent="0.25">
      <c r="A544" s="37"/>
      <c r="B544" s="33"/>
      <c r="C544" s="33"/>
      <c r="D544" s="33"/>
      <c r="E544" s="33"/>
    </row>
    <row r="545" spans="1:5" x14ac:dyDescent="0.25">
      <c r="A545" s="37"/>
      <c r="B545" s="33"/>
      <c r="C545" s="33"/>
      <c r="D545" s="33"/>
      <c r="E545" s="33"/>
    </row>
    <row r="546" spans="1:5" x14ac:dyDescent="0.25">
      <c r="A546" s="37"/>
      <c r="B546" s="33"/>
      <c r="C546" s="33"/>
      <c r="D546" s="33"/>
      <c r="E546" s="33"/>
    </row>
    <row r="547" spans="1:5" x14ac:dyDescent="0.25">
      <c r="A547" s="37"/>
      <c r="B547" s="33"/>
      <c r="C547" s="33"/>
      <c r="D547" s="33"/>
      <c r="E547" s="33"/>
    </row>
    <row r="548" spans="1:5" x14ac:dyDescent="0.25">
      <c r="A548" s="37"/>
      <c r="B548" s="33"/>
      <c r="C548" s="33"/>
      <c r="D548" s="33"/>
      <c r="E548" s="33"/>
    </row>
    <row r="549" spans="1:5" x14ac:dyDescent="0.25">
      <c r="A549" s="37"/>
      <c r="B549" s="33"/>
      <c r="C549" s="33"/>
      <c r="D549" s="33"/>
      <c r="E549" s="33"/>
    </row>
    <row r="550" spans="1:5" x14ac:dyDescent="0.25">
      <c r="A550" s="37"/>
      <c r="B550" s="33"/>
      <c r="C550" s="33"/>
      <c r="D550" s="33"/>
      <c r="E550" s="33"/>
    </row>
    <row r="551" spans="1:5" x14ac:dyDescent="0.25">
      <c r="A551" s="37"/>
      <c r="B551" s="33"/>
      <c r="C551" s="33"/>
      <c r="D551" s="33"/>
      <c r="E551" s="33"/>
    </row>
    <row r="552" spans="1:5" x14ac:dyDescent="0.25">
      <c r="A552" s="37"/>
      <c r="B552" s="33"/>
      <c r="C552" s="33"/>
      <c r="D552" s="33"/>
      <c r="E552" s="33"/>
    </row>
    <row r="553" spans="1:5" x14ac:dyDescent="0.25">
      <c r="A553" s="37"/>
      <c r="B553" s="33"/>
      <c r="C553" s="33"/>
      <c r="D553" s="33"/>
      <c r="E553" s="33"/>
    </row>
    <row r="554" spans="1:5" x14ac:dyDescent="0.25">
      <c r="A554" s="37"/>
      <c r="B554" s="33"/>
      <c r="C554" s="33"/>
      <c r="D554" s="33"/>
      <c r="E554" s="33"/>
    </row>
    <row r="555" spans="1:5" x14ac:dyDescent="0.25">
      <c r="A555" s="37"/>
      <c r="B555" s="33"/>
      <c r="C555" s="33"/>
      <c r="D555" s="33"/>
      <c r="E555" s="33"/>
    </row>
    <row r="556" spans="1:5" x14ac:dyDescent="0.25">
      <c r="A556" s="37"/>
      <c r="B556" s="33"/>
      <c r="C556" s="33"/>
      <c r="D556" s="33"/>
      <c r="E556" s="33"/>
    </row>
    <row r="557" spans="1:5" x14ac:dyDescent="0.25">
      <c r="A557" s="37"/>
      <c r="B557" s="33"/>
      <c r="C557" s="33"/>
      <c r="D557" s="33"/>
      <c r="E557" s="33"/>
    </row>
    <row r="558" spans="1:5" x14ac:dyDescent="0.25">
      <c r="A558" s="37"/>
      <c r="B558" s="33"/>
      <c r="C558" s="33"/>
      <c r="D558" s="33"/>
      <c r="E558" s="33"/>
    </row>
    <row r="559" spans="1:5" x14ac:dyDescent="0.25">
      <c r="A559" s="37"/>
      <c r="B559" s="33"/>
      <c r="C559" s="33"/>
      <c r="D559" s="33"/>
      <c r="E559" s="33"/>
    </row>
    <row r="560" spans="1:5" x14ac:dyDescent="0.25">
      <c r="A560" s="37"/>
      <c r="B560" s="33"/>
      <c r="C560" s="33"/>
      <c r="D560" s="33"/>
      <c r="E560" s="33"/>
    </row>
    <row r="561" spans="1:5" x14ac:dyDescent="0.25">
      <c r="A561" s="37"/>
      <c r="B561" s="33"/>
      <c r="C561" s="33"/>
      <c r="D561" s="33"/>
      <c r="E561" s="33"/>
    </row>
    <row r="562" spans="1:5" x14ac:dyDescent="0.25">
      <c r="A562" s="37"/>
      <c r="B562" s="33"/>
      <c r="C562" s="33"/>
      <c r="D562" s="33"/>
      <c r="E562" s="33"/>
    </row>
    <row r="563" spans="1:5" x14ac:dyDescent="0.25">
      <c r="A563" s="37"/>
      <c r="B563" s="33"/>
      <c r="C563" s="33"/>
      <c r="D563" s="33"/>
      <c r="E563" s="33"/>
    </row>
    <row r="564" spans="1:5" x14ac:dyDescent="0.25">
      <c r="A564" s="37"/>
      <c r="B564" s="33"/>
      <c r="C564" s="33"/>
      <c r="D564" s="33"/>
      <c r="E564" s="33"/>
    </row>
    <row r="565" spans="1:5" x14ac:dyDescent="0.25">
      <c r="A565" s="37"/>
      <c r="B565" s="33"/>
      <c r="C565" s="33"/>
      <c r="D565" s="33"/>
      <c r="E565" s="33"/>
    </row>
    <row r="566" spans="1:5" x14ac:dyDescent="0.25">
      <c r="A566" s="37"/>
      <c r="B566" s="33"/>
      <c r="C566" s="33"/>
      <c r="D566" s="33"/>
      <c r="E566" s="33"/>
    </row>
    <row r="567" spans="1:5" x14ac:dyDescent="0.25">
      <c r="A567" s="37"/>
      <c r="B567" s="33"/>
      <c r="C567" s="33"/>
      <c r="D567" s="33"/>
      <c r="E567" s="33"/>
    </row>
    <row r="568" spans="1:5" x14ac:dyDescent="0.25">
      <c r="A568" s="37"/>
      <c r="B568" s="33"/>
      <c r="C568" s="33"/>
      <c r="D568" s="33"/>
      <c r="E568" s="33"/>
    </row>
    <row r="569" spans="1:5" x14ac:dyDescent="0.25">
      <c r="A569" s="37"/>
      <c r="B569" s="33"/>
      <c r="C569" s="33"/>
      <c r="D569" s="33"/>
      <c r="E569" s="33"/>
    </row>
    <row r="570" spans="1:5" x14ac:dyDescent="0.25">
      <c r="A570" s="37"/>
      <c r="B570" s="33"/>
      <c r="C570" s="33"/>
      <c r="D570" s="33"/>
      <c r="E570" s="33"/>
    </row>
    <row r="571" spans="1:5" x14ac:dyDescent="0.25">
      <c r="A571" s="37"/>
      <c r="B571" s="33"/>
      <c r="C571" s="33"/>
      <c r="D571" s="33"/>
      <c r="E571" s="33"/>
    </row>
    <row r="572" spans="1:5" x14ac:dyDescent="0.25">
      <c r="A572" s="37"/>
    </row>
    <row r="573" spans="1:5" x14ac:dyDescent="0.25">
      <c r="A573" s="37"/>
    </row>
    <row r="574" spans="1:5" x14ac:dyDescent="0.25">
      <c r="A574" s="37"/>
    </row>
    <row r="575" spans="1:5" x14ac:dyDescent="0.25">
      <c r="A575" s="37"/>
    </row>
    <row r="576" spans="1:5" x14ac:dyDescent="0.25">
      <c r="A576" s="37"/>
    </row>
    <row r="577" spans="1:1" x14ac:dyDescent="0.25">
      <c r="A577" s="37"/>
    </row>
    <row r="578" spans="1:1" x14ac:dyDescent="0.25">
      <c r="A578" s="37"/>
    </row>
    <row r="579" spans="1:1" x14ac:dyDescent="0.25">
      <c r="A579" s="37"/>
    </row>
    <row r="580" spans="1:1" x14ac:dyDescent="0.25">
      <c r="A580" s="37"/>
    </row>
    <row r="581" spans="1:1" x14ac:dyDescent="0.25">
      <c r="A581" s="37"/>
    </row>
    <row r="582" spans="1:1" x14ac:dyDescent="0.25">
      <c r="A582" s="37"/>
    </row>
    <row r="583" spans="1:1" x14ac:dyDescent="0.25">
      <c r="A583" s="37"/>
    </row>
    <row r="584" spans="1:1" x14ac:dyDescent="0.25">
      <c r="A584" s="37"/>
    </row>
    <row r="585" spans="1:1" x14ac:dyDescent="0.25">
      <c r="A585" s="37"/>
    </row>
    <row r="586" spans="1:1" x14ac:dyDescent="0.25">
      <c r="A586" s="37"/>
    </row>
    <row r="587" spans="1:1" x14ac:dyDescent="0.25">
      <c r="A587" s="37"/>
    </row>
    <row r="588" spans="1:1" x14ac:dyDescent="0.25">
      <c r="A588" s="37"/>
    </row>
    <row r="589" spans="1:1" x14ac:dyDescent="0.25">
      <c r="A589" s="37"/>
    </row>
    <row r="590" spans="1:1" x14ac:dyDescent="0.25">
      <c r="A590" s="37"/>
    </row>
    <row r="591" spans="1:1" x14ac:dyDescent="0.25">
      <c r="A591" s="37"/>
    </row>
    <row r="592" spans="1:1" x14ac:dyDescent="0.25">
      <c r="A592" s="37"/>
    </row>
    <row r="593" spans="1:1" x14ac:dyDescent="0.25">
      <c r="A593" s="37"/>
    </row>
    <row r="594" spans="1:1" x14ac:dyDescent="0.25">
      <c r="A594" s="37"/>
    </row>
    <row r="595" spans="1:1" x14ac:dyDescent="0.25">
      <c r="A595" s="37"/>
    </row>
    <row r="596" spans="1:1" x14ac:dyDescent="0.25">
      <c r="A596" s="37"/>
    </row>
    <row r="597" spans="1:1" x14ac:dyDescent="0.25">
      <c r="A597" s="37"/>
    </row>
    <row r="598" spans="1:1" x14ac:dyDescent="0.25">
      <c r="A598" s="37"/>
    </row>
    <row r="599" spans="1:1" x14ac:dyDescent="0.25">
      <c r="A599" s="37"/>
    </row>
    <row r="600" spans="1:1" x14ac:dyDescent="0.25">
      <c r="A600" s="37"/>
    </row>
    <row r="601" spans="1:1" x14ac:dyDescent="0.25">
      <c r="A601" s="37"/>
    </row>
    <row r="602" spans="1:1" x14ac:dyDescent="0.25">
      <c r="A602" s="37"/>
    </row>
    <row r="603" spans="1:1" x14ac:dyDescent="0.25">
      <c r="A603" s="37"/>
    </row>
    <row r="604" spans="1:1" x14ac:dyDescent="0.25">
      <c r="A604" s="37"/>
    </row>
    <row r="605" spans="1:1" x14ac:dyDescent="0.25">
      <c r="A605" s="37"/>
    </row>
    <row r="606" spans="1:1" x14ac:dyDescent="0.25">
      <c r="A606" s="37"/>
    </row>
    <row r="607" spans="1:1" x14ac:dyDescent="0.25">
      <c r="A607" s="37"/>
    </row>
    <row r="608" spans="1:1" x14ac:dyDescent="0.25">
      <c r="A608" s="37"/>
    </row>
    <row r="609" spans="1:1" x14ac:dyDescent="0.25">
      <c r="A609" s="37"/>
    </row>
    <row r="610" spans="1:1" x14ac:dyDescent="0.25">
      <c r="A610" s="37"/>
    </row>
    <row r="611" spans="1:1" x14ac:dyDescent="0.25">
      <c r="A611" s="37"/>
    </row>
    <row r="612" spans="1:1" x14ac:dyDescent="0.25">
      <c r="A612" s="37"/>
    </row>
    <row r="613" spans="1:1" x14ac:dyDescent="0.25">
      <c r="A613" s="37"/>
    </row>
    <row r="614" spans="1:1" x14ac:dyDescent="0.25">
      <c r="A614" s="37"/>
    </row>
    <row r="615" spans="1:1" x14ac:dyDescent="0.25">
      <c r="A615" s="37"/>
    </row>
    <row r="616" spans="1:1" x14ac:dyDescent="0.25">
      <c r="A616" s="37"/>
    </row>
    <row r="617" spans="1:1" x14ac:dyDescent="0.25">
      <c r="A617" s="37"/>
    </row>
    <row r="618" spans="1:1" x14ac:dyDescent="0.25">
      <c r="A618" s="37"/>
    </row>
    <row r="619" spans="1:1" x14ac:dyDescent="0.25">
      <c r="A619" s="37"/>
    </row>
    <row r="620" spans="1:1" x14ac:dyDescent="0.25">
      <c r="A620" s="37"/>
    </row>
    <row r="621" spans="1:1" x14ac:dyDescent="0.25">
      <c r="A621" s="37"/>
    </row>
    <row r="622" spans="1:1" x14ac:dyDescent="0.25">
      <c r="A622" s="37"/>
    </row>
    <row r="623" spans="1:1" x14ac:dyDescent="0.25">
      <c r="A623" s="37"/>
    </row>
    <row r="624" spans="1:1" x14ac:dyDescent="0.25">
      <c r="A624" s="37"/>
    </row>
    <row r="625" spans="1:1" x14ac:dyDescent="0.25">
      <c r="A625" s="37"/>
    </row>
    <row r="626" spans="1:1" x14ac:dyDescent="0.25">
      <c r="A626" s="37"/>
    </row>
    <row r="627" spans="1:1" x14ac:dyDescent="0.25">
      <c r="A627" s="37"/>
    </row>
    <row r="628" spans="1:1" x14ac:dyDescent="0.25">
      <c r="A628" s="37"/>
    </row>
    <row r="629" spans="1:1" x14ac:dyDescent="0.25">
      <c r="A629" s="37"/>
    </row>
    <row r="630" spans="1:1" x14ac:dyDescent="0.25">
      <c r="A630" s="37"/>
    </row>
    <row r="631" spans="1:1" x14ac:dyDescent="0.25">
      <c r="A631" s="37"/>
    </row>
    <row r="632" spans="1:1" x14ac:dyDescent="0.25">
      <c r="A632" s="37"/>
    </row>
    <row r="633" spans="1:1" x14ac:dyDescent="0.25">
      <c r="A633" s="37"/>
    </row>
    <row r="634" spans="1:1" x14ac:dyDescent="0.25">
      <c r="A634" s="37"/>
    </row>
    <row r="635" spans="1:1" x14ac:dyDescent="0.25">
      <c r="A635" s="37"/>
    </row>
    <row r="636" spans="1:1" x14ac:dyDescent="0.25">
      <c r="A636" s="37"/>
    </row>
    <row r="637" spans="1:1" x14ac:dyDescent="0.25">
      <c r="A637" s="37"/>
    </row>
    <row r="638" spans="1:1" x14ac:dyDescent="0.25">
      <c r="A638" s="37"/>
    </row>
    <row r="639" spans="1:1" x14ac:dyDescent="0.25">
      <c r="A639" s="37"/>
    </row>
    <row r="640" spans="1:1" x14ac:dyDescent="0.25">
      <c r="A640" s="37"/>
    </row>
    <row r="641" spans="1:1" x14ac:dyDescent="0.25">
      <c r="A641" s="37"/>
    </row>
    <row r="642" spans="1:1" x14ac:dyDescent="0.25">
      <c r="A642" s="37"/>
    </row>
    <row r="643" spans="1:1" x14ac:dyDescent="0.25">
      <c r="A643" s="37"/>
    </row>
    <row r="644" spans="1:1" x14ac:dyDescent="0.25">
      <c r="A644" s="37"/>
    </row>
    <row r="645" spans="1:1" x14ac:dyDescent="0.25">
      <c r="A645" s="37"/>
    </row>
    <row r="646" spans="1:1" x14ac:dyDescent="0.25">
      <c r="A646" s="37"/>
    </row>
    <row r="647" spans="1:1" x14ac:dyDescent="0.25">
      <c r="A647" s="37"/>
    </row>
    <row r="648" spans="1:1" x14ac:dyDescent="0.25">
      <c r="A648" s="37"/>
    </row>
    <row r="649" spans="1:1" x14ac:dyDescent="0.25">
      <c r="A649" s="37"/>
    </row>
    <row r="650" spans="1:1" x14ac:dyDescent="0.25">
      <c r="A650" s="37"/>
    </row>
    <row r="651" spans="1:1" x14ac:dyDescent="0.25">
      <c r="A651" s="37"/>
    </row>
    <row r="652" spans="1:1" x14ac:dyDescent="0.25">
      <c r="A652" s="37"/>
    </row>
    <row r="653" spans="1:1" x14ac:dyDescent="0.25">
      <c r="A653" s="37"/>
    </row>
    <row r="654" spans="1:1" x14ac:dyDescent="0.25">
      <c r="A654" s="37"/>
    </row>
    <row r="655" spans="1:1" x14ac:dyDescent="0.25">
      <c r="A655" s="37"/>
    </row>
    <row r="656" spans="1:1" x14ac:dyDescent="0.25">
      <c r="A656" s="37"/>
    </row>
    <row r="657" spans="1:1" x14ac:dyDescent="0.25">
      <c r="A657" s="37"/>
    </row>
    <row r="658" spans="1:1" x14ac:dyDescent="0.25">
      <c r="A658" s="37"/>
    </row>
    <row r="659" spans="1:1" x14ac:dyDescent="0.25">
      <c r="A659" s="37"/>
    </row>
    <row r="660" spans="1:1" x14ac:dyDescent="0.25">
      <c r="A660" s="37"/>
    </row>
    <row r="661" spans="1:1" x14ac:dyDescent="0.25">
      <c r="A661" s="37"/>
    </row>
    <row r="662" spans="1:1" x14ac:dyDescent="0.25">
      <c r="A662" s="37"/>
    </row>
    <row r="663" spans="1:1" x14ac:dyDescent="0.25">
      <c r="A663" s="37"/>
    </row>
    <row r="664" spans="1:1" x14ac:dyDescent="0.25">
      <c r="A664" s="37"/>
    </row>
    <row r="665" spans="1:1" x14ac:dyDescent="0.25">
      <c r="A665" s="37"/>
    </row>
    <row r="666" spans="1:1" x14ac:dyDescent="0.25">
      <c r="A666" s="37"/>
    </row>
    <row r="667" spans="1:1" x14ac:dyDescent="0.25">
      <c r="A667" s="37"/>
    </row>
    <row r="668" spans="1:1" x14ac:dyDescent="0.25">
      <c r="A668" s="37"/>
    </row>
    <row r="669" spans="1:1" x14ac:dyDescent="0.25">
      <c r="A669" s="37"/>
    </row>
    <row r="670" spans="1:1" x14ac:dyDescent="0.25">
      <c r="A670" s="37"/>
    </row>
    <row r="671" spans="1:1" x14ac:dyDescent="0.25">
      <c r="A671" s="37"/>
    </row>
    <row r="672" spans="1:1" x14ac:dyDescent="0.25">
      <c r="A672" s="37"/>
    </row>
    <row r="673" spans="1:1" x14ac:dyDescent="0.25">
      <c r="A673" s="37"/>
    </row>
    <row r="674" spans="1:1" x14ac:dyDescent="0.25">
      <c r="A674" s="37"/>
    </row>
    <row r="675" spans="1:1" x14ac:dyDescent="0.25">
      <c r="A675" s="37"/>
    </row>
    <row r="676" spans="1:1" x14ac:dyDescent="0.25">
      <c r="A676" s="37"/>
    </row>
    <row r="677" spans="1:1" x14ac:dyDescent="0.25">
      <c r="A677" s="37"/>
    </row>
    <row r="678" spans="1:1" x14ac:dyDescent="0.25">
      <c r="A678" s="37"/>
    </row>
    <row r="679" spans="1:1" x14ac:dyDescent="0.25">
      <c r="A679" s="37"/>
    </row>
    <row r="680" spans="1:1" x14ac:dyDescent="0.25">
      <c r="A680" s="37"/>
    </row>
    <row r="681" spans="1:1" x14ac:dyDescent="0.25">
      <c r="A681" s="37"/>
    </row>
    <row r="682" spans="1:1" x14ac:dyDescent="0.25">
      <c r="A682" s="37"/>
    </row>
    <row r="683" spans="1:1" x14ac:dyDescent="0.25">
      <c r="A683" s="37"/>
    </row>
    <row r="684" spans="1:1" x14ac:dyDescent="0.25">
      <c r="A684" s="37"/>
    </row>
    <row r="685" spans="1:1" x14ac:dyDescent="0.25">
      <c r="A685" s="37"/>
    </row>
    <row r="686" spans="1:1" x14ac:dyDescent="0.25">
      <c r="A686" s="37"/>
    </row>
    <row r="687" spans="1:1" x14ac:dyDescent="0.25">
      <c r="A687" s="37"/>
    </row>
    <row r="688" spans="1:1" x14ac:dyDescent="0.25">
      <c r="A688" s="37"/>
    </row>
    <row r="689" spans="1:1" x14ac:dyDescent="0.25">
      <c r="A689" s="37"/>
    </row>
    <row r="690" spans="1:1" x14ac:dyDescent="0.25">
      <c r="A690" s="37"/>
    </row>
    <row r="691" spans="1:1" x14ac:dyDescent="0.25">
      <c r="A691" s="37"/>
    </row>
    <row r="692" spans="1:1" x14ac:dyDescent="0.25">
      <c r="A692" s="37"/>
    </row>
    <row r="693" spans="1:1" x14ac:dyDescent="0.25">
      <c r="A693" s="37"/>
    </row>
    <row r="694" spans="1:1" x14ac:dyDescent="0.25">
      <c r="A694" s="37"/>
    </row>
    <row r="695" spans="1:1" x14ac:dyDescent="0.25">
      <c r="A695" s="37"/>
    </row>
    <row r="696" spans="1:1" x14ac:dyDescent="0.25">
      <c r="A696" s="37"/>
    </row>
    <row r="697" spans="1:1" x14ac:dyDescent="0.25">
      <c r="A697" s="37"/>
    </row>
    <row r="698" spans="1:1" x14ac:dyDescent="0.25">
      <c r="A698" s="37"/>
    </row>
    <row r="699" spans="1:1" x14ac:dyDescent="0.25">
      <c r="A699" s="37"/>
    </row>
    <row r="700" spans="1:1" x14ac:dyDescent="0.25">
      <c r="A700" s="37"/>
    </row>
    <row r="701" spans="1:1" x14ac:dyDescent="0.25">
      <c r="A701" s="37"/>
    </row>
    <row r="702" spans="1:1" x14ac:dyDescent="0.25">
      <c r="A702" s="37"/>
    </row>
    <row r="703" spans="1:1" x14ac:dyDescent="0.25">
      <c r="A703" s="37"/>
    </row>
    <row r="704" spans="1:1" x14ac:dyDescent="0.25">
      <c r="A704" s="37"/>
    </row>
    <row r="705" spans="1:1" x14ac:dyDescent="0.25">
      <c r="A705" s="37"/>
    </row>
    <row r="706" spans="1:1" x14ac:dyDescent="0.25">
      <c r="A706" s="37"/>
    </row>
    <row r="707" spans="1:1" x14ac:dyDescent="0.25">
      <c r="A707" s="37"/>
    </row>
    <row r="708" spans="1:1" x14ac:dyDescent="0.25">
      <c r="A708" s="37"/>
    </row>
    <row r="709" spans="1:1" x14ac:dyDescent="0.25">
      <c r="A709" s="37"/>
    </row>
    <row r="710" spans="1:1" x14ac:dyDescent="0.25">
      <c r="A710" s="37"/>
    </row>
    <row r="711" spans="1:1" x14ac:dyDescent="0.25">
      <c r="A711" s="37"/>
    </row>
    <row r="712" spans="1:1" x14ac:dyDescent="0.25">
      <c r="A712" s="37"/>
    </row>
    <row r="713" spans="1:1" x14ac:dyDescent="0.25">
      <c r="A713" s="37"/>
    </row>
    <row r="714" spans="1:1" x14ac:dyDescent="0.25">
      <c r="A714" s="37"/>
    </row>
    <row r="715" spans="1:1" x14ac:dyDescent="0.25">
      <c r="A715" s="37"/>
    </row>
    <row r="716" spans="1:1" x14ac:dyDescent="0.25">
      <c r="A716" s="37"/>
    </row>
    <row r="717" spans="1:1" x14ac:dyDescent="0.25">
      <c r="A717" s="37"/>
    </row>
    <row r="718" spans="1:1" x14ac:dyDescent="0.25">
      <c r="A718" s="37"/>
    </row>
    <row r="719" spans="1:1" x14ac:dyDescent="0.25">
      <c r="A719" s="37"/>
    </row>
    <row r="720" spans="1:1" x14ac:dyDescent="0.25">
      <c r="A720" s="37"/>
    </row>
    <row r="721" spans="1:1" x14ac:dyDescent="0.25">
      <c r="A721" s="37"/>
    </row>
    <row r="722" spans="1:1" x14ac:dyDescent="0.25">
      <c r="A722" s="37"/>
    </row>
    <row r="723" spans="1:1" x14ac:dyDescent="0.25">
      <c r="A723" s="37"/>
    </row>
    <row r="724" spans="1:1" x14ac:dyDescent="0.25">
      <c r="A724" s="37"/>
    </row>
    <row r="725" spans="1:1" x14ac:dyDescent="0.25">
      <c r="A725" s="37"/>
    </row>
    <row r="726" spans="1:1" x14ac:dyDescent="0.25">
      <c r="A726" s="37"/>
    </row>
    <row r="727" spans="1:1" x14ac:dyDescent="0.25">
      <c r="A727" s="37"/>
    </row>
    <row r="728" spans="1:1" x14ac:dyDescent="0.25">
      <c r="A728" s="37"/>
    </row>
    <row r="729" spans="1:1" x14ac:dyDescent="0.25">
      <c r="A729" s="37"/>
    </row>
    <row r="730" spans="1:1" x14ac:dyDescent="0.25">
      <c r="A730" s="37"/>
    </row>
    <row r="731" spans="1:1" x14ac:dyDescent="0.25">
      <c r="A731" s="37"/>
    </row>
    <row r="732" spans="1:1" x14ac:dyDescent="0.25">
      <c r="A732" s="37"/>
    </row>
    <row r="733" spans="1:1" x14ac:dyDescent="0.25">
      <c r="A733" s="37"/>
    </row>
    <row r="734" spans="1:1" x14ac:dyDescent="0.25">
      <c r="A734" s="37"/>
    </row>
    <row r="735" spans="1:1" x14ac:dyDescent="0.25">
      <c r="A735" s="37"/>
    </row>
    <row r="736" spans="1:1" x14ac:dyDescent="0.25">
      <c r="A736" s="37"/>
    </row>
    <row r="737" spans="1:1" x14ac:dyDescent="0.25">
      <c r="A737" s="37"/>
    </row>
    <row r="738" spans="1:1" x14ac:dyDescent="0.25">
      <c r="A738" s="37"/>
    </row>
    <row r="739" spans="1:1" x14ac:dyDescent="0.25">
      <c r="A739" s="37"/>
    </row>
    <row r="740" spans="1:1" x14ac:dyDescent="0.25">
      <c r="A740" s="37"/>
    </row>
    <row r="741" spans="1:1" x14ac:dyDescent="0.25">
      <c r="A741" s="37"/>
    </row>
    <row r="742" spans="1:1" x14ac:dyDescent="0.25">
      <c r="A742" s="37"/>
    </row>
    <row r="743" spans="1:1" x14ac:dyDescent="0.25">
      <c r="A743" s="37"/>
    </row>
    <row r="744" spans="1:1" x14ac:dyDescent="0.25">
      <c r="A744" s="37"/>
    </row>
    <row r="745" spans="1:1" x14ac:dyDescent="0.25">
      <c r="A745" s="37"/>
    </row>
    <row r="746" spans="1:1" x14ac:dyDescent="0.25">
      <c r="A746" s="37"/>
    </row>
    <row r="747" spans="1:1" x14ac:dyDescent="0.25">
      <c r="A747" s="37"/>
    </row>
    <row r="748" spans="1:1" x14ac:dyDescent="0.25">
      <c r="A748" s="37"/>
    </row>
    <row r="749" spans="1:1" x14ac:dyDescent="0.25">
      <c r="A749" s="37"/>
    </row>
    <row r="750" spans="1:1" x14ac:dyDescent="0.25">
      <c r="A750" s="37"/>
    </row>
    <row r="751" spans="1:1" x14ac:dyDescent="0.25">
      <c r="A751" s="37"/>
    </row>
    <row r="752" spans="1:1" x14ac:dyDescent="0.25">
      <c r="A752" s="37"/>
    </row>
    <row r="753" spans="1:1" x14ac:dyDescent="0.25">
      <c r="A753" s="37"/>
    </row>
    <row r="754" spans="1:1" x14ac:dyDescent="0.25">
      <c r="A754" s="37"/>
    </row>
    <row r="755" spans="1:1" x14ac:dyDescent="0.25">
      <c r="A755" s="37"/>
    </row>
    <row r="756" spans="1:1" x14ac:dyDescent="0.25">
      <c r="A756" s="37"/>
    </row>
    <row r="757" spans="1:1" x14ac:dyDescent="0.25">
      <c r="A757" s="37"/>
    </row>
    <row r="758" spans="1:1" x14ac:dyDescent="0.25">
      <c r="A758" s="37"/>
    </row>
    <row r="759" spans="1:1" x14ac:dyDescent="0.25">
      <c r="A759" s="37"/>
    </row>
    <row r="760" spans="1:1" x14ac:dyDescent="0.25">
      <c r="A760" s="37"/>
    </row>
    <row r="761" spans="1:1" x14ac:dyDescent="0.25">
      <c r="A761" s="37"/>
    </row>
    <row r="762" spans="1:1" x14ac:dyDescent="0.25">
      <c r="A762" s="37"/>
    </row>
    <row r="763" spans="1:1" x14ac:dyDescent="0.25">
      <c r="A763" s="37"/>
    </row>
    <row r="764" spans="1:1" x14ac:dyDescent="0.25">
      <c r="A764" s="37"/>
    </row>
    <row r="765" spans="1:1" x14ac:dyDescent="0.25">
      <c r="A765" s="37"/>
    </row>
    <row r="766" spans="1:1" x14ac:dyDescent="0.25">
      <c r="A766" s="37"/>
    </row>
    <row r="767" spans="1:1" x14ac:dyDescent="0.25">
      <c r="A767" s="37"/>
    </row>
    <row r="768" spans="1:1" x14ac:dyDescent="0.25">
      <c r="A768" s="37"/>
    </row>
    <row r="769" spans="1:1" x14ac:dyDescent="0.25">
      <c r="A769" s="37"/>
    </row>
    <row r="770" spans="1:1" x14ac:dyDescent="0.25">
      <c r="A770" s="37"/>
    </row>
    <row r="771" spans="1:1" x14ac:dyDescent="0.25">
      <c r="A771" s="37"/>
    </row>
    <row r="772" spans="1:1" x14ac:dyDescent="0.25">
      <c r="A772" s="37"/>
    </row>
    <row r="773" spans="1:1" x14ac:dyDescent="0.25">
      <c r="A773" s="37"/>
    </row>
    <row r="774" spans="1:1" x14ac:dyDescent="0.25">
      <c r="A774" s="37"/>
    </row>
    <row r="775" spans="1:1" x14ac:dyDescent="0.25">
      <c r="A775" s="37"/>
    </row>
    <row r="776" spans="1:1" x14ac:dyDescent="0.25">
      <c r="A776" s="37"/>
    </row>
    <row r="777" spans="1:1" x14ac:dyDescent="0.25">
      <c r="A777" s="37"/>
    </row>
    <row r="778" spans="1:1" x14ac:dyDescent="0.25">
      <c r="A778" s="37"/>
    </row>
    <row r="779" spans="1:1" x14ac:dyDescent="0.25">
      <c r="A779" s="37"/>
    </row>
    <row r="780" spans="1:1" x14ac:dyDescent="0.25">
      <c r="A780" s="37"/>
    </row>
    <row r="781" spans="1:1" x14ac:dyDescent="0.25">
      <c r="A781" s="37"/>
    </row>
    <row r="782" spans="1:1" x14ac:dyDescent="0.25">
      <c r="A782" s="37"/>
    </row>
    <row r="783" spans="1:1" x14ac:dyDescent="0.25">
      <c r="A783" s="37"/>
    </row>
    <row r="784" spans="1:1" x14ac:dyDescent="0.25">
      <c r="A784" s="37"/>
    </row>
  </sheetData>
  <sheetProtection password="CD36" sheet="1" objects="1" scenarios="1" selectLockedCells="1"/>
  <mergeCells count="14">
    <mergeCell ref="B23:C23"/>
    <mergeCell ref="A2:O2"/>
    <mergeCell ref="B13:H18"/>
    <mergeCell ref="B7:H7"/>
    <mergeCell ref="B11:N12"/>
    <mergeCell ref="B10:N10"/>
    <mergeCell ref="B21:E21"/>
    <mergeCell ref="K7:M7"/>
    <mergeCell ref="K5:M6"/>
    <mergeCell ref="J13:N22"/>
    <mergeCell ref="A3:O3"/>
    <mergeCell ref="B6:H6"/>
    <mergeCell ref="B8:H8"/>
    <mergeCell ref="B22:H22"/>
  </mergeCells>
  <conditionalFormatting sqref="D28:D76 C25:C76">
    <cfRule type="cellIs" dxfId="18" priority="2" stopIfTrue="1" operator="equal">
      <formula>0</formula>
    </cfRule>
  </conditionalFormatting>
  <dataValidations disablePrompts="1" xWindow="410" yWindow="378" count="15">
    <dataValidation allowBlank="1" showErrorMessage="1" promptTitle="First Seen Date" sqref="N25:N524"/>
    <dataValidation type="list" allowBlank="1" showInputMessage="1" showErrorMessage="1" errorTitle="Patient Choice" error="Input Yes or No here.  If you do not have this information available leave the cell blank." promptTitle="Patient Choice" prompt="Input Yes or No here.  If you do not have this information available leave the cell blank." sqref="K25">
      <formula1>"Yes,No"</formula1>
    </dataValidation>
    <dataValidation type="whole" operator="greaterThan" allowBlank="1" showInputMessage="1" showErrorMessage="1" errorTitle="Pause/Clock Restart" error="Enter the number of days pause added if this patient Did Not Attend their first seen appointment." promptTitle="Reset Date" prompt="Enter the clock reset date used if the patient Did Not Attend their first seen appointment." sqref="L25">
      <formula1>0</formula1>
    </dataValidation>
    <dataValidation allowBlank="1" showInputMessage="1" promptTitle="Offer Date" prompt="If this patient chose to accept a later date than originally offered enter that original offer date here." sqref="M25"/>
    <dataValidation allowBlank="1" promptTitle="E-Referrals" prompt="Enter how many referrals were received via the E-Referral system each week.  If you do not have this information available enter all referrals under 'By Fax/Other' and leave this column blank." sqref="D26:D76"/>
    <dataValidation allowBlank="1" promptTitle="Fax/Other Referrals" prompt="Enter the number of referrals per week received by fax or other (non E-Referral) method.  If you do not have separate data for each referral type then enter all referrals in this column." sqref="E26:E76"/>
    <dataValidation allowBlank="1" promptTitle="Fax/Other Referrals" prompt="Enter the number of referrals per week received by fax or other (non-Choose &amp; Book) method.  If you do not have separate data for each referral type then enter all referrals in this column." sqref="F25:I418"/>
    <dataValidation type="list" allowBlank="1" sqref="B6:H6">
      <formula1>$A$79:$A$530</formula1>
    </dataValidation>
    <dataValidation showInputMessage="1" showErrorMessage="1" sqref="B7:H7"/>
    <dataValidation type="list" allowBlank="1" sqref="B8:H8">
      <formula1>$B$78:$B$90</formula1>
    </dataValidation>
    <dataValidation allowBlank="1" showInputMessage="1" promptTitle="E-Referrals" prompt="Enter how many referrals were received via the E-Referral system each week.  If you do not have this information available enter all referrals under 'By Fax/Other' and leave this column blank." sqref="D25"/>
    <dataValidation allowBlank="1" showInputMessage="1" promptTitle="Fax/Other Referrals" prompt="Enter the number of referrals per week received by fax or other (non E-Referral) method.  If you do not have separate data for each referral type then enter all referrals in this column." sqref="E25"/>
    <dataValidation type="list" allowBlank="1" showErrorMessage="1" errorTitle="Patient Choice" error="Input Yes or No here.  If you do not have this information available leave the cell blank." promptTitle="Patient Choice" prompt="Input Yes or No here.  If you do not have this information available leave the cell blank." sqref="K26:K524">
      <formula1>"Yes,No"</formula1>
    </dataValidation>
    <dataValidation type="whole" operator="greaterThan" allowBlank="1" showErrorMessage="1" errorTitle="Pause/Clock Restart" error="Enter the number of days pause added if this patient Did Not Attend their first seen appointment." promptTitle="Reset Date" prompt="Enter the clock reset date used if the patient Did Not Attend their first seen appointment." sqref="L26:L524">
      <formula1>0</formula1>
    </dataValidation>
    <dataValidation allowBlank="1" showErrorMessage="1" sqref="M26:M524"/>
  </dataValidations>
  <pageMargins left="0.39370078740157483" right="0.39370078740157483" top="1.1811023622047245" bottom="0.59055118110236227" header="0.59055118110236227" footer="0"/>
  <pageSetup paperSize="9" scale="62" fitToWidth="0" fitToHeight="0" orientation="portrait" errors="blank" r:id="rId1"/>
  <headerFooter>
    <oddHeader>&amp;R&amp;G</oddHeader>
  </headerFooter>
  <rowBreaks count="1" manualBreakCount="1">
    <brk id="76"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010" r:id="rId5" name="Scroll Bar 130">
              <controlPr locked="0" defaultSize="0" print="0" autoPict="0">
                <anchor moveWithCells="1">
                  <from>
                    <xdr:col>10</xdr:col>
                    <xdr:colOff>0</xdr:colOff>
                    <xdr:row>7</xdr:row>
                    <xdr:rowOff>0</xdr:rowOff>
                  </from>
                  <to>
                    <xdr:col>12</xdr:col>
                    <xdr:colOff>885825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3"/>
  <sheetViews>
    <sheetView showGridLines="0" showRowColHeaders="0" topLeftCell="Q1" zoomScaleNormal="100" workbookViewId="0">
      <selection activeCell="P2" sqref="A1:P1048576"/>
    </sheetView>
  </sheetViews>
  <sheetFormatPr defaultRowHeight="15" x14ac:dyDescent="0.25"/>
  <cols>
    <col min="1" max="16" width="9.140625" style="87" hidden="1" customWidth="1"/>
    <col min="17" max="17" width="11" style="84" customWidth="1"/>
    <col min="18" max="30" width="9.140625" style="84"/>
    <col min="31" max="31" width="10.5703125" style="84" customWidth="1"/>
    <col min="32" max="16384" width="9.140625" style="84"/>
  </cols>
  <sheetData>
    <row r="1" spans="1:34" x14ac:dyDescent="0.25">
      <c r="A1" s="87" t="s">
        <v>309</v>
      </c>
      <c r="B1" s="87">
        <v>1</v>
      </c>
      <c r="C1" s="87" t="s">
        <v>311</v>
      </c>
      <c r="D1" s="87">
        <v>2</v>
      </c>
      <c r="E1" s="87" t="s">
        <v>312</v>
      </c>
      <c r="F1" s="87">
        <v>3</v>
      </c>
      <c r="G1" s="87" t="s">
        <v>310</v>
      </c>
      <c r="H1" s="87">
        <v>4</v>
      </c>
      <c r="I1" s="87" t="s">
        <v>313</v>
      </c>
      <c r="J1" s="87" t="s">
        <v>314</v>
      </c>
      <c r="K1" s="87" t="s">
        <v>315</v>
      </c>
      <c r="L1" s="87" t="s">
        <v>316</v>
      </c>
      <c r="M1" s="87" t="s">
        <v>317</v>
      </c>
      <c r="N1" s="87" t="s">
        <v>318</v>
      </c>
      <c r="O1" s="87" t="s">
        <v>319</v>
      </c>
      <c r="P1" s="87" t="s">
        <v>357</v>
      </c>
      <c r="Q1" s="83"/>
      <c r="R1" s="83"/>
      <c r="S1" s="83"/>
      <c r="T1" s="83"/>
      <c r="U1" s="83"/>
      <c r="V1" s="83"/>
      <c r="W1" s="83"/>
      <c r="X1" s="83"/>
      <c r="Y1" s="83"/>
      <c r="Z1" s="83"/>
      <c r="AA1" s="83"/>
      <c r="AB1" s="83"/>
      <c r="AC1" s="83"/>
      <c r="AD1" s="83"/>
      <c r="AE1" s="83"/>
    </row>
    <row r="2" spans="1:34" ht="54" customHeight="1" x14ac:dyDescent="0.25">
      <c r="B2" s="87" t="e">
        <f>IF(Split=0,IF(OR(Demand!C25&gt;UCL,Demand!C25&lt;LCL),Demand!C25,NA()),IF(Split&gt;=P2,IF(OR(Demand!C25&gt;_UCL1,Demand!C25&lt;_LCL1),Demand!C25,NA()),IF(OR(Demand!C25&gt;_UCL2,Demand!C25&lt;_LCL2),Demand!C25,NA())))</f>
        <v>#N/A</v>
      </c>
      <c r="C2" s="87">
        <f>IF(Split=0,IF(Demand!C25&gt;Sigma2Plus,2,IF(Demand!C25&lt;Sigma2Minus,-2,IF(Demand!C25&lt;Mean,-1,1))),IF(Split&gt;=P2,IF(Demand!C25&gt;Sigma2Plus1,2,IF(Demand!C25&lt;Sigma2Minus1,-2,IF(Demand!C25&lt;Mean1,-1,1))),IF(Demand!C25&gt;Sigma2Plus2,2,IF(Demand!C25&lt;Sigma2Minus2,-2,IF(Demand!C25&lt;Mean2,-1,1)))))</f>
        <v>1</v>
      </c>
      <c r="D2" s="87" t="e">
        <f ca="1">IF(AND(ABS(SUM(C2:C4))&gt;4,P2&lt;ROWS(ReferralsRange)),Demand!C25,NA())</f>
        <v>#REF!</v>
      </c>
      <c r="E2" s="87">
        <f>IF(Split=0,IF(Demand!C25&gt;Sigma1Plus,2,IF(Demand!C25&lt;Sigma1Minus,-2,IF(Demand!C25&lt;Mean,-1,1))),IF(Split&gt;=P2,IF(Demand!C25&gt;Sigma1Plus1,2,IF(Demand!C25&lt;Sigma1Minus1,-2,IF(Demand!C25&lt;Mean1,-1,1))),IF(Demand!C25&gt;Sigma1Plus2,2,IF(Demand!C25&lt;Sigma1Minus2,-2,IF(Demand!C25&lt;Mean,-1,1)))))</f>
        <v>1</v>
      </c>
      <c r="F2" s="87" t="e">
        <f ca="1">IF(AND(ABS(SUM(E2:E6))&gt;8,P2&lt;ROWS(ReferralsRange)),Demand!C25,NA())</f>
        <v>#REF!</v>
      </c>
      <c r="G2" s="87">
        <f>IF(Split=0,IF(Demand!C25&gt;Mean,1,IF(Demand!C25&lt;Mean,-1,0)),IF(Split&gt;=P2,IF(Demand!C25&gt;Mean1,1,IF(Demand!C25&lt;Mean1,-1,0)),IF(Demand!C25&gt;Mean2,1,IF(Demand!C25&lt;Mean2,-1,0))))</f>
        <v>0</v>
      </c>
      <c r="H2" s="87" t="e">
        <f ca="1">IF(AND(ABS(G10)=8,P2&lt;ROWS(ReferralsRange)),Demand!C25,NA())</f>
        <v>#REF!</v>
      </c>
      <c r="I2" s="87">
        <f t="array" ref="I2:I53">IF(Split=0,UCL,IF(Split&gt;=P2:P53,_UCL1,_UCL2))</f>
        <v>0</v>
      </c>
      <c r="J2" s="87">
        <f t="array" ref="J2:J53">IF(Split=0,Sigma2Plus,IF(Split&gt;=P2:P53,Sigma2Plus1,Sigma2Plus2))</f>
        <v>0</v>
      </c>
      <c r="K2" s="87">
        <f t="array" ref="K2:K53">IF(Split=0,Sigma1Plus,IF(Split&gt;=P2:P53,Sigma1Plus1,Sigma1Plus2))</f>
        <v>0</v>
      </c>
      <c r="L2" s="87">
        <f t="array" ref="L2:L53">IF(Split=0,Mean,IF(Split&gt;=P2:P53,Mean1,Mean2))</f>
        <v>0</v>
      </c>
      <c r="M2" s="87">
        <f t="array" ref="M2:M53">IF(Split=0,Sigma1Minus,IF(Split&gt;=P2:P53,Sigma1Minus1,Sigma1Minus2))</f>
        <v>0</v>
      </c>
      <c r="N2" s="87">
        <f t="array" ref="N2:N53">IF(Split=0,Sigma2Minus,IF(Split&gt;=P2:P53,Sigma2Minus1,Sigma2Minus2))</f>
        <v>0</v>
      </c>
      <c r="O2" s="87">
        <f t="array" ref="O2:O53">IF(Split=0,LCL,IF(Split&gt;=P2:P53,_LCL1,_LCL2))</f>
        <v>0</v>
      </c>
      <c r="P2" s="87">
        <f t="array" aca="1" ref="P2:P53" ca="1">ROW(INDIRECT("1:52"))</f>
        <v>1</v>
      </c>
      <c r="Q2" s="281" t="str">
        <f>"SPC - "&amp;ModelName</f>
        <v>SPC - The NHS IMAS IST Cancer First Outpatients Demand &amp; Capacity Model</v>
      </c>
      <c r="R2" s="282"/>
      <c r="S2" s="282"/>
      <c r="T2" s="282"/>
      <c r="U2" s="282"/>
      <c r="V2" s="282"/>
      <c r="W2" s="282"/>
      <c r="X2" s="282"/>
      <c r="Y2" s="282"/>
      <c r="Z2" s="282"/>
      <c r="AA2" s="282"/>
      <c r="AB2" s="282"/>
      <c r="AC2" s="282"/>
      <c r="AD2" s="282"/>
      <c r="AE2" s="283"/>
      <c r="AH2" s="84" t="s">
        <v>639</v>
      </c>
    </row>
    <row r="3" spans="1:34" ht="23.25" customHeight="1" x14ac:dyDescent="0.25">
      <c r="A3" s="87">
        <f t="array" ref="A3:A53">ABS(Demand!C26:C76-Demand!C25:C75)</f>
        <v>0</v>
      </c>
      <c r="B3" s="87" t="e">
        <f>IF(Split=0,IF(OR(Demand!C26&gt;UCL,Demand!C26&lt;LCL),Demand!C26,NA()),IF(Split&gt;=P3,IF(OR(Demand!C26&gt;_UCL1,Demand!C26&lt;_LCL1),Demand!C26,NA()),IF(OR(Demand!C26&gt;_UCL2,Demand!C26&lt;_LCL2),Demand!C26,NA())))</f>
        <v>#N/A</v>
      </c>
      <c r="C3" s="87">
        <f>IF(Split=0,IF(Demand!C26&gt;Sigma2Plus,2,IF(Demand!C26&lt;Sigma2Minus,-2,IF(Demand!C26&lt;Mean,-1,1))),IF(Split&gt;=P3,IF(Demand!C26&gt;Sigma2Plus1,2,IF(Demand!C26&lt;Sigma2Minus1,-2,IF(Demand!C26&lt;Mean1,-1,1))),IF(Demand!C26&gt;Sigma2Plus2,2,IF(Demand!C26&lt;Sigma2Minus2,-2,IF(Demand!C26&lt;Mean2,-1,1)))))</f>
        <v>1</v>
      </c>
      <c r="D3" s="87" t="e">
        <f ca="1">IF(AND(ABS(SUM(C3:C5))&gt;4,P3&lt;ROWS(ReferralsRange)),Demand!C26,NA())</f>
        <v>#REF!</v>
      </c>
      <c r="E3" s="87">
        <f>IF(Split=0,IF(Demand!C26&gt;Sigma1Plus,2,IF(Demand!C26&lt;Sigma1Minus,-2,IF(Demand!C26&lt;Mean,-1,1))),IF(Split&gt;=P3,IF(Demand!C26&gt;Sigma1Plus1,2,IF(Demand!C26&lt;Sigma1Minus1,-2,IF(Demand!C26&lt;Mean1,-1,1))),IF(Demand!C26&gt;Sigma1Plus2,2,IF(Demand!C26&lt;Sigma1Minus2,-2,IF(Demand!C26&lt;Mean,-1,1)))))</f>
        <v>1</v>
      </c>
      <c r="F3" s="87" t="e">
        <f ca="1">IF(AND(ABS(SUM(E3:E7))&gt;8,P3&lt;ROWS(ReferralsRange)),Demand!C26,NA())</f>
        <v>#REF!</v>
      </c>
      <c r="G3" s="87">
        <f>IF(Split=0,IF(Demand!C26&gt;Mean,IF(G2&gt;=0,G2+1,0),IF(Demand!C26&lt;Mean,IF(G2&lt;=0,G2-1,0),0)),IF(Split&gt;=P2,IF(Demand!C26&gt;Mean1,IF(G2&gt;=0,G2+1,0),IF(Demand!C26&lt;Mean1,IF(G2&lt;=0,G2-1,0),0)),IF(Demand!C26&gt;Mean2,IF(G2&gt;=0,G2+1,0),IF(Demand!C26&lt;Mean2,IF(G2&lt;=0,G2-1,0),0))))</f>
        <v>0</v>
      </c>
      <c r="H3" s="87" t="e">
        <f ca="1">IF(AND(ABS(G11)=8,P3&lt;ROWS(ReferralsRange)),Demand!C26,NA())</f>
        <v>#REF!</v>
      </c>
      <c r="I3" s="87">
        <v>0</v>
      </c>
      <c r="J3" s="87">
        <v>0</v>
      </c>
      <c r="K3" s="87">
        <v>0</v>
      </c>
      <c r="L3" s="236">
        <v>0</v>
      </c>
      <c r="M3" s="87">
        <v>0</v>
      </c>
      <c r="N3" s="87">
        <v>0</v>
      </c>
      <c r="O3" s="87">
        <v>0</v>
      </c>
      <c r="P3" s="95">
        <f ca="1"/>
        <v>2</v>
      </c>
      <c r="Q3" s="299" t="s">
        <v>326</v>
      </c>
      <c r="R3" s="299"/>
      <c r="S3" s="299"/>
      <c r="T3" s="299"/>
      <c r="U3" s="299"/>
      <c r="V3" s="299"/>
      <c r="W3" s="299"/>
      <c r="X3" s="299"/>
      <c r="Y3" s="299"/>
      <c r="Z3" s="299"/>
      <c r="AA3" s="299"/>
      <c r="AB3" s="299"/>
      <c r="AC3" s="299"/>
      <c r="AD3" s="299"/>
      <c r="AE3" s="304"/>
    </row>
    <row r="4" spans="1:34" x14ac:dyDescent="0.25">
      <c r="A4" s="87">
        <v>0</v>
      </c>
      <c r="B4" s="87" t="e">
        <f>IF(Split=0,IF(OR(Demand!C27&gt;UCL,Demand!C27&lt;LCL),Demand!C27,NA()),IF(Split&gt;=P4,IF(OR(Demand!C27&gt;_UCL1,Demand!C27&lt;_LCL1),Demand!C27,NA()),IF(OR(Demand!C27&gt;_UCL2,Demand!C27&lt;_LCL2),Demand!C27,NA())))</f>
        <v>#N/A</v>
      </c>
      <c r="C4" s="87">
        <f>IF(Split=0,IF(Demand!C27&gt;Sigma2Plus,2,IF(Demand!C27&lt;Sigma2Minus,-2,IF(Demand!C27&lt;Mean,-1,1))),IF(Split&gt;=P4,IF(Demand!C27&gt;Sigma2Plus1,2,IF(Demand!C27&lt;Sigma2Minus1,-2,IF(Demand!C27&lt;Mean1,-1,1))),IF(Demand!C27&gt;Sigma2Plus2,2,IF(Demand!C27&lt;Sigma2Minus2,-2,IF(Demand!C27&lt;Mean2,-1,1)))))</f>
        <v>1</v>
      </c>
      <c r="D4" s="87" t="e">
        <f ca="1">IF(AND(ABS(SUM(C4:C6))&gt;4,P4&lt;ROWS(ReferralsRange)),Demand!C27,NA())</f>
        <v>#REF!</v>
      </c>
      <c r="E4" s="87">
        <f>IF(Split=0,IF(Demand!C27&gt;Sigma1Plus,2,IF(Demand!C27&lt;Sigma1Minus,-2,IF(Demand!C27&lt;Mean,-1,1))),IF(Split&gt;=P4,IF(Demand!C27&gt;Sigma1Plus1,2,IF(Demand!C27&lt;Sigma1Minus1,-2,IF(Demand!C27&lt;Mean1,-1,1))),IF(Demand!C27&gt;Sigma1Plus2,2,IF(Demand!C27&lt;Sigma1Minus2,-2,IF(Demand!C27&lt;Mean,-1,1)))))</f>
        <v>1</v>
      </c>
      <c r="F4" s="87" t="e">
        <f ca="1">IF(AND(ABS(SUM(E4:E8))&gt;8,P4&lt;ROWS(ReferralsRange)),Demand!C27,NA())</f>
        <v>#REF!</v>
      </c>
      <c r="G4" s="87">
        <f>IF(Split=0,IF(Demand!C27&gt;Mean,IF(G3&gt;=0,G3+1,0),IF(Demand!C27&lt;Mean,IF(G3&lt;=0,G3-1,0),0)),IF(Split&gt;=P3,IF(Demand!C27&gt;Mean1,IF(G3&gt;=0,G3+1,0),IF(Demand!C27&lt;Mean1,IF(G3&lt;=0,G3-1,0),0)),IF(Demand!C27&gt;Mean2,IF(G3&gt;=0,G3+1,0),IF(Demand!C27&lt;Mean2,IF(G3&lt;=0,G3-1,0),0))))</f>
        <v>0</v>
      </c>
      <c r="H4" s="87" t="e">
        <f ca="1">IF(AND(ABS(G12)=8,P4&lt;ROWS(ReferralsRange)),Demand!C27,NA())</f>
        <v>#REF!</v>
      </c>
      <c r="I4" s="87">
        <v>0</v>
      </c>
      <c r="J4" s="87">
        <v>0</v>
      </c>
      <c r="K4" s="87">
        <v>0</v>
      </c>
      <c r="L4" s="87">
        <v>0</v>
      </c>
      <c r="M4" s="87">
        <v>0</v>
      </c>
      <c r="N4" s="87">
        <v>0</v>
      </c>
      <c r="O4" s="87">
        <v>0</v>
      </c>
      <c r="P4" s="95">
        <f ca="1"/>
        <v>3</v>
      </c>
      <c r="AE4" s="90"/>
    </row>
    <row r="5" spans="1:34" x14ac:dyDescent="0.25">
      <c r="A5" s="87">
        <v>0</v>
      </c>
      <c r="B5" s="87" t="e">
        <f>IF(Split=0,IF(OR(Demand!C28&gt;UCL,Demand!C28&lt;LCL),Demand!C28,NA()),IF(Split&gt;=P5,IF(OR(Demand!C28&gt;_UCL1,Demand!C28&lt;_LCL1),Demand!C28,NA()),IF(OR(Demand!C28&gt;_UCL2,Demand!C28&lt;_LCL2),Demand!C28,NA())))</f>
        <v>#N/A</v>
      </c>
      <c r="C5" s="87">
        <f>IF(Split=0,IF(Demand!C28&gt;Sigma2Plus,2,IF(Demand!C28&lt;Sigma2Minus,-2,IF(Demand!C28&lt;Mean,-1,1))),IF(Split&gt;=P5,IF(Demand!C28&gt;Sigma2Plus1,2,IF(Demand!C28&lt;Sigma2Minus1,-2,IF(Demand!C28&lt;Mean1,-1,1))),IF(Demand!C28&gt;Sigma2Plus2,2,IF(Demand!C28&lt;Sigma2Minus2,-2,IF(Demand!C28&lt;Mean2,-1,1)))))</f>
        <v>1</v>
      </c>
      <c r="D5" s="87" t="e">
        <f ca="1">IF(AND(ABS(SUM(C5:C7))&gt;4,P5&lt;ROWS(ReferralsRange)),Demand!C28,NA())</f>
        <v>#REF!</v>
      </c>
      <c r="E5" s="87">
        <f>IF(Split=0,IF(Demand!C28&gt;Sigma1Plus,2,IF(Demand!C28&lt;Sigma1Minus,-2,IF(Demand!C28&lt;Mean,-1,1))),IF(Split&gt;=P5,IF(Demand!C28&gt;Sigma1Plus1,2,IF(Demand!C28&lt;Sigma1Minus1,-2,IF(Demand!C28&lt;Mean1,-1,1))),IF(Demand!C28&gt;Sigma1Plus2,2,IF(Demand!C28&lt;Sigma1Minus2,-2,IF(Demand!C28&lt;Mean,-1,1)))))</f>
        <v>1</v>
      </c>
      <c r="F5" s="87" t="e">
        <f ca="1">IF(AND(ABS(SUM(E5:E9))&gt;8,P5&lt;ROWS(ReferralsRange)),Demand!C28,NA())</f>
        <v>#REF!</v>
      </c>
      <c r="G5" s="87">
        <f>IF(Split=0,IF(Demand!C28&gt;Mean,IF(G4&gt;=0,G4+1,0),IF(Demand!C28&lt;Mean,IF(G4&lt;=0,G4-1,0),0)),IF(Split&gt;=P4,IF(Demand!C28&gt;Mean1,IF(G4&gt;=0,G4+1,0),IF(Demand!C28&lt;Mean1,IF(G4&lt;=0,G4-1,0),0)),IF(Demand!C28&gt;Mean2,IF(G4&gt;=0,G4+1,0),IF(Demand!C28&lt;Mean2,IF(G4&lt;=0,G4-1,0),0))))</f>
        <v>0</v>
      </c>
      <c r="H5" s="87" t="e">
        <f ca="1">IF(AND(ABS(G13)=8,P5&lt;ROWS(ReferralsRange)),Demand!C28,NA())</f>
        <v>#REF!</v>
      </c>
      <c r="I5" s="87">
        <v>0</v>
      </c>
      <c r="J5" s="87">
        <v>0</v>
      </c>
      <c r="K5" s="87">
        <v>0</v>
      </c>
      <c r="L5" s="87">
        <v>0</v>
      </c>
      <c r="M5" s="87">
        <v>0</v>
      </c>
      <c r="N5" s="87">
        <v>0</v>
      </c>
      <c r="O5" s="87">
        <v>0</v>
      </c>
      <c r="P5" s="95">
        <f ca="1"/>
        <v>4</v>
      </c>
      <c r="AE5" s="90"/>
    </row>
    <row r="6" spans="1:34" x14ac:dyDescent="0.25">
      <c r="A6" s="87">
        <v>0</v>
      </c>
      <c r="B6" s="87" t="e">
        <f>IF(Split=0,IF(OR(Demand!C29&gt;UCL,Demand!C29&lt;LCL),Demand!C29,NA()),IF(Split&gt;=P6,IF(OR(Demand!C29&gt;_UCL1,Demand!C29&lt;_LCL1),Demand!C29,NA()),IF(OR(Demand!C29&gt;_UCL2,Demand!C29&lt;_LCL2),Demand!C29,NA())))</f>
        <v>#N/A</v>
      </c>
      <c r="C6" s="87">
        <f>IF(Split=0,IF(Demand!C29&gt;Sigma2Plus,2,IF(Demand!C29&lt;Sigma2Minus,-2,IF(Demand!C29&lt;Mean,-1,1))),IF(Split&gt;=P6,IF(Demand!C29&gt;Sigma2Plus1,2,IF(Demand!C29&lt;Sigma2Minus1,-2,IF(Demand!C29&lt;Mean1,-1,1))),IF(Demand!C29&gt;Sigma2Plus2,2,IF(Demand!C29&lt;Sigma2Minus2,-2,IF(Demand!C29&lt;Mean2,-1,1)))))</f>
        <v>1</v>
      </c>
      <c r="D6" s="87" t="e">
        <f ca="1">IF(AND(ABS(SUM(C6:C8))&gt;4,P6&lt;ROWS(ReferralsRange)),Demand!C29,NA())</f>
        <v>#REF!</v>
      </c>
      <c r="E6" s="87">
        <f>IF(Split=0,IF(Demand!C29&gt;Sigma1Plus,2,IF(Demand!C29&lt;Sigma1Minus,-2,IF(Demand!C29&lt;Mean,-1,1))),IF(Split&gt;=P6,IF(Demand!C29&gt;Sigma1Plus1,2,IF(Demand!C29&lt;Sigma1Minus1,-2,IF(Demand!C29&lt;Mean1,-1,1))),IF(Demand!C29&gt;Sigma1Plus2,2,IF(Demand!C29&lt;Sigma1Minus2,-2,IF(Demand!C29&lt;Mean,-1,1)))))</f>
        <v>1</v>
      </c>
      <c r="F6" s="87" t="e">
        <f ca="1">IF(AND(ABS(SUM(E6:E10))&gt;8,P6&lt;ROWS(ReferralsRange)),Demand!C29,NA())</f>
        <v>#REF!</v>
      </c>
      <c r="G6" s="87">
        <f>IF(Split=0,IF(Demand!C29&gt;Mean,IF(G5&gt;=0,G5+1,0),IF(Demand!C29&lt;Mean,IF(G5&lt;=0,G5-1,0),0)),IF(Split&gt;=P5,IF(Demand!C29&gt;Mean1,IF(G5&gt;=0,G5+1,0),IF(Demand!C29&lt;Mean1,IF(G5&lt;=0,G5-1,0),0)),IF(Demand!C29&gt;Mean2,IF(G5&gt;=0,G5+1,0),IF(Demand!C29&lt;Mean2,IF(G5&lt;=0,G5-1,0),0))))</f>
        <v>0</v>
      </c>
      <c r="H6" s="87" t="e">
        <f ca="1">IF(AND(ABS(G14)=8,P6&lt;ROWS(ReferralsRange)),Demand!C29,NA())</f>
        <v>#REF!</v>
      </c>
      <c r="I6" s="87">
        <v>0</v>
      </c>
      <c r="J6" s="87">
        <v>0</v>
      </c>
      <c r="K6" s="87">
        <v>0</v>
      </c>
      <c r="L6" s="87">
        <v>0</v>
      </c>
      <c r="M6" s="87">
        <v>0</v>
      </c>
      <c r="N6" s="87">
        <v>0</v>
      </c>
      <c r="O6" s="87">
        <v>0</v>
      </c>
      <c r="P6" s="95">
        <f ca="1"/>
        <v>5</v>
      </c>
      <c r="AE6" s="90"/>
    </row>
    <row r="7" spans="1:34" x14ac:dyDescent="0.25">
      <c r="A7" s="87">
        <v>0</v>
      </c>
      <c r="B7" s="87" t="e">
        <f>IF(Split=0,IF(OR(Demand!C30&gt;UCL,Demand!C30&lt;LCL),Demand!C30,NA()),IF(Split&gt;=P7,IF(OR(Demand!C30&gt;_UCL1,Demand!C30&lt;_LCL1),Demand!C30,NA()),IF(OR(Demand!C30&gt;_UCL2,Demand!C30&lt;_LCL2),Demand!C30,NA())))</f>
        <v>#N/A</v>
      </c>
      <c r="C7" s="87">
        <f>IF(Split=0,IF(Demand!C30&gt;Sigma2Plus,2,IF(Demand!C30&lt;Sigma2Minus,-2,IF(Demand!C30&lt;Mean,-1,1))),IF(Split&gt;=P7,IF(Demand!C30&gt;Sigma2Plus1,2,IF(Demand!C30&lt;Sigma2Minus1,-2,IF(Demand!C30&lt;Mean1,-1,1))),IF(Demand!C30&gt;Sigma2Plus2,2,IF(Demand!C30&lt;Sigma2Minus2,-2,IF(Demand!C30&lt;Mean2,-1,1)))))</f>
        <v>1</v>
      </c>
      <c r="D7" s="87" t="e">
        <f ca="1">IF(AND(ABS(SUM(C7:C9))&gt;4,P7&lt;ROWS(ReferralsRange)),Demand!C30,NA())</f>
        <v>#REF!</v>
      </c>
      <c r="E7" s="87">
        <f>IF(Split=0,IF(Demand!C30&gt;Sigma1Plus,2,IF(Demand!C30&lt;Sigma1Minus,-2,IF(Demand!C30&lt;Mean,-1,1))),IF(Split&gt;=P7,IF(Demand!C30&gt;Sigma1Plus1,2,IF(Demand!C30&lt;Sigma1Minus1,-2,IF(Demand!C30&lt;Mean1,-1,1))),IF(Demand!C30&gt;Sigma1Plus2,2,IF(Demand!C30&lt;Sigma1Minus2,-2,IF(Demand!C30&lt;Mean,-1,1)))))</f>
        <v>1</v>
      </c>
      <c r="F7" s="87" t="e">
        <f ca="1">IF(AND(ABS(SUM(E7:E11))&gt;8,P7&lt;ROWS(ReferralsRange)),Demand!C30,NA())</f>
        <v>#REF!</v>
      </c>
      <c r="G7" s="87">
        <f>IF(Split=0,IF(Demand!C30&gt;Mean,IF(G6&gt;=0,G6+1,0),IF(Demand!C30&lt;Mean,IF(G6&lt;=0,G6-1,0),0)),IF(Split&gt;=P6,IF(Demand!C30&gt;Mean1,IF(G6&gt;=0,G6+1,0),IF(Demand!C30&lt;Mean1,IF(G6&lt;=0,G6-1,0),0)),IF(Demand!C30&gt;Mean2,IF(G6&gt;=0,G6+1,0),IF(Demand!C30&lt;Mean2,IF(G6&lt;=0,G6-1,0),0))))</f>
        <v>0</v>
      </c>
      <c r="H7" s="87" t="e">
        <f ca="1">IF(AND(ABS(G15)=8,P7&lt;ROWS(ReferralsRange)),Demand!C30,NA())</f>
        <v>#REF!</v>
      </c>
      <c r="I7" s="87">
        <v>0</v>
      </c>
      <c r="J7" s="87">
        <v>0</v>
      </c>
      <c r="K7" s="87">
        <v>0</v>
      </c>
      <c r="L7" s="87">
        <v>0</v>
      </c>
      <c r="M7" s="87">
        <v>0</v>
      </c>
      <c r="N7" s="87">
        <v>0</v>
      </c>
      <c r="O7" s="87">
        <v>0</v>
      </c>
      <c r="P7" s="95">
        <f ca="1"/>
        <v>6</v>
      </c>
      <c r="AE7" s="90"/>
    </row>
    <row r="8" spans="1:34" x14ac:dyDescent="0.25">
      <c r="A8" s="87">
        <v>0</v>
      </c>
      <c r="B8" s="87" t="e">
        <f>IF(Split=0,IF(OR(Demand!C31&gt;UCL,Demand!C31&lt;LCL),Demand!C31,NA()),IF(Split&gt;=P8,IF(OR(Demand!C31&gt;_UCL1,Demand!C31&lt;_LCL1),Demand!C31,NA()),IF(OR(Demand!C31&gt;_UCL2,Demand!C31&lt;_LCL2),Demand!C31,NA())))</f>
        <v>#N/A</v>
      </c>
      <c r="C8" s="87">
        <f>IF(Split=0,IF(Demand!C31&gt;Sigma2Plus,2,IF(Demand!C31&lt;Sigma2Minus,-2,IF(Demand!C31&lt;Mean,-1,1))),IF(Split&gt;=P8,IF(Demand!C31&gt;Sigma2Plus1,2,IF(Demand!C31&lt;Sigma2Minus1,-2,IF(Demand!C31&lt;Mean1,-1,1))),IF(Demand!C31&gt;Sigma2Plus2,2,IF(Demand!C31&lt;Sigma2Minus2,-2,IF(Demand!C31&lt;Mean2,-1,1)))))</f>
        <v>1</v>
      </c>
      <c r="D8" s="87" t="e">
        <f ca="1">IF(AND(ABS(SUM(C8:C10))&gt;4,P8&lt;ROWS(ReferralsRange)),Demand!C31,NA())</f>
        <v>#REF!</v>
      </c>
      <c r="E8" s="87">
        <f>IF(Split=0,IF(Demand!C31&gt;Sigma1Plus,2,IF(Demand!C31&lt;Sigma1Minus,-2,IF(Demand!C31&lt;Mean,-1,1))),IF(Split&gt;=P8,IF(Demand!C31&gt;Sigma1Plus1,2,IF(Demand!C31&lt;Sigma1Minus1,-2,IF(Demand!C31&lt;Mean1,-1,1))),IF(Demand!C31&gt;Sigma1Plus2,2,IF(Demand!C31&lt;Sigma1Minus2,-2,IF(Demand!C31&lt;Mean,-1,1)))))</f>
        <v>1</v>
      </c>
      <c r="F8" s="87" t="e">
        <f ca="1">IF(AND(ABS(SUM(E8:E12))&gt;8,P8&lt;ROWS(ReferralsRange)),Demand!C31,NA())</f>
        <v>#REF!</v>
      </c>
      <c r="G8" s="87">
        <f>IF(Split=0,IF(Demand!C31&gt;Mean,IF(G7&gt;=0,G7+1,0),IF(Demand!C31&lt;Mean,IF(G7&lt;=0,G7-1,0),0)),IF(Split&gt;=P7,IF(Demand!C31&gt;Mean1,IF(G7&gt;=0,G7+1,0),IF(Demand!C31&lt;Mean1,IF(G7&lt;=0,G7-1,0),0)),IF(Demand!C31&gt;Mean2,IF(G7&gt;=0,G7+1,0),IF(Demand!C31&lt;Mean2,IF(G7&lt;=0,G7-1,0),0))))</f>
        <v>0</v>
      </c>
      <c r="H8" s="87" t="e">
        <f ca="1">IF(AND(ABS(G16)=8,P8&lt;ROWS(ReferralsRange)),Demand!C31,NA())</f>
        <v>#REF!</v>
      </c>
      <c r="I8" s="87">
        <v>0</v>
      </c>
      <c r="J8" s="87">
        <v>0</v>
      </c>
      <c r="K8" s="87">
        <v>0</v>
      </c>
      <c r="L8" s="87">
        <v>0</v>
      </c>
      <c r="M8" s="87">
        <v>0</v>
      </c>
      <c r="N8" s="87">
        <v>0</v>
      </c>
      <c r="O8" s="87">
        <v>0</v>
      </c>
      <c r="P8" s="95">
        <f ca="1"/>
        <v>7</v>
      </c>
      <c r="AE8" s="90"/>
    </row>
    <row r="9" spans="1:34" x14ac:dyDescent="0.25">
      <c r="A9" s="87">
        <v>0</v>
      </c>
      <c r="B9" s="87" t="e">
        <f>IF(Split=0,IF(OR(Demand!C32&gt;UCL,Demand!C32&lt;LCL),Demand!C32,NA()),IF(Split&gt;=P9,IF(OR(Demand!C32&gt;_UCL1,Demand!C32&lt;_LCL1),Demand!C32,NA()),IF(OR(Demand!C32&gt;_UCL2,Demand!C32&lt;_LCL2),Demand!C32,NA())))</f>
        <v>#N/A</v>
      </c>
      <c r="C9" s="87">
        <f>IF(Split=0,IF(Demand!C32&gt;Sigma2Plus,2,IF(Demand!C32&lt;Sigma2Minus,-2,IF(Demand!C32&lt;Mean,-1,1))),IF(Split&gt;=P9,IF(Demand!C32&gt;Sigma2Plus1,2,IF(Demand!C32&lt;Sigma2Minus1,-2,IF(Demand!C32&lt;Mean1,-1,1))),IF(Demand!C32&gt;Sigma2Plus2,2,IF(Demand!C32&lt;Sigma2Minus2,-2,IF(Demand!C32&lt;Mean2,-1,1)))))</f>
        <v>1</v>
      </c>
      <c r="D9" s="87" t="e">
        <f ca="1">IF(AND(ABS(SUM(C9:C11))&gt;4,P9&lt;ROWS(ReferralsRange)),Demand!C32,NA())</f>
        <v>#REF!</v>
      </c>
      <c r="E9" s="87">
        <f>IF(Split=0,IF(Demand!C32&gt;Sigma1Plus,2,IF(Demand!C32&lt;Sigma1Minus,-2,IF(Demand!C32&lt;Mean,-1,1))),IF(Split&gt;=P9,IF(Demand!C32&gt;Sigma1Plus1,2,IF(Demand!C32&lt;Sigma1Minus1,-2,IF(Demand!C32&lt;Mean1,-1,1))),IF(Demand!C32&gt;Sigma1Plus2,2,IF(Demand!C32&lt;Sigma1Minus2,-2,IF(Demand!C32&lt;Mean,-1,1)))))</f>
        <v>1</v>
      </c>
      <c r="F9" s="87" t="e">
        <f ca="1">IF(AND(ABS(SUM(E9:E13))&gt;8,P9&lt;ROWS(ReferralsRange)),Demand!C32,NA())</f>
        <v>#REF!</v>
      </c>
      <c r="G9" s="87">
        <f>IF(Split=0,IF(Demand!C32&gt;Mean,IF(G8&gt;=0,G8+1,0),IF(Demand!C32&lt;Mean,IF(G8&lt;=0,G8-1,0),0)),IF(Split&gt;=P8,IF(Demand!C32&gt;Mean1,IF(G8&gt;=0,G8+1,0),IF(Demand!C32&lt;Mean1,IF(G8&lt;=0,G8-1,0),0)),IF(Demand!C32&gt;Mean2,IF(G8&gt;=0,G8+1,0),IF(Demand!C32&lt;Mean2,IF(G8&lt;=0,G8-1,0),0))))</f>
        <v>0</v>
      </c>
      <c r="H9" s="87" t="e">
        <f ca="1">IF(AND(ABS(G17)=8,P9&lt;ROWS(ReferralsRange)),Demand!C32,NA())</f>
        <v>#REF!</v>
      </c>
      <c r="I9" s="87">
        <v>0</v>
      </c>
      <c r="J9" s="87">
        <v>0</v>
      </c>
      <c r="K9" s="87">
        <v>0</v>
      </c>
      <c r="L9" s="87">
        <v>0</v>
      </c>
      <c r="M9" s="87">
        <v>0</v>
      </c>
      <c r="N9" s="87">
        <v>0</v>
      </c>
      <c r="O9" s="87">
        <v>0</v>
      </c>
      <c r="P9" s="95">
        <f ca="1"/>
        <v>8</v>
      </c>
      <c r="AE9" s="90"/>
    </row>
    <row r="10" spans="1:34" x14ac:dyDescent="0.25">
      <c r="A10" s="87">
        <v>0</v>
      </c>
      <c r="B10" s="87" t="e">
        <f>IF(Split=0,IF(OR(Demand!C33&gt;UCL,Demand!C33&lt;LCL),Demand!C33,NA()),IF(Split&gt;=P10,IF(OR(Demand!C33&gt;_UCL1,Demand!C33&lt;_LCL1),Demand!C33,NA()),IF(OR(Demand!C33&gt;_UCL2,Demand!C33&lt;_LCL2),Demand!C33,NA())))</f>
        <v>#N/A</v>
      </c>
      <c r="C10" s="87">
        <f>IF(Split=0,IF(Demand!C33&gt;Sigma2Plus,2,IF(Demand!C33&lt;Sigma2Minus,-2,IF(Demand!C33&lt;Mean,-1,1))),IF(Split&gt;=P10,IF(Demand!C33&gt;Sigma2Plus1,2,IF(Demand!C33&lt;Sigma2Minus1,-2,IF(Demand!C33&lt;Mean1,-1,1))),IF(Demand!C33&gt;Sigma2Plus2,2,IF(Demand!C33&lt;Sigma2Minus2,-2,IF(Demand!C33&lt;Mean2,-1,1)))))</f>
        <v>1</v>
      </c>
      <c r="D10" s="87" t="e">
        <f ca="1">IF(AND(ABS(SUM(C10:C12))&gt;4,P10&lt;ROWS(ReferralsRange)),Demand!C33,NA())</f>
        <v>#REF!</v>
      </c>
      <c r="E10" s="87">
        <f>IF(Split=0,IF(Demand!C33&gt;Sigma1Plus,2,IF(Demand!C33&lt;Sigma1Minus,-2,IF(Demand!C33&lt;Mean,-1,1))),IF(Split&gt;=P10,IF(Demand!C33&gt;Sigma1Plus1,2,IF(Demand!C33&lt;Sigma1Minus1,-2,IF(Demand!C33&lt;Mean1,-1,1))),IF(Demand!C33&gt;Sigma1Plus2,2,IF(Demand!C33&lt;Sigma1Minus2,-2,IF(Demand!C33&lt;Mean,-1,1)))))</f>
        <v>1</v>
      </c>
      <c r="F10" s="87" t="e">
        <f ca="1">IF(AND(ABS(SUM(E10:E14))&gt;8,P10&lt;ROWS(ReferralsRange)),Demand!C33,NA())</f>
        <v>#REF!</v>
      </c>
      <c r="G10" s="87">
        <f>IF(Split=0,IF(Demand!C33&gt;Mean,IF(G9&gt;=0,G9+1,0),IF(Demand!C33&lt;Mean,IF(G9&lt;=0,G9-1,0),0)),IF(Split&gt;=P9,IF(Demand!C33&gt;Mean1,IF(G9&gt;=0,G9+1,0),IF(Demand!C33&lt;Mean1,IF(G9&lt;=0,G9-1,0),0)),IF(Demand!C33&gt;Mean2,IF(G9&gt;=0,G9+1,0),IF(Demand!C33&lt;Mean2,IF(G9&lt;=0,G9-1,0),0))))</f>
        <v>0</v>
      </c>
      <c r="H10" s="87" t="e">
        <f ca="1">IF(AND(ABS(G18)=8,P10&lt;ROWS(ReferralsRange)),Demand!C33,NA())</f>
        <v>#REF!</v>
      </c>
      <c r="I10" s="87">
        <v>0</v>
      </c>
      <c r="J10" s="87">
        <v>0</v>
      </c>
      <c r="K10" s="87">
        <v>0</v>
      </c>
      <c r="L10" s="87">
        <v>0</v>
      </c>
      <c r="M10" s="87">
        <v>0</v>
      </c>
      <c r="N10" s="87">
        <v>0</v>
      </c>
      <c r="O10" s="87">
        <v>0</v>
      </c>
      <c r="P10" s="95">
        <f ca="1"/>
        <v>9</v>
      </c>
      <c r="AE10" s="90"/>
    </row>
    <row r="11" spans="1:34" x14ac:dyDescent="0.25">
      <c r="A11" s="87">
        <v>0</v>
      </c>
      <c r="B11" s="87" t="e">
        <f>IF(Split=0,IF(OR(Demand!C34&gt;UCL,Demand!C34&lt;LCL),Demand!C34,NA()),IF(Split&gt;=P11,IF(OR(Demand!C34&gt;_UCL1,Demand!C34&lt;_LCL1),Demand!C34,NA()),IF(OR(Demand!C34&gt;_UCL2,Demand!C34&lt;_LCL2),Demand!C34,NA())))</f>
        <v>#N/A</v>
      </c>
      <c r="C11" s="87">
        <f>IF(Split=0,IF(Demand!C34&gt;Sigma2Plus,2,IF(Demand!C34&lt;Sigma2Minus,-2,IF(Demand!C34&lt;Mean,-1,1))),IF(Split&gt;=P11,IF(Demand!C34&gt;Sigma2Plus1,2,IF(Demand!C34&lt;Sigma2Minus1,-2,IF(Demand!C34&lt;Mean1,-1,1))),IF(Demand!C34&gt;Sigma2Plus2,2,IF(Demand!C34&lt;Sigma2Minus2,-2,IF(Demand!C34&lt;Mean2,-1,1)))))</f>
        <v>1</v>
      </c>
      <c r="D11" s="87" t="e">
        <f ca="1">IF(AND(ABS(SUM(C11:C13))&gt;4,P11&lt;ROWS(ReferralsRange)),Demand!C34,NA())</f>
        <v>#REF!</v>
      </c>
      <c r="E11" s="87">
        <f>IF(Split=0,IF(Demand!C34&gt;Sigma1Plus,2,IF(Demand!C34&lt;Sigma1Minus,-2,IF(Demand!C34&lt;Mean,-1,1))),IF(Split&gt;=P11,IF(Demand!C34&gt;Sigma1Plus1,2,IF(Demand!C34&lt;Sigma1Minus1,-2,IF(Demand!C34&lt;Mean1,-1,1))),IF(Demand!C34&gt;Sigma1Plus2,2,IF(Demand!C34&lt;Sigma1Minus2,-2,IF(Demand!C34&lt;Mean,-1,1)))))</f>
        <v>1</v>
      </c>
      <c r="F11" s="87" t="e">
        <f ca="1">IF(AND(ABS(SUM(E11:E15))&gt;8,P11&lt;ROWS(ReferralsRange)),Demand!C34,NA())</f>
        <v>#REF!</v>
      </c>
      <c r="G11" s="87">
        <f>IF(Split=0,IF(Demand!C34&gt;Mean,IF(G10&gt;=0,G10+1,0),IF(Demand!C34&lt;Mean,IF(G10&lt;=0,G10-1,0),0)),IF(Split&gt;=P10,IF(Demand!C34&gt;Mean1,IF(G10&gt;=0,G10+1,0),IF(Demand!C34&lt;Mean1,IF(G10&lt;=0,G10-1,0),0)),IF(Demand!C34&gt;Mean2,IF(G10&gt;=0,G10+1,0),IF(Demand!C34&lt;Mean2,IF(G10&lt;=0,G10-1,0),0))))</f>
        <v>0</v>
      </c>
      <c r="H11" s="87" t="e">
        <f ca="1">IF(AND(ABS(G19)=8,P11&lt;ROWS(ReferralsRange)),Demand!C34,NA())</f>
        <v>#REF!</v>
      </c>
      <c r="I11" s="87">
        <v>0</v>
      </c>
      <c r="J11" s="87">
        <v>0</v>
      </c>
      <c r="K11" s="87">
        <v>0</v>
      </c>
      <c r="L11" s="87">
        <v>0</v>
      </c>
      <c r="M11" s="87">
        <v>0</v>
      </c>
      <c r="N11" s="87">
        <v>0</v>
      </c>
      <c r="O11" s="87">
        <v>0</v>
      </c>
      <c r="P11" s="95">
        <f ca="1"/>
        <v>10</v>
      </c>
      <c r="AE11" s="90"/>
    </row>
    <row r="12" spans="1:34" x14ac:dyDescent="0.25">
      <c r="A12" s="87">
        <v>0</v>
      </c>
      <c r="B12" s="87" t="e">
        <f>IF(Split=0,IF(OR(Demand!C35&gt;UCL,Demand!C35&lt;LCL),Demand!C35,NA()),IF(Split&gt;=P12,IF(OR(Demand!C35&gt;_UCL1,Demand!C35&lt;_LCL1),Demand!C35,NA()),IF(OR(Demand!C35&gt;_UCL2,Demand!C35&lt;_LCL2),Demand!C35,NA())))</f>
        <v>#N/A</v>
      </c>
      <c r="C12" s="87">
        <f>IF(Split=0,IF(Demand!C35&gt;Sigma2Plus,2,IF(Demand!C35&lt;Sigma2Minus,-2,IF(Demand!C35&lt;Mean,-1,1))),IF(Split&gt;=P12,IF(Demand!C35&gt;Sigma2Plus1,2,IF(Demand!C35&lt;Sigma2Minus1,-2,IF(Demand!C35&lt;Mean1,-1,1))),IF(Demand!C35&gt;Sigma2Plus2,2,IF(Demand!C35&lt;Sigma2Minus2,-2,IF(Demand!C35&lt;Mean2,-1,1)))))</f>
        <v>1</v>
      </c>
      <c r="D12" s="87" t="e">
        <f ca="1">IF(AND(ABS(SUM(C12:C14))&gt;4,P12&lt;ROWS(ReferralsRange)),Demand!C35,NA())</f>
        <v>#REF!</v>
      </c>
      <c r="E12" s="87">
        <f>IF(Split=0,IF(Demand!C35&gt;Sigma1Plus,2,IF(Demand!C35&lt;Sigma1Minus,-2,IF(Demand!C35&lt;Mean,-1,1))),IF(Split&gt;=P12,IF(Demand!C35&gt;Sigma1Plus1,2,IF(Demand!C35&lt;Sigma1Minus1,-2,IF(Demand!C35&lt;Mean1,-1,1))),IF(Demand!C35&gt;Sigma1Plus2,2,IF(Demand!C35&lt;Sigma1Minus2,-2,IF(Demand!C35&lt;Mean,-1,1)))))</f>
        <v>1</v>
      </c>
      <c r="F12" s="87" t="e">
        <f ca="1">IF(AND(ABS(SUM(E12:E16))&gt;8,P12&lt;ROWS(ReferralsRange)),Demand!C35,NA())</f>
        <v>#REF!</v>
      </c>
      <c r="G12" s="87">
        <f>IF(Split=0,IF(Demand!C35&gt;Mean,IF(G11&gt;=0,G11+1,0),IF(Demand!C35&lt;Mean,IF(G11&lt;=0,G11-1,0),0)),IF(Split&gt;=P11,IF(Demand!C35&gt;Mean1,IF(G11&gt;=0,G11+1,0),IF(Demand!C35&lt;Mean1,IF(G11&lt;=0,G11-1,0),0)),IF(Demand!C35&gt;Mean2,IF(G11&gt;=0,G11+1,0),IF(Demand!C35&lt;Mean2,IF(G11&lt;=0,G11-1,0),0))))</f>
        <v>0</v>
      </c>
      <c r="H12" s="87" t="e">
        <f ca="1">IF(AND(ABS(G20)=8,P12&lt;ROWS(ReferralsRange)),Demand!C35,NA())</f>
        <v>#REF!</v>
      </c>
      <c r="I12" s="87">
        <v>0</v>
      </c>
      <c r="J12" s="87">
        <v>0</v>
      </c>
      <c r="K12" s="87">
        <v>0</v>
      </c>
      <c r="L12" s="87">
        <v>0</v>
      </c>
      <c r="M12" s="87">
        <v>0</v>
      </c>
      <c r="N12" s="87">
        <v>0</v>
      </c>
      <c r="O12" s="87">
        <v>0</v>
      </c>
      <c r="P12" s="95">
        <f ca="1"/>
        <v>11</v>
      </c>
      <c r="AE12" s="90"/>
    </row>
    <row r="13" spans="1:34" x14ac:dyDescent="0.25">
      <c r="A13" s="87">
        <v>0</v>
      </c>
      <c r="B13" s="87" t="e">
        <f>IF(Split=0,IF(OR(Demand!C36&gt;UCL,Demand!C36&lt;LCL),Demand!C36,NA()),IF(Split&gt;=P13,IF(OR(Demand!C36&gt;_UCL1,Demand!C36&lt;_LCL1),Demand!C36,NA()),IF(OR(Demand!C36&gt;_UCL2,Demand!C36&lt;_LCL2),Demand!C36,NA())))</f>
        <v>#N/A</v>
      </c>
      <c r="C13" s="87">
        <f>IF(Split=0,IF(Demand!C36&gt;Sigma2Plus,2,IF(Demand!C36&lt;Sigma2Minus,-2,IF(Demand!C36&lt;Mean,-1,1))),IF(Split&gt;=P13,IF(Demand!C36&gt;Sigma2Plus1,2,IF(Demand!C36&lt;Sigma2Minus1,-2,IF(Demand!C36&lt;Mean1,-1,1))),IF(Demand!C36&gt;Sigma2Plus2,2,IF(Demand!C36&lt;Sigma2Minus2,-2,IF(Demand!C36&lt;Mean2,-1,1)))))</f>
        <v>1</v>
      </c>
      <c r="D13" s="87" t="e">
        <f ca="1">IF(AND(ABS(SUM(C13:C15))&gt;4,P13&lt;ROWS(ReferralsRange)),Demand!C36,NA())</f>
        <v>#REF!</v>
      </c>
      <c r="E13" s="87">
        <f>IF(Split=0,IF(Demand!C36&gt;Sigma1Plus,2,IF(Demand!C36&lt;Sigma1Minus,-2,IF(Demand!C36&lt;Mean,-1,1))),IF(Split&gt;=P13,IF(Demand!C36&gt;Sigma1Plus1,2,IF(Demand!C36&lt;Sigma1Minus1,-2,IF(Demand!C36&lt;Mean1,-1,1))),IF(Demand!C36&gt;Sigma1Plus2,2,IF(Demand!C36&lt;Sigma1Minus2,-2,IF(Demand!C36&lt;Mean,-1,1)))))</f>
        <v>1</v>
      </c>
      <c r="F13" s="87" t="e">
        <f ca="1">IF(AND(ABS(SUM(E13:E17))&gt;8,P13&lt;ROWS(ReferralsRange)),Demand!C36,NA())</f>
        <v>#REF!</v>
      </c>
      <c r="G13" s="87">
        <f>IF(Split=0,IF(Demand!C36&gt;Mean,IF(G12&gt;=0,G12+1,0),IF(Demand!C36&lt;Mean,IF(G12&lt;=0,G12-1,0),0)),IF(Split&gt;=P12,IF(Demand!C36&gt;Mean1,IF(G12&gt;=0,G12+1,0),IF(Demand!C36&lt;Mean1,IF(G12&lt;=0,G12-1,0),0)),IF(Demand!C36&gt;Mean2,IF(G12&gt;=0,G12+1,0),IF(Demand!C36&lt;Mean2,IF(G12&lt;=0,G12-1,0),0))))</f>
        <v>0</v>
      </c>
      <c r="H13" s="87" t="e">
        <f ca="1">IF(AND(ABS(G21)=8,P13&lt;ROWS(ReferralsRange)),Demand!C36,NA())</f>
        <v>#REF!</v>
      </c>
      <c r="I13" s="87">
        <v>0</v>
      </c>
      <c r="J13" s="87">
        <v>0</v>
      </c>
      <c r="K13" s="87">
        <v>0</v>
      </c>
      <c r="L13" s="87">
        <v>0</v>
      </c>
      <c r="M13" s="87">
        <v>0</v>
      </c>
      <c r="N13" s="87">
        <v>0</v>
      </c>
      <c r="O13" s="87">
        <v>0</v>
      </c>
      <c r="P13" s="95">
        <f ca="1"/>
        <v>12</v>
      </c>
      <c r="AE13" s="90"/>
    </row>
    <row r="14" spans="1:34" x14ac:dyDescent="0.25">
      <c r="A14" s="87">
        <v>0</v>
      </c>
      <c r="B14" s="87" t="e">
        <f>IF(Split=0,IF(OR(Demand!C37&gt;UCL,Demand!C37&lt;LCL),Demand!C37,NA()),IF(Split&gt;=P14,IF(OR(Demand!C37&gt;_UCL1,Demand!C37&lt;_LCL1),Demand!C37,NA()),IF(OR(Demand!C37&gt;_UCL2,Demand!C37&lt;_LCL2),Demand!C37,NA())))</f>
        <v>#N/A</v>
      </c>
      <c r="C14" s="87">
        <f>IF(Split=0,IF(Demand!C37&gt;Sigma2Plus,2,IF(Demand!C37&lt;Sigma2Minus,-2,IF(Demand!C37&lt;Mean,-1,1))),IF(Split&gt;=P14,IF(Demand!C37&gt;Sigma2Plus1,2,IF(Demand!C37&lt;Sigma2Minus1,-2,IF(Demand!C37&lt;Mean1,-1,1))),IF(Demand!C37&gt;Sigma2Plus2,2,IF(Demand!C37&lt;Sigma2Minus2,-2,IF(Demand!C37&lt;Mean2,-1,1)))))</f>
        <v>1</v>
      </c>
      <c r="D14" s="87" t="e">
        <f ca="1">IF(AND(ABS(SUM(C14:C16))&gt;4,P14&lt;ROWS(ReferralsRange)),Demand!C37,NA())</f>
        <v>#REF!</v>
      </c>
      <c r="E14" s="87">
        <f>IF(Split=0,IF(Demand!C37&gt;Sigma1Plus,2,IF(Demand!C37&lt;Sigma1Minus,-2,IF(Demand!C37&lt;Mean,-1,1))),IF(Split&gt;=P14,IF(Demand!C37&gt;Sigma1Plus1,2,IF(Demand!C37&lt;Sigma1Minus1,-2,IF(Demand!C37&lt;Mean1,-1,1))),IF(Demand!C37&gt;Sigma1Plus2,2,IF(Demand!C37&lt;Sigma1Minus2,-2,IF(Demand!C37&lt;Mean,-1,1)))))</f>
        <v>1</v>
      </c>
      <c r="F14" s="87" t="e">
        <f ca="1">IF(AND(ABS(SUM(E14:E18))&gt;8,P14&lt;ROWS(ReferralsRange)),Demand!C37,NA())</f>
        <v>#REF!</v>
      </c>
      <c r="G14" s="87">
        <f>IF(Split=0,IF(Demand!C37&gt;Mean,IF(G13&gt;=0,G13+1,0),IF(Demand!C37&lt;Mean,IF(G13&lt;=0,G13-1,0),0)),IF(Split&gt;=P13,IF(Demand!C37&gt;Mean1,IF(G13&gt;=0,G13+1,0),IF(Demand!C37&lt;Mean1,IF(G13&lt;=0,G13-1,0),0)),IF(Demand!C37&gt;Mean2,IF(G13&gt;=0,G13+1,0),IF(Demand!C37&lt;Mean2,IF(G13&lt;=0,G13-1,0),0))))</f>
        <v>0</v>
      </c>
      <c r="H14" s="87" t="e">
        <f ca="1">IF(AND(ABS(G22)=8,P14&lt;ROWS(ReferralsRange)),Demand!C37,NA())</f>
        <v>#REF!</v>
      </c>
      <c r="I14" s="87">
        <v>0</v>
      </c>
      <c r="J14" s="87">
        <v>0</v>
      </c>
      <c r="K14" s="87">
        <v>0</v>
      </c>
      <c r="L14" s="87">
        <v>0</v>
      </c>
      <c r="M14" s="87">
        <v>0</v>
      </c>
      <c r="N14" s="87">
        <v>0</v>
      </c>
      <c r="O14" s="87">
        <v>0</v>
      </c>
      <c r="P14" s="95">
        <f ca="1"/>
        <v>13</v>
      </c>
      <c r="AE14" s="90"/>
    </row>
    <row r="15" spans="1:34" x14ac:dyDescent="0.25">
      <c r="A15" s="87">
        <v>0</v>
      </c>
      <c r="B15" s="87" t="e">
        <f>IF(Split=0,IF(OR(Demand!C38&gt;UCL,Demand!C38&lt;LCL),Demand!C38,NA()),IF(Split&gt;=P15,IF(OR(Demand!C38&gt;_UCL1,Demand!C38&lt;_LCL1),Demand!C38,NA()),IF(OR(Demand!C38&gt;_UCL2,Demand!C38&lt;_LCL2),Demand!C38,NA())))</f>
        <v>#N/A</v>
      </c>
      <c r="C15" s="87">
        <f>IF(Split=0,IF(Demand!C38&gt;Sigma2Plus,2,IF(Demand!C38&lt;Sigma2Minus,-2,IF(Demand!C38&lt;Mean,-1,1))),IF(Split&gt;=P15,IF(Demand!C38&gt;Sigma2Plus1,2,IF(Demand!C38&lt;Sigma2Minus1,-2,IF(Demand!C38&lt;Mean1,-1,1))),IF(Demand!C38&gt;Sigma2Plus2,2,IF(Demand!C38&lt;Sigma2Minus2,-2,IF(Demand!C38&lt;Mean2,-1,1)))))</f>
        <v>1</v>
      </c>
      <c r="D15" s="87" t="e">
        <f ca="1">IF(AND(ABS(SUM(C15:C17))&gt;4,P15&lt;ROWS(ReferralsRange)),Demand!C38,NA())</f>
        <v>#REF!</v>
      </c>
      <c r="E15" s="87">
        <f>IF(Split=0,IF(Demand!C38&gt;Sigma1Plus,2,IF(Demand!C38&lt;Sigma1Minus,-2,IF(Demand!C38&lt;Mean,-1,1))),IF(Split&gt;=P15,IF(Demand!C38&gt;Sigma1Plus1,2,IF(Demand!C38&lt;Sigma1Minus1,-2,IF(Demand!C38&lt;Mean1,-1,1))),IF(Demand!C38&gt;Sigma1Plus2,2,IF(Demand!C38&lt;Sigma1Minus2,-2,IF(Demand!C38&lt;Mean,-1,1)))))</f>
        <v>1</v>
      </c>
      <c r="F15" s="87" t="e">
        <f ca="1">IF(AND(ABS(SUM(E15:E19))&gt;8,P15&lt;ROWS(ReferralsRange)),Demand!C38,NA())</f>
        <v>#REF!</v>
      </c>
      <c r="G15" s="87">
        <f>IF(Split=0,IF(Demand!C38&gt;Mean,IF(G14&gt;=0,G14+1,0),IF(Demand!C38&lt;Mean,IF(G14&lt;=0,G14-1,0),0)),IF(Split&gt;=P14,IF(Demand!C38&gt;Mean1,IF(G14&gt;=0,G14+1,0),IF(Demand!C38&lt;Mean1,IF(G14&lt;=0,G14-1,0),0)),IF(Demand!C38&gt;Mean2,IF(G14&gt;=0,G14+1,0),IF(Demand!C38&lt;Mean2,IF(G14&lt;=0,G14-1,0),0))))</f>
        <v>0</v>
      </c>
      <c r="H15" s="87" t="e">
        <f ca="1">IF(AND(ABS(G23)=8,P15&lt;ROWS(ReferralsRange)),Demand!C38,NA())</f>
        <v>#REF!</v>
      </c>
      <c r="I15" s="87">
        <v>0</v>
      </c>
      <c r="J15" s="87">
        <v>0</v>
      </c>
      <c r="K15" s="87">
        <v>0</v>
      </c>
      <c r="L15" s="87">
        <v>0</v>
      </c>
      <c r="M15" s="87">
        <v>0</v>
      </c>
      <c r="N15" s="87">
        <v>0</v>
      </c>
      <c r="O15" s="87">
        <v>0</v>
      </c>
      <c r="P15" s="95">
        <f ca="1"/>
        <v>14</v>
      </c>
      <c r="AE15" s="90"/>
    </row>
    <row r="16" spans="1:34" x14ac:dyDescent="0.25">
      <c r="A16" s="87">
        <v>0</v>
      </c>
      <c r="B16" s="87" t="e">
        <f>IF(Split=0,IF(OR(Demand!C39&gt;UCL,Demand!C39&lt;LCL),Demand!C39,NA()),IF(Split&gt;=P16,IF(OR(Demand!C39&gt;_UCL1,Demand!C39&lt;_LCL1),Demand!C39,NA()),IF(OR(Demand!C39&gt;_UCL2,Demand!C39&lt;_LCL2),Demand!C39,NA())))</f>
        <v>#N/A</v>
      </c>
      <c r="C16" s="87">
        <f>IF(Split=0,IF(Demand!C39&gt;Sigma2Plus,2,IF(Demand!C39&lt;Sigma2Minus,-2,IF(Demand!C39&lt;Mean,-1,1))),IF(Split&gt;=P16,IF(Demand!C39&gt;Sigma2Plus1,2,IF(Demand!C39&lt;Sigma2Minus1,-2,IF(Demand!C39&lt;Mean1,-1,1))),IF(Demand!C39&gt;Sigma2Plus2,2,IF(Demand!C39&lt;Sigma2Minus2,-2,IF(Demand!C39&lt;Mean2,-1,1)))))</f>
        <v>1</v>
      </c>
      <c r="D16" s="87" t="e">
        <f ca="1">IF(AND(ABS(SUM(C16:C18))&gt;4,P16&lt;ROWS(ReferralsRange)),Demand!C39,NA())</f>
        <v>#REF!</v>
      </c>
      <c r="E16" s="87">
        <f>IF(Split=0,IF(Demand!C39&gt;Sigma1Plus,2,IF(Demand!C39&lt;Sigma1Minus,-2,IF(Demand!C39&lt;Mean,-1,1))),IF(Split&gt;=P16,IF(Demand!C39&gt;Sigma1Plus1,2,IF(Demand!C39&lt;Sigma1Minus1,-2,IF(Demand!C39&lt;Mean1,-1,1))),IF(Demand!C39&gt;Sigma1Plus2,2,IF(Demand!C39&lt;Sigma1Minus2,-2,IF(Demand!C39&lt;Mean,-1,1)))))</f>
        <v>1</v>
      </c>
      <c r="F16" s="87" t="e">
        <f ca="1">IF(AND(ABS(SUM(E16:E20))&gt;8,P16&lt;ROWS(ReferralsRange)),Demand!C39,NA())</f>
        <v>#REF!</v>
      </c>
      <c r="G16" s="87">
        <f>IF(Split=0,IF(Demand!C39&gt;Mean,IF(G15&gt;=0,G15+1,0),IF(Demand!C39&lt;Mean,IF(G15&lt;=0,G15-1,0),0)),IF(Split&gt;=P15,IF(Demand!C39&gt;Mean1,IF(G15&gt;=0,G15+1,0),IF(Demand!C39&lt;Mean1,IF(G15&lt;=0,G15-1,0),0)),IF(Demand!C39&gt;Mean2,IF(G15&gt;=0,G15+1,0),IF(Demand!C39&lt;Mean2,IF(G15&lt;=0,G15-1,0),0))))</f>
        <v>0</v>
      </c>
      <c r="H16" s="87" t="e">
        <f ca="1">IF(AND(ABS(G24)=8,P16&lt;ROWS(ReferralsRange)),Demand!C39,NA())</f>
        <v>#REF!</v>
      </c>
      <c r="I16" s="87">
        <v>0</v>
      </c>
      <c r="J16" s="87">
        <v>0</v>
      </c>
      <c r="K16" s="87">
        <v>0</v>
      </c>
      <c r="L16" s="87">
        <v>0</v>
      </c>
      <c r="M16" s="87">
        <v>0</v>
      </c>
      <c r="N16" s="87">
        <v>0</v>
      </c>
      <c r="O16" s="87">
        <v>0</v>
      </c>
      <c r="P16" s="95">
        <f ca="1"/>
        <v>15</v>
      </c>
      <c r="AE16" s="90"/>
    </row>
    <row r="17" spans="1:31" x14ac:dyDescent="0.25">
      <c r="A17" s="87">
        <v>0</v>
      </c>
      <c r="B17" s="87" t="e">
        <f>IF(Split=0,IF(OR(Demand!C40&gt;UCL,Demand!C40&lt;LCL),Demand!C40,NA()),IF(Split&gt;=P17,IF(OR(Demand!C40&gt;_UCL1,Demand!C40&lt;_LCL1),Demand!C40,NA()),IF(OR(Demand!C40&gt;_UCL2,Demand!C40&lt;_LCL2),Demand!C40,NA())))</f>
        <v>#N/A</v>
      </c>
      <c r="C17" s="87">
        <f>IF(Split=0,IF(Demand!C40&gt;Sigma2Plus,2,IF(Demand!C40&lt;Sigma2Minus,-2,IF(Demand!C40&lt;Mean,-1,1))),IF(Split&gt;=P17,IF(Demand!C40&gt;Sigma2Plus1,2,IF(Demand!C40&lt;Sigma2Minus1,-2,IF(Demand!C40&lt;Mean1,-1,1))),IF(Demand!C40&gt;Sigma2Plus2,2,IF(Demand!C40&lt;Sigma2Minus2,-2,IF(Demand!C40&lt;Mean2,-1,1)))))</f>
        <v>1</v>
      </c>
      <c r="D17" s="87" t="e">
        <f ca="1">IF(AND(ABS(SUM(C17:C19))&gt;4,P17&lt;ROWS(ReferralsRange)),Demand!C40,NA())</f>
        <v>#REF!</v>
      </c>
      <c r="E17" s="87">
        <f>IF(Split=0,IF(Demand!C40&gt;Sigma1Plus,2,IF(Demand!C40&lt;Sigma1Minus,-2,IF(Demand!C40&lt;Mean,-1,1))),IF(Split&gt;=P17,IF(Demand!C40&gt;Sigma1Plus1,2,IF(Demand!C40&lt;Sigma1Minus1,-2,IF(Demand!C40&lt;Mean1,-1,1))),IF(Demand!C40&gt;Sigma1Plus2,2,IF(Demand!C40&lt;Sigma1Minus2,-2,IF(Demand!C40&lt;Mean,-1,1)))))</f>
        <v>1</v>
      </c>
      <c r="F17" s="87" t="e">
        <f ca="1">IF(AND(ABS(SUM(E17:E21))&gt;8,P17&lt;ROWS(ReferralsRange)),Demand!C40,NA())</f>
        <v>#REF!</v>
      </c>
      <c r="G17" s="87">
        <f>IF(Split=0,IF(Demand!C40&gt;Mean,IF(G16&gt;=0,G16+1,0),IF(Demand!C40&lt;Mean,IF(G16&lt;=0,G16-1,0),0)),IF(Split&gt;=P16,IF(Demand!C40&gt;Mean1,IF(G16&gt;=0,G16+1,0),IF(Demand!C40&lt;Mean1,IF(G16&lt;=0,G16-1,0),0)),IF(Demand!C40&gt;Mean2,IF(G16&gt;=0,G16+1,0),IF(Demand!C40&lt;Mean2,IF(G16&lt;=0,G16-1,0),0))))</f>
        <v>0</v>
      </c>
      <c r="H17" s="87" t="e">
        <f ca="1">IF(AND(ABS(G25)=8,P17&lt;ROWS(ReferralsRange)),Demand!C40,NA())</f>
        <v>#REF!</v>
      </c>
      <c r="I17" s="87">
        <v>0</v>
      </c>
      <c r="J17" s="87">
        <v>0</v>
      </c>
      <c r="K17" s="87">
        <v>0</v>
      </c>
      <c r="L17" s="87">
        <v>0</v>
      </c>
      <c r="M17" s="87">
        <v>0</v>
      </c>
      <c r="N17" s="87">
        <v>0</v>
      </c>
      <c r="O17" s="87">
        <v>0</v>
      </c>
      <c r="P17" s="95">
        <f ca="1"/>
        <v>16</v>
      </c>
      <c r="AE17" s="90"/>
    </row>
    <row r="18" spans="1:31" x14ac:dyDescent="0.25">
      <c r="A18" s="87">
        <v>0</v>
      </c>
      <c r="B18" s="87" t="e">
        <f>IF(Split=0,IF(OR(Demand!C41&gt;UCL,Demand!C41&lt;LCL),Demand!C41,NA()),IF(Split&gt;=P18,IF(OR(Demand!C41&gt;_UCL1,Demand!C41&lt;_LCL1),Demand!C41,NA()),IF(OR(Demand!C41&gt;_UCL2,Demand!C41&lt;_LCL2),Demand!C41,NA())))</f>
        <v>#N/A</v>
      </c>
      <c r="C18" s="87">
        <f>IF(Split=0,IF(Demand!C41&gt;Sigma2Plus,2,IF(Demand!C41&lt;Sigma2Minus,-2,IF(Demand!C41&lt;Mean,-1,1))),IF(Split&gt;=P18,IF(Demand!C41&gt;Sigma2Plus1,2,IF(Demand!C41&lt;Sigma2Minus1,-2,IF(Demand!C41&lt;Mean1,-1,1))),IF(Demand!C41&gt;Sigma2Plus2,2,IF(Demand!C41&lt;Sigma2Minus2,-2,IF(Demand!C41&lt;Mean2,-1,1)))))</f>
        <v>1</v>
      </c>
      <c r="D18" s="87" t="e">
        <f ca="1">IF(AND(ABS(SUM(C18:C20))&gt;4,P18&lt;ROWS(ReferralsRange)),Demand!C41,NA())</f>
        <v>#REF!</v>
      </c>
      <c r="E18" s="87">
        <f>IF(Split=0,IF(Demand!C41&gt;Sigma1Plus,2,IF(Demand!C41&lt;Sigma1Minus,-2,IF(Demand!C41&lt;Mean,-1,1))),IF(Split&gt;=P18,IF(Demand!C41&gt;Sigma1Plus1,2,IF(Demand!C41&lt;Sigma1Minus1,-2,IF(Demand!C41&lt;Mean1,-1,1))),IF(Demand!C41&gt;Sigma1Plus2,2,IF(Demand!C41&lt;Sigma1Minus2,-2,IF(Demand!C41&lt;Mean,-1,1)))))</f>
        <v>1</v>
      </c>
      <c r="F18" s="87" t="e">
        <f ca="1">IF(AND(ABS(SUM(E18:E22))&gt;8,P18&lt;ROWS(ReferralsRange)),Demand!C41,NA())</f>
        <v>#REF!</v>
      </c>
      <c r="G18" s="87">
        <f>IF(Split=0,IF(Demand!C41&gt;Mean,IF(G17&gt;=0,G17+1,0),IF(Demand!C41&lt;Mean,IF(G17&lt;=0,G17-1,0),0)),IF(Split&gt;=P17,IF(Demand!C41&gt;Mean1,IF(G17&gt;=0,G17+1,0),IF(Demand!C41&lt;Mean1,IF(G17&lt;=0,G17-1,0),0)),IF(Demand!C41&gt;Mean2,IF(G17&gt;=0,G17+1,0),IF(Demand!C41&lt;Mean2,IF(G17&lt;=0,G17-1,0),0))))</f>
        <v>0</v>
      </c>
      <c r="H18" s="87" t="e">
        <f ca="1">IF(AND(ABS(G26)=8,P18&lt;ROWS(ReferralsRange)),Demand!C41,NA())</f>
        <v>#REF!</v>
      </c>
      <c r="I18" s="87">
        <v>0</v>
      </c>
      <c r="J18" s="87">
        <v>0</v>
      </c>
      <c r="K18" s="87">
        <v>0</v>
      </c>
      <c r="L18" s="87">
        <v>0</v>
      </c>
      <c r="M18" s="87">
        <v>0</v>
      </c>
      <c r="N18" s="87">
        <v>0</v>
      </c>
      <c r="O18" s="87">
        <v>0</v>
      </c>
      <c r="P18" s="95">
        <f ca="1"/>
        <v>17</v>
      </c>
      <c r="AE18" s="90"/>
    </row>
    <row r="19" spans="1:31" x14ac:dyDescent="0.25">
      <c r="A19" s="87">
        <v>0</v>
      </c>
      <c r="B19" s="87" t="e">
        <f>IF(Split=0,IF(OR(Demand!C42&gt;UCL,Demand!C42&lt;LCL),Demand!C42,NA()),IF(Split&gt;=P19,IF(OR(Demand!C42&gt;_UCL1,Demand!C42&lt;_LCL1),Demand!C42,NA()),IF(OR(Demand!C42&gt;_UCL2,Demand!C42&lt;_LCL2),Demand!C42,NA())))</f>
        <v>#N/A</v>
      </c>
      <c r="C19" s="87">
        <f>IF(Split=0,IF(Demand!C42&gt;Sigma2Plus,2,IF(Demand!C42&lt;Sigma2Minus,-2,IF(Demand!C42&lt;Mean,-1,1))),IF(Split&gt;=P19,IF(Demand!C42&gt;Sigma2Plus1,2,IF(Demand!C42&lt;Sigma2Minus1,-2,IF(Demand!C42&lt;Mean1,-1,1))),IF(Demand!C42&gt;Sigma2Plus2,2,IF(Demand!C42&lt;Sigma2Minus2,-2,IF(Demand!C42&lt;Mean2,-1,1)))))</f>
        <v>1</v>
      </c>
      <c r="D19" s="87" t="e">
        <f ca="1">IF(AND(ABS(SUM(C19:C21))&gt;4,P19&lt;ROWS(ReferralsRange)),Demand!C42,NA())</f>
        <v>#REF!</v>
      </c>
      <c r="E19" s="87">
        <f>IF(Split=0,IF(Demand!C42&gt;Sigma1Plus,2,IF(Demand!C42&lt;Sigma1Minus,-2,IF(Demand!C42&lt;Mean,-1,1))),IF(Split&gt;=P19,IF(Demand!C42&gt;Sigma1Plus1,2,IF(Demand!C42&lt;Sigma1Minus1,-2,IF(Demand!C42&lt;Mean1,-1,1))),IF(Demand!C42&gt;Sigma1Plus2,2,IF(Demand!C42&lt;Sigma1Minus2,-2,IF(Demand!C42&lt;Mean,-1,1)))))</f>
        <v>1</v>
      </c>
      <c r="F19" s="87" t="e">
        <f ca="1">IF(AND(ABS(SUM(E19:E23))&gt;8,P19&lt;ROWS(ReferralsRange)),Demand!C42,NA())</f>
        <v>#REF!</v>
      </c>
      <c r="G19" s="87">
        <f>IF(Split=0,IF(Demand!C42&gt;Mean,IF(G18&gt;=0,G18+1,0),IF(Demand!C42&lt;Mean,IF(G18&lt;=0,G18-1,0),0)),IF(Split&gt;=P18,IF(Demand!C42&gt;Mean1,IF(G18&gt;=0,G18+1,0),IF(Demand!C42&lt;Mean1,IF(G18&lt;=0,G18-1,0),0)),IF(Demand!C42&gt;Mean2,IF(G18&gt;=0,G18+1,0),IF(Demand!C42&lt;Mean2,IF(G18&lt;=0,G18-1,0),0))))</f>
        <v>0</v>
      </c>
      <c r="H19" s="87" t="e">
        <f ca="1">IF(AND(ABS(G27)=8,P19&lt;ROWS(ReferralsRange)),Demand!C42,NA())</f>
        <v>#REF!</v>
      </c>
      <c r="I19" s="87">
        <v>0</v>
      </c>
      <c r="J19" s="87">
        <v>0</v>
      </c>
      <c r="K19" s="87">
        <v>0</v>
      </c>
      <c r="L19" s="87">
        <v>0</v>
      </c>
      <c r="M19" s="87">
        <v>0</v>
      </c>
      <c r="N19" s="87">
        <v>0</v>
      </c>
      <c r="O19" s="87">
        <v>0</v>
      </c>
      <c r="P19" s="95">
        <f ca="1"/>
        <v>18</v>
      </c>
      <c r="AE19" s="90"/>
    </row>
    <row r="20" spans="1:31" x14ac:dyDescent="0.25">
      <c r="A20" s="87">
        <v>0</v>
      </c>
      <c r="B20" s="87" t="e">
        <f>IF(Split=0,IF(OR(Demand!C43&gt;UCL,Demand!C43&lt;LCL),Demand!C43,NA()),IF(Split&gt;=P20,IF(OR(Demand!C43&gt;_UCL1,Demand!C43&lt;_LCL1),Demand!C43,NA()),IF(OR(Demand!C43&gt;_UCL2,Demand!C43&lt;_LCL2),Demand!C43,NA())))</f>
        <v>#N/A</v>
      </c>
      <c r="C20" s="87">
        <f>IF(Split=0,IF(Demand!C43&gt;Sigma2Plus,2,IF(Demand!C43&lt;Sigma2Minus,-2,IF(Demand!C43&lt;Mean,-1,1))),IF(Split&gt;=P20,IF(Demand!C43&gt;Sigma2Plus1,2,IF(Demand!C43&lt;Sigma2Minus1,-2,IF(Demand!C43&lt;Mean1,-1,1))),IF(Demand!C43&gt;Sigma2Plus2,2,IF(Demand!C43&lt;Sigma2Minus2,-2,IF(Demand!C43&lt;Mean2,-1,1)))))</f>
        <v>1</v>
      </c>
      <c r="D20" s="87" t="e">
        <f ca="1">IF(AND(ABS(SUM(C20:C22))&gt;4,P20&lt;ROWS(ReferralsRange)),Demand!C43,NA())</f>
        <v>#REF!</v>
      </c>
      <c r="E20" s="87">
        <f>IF(Split=0,IF(Demand!C43&gt;Sigma1Plus,2,IF(Demand!C43&lt;Sigma1Minus,-2,IF(Demand!C43&lt;Mean,-1,1))),IF(Split&gt;=P20,IF(Demand!C43&gt;Sigma1Plus1,2,IF(Demand!C43&lt;Sigma1Minus1,-2,IF(Demand!C43&lt;Mean1,-1,1))),IF(Demand!C43&gt;Sigma1Plus2,2,IF(Demand!C43&lt;Sigma1Minus2,-2,IF(Demand!C43&lt;Mean,-1,1)))))</f>
        <v>1</v>
      </c>
      <c r="F20" s="87" t="e">
        <f ca="1">IF(AND(ABS(SUM(E20:E24))&gt;8,P20&lt;ROWS(ReferralsRange)),Demand!C43,NA())</f>
        <v>#REF!</v>
      </c>
      <c r="G20" s="87">
        <f>IF(Split=0,IF(Demand!C43&gt;Mean,IF(G19&gt;=0,G19+1,0),IF(Demand!C43&lt;Mean,IF(G19&lt;=0,G19-1,0),0)),IF(Split&gt;=P19,IF(Demand!C43&gt;Mean1,IF(G19&gt;=0,G19+1,0),IF(Demand!C43&lt;Mean1,IF(G19&lt;=0,G19-1,0),0)),IF(Demand!C43&gt;Mean2,IF(G19&gt;=0,G19+1,0),IF(Demand!C43&lt;Mean2,IF(G19&lt;=0,G19-1,0),0))))</f>
        <v>0</v>
      </c>
      <c r="H20" s="87" t="e">
        <f ca="1">IF(AND(ABS(G28)=8,P20&lt;ROWS(ReferralsRange)),Demand!C43,NA())</f>
        <v>#REF!</v>
      </c>
      <c r="I20" s="87">
        <v>0</v>
      </c>
      <c r="J20" s="87">
        <v>0</v>
      </c>
      <c r="K20" s="87">
        <v>0</v>
      </c>
      <c r="L20" s="87">
        <v>0</v>
      </c>
      <c r="M20" s="87">
        <v>0</v>
      </c>
      <c r="N20" s="87">
        <v>0</v>
      </c>
      <c r="O20" s="87">
        <v>0</v>
      </c>
      <c r="P20" s="95">
        <f ca="1"/>
        <v>19</v>
      </c>
      <c r="AE20" s="90"/>
    </row>
    <row r="21" spans="1:31" x14ac:dyDescent="0.25">
      <c r="A21" s="87">
        <v>0</v>
      </c>
      <c r="B21" s="87" t="e">
        <f>IF(Split=0,IF(OR(Demand!C44&gt;UCL,Demand!C44&lt;LCL),Demand!C44,NA()),IF(Split&gt;=P21,IF(OR(Demand!C44&gt;_UCL1,Demand!C44&lt;_LCL1),Demand!C44,NA()),IF(OR(Demand!C44&gt;_UCL2,Demand!C44&lt;_LCL2),Demand!C44,NA())))</f>
        <v>#N/A</v>
      </c>
      <c r="C21" s="87">
        <f>IF(Split=0,IF(Demand!C44&gt;Sigma2Plus,2,IF(Demand!C44&lt;Sigma2Minus,-2,IF(Demand!C44&lt;Mean,-1,1))),IF(Split&gt;=P21,IF(Demand!C44&gt;Sigma2Plus1,2,IF(Demand!C44&lt;Sigma2Minus1,-2,IF(Demand!C44&lt;Mean1,-1,1))),IF(Demand!C44&gt;Sigma2Plus2,2,IF(Demand!C44&lt;Sigma2Minus2,-2,IF(Demand!C44&lt;Mean2,-1,1)))))</f>
        <v>1</v>
      </c>
      <c r="D21" s="87" t="e">
        <f ca="1">IF(AND(ABS(SUM(C21:C23))&gt;4,P21&lt;ROWS(ReferralsRange)),Demand!C44,NA())</f>
        <v>#REF!</v>
      </c>
      <c r="E21" s="87">
        <f>IF(Split=0,IF(Demand!C44&gt;Sigma1Plus,2,IF(Demand!C44&lt;Sigma1Minus,-2,IF(Demand!C44&lt;Mean,-1,1))),IF(Split&gt;=P21,IF(Demand!C44&gt;Sigma1Plus1,2,IF(Demand!C44&lt;Sigma1Minus1,-2,IF(Demand!C44&lt;Mean1,-1,1))),IF(Demand!C44&gt;Sigma1Plus2,2,IF(Demand!C44&lt;Sigma1Minus2,-2,IF(Demand!C44&lt;Mean,-1,1)))))</f>
        <v>1</v>
      </c>
      <c r="F21" s="87" t="e">
        <f ca="1">IF(AND(ABS(SUM(E21:E25))&gt;8,P21&lt;ROWS(ReferralsRange)),Demand!C44,NA())</f>
        <v>#REF!</v>
      </c>
      <c r="G21" s="87">
        <f>IF(Split=0,IF(Demand!C44&gt;Mean,IF(G20&gt;=0,G20+1,0),IF(Demand!C44&lt;Mean,IF(G20&lt;=0,G20-1,0),0)),IF(Split&gt;=P20,IF(Demand!C44&gt;Mean1,IF(G20&gt;=0,G20+1,0),IF(Demand!C44&lt;Mean1,IF(G20&lt;=0,G20-1,0),0)),IF(Demand!C44&gt;Mean2,IF(G20&gt;=0,G20+1,0),IF(Demand!C44&lt;Mean2,IF(G20&lt;=0,G20-1,0),0))))</f>
        <v>0</v>
      </c>
      <c r="H21" s="87" t="e">
        <f ca="1">IF(AND(ABS(G29)=8,P21&lt;ROWS(ReferralsRange)),Demand!C44,NA())</f>
        <v>#REF!</v>
      </c>
      <c r="I21" s="87">
        <v>0</v>
      </c>
      <c r="J21" s="87">
        <v>0</v>
      </c>
      <c r="K21" s="87">
        <v>0</v>
      </c>
      <c r="L21" s="87">
        <v>0</v>
      </c>
      <c r="M21" s="87">
        <v>0</v>
      </c>
      <c r="N21" s="87">
        <v>0</v>
      </c>
      <c r="O21" s="87">
        <v>0</v>
      </c>
      <c r="P21" s="95">
        <f ca="1"/>
        <v>20</v>
      </c>
      <c r="AE21" s="90"/>
    </row>
    <row r="22" spans="1:31" x14ac:dyDescent="0.25">
      <c r="A22" s="87">
        <v>0</v>
      </c>
      <c r="B22" s="87" t="e">
        <f>IF(Split=0,IF(OR(Demand!C45&gt;UCL,Demand!C45&lt;LCL),Demand!C45,NA()),IF(Split&gt;=P22,IF(OR(Demand!C45&gt;_UCL1,Demand!C45&lt;_LCL1),Demand!C45,NA()),IF(OR(Demand!C45&gt;_UCL2,Demand!C45&lt;_LCL2),Demand!C45,NA())))</f>
        <v>#N/A</v>
      </c>
      <c r="C22" s="87">
        <f>IF(Split=0,IF(Demand!C45&gt;Sigma2Plus,2,IF(Demand!C45&lt;Sigma2Minus,-2,IF(Demand!C45&lt;Mean,-1,1))),IF(Split&gt;=P22,IF(Demand!C45&gt;Sigma2Plus1,2,IF(Demand!C45&lt;Sigma2Minus1,-2,IF(Demand!C45&lt;Mean1,-1,1))),IF(Demand!C45&gt;Sigma2Plus2,2,IF(Demand!C45&lt;Sigma2Minus2,-2,IF(Demand!C45&lt;Mean2,-1,1)))))</f>
        <v>1</v>
      </c>
      <c r="D22" s="87" t="e">
        <f ca="1">IF(AND(ABS(SUM(C22:C24))&gt;4,P22&lt;ROWS(ReferralsRange)),Demand!C45,NA())</f>
        <v>#REF!</v>
      </c>
      <c r="E22" s="87">
        <f>IF(Split=0,IF(Demand!C45&gt;Sigma1Plus,2,IF(Demand!C45&lt;Sigma1Minus,-2,IF(Demand!C45&lt;Mean,-1,1))),IF(Split&gt;=P22,IF(Demand!C45&gt;Sigma1Plus1,2,IF(Demand!C45&lt;Sigma1Minus1,-2,IF(Demand!C45&lt;Mean1,-1,1))),IF(Demand!C45&gt;Sigma1Plus2,2,IF(Demand!C45&lt;Sigma1Minus2,-2,IF(Demand!C45&lt;Mean,-1,1)))))</f>
        <v>1</v>
      </c>
      <c r="F22" s="87" t="e">
        <f ca="1">IF(AND(ABS(SUM(E22:E26))&gt;8,P22&lt;ROWS(ReferralsRange)),Demand!C45,NA())</f>
        <v>#REF!</v>
      </c>
      <c r="G22" s="87">
        <f>IF(Split=0,IF(Demand!C45&gt;Mean,IF(G21&gt;=0,G21+1,0),IF(Demand!C45&lt;Mean,IF(G21&lt;=0,G21-1,0),0)),IF(Split&gt;=P21,IF(Demand!C45&gt;Mean1,IF(G21&gt;=0,G21+1,0),IF(Demand!C45&lt;Mean1,IF(G21&lt;=0,G21-1,0),0)),IF(Demand!C45&gt;Mean2,IF(G21&gt;=0,G21+1,0),IF(Demand!C45&lt;Mean2,IF(G21&lt;=0,G21-1,0),0))))</f>
        <v>0</v>
      </c>
      <c r="H22" s="87" t="e">
        <f ca="1">IF(AND(ABS(G30)=8,P22&lt;ROWS(ReferralsRange)),Demand!C45,NA())</f>
        <v>#REF!</v>
      </c>
      <c r="I22" s="87">
        <v>0</v>
      </c>
      <c r="J22" s="87">
        <v>0</v>
      </c>
      <c r="K22" s="87">
        <v>0</v>
      </c>
      <c r="L22" s="87">
        <v>0</v>
      </c>
      <c r="M22" s="87">
        <v>0</v>
      </c>
      <c r="N22" s="87">
        <v>0</v>
      </c>
      <c r="O22" s="87">
        <v>0</v>
      </c>
      <c r="P22" s="95">
        <f ca="1"/>
        <v>21</v>
      </c>
      <c r="AE22" s="90"/>
    </row>
    <row r="23" spans="1:31" x14ac:dyDescent="0.25">
      <c r="A23" s="87">
        <v>0</v>
      </c>
      <c r="B23" s="87" t="e">
        <f>IF(Split=0,IF(OR(Demand!C46&gt;UCL,Demand!C46&lt;LCL),Demand!C46,NA()),IF(Split&gt;=P23,IF(OR(Demand!C46&gt;_UCL1,Demand!C46&lt;_LCL1),Demand!C46,NA()),IF(OR(Demand!C46&gt;_UCL2,Demand!C46&lt;_LCL2),Demand!C46,NA())))</f>
        <v>#N/A</v>
      </c>
      <c r="C23" s="87">
        <f>IF(Split=0,IF(Demand!C46&gt;Sigma2Plus,2,IF(Demand!C46&lt;Sigma2Minus,-2,IF(Demand!C46&lt;Mean,-1,1))),IF(Split&gt;=P23,IF(Demand!C46&gt;Sigma2Plus1,2,IF(Demand!C46&lt;Sigma2Minus1,-2,IF(Demand!C46&lt;Mean1,-1,1))),IF(Demand!C46&gt;Sigma2Plus2,2,IF(Demand!C46&lt;Sigma2Minus2,-2,IF(Demand!C46&lt;Mean2,-1,1)))))</f>
        <v>1</v>
      </c>
      <c r="D23" s="87" t="e">
        <f ca="1">IF(AND(ABS(SUM(C23:C25))&gt;4,P23&lt;ROWS(ReferralsRange)),Demand!C46,NA())</f>
        <v>#REF!</v>
      </c>
      <c r="E23" s="87">
        <f>IF(Split=0,IF(Demand!C46&gt;Sigma1Plus,2,IF(Demand!C46&lt;Sigma1Minus,-2,IF(Demand!C46&lt;Mean,-1,1))),IF(Split&gt;=P23,IF(Demand!C46&gt;Sigma1Plus1,2,IF(Demand!C46&lt;Sigma1Minus1,-2,IF(Demand!C46&lt;Mean1,-1,1))),IF(Demand!C46&gt;Sigma1Plus2,2,IF(Demand!C46&lt;Sigma1Minus2,-2,IF(Demand!C46&lt;Mean,-1,1)))))</f>
        <v>1</v>
      </c>
      <c r="F23" s="87" t="e">
        <f ca="1">IF(AND(ABS(SUM(E23:E27))&gt;8,P23&lt;ROWS(ReferralsRange)),Demand!C46,NA())</f>
        <v>#REF!</v>
      </c>
      <c r="G23" s="87">
        <f>IF(Split=0,IF(Demand!C46&gt;Mean,IF(G22&gt;=0,G22+1,0),IF(Demand!C46&lt;Mean,IF(G22&lt;=0,G22-1,0),0)),IF(Split&gt;=P22,IF(Demand!C46&gt;Mean1,IF(G22&gt;=0,G22+1,0),IF(Demand!C46&lt;Mean1,IF(G22&lt;=0,G22-1,0),0)),IF(Demand!C46&gt;Mean2,IF(G22&gt;=0,G22+1,0),IF(Demand!C46&lt;Mean2,IF(G22&lt;=0,G22-1,0),0))))</f>
        <v>0</v>
      </c>
      <c r="H23" s="87" t="e">
        <f ca="1">IF(AND(ABS(G31)=8,P23&lt;ROWS(ReferralsRange)),Demand!C46,NA())</f>
        <v>#REF!</v>
      </c>
      <c r="I23" s="87">
        <v>0</v>
      </c>
      <c r="J23" s="87">
        <v>0</v>
      </c>
      <c r="K23" s="87">
        <v>0</v>
      </c>
      <c r="L23" s="87">
        <v>0</v>
      </c>
      <c r="M23" s="87">
        <v>0</v>
      </c>
      <c r="N23" s="87">
        <v>0</v>
      </c>
      <c r="O23" s="87">
        <v>0</v>
      </c>
      <c r="P23" s="95">
        <f ca="1"/>
        <v>22</v>
      </c>
      <c r="AE23" s="90"/>
    </row>
    <row r="24" spans="1:31" x14ac:dyDescent="0.25">
      <c r="A24" s="87">
        <v>0</v>
      </c>
      <c r="B24" s="87" t="e">
        <f>IF(Split=0,IF(OR(Demand!C47&gt;UCL,Demand!C47&lt;LCL),Demand!C47,NA()),IF(Split&gt;=P24,IF(OR(Demand!C47&gt;_UCL1,Demand!C47&lt;_LCL1),Demand!C47,NA()),IF(OR(Demand!C47&gt;_UCL2,Demand!C47&lt;_LCL2),Demand!C47,NA())))</f>
        <v>#N/A</v>
      </c>
      <c r="C24" s="87">
        <f>IF(Split=0,IF(Demand!C47&gt;Sigma2Plus,2,IF(Demand!C47&lt;Sigma2Minus,-2,IF(Demand!C47&lt;Mean,-1,1))),IF(Split&gt;=P24,IF(Demand!C47&gt;Sigma2Plus1,2,IF(Demand!C47&lt;Sigma2Minus1,-2,IF(Demand!C47&lt;Mean1,-1,1))),IF(Demand!C47&gt;Sigma2Plus2,2,IF(Demand!C47&lt;Sigma2Minus2,-2,IF(Demand!C47&lt;Mean2,-1,1)))))</f>
        <v>1</v>
      </c>
      <c r="D24" s="87" t="e">
        <f ca="1">IF(AND(ABS(SUM(C24:C26))&gt;4,P24&lt;ROWS(ReferralsRange)),Demand!C47,NA())</f>
        <v>#REF!</v>
      </c>
      <c r="E24" s="87">
        <f>IF(Split=0,IF(Demand!C47&gt;Sigma1Plus,2,IF(Demand!C47&lt;Sigma1Minus,-2,IF(Demand!C47&lt;Mean,-1,1))),IF(Split&gt;=P24,IF(Demand!C47&gt;Sigma1Plus1,2,IF(Demand!C47&lt;Sigma1Minus1,-2,IF(Demand!C47&lt;Mean1,-1,1))),IF(Demand!C47&gt;Sigma1Plus2,2,IF(Demand!C47&lt;Sigma1Minus2,-2,IF(Demand!C47&lt;Mean,-1,1)))))</f>
        <v>1</v>
      </c>
      <c r="F24" s="87" t="e">
        <f ca="1">IF(AND(ABS(SUM(E24:E28))&gt;8,P24&lt;ROWS(ReferralsRange)),Demand!C47,NA())</f>
        <v>#REF!</v>
      </c>
      <c r="G24" s="87">
        <f>IF(Split=0,IF(Demand!C47&gt;Mean,IF(G23&gt;=0,G23+1,0),IF(Demand!C47&lt;Mean,IF(G23&lt;=0,G23-1,0),0)),IF(Split&gt;=P23,IF(Demand!C47&gt;Mean1,IF(G23&gt;=0,G23+1,0),IF(Demand!C47&lt;Mean1,IF(G23&lt;=0,G23-1,0),0)),IF(Demand!C47&gt;Mean2,IF(G23&gt;=0,G23+1,0),IF(Demand!C47&lt;Mean2,IF(G23&lt;=0,G23-1,0),0))))</f>
        <v>0</v>
      </c>
      <c r="H24" s="87" t="e">
        <f ca="1">IF(AND(ABS(G32)=8,P24&lt;ROWS(ReferralsRange)),Demand!C47,NA())</f>
        <v>#REF!</v>
      </c>
      <c r="I24" s="87">
        <v>0</v>
      </c>
      <c r="J24" s="87">
        <v>0</v>
      </c>
      <c r="K24" s="87">
        <v>0</v>
      </c>
      <c r="L24" s="87">
        <v>0</v>
      </c>
      <c r="M24" s="87">
        <v>0</v>
      </c>
      <c r="N24" s="87">
        <v>0</v>
      </c>
      <c r="O24" s="87">
        <v>0</v>
      </c>
      <c r="P24" s="95">
        <f ca="1"/>
        <v>23</v>
      </c>
      <c r="AE24" s="90"/>
    </row>
    <row r="25" spans="1:31" x14ac:dyDescent="0.25">
      <c r="A25" s="87">
        <v>0</v>
      </c>
      <c r="B25" s="87" t="e">
        <f>IF(Split=0,IF(OR(Demand!C48&gt;UCL,Demand!C48&lt;LCL),Demand!C48,NA()),IF(Split&gt;=P25,IF(OR(Demand!C48&gt;_UCL1,Demand!C48&lt;_LCL1),Demand!C48,NA()),IF(OR(Demand!C48&gt;_UCL2,Demand!C48&lt;_LCL2),Demand!C48,NA())))</f>
        <v>#N/A</v>
      </c>
      <c r="C25" s="87">
        <f>IF(Split=0,IF(Demand!C48&gt;Sigma2Plus,2,IF(Demand!C48&lt;Sigma2Minus,-2,IF(Demand!C48&lt;Mean,-1,1))),IF(Split&gt;=P25,IF(Demand!C48&gt;Sigma2Plus1,2,IF(Demand!C48&lt;Sigma2Minus1,-2,IF(Demand!C48&lt;Mean1,-1,1))),IF(Demand!C48&gt;Sigma2Plus2,2,IF(Demand!C48&lt;Sigma2Minus2,-2,IF(Demand!C48&lt;Mean2,-1,1)))))</f>
        <v>1</v>
      </c>
      <c r="D25" s="87" t="e">
        <f ca="1">IF(AND(ABS(SUM(C25:C27))&gt;4,P25&lt;ROWS(ReferralsRange)),Demand!C48,NA())</f>
        <v>#REF!</v>
      </c>
      <c r="E25" s="87">
        <f>IF(Split=0,IF(Demand!C48&gt;Sigma1Plus,2,IF(Demand!C48&lt;Sigma1Minus,-2,IF(Demand!C48&lt;Mean,-1,1))),IF(Split&gt;=P25,IF(Demand!C48&gt;Sigma1Plus1,2,IF(Demand!C48&lt;Sigma1Minus1,-2,IF(Demand!C48&lt;Mean1,-1,1))),IF(Demand!C48&gt;Sigma1Plus2,2,IF(Demand!C48&lt;Sigma1Minus2,-2,IF(Demand!C48&lt;Mean,-1,1)))))</f>
        <v>1</v>
      </c>
      <c r="F25" s="87" t="e">
        <f ca="1">IF(AND(ABS(SUM(E25:E29))&gt;8,P25&lt;ROWS(ReferralsRange)),Demand!C48,NA())</f>
        <v>#REF!</v>
      </c>
      <c r="G25" s="87">
        <f>IF(Split=0,IF(Demand!C48&gt;Mean,IF(G24&gt;=0,G24+1,0),IF(Demand!C48&lt;Mean,IF(G24&lt;=0,G24-1,0),0)),IF(Split&gt;=P24,IF(Demand!C48&gt;Mean1,IF(G24&gt;=0,G24+1,0),IF(Demand!C48&lt;Mean1,IF(G24&lt;=0,G24-1,0),0)),IF(Demand!C48&gt;Mean2,IF(G24&gt;=0,G24+1,0),IF(Demand!C48&lt;Mean2,IF(G24&lt;=0,G24-1,0),0))))</f>
        <v>0</v>
      </c>
      <c r="H25" s="87" t="e">
        <f ca="1">IF(AND(ABS(G33)=8,P25&lt;ROWS(ReferralsRange)),Demand!C48,NA())</f>
        <v>#REF!</v>
      </c>
      <c r="I25" s="87">
        <v>0</v>
      </c>
      <c r="J25" s="87">
        <v>0</v>
      </c>
      <c r="K25" s="87">
        <v>0</v>
      </c>
      <c r="L25" s="87">
        <v>0</v>
      </c>
      <c r="M25" s="87">
        <v>0</v>
      </c>
      <c r="N25" s="87">
        <v>0</v>
      </c>
      <c r="O25" s="87">
        <v>0</v>
      </c>
      <c r="P25" s="95">
        <f ca="1"/>
        <v>24</v>
      </c>
      <c r="AE25" s="90"/>
    </row>
    <row r="26" spans="1:31" x14ac:dyDescent="0.25">
      <c r="A26" s="87">
        <v>0</v>
      </c>
      <c r="B26" s="87" t="e">
        <f>IF(Split=0,IF(OR(Demand!C49&gt;UCL,Demand!C49&lt;LCL),Demand!C49,NA()),IF(Split&gt;=P26,IF(OR(Demand!C49&gt;_UCL1,Demand!C49&lt;_LCL1),Demand!C49,NA()),IF(OR(Demand!C49&gt;_UCL2,Demand!C49&lt;_LCL2),Demand!C49,NA())))</f>
        <v>#N/A</v>
      </c>
      <c r="C26" s="87">
        <f>IF(Split=0,IF(Demand!C49&gt;Sigma2Plus,2,IF(Demand!C49&lt;Sigma2Minus,-2,IF(Demand!C49&lt;Mean,-1,1))),IF(Split&gt;=P26,IF(Demand!C49&gt;Sigma2Plus1,2,IF(Demand!C49&lt;Sigma2Minus1,-2,IF(Demand!C49&lt;Mean1,-1,1))),IF(Demand!C49&gt;Sigma2Plus2,2,IF(Demand!C49&lt;Sigma2Minus2,-2,IF(Demand!C49&lt;Mean2,-1,1)))))</f>
        <v>1</v>
      </c>
      <c r="D26" s="87" t="e">
        <f ca="1">IF(AND(ABS(SUM(C26:C28))&gt;4,P26&lt;ROWS(ReferralsRange)),Demand!C49,NA())</f>
        <v>#REF!</v>
      </c>
      <c r="E26" s="87">
        <f>IF(Split=0,IF(Demand!C49&gt;Sigma1Plus,2,IF(Demand!C49&lt;Sigma1Minus,-2,IF(Demand!C49&lt;Mean,-1,1))),IF(Split&gt;=P26,IF(Demand!C49&gt;Sigma1Plus1,2,IF(Demand!C49&lt;Sigma1Minus1,-2,IF(Demand!C49&lt;Mean1,-1,1))),IF(Demand!C49&gt;Sigma1Plus2,2,IF(Demand!C49&lt;Sigma1Minus2,-2,IF(Demand!C49&lt;Mean,-1,1)))))</f>
        <v>1</v>
      </c>
      <c r="F26" s="87" t="e">
        <f ca="1">IF(AND(ABS(SUM(E26:E30))&gt;8,P26&lt;ROWS(ReferralsRange)),Demand!C49,NA())</f>
        <v>#REF!</v>
      </c>
      <c r="G26" s="87">
        <f>IF(Split=0,IF(Demand!C49&gt;Mean,IF(G25&gt;=0,G25+1,0),IF(Demand!C49&lt;Mean,IF(G25&lt;=0,G25-1,0),0)),IF(Split&gt;=P25,IF(Demand!C49&gt;Mean1,IF(G25&gt;=0,G25+1,0),IF(Demand!C49&lt;Mean1,IF(G25&lt;=0,G25-1,0),0)),IF(Demand!C49&gt;Mean2,IF(G25&gt;=0,G25+1,0),IF(Demand!C49&lt;Mean2,IF(G25&lt;=0,G25-1,0),0))))</f>
        <v>0</v>
      </c>
      <c r="H26" s="87" t="e">
        <f ca="1">IF(AND(ABS(G34)=8,P26&lt;ROWS(ReferralsRange)),Demand!C49,NA())</f>
        <v>#REF!</v>
      </c>
      <c r="I26" s="87">
        <v>0</v>
      </c>
      <c r="J26" s="87">
        <v>0</v>
      </c>
      <c r="K26" s="87">
        <v>0</v>
      </c>
      <c r="L26" s="87">
        <v>0</v>
      </c>
      <c r="M26" s="87">
        <v>0</v>
      </c>
      <c r="N26" s="87">
        <v>0</v>
      </c>
      <c r="O26" s="87">
        <v>0</v>
      </c>
      <c r="P26" s="95">
        <f ca="1"/>
        <v>25</v>
      </c>
      <c r="AE26" s="90"/>
    </row>
    <row r="27" spans="1:31" x14ac:dyDescent="0.25">
      <c r="A27" s="87">
        <v>0</v>
      </c>
      <c r="B27" s="87" t="e">
        <f>IF(Split=0,IF(OR(Demand!C50&gt;UCL,Demand!C50&lt;LCL),Demand!C50,NA()),IF(Split&gt;=P27,IF(OR(Demand!C50&gt;_UCL1,Demand!C50&lt;_LCL1),Demand!C50,NA()),IF(OR(Demand!C50&gt;_UCL2,Demand!C50&lt;_LCL2),Demand!C50,NA())))</f>
        <v>#N/A</v>
      </c>
      <c r="C27" s="87">
        <f>IF(Split=0,IF(Demand!C50&gt;Sigma2Plus,2,IF(Demand!C50&lt;Sigma2Minus,-2,IF(Demand!C50&lt;Mean,-1,1))),IF(Split&gt;=P27,IF(Demand!C50&gt;Sigma2Plus1,2,IF(Demand!C50&lt;Sigma2Minus1,-2,IF(Demand!C50&lt;Mean1,-1,1))),IF(Demand!C50&gt;Sigma2Plus2,2,IF(Demand!C50&lt;Sigma2Minus2,-2,IF(Demand!C50&lt;Mean2,-1,1)))))</f>
        <v>1</v>
      </c>
      <c r="D27" s="87" t="e">
        <f ca="1">IF(AND(ABS(SUM(C27:C29))&gt;4,P27&lt;ROWS(ReferralsRange)),Demand!C50,NA())</f>
        <v>#REF!</v>
      </c>
      <c r="E27" s="87">
        <f>IF(Split=0,IF(Demand!C50&gt;Sigma1Plus,2,IF(Demand!C50&lt;Sigma1Minus,-2,IF(Demand!C50&lt;Mean,-1,1))),IF(Split&gt;=P27,IF(Demand!C50&gt;Sigma1Plus1,2,IF(Demand!C50&lt;Sigma1Minus1,-2,IF(Demand!C50&lt;Mean1,-1,1))),IF(Demand!C50&gt;Sigma1Plus2,2,IF(Demand!C50&lt;Sigma1Minus2,-2,IF(Demand!C50&lt;Mean,-1,1)))))</f>
        <v>1</v>
      </c>
      <c r="F27" s="87" t="e">
        <f ca="1">IF(AND(ABS(SUM(E27:E31))&gt;8,P27&lt;ROWS(ReferralsRange)),Demand!C50,NA())</f>
        <v>#REF!</v>
      </c>
      <c r="G27" s="87">
        <f>IF(Split=0,IF(Demand!C50&gt;Mean,IF(G26&gt;=0,G26+1,0),IF(Demand!C50&lt;Mean,IF(G26&lt;=0,G26-1,0),0)),IF(Split&gt;=P26,IF(Demand!C50&gt;Mean1,IF(G26&gt;=0,G26+1,0),IF(Demand!C50&lt;Mean1,IF(G26&lt;=0,G26-1,0),0)),IF(Demand!C50&gt;Mean2,IF(G26&gt;=0,G26+1,0),IF(Demand!C50&lt;Mean2,IF(G26&lt;=0,G26-1,0),0))))</f>
        <v>0</v>
      </c>
      <c r="H27" s="87" t="e">
        <f ca="1">IF(AND(ABS(G35)=8,P27&lt;ROWS(ReferralsRange)),Demand!C50,NA())</f>
        <v>#REF!</v>
      </c>
      <c r="I27" s="87">
        <v>0</v>
      </c>
      <c r="J27" s="87">
        <v>0</v>
      </c>
      <c r="K27" s="87">
        <v>0</v>
      </c>
      <c r="L27" s="87">
        <v>0</v>
      </c>
      <c r="M27" s="87">
        <v>0</v>
      </c>
      <c r="N27" s="87">
        <v>0</v>
      </c>
      <c r="O27" s="87">
        <v>0</v>
      </c>
      <c r="P27" s="95">
        <f ca="1"/>
        <v>26</v>
      </c>
      <c r="AE27" s="90"/>
    </row>
    <row r="28" spans="1:31" x14ac:dyDescent="0.25">
      <c r="A28" s="87">
        <v>0</v>
      </c>
      <c r="B28" s="87" t="e">
        <f>IF(Split=0,IF(OR(Demand!C51&gt;UCL,Demand!C51&lt;LCL),Demand!C51,NA()),IF(Split&gt;=P28,IF(OR(Demand!C51&gt;_UCL1,Demand!C51&lt;_LCL1),Demand!C51,NA()),IF(OR(Demand!C51&gt;_UCL2,Demand!C51&lt;_LCL2),Demand!C51,NA())))</f>
        <v>#N/A</v>
      </c>
      <c r="C28" s="87">
        <f>IF(Split=0,IF(Demand!C51&gt;Sigma2Plus,2,IF(Demand!C51&lt;Sigma2Minus,-2,IF(Demand!C51&lt;Mean,-1,1))),IF(Split&gt;=P28,IF(Demand!C51&gt;Sigma2Plus1,2,IF(Demand!C51&lt;Sigma2Minus1,-2,IF(Demand!C51&lt;Mean1,-1,1))),IF(Demand!C51&gt;Sigma2Plus2,2,IF(Demand!C51&lt;Sigma2Minus2,-2,IF(Demand!C51&lt;Mean2,-1,1)))))</f>
        <v>1</v>
      </c>
      <c r="D28" s="87" t="e">
        <f ca="1">IF(AND(ABS(SUM(C28:C30))&gt;4,P28&lt;ROWS(ReferralsRange)),Demand!C51,NA())</f>
        <v>#REF!</v>
      </c>
      <c r="E28" s="87">
        <f>IF(Split=0,IF(Demand!C51&gt;Sigma1Plus,2,IF(Demand!C51&lt;Sigma1Minus,-2,IF(Demand!C51&lt;Mean,-1,1))),IF(Split&gt;=P28,IF(Demand!C51&gt;Sigma1Plus1,2,IF(Demand!C51&lt;Sigma1Minus1,-2,IF(Demand!C51&lt;Mean1,-1,1))),IF(Demand!C51&gt;Sigma1Plus2,2,IF(Demand!C51&lt;Sigma1Minus2,-2,IF(Demand!C51&lt;Mean,-1,1)))))</f>
        <v>1</v>
      </c>
      <c r="F28" s="87" t="e">
        <f ca="1">IF(AND(ABS(SUM(E28:E32))&gt;8,P28&lt;ROWS(ReferralsRange)),Demand!C51,NA())</f>
        <v>#REF!</v>
      </c>
      <c r="G28" s="87">
        <f>IF(Split=0,IF(Demand!C51&gt;Mean,IF(G27&gt;=0,G27+1,0),IF(Demand!C51&lt;Mean,IF(G27&lt;=0,G27-1,0),0)),IF(Split&gt;=P27,IF(Demand!C51&gt;Mean1,IF(G27&gt;=0,G27+1,0),IF(Demand!C51&lt;Mean1,IF(G27&lt;=0,G27-1,0),0)),IF(Demand!C51&gt;Mean2,IF(G27&gt;=0,G27+1,0),IF(Demand!C51&lt;Mean2,IF(G27&lt;=0,G27-1,0),0))))</f>
        <v>0</v>
      </c>
      <c r="H28" s="87" t="e">
        <f ca="1">IF(AND(ABS(G36)=8,P28&lt;ROWS(ReferralsRange)),Demand!C51,NA())</f>
        <v>#REF!</v>
      </c>
      <c r="I28" s="87">
        <v>0</v>
      </c>
      <c r="J28" s="87">
        <v>0</v>
      </c>
      <c r="K28" s="87">
        <v>0</v>
      </c>
      <c r="L28" s="87">
        <v>0</v>
      </c>
      <c r="M28" s="87">
        <v>0</v>
      </c>
      <c r="N28" s="87">
        <v>0</v>
      </c>
      <c r="O28" s="87">
        <v>0</v>
      </c>
      <c r="P28" s="95">
        <f ca="1"/>
        <v>27</v>
      </c>
      <c r="AE28" s="90"/>
    </row>
    <row r="29" spans="1:31" x14ac:dyDescent="0.25">
      <c r="A29" s="87">
        <v>0</v>
      </c>
      <c r="B29" s="87" t="e">
        <f>IF(Split=0,IF(OR(Demand!C52&gt;UCL,Demand!C52&lt;LCL),Demand!C52,NA()),IF(Split&gt;=P29,IF(OR(Demand!C52&gt;_UCL1,Demand!C52&lt;_LCL1),Demand!C52,NA()),IF(OR(Demand!C52&gt;_UCL2,Demand!C52&lt;_LCL2),Demand!C52,NA())))</f>
        <v>#N/A</v>
      </c>
      <c r="C29" s="87">
        <f>IF(Split=0,IF(Demand!C52&gt;Sigma2Plus,2,IF(Demand!C52&lt;Sigma2Minus,-2,IF(Demand!C52&lt;Mean,-1,1))),IF(Split&gt;=P29,IF(Demand!C52&gt;Sigma2Plus1,2,IF(Demand!C52&lt;Sigma2Minus1,-2,IF(Demand!C52&lt;Mean1,-1,1))),IF(Demand!C52&gt;Sigma2Plus2,2,IF(Demand!C52&lt;Sigma2Minus2,-2,IF(Demand!C52&lt;Mean2,-1,1)))))</f>
        <v>1</v>
      </c>
      <c r="D29" s="87" t="e">
        <f ca="1">IF(AND(ABS(SUM(C29:C31))&gt;4,P29&lt;ROWS(ReferralsRange)),Demand!C52,NA())</f>
        <v>#REF!</v>
      </c>
      <c r="E29" s="87">
        <f>IF(Split=0,IF(Demand!C52&gt;Sigma1Plus,2,IF(Demand!C52&lt;Sigma1Minus,-2,IF(Demand!C52&lt;Mean,-1,1))),IF(Split&gt;=P29,IF(Demand!C52&gt;Sigma1Plus1,2,IF(Demand!C52&lt;Sigma1Minus1,-2,IF(Demand!C52&lt;Mean1,-1,1))),IF(Demand!C52&gt;Sigma1Plus2,2,IF(Demand!C52&lt;Sigma1Minus2,-2,IF(Demand!C52&lt;Mean,-1,1)))))</f>
        <v>1</v>
      </c>
      <c r="F29" s="87" t="e">
        <f ca="1">IF(AND(ABS(SUM(E29:E33))&gt;8,P29&lt;ROWS(ReferralsRange)),Demand!C52,NA())</f>
        <v>#REF!</v>
      </c>
      <c r="G29" s="87">
        <f>IF(Split=0,IF(Demand!C52&gt;Mean,IF(G28&gt;=0,G28+1,0),IF(Demand!C52&lt;Mean,IF(G28&lt;=0,G28-1,0),0)),IF(Split&gt;=P28,IF(Demand!C52&gt;Mean1,IF(G28&gt;=0,G28+1,0),IF(Demand!C52&lt;Mean1,IF(G28&lt;=0,G28-1,0),0)),IF(Demand!C52&gt;Mean2,IF(G28&gt;=0,G28+1,0),IF(Demand!C52&lt;Mean2,IF(G28&lt;=0,G28-1,0),0))))</f>
        <v>0</v>
      </c>
      <c r="H29" s="87" t="e">
        <f ca="1">IF(AND(ABS(G37)=8,P29&lt;ROWS(ReferralsRange)),Demand!C52,NA())</f>
        <v>#REF!</v>
      </c>
      <c r="I29" s="87">
        <v>0</v>
      </c>
      <c r="J29" s="87">
        <v>0</v>
      </c>
      <c r="K29" s="87">
        <v>0</v>
      </c>
      <c r="L29" s="87">
        <v>0</v>
      </c>
      <c r="M29" s="87">
        <v>0</v>
      </c>
      <c r="N29" s="87">
        <v>0</v>
      </c>
      <c r="O29" s="87">
        <v>0</v>
      </c>
      <c r="P29" s="95">
        <f ca="1"/>
        <v>28</v>
      </c>
      <c r="AE29" s="90"/>
    </row>
    <row r="30" spans="1:31" x14ac:dyDescent="0.25">
      <c r="A30" s="87">
        <v>0</v>
      </c>
      <c r="B30" s="87" t="e">
        <f>IF(Split=0,IF(OR(Demand!C53&gt;UCL,Demand!C53&lt;LCL),Demand!C53,NA()),IF(Split&gt;=P30,IF(OR(Demand!C53&gt;_UCL1,Demand!C53&lt;_LCL1),Demand!C53,NA()),IF(OR(Demand!C53&gt;_UCL2,Demand!C53&lt;_LCL2),Demand!C53,NA())))</f>
        <v>#N/A</v>
      </c>
      <c r="C30" s="87">
        <f>IF(Split=0,IF(Demand!C53&gt;Sigma2Plus,2,IF(Demand!C53&lt;Sigma2Minus,-2,IF(Demand!C53&lt;Mean,-1,1))),IF(Split&gt;=P30,IF(Demand!C53&gt;Sigma2Plus1,2,IF(Demand!C53&lt;Sigma2Minus1,-2,IF(Demand!C53&lt;Mean1,-1,1))),IF(Demand!C53&gt;Sigma2Plus2,2,IF(Demand!C53&lt;Sigma2Minus2,-2,IF(Demand!C53&lt;Mean2,-1,1)))))</f>
        <v>1</v>
      </c>
      <c r="D30" s="87" t="e">
        <f ca="1">IF(AND(ABS(SUM(C30:C32))&gt;4,P30&lt;ROWS(ReferralsRange)),Demand!C53,NA())</f>
        <v>#REF!</v>
      </c>
      <c r="E30" s="87">
        <f>IF(Split=0,IF(Demand!C53&gt;Sigma1Plus,2,IF(Demand!C53&lt;Sigma1Minus,-2,IF(Demand!C53&lt;Mean,-1,1))),IF(Split&gt;=P30,IF(Demand!C53&gt;Sigma1Plus1,2,IF(Demand!C53&lt;Sigma1Minus1,-2,IF(Demand!C53&lt;Mean1,-1,1))),IF(Demand!C53&gt;Sigma1Plus2,2,IF(Demand!C53&lt;Sigma1Minus2,-2,IF(Demand!C53&lt;Mean,-1,1)))))</f>
        <v>1</v>
      </c>
      <c r="F30" s="87" t="e">
        <f ca="1">IF(AND(ABS(SUM(E30:E34))&gt;8,P30&lt;ROWS(ReferralsRange)),Demand!C53,NA())</f>
        <v>#REF!</v>
      </c>
      <c r="G30" s="87">
        <f>IF(Split=0,IF(Demand!C53&gt;Mean,IF(G29&gt;=0,G29+1,0),IF(Demand!C53&lt;Mean,IF(G29&lt;=0,G29-1,0),0)),IF(Split&gt;=P29,IF(Demand!C53&gt;Mean1,IF(G29&gt;=0,G29+1,0),IF(Demand!C53&lt;Mean1,IF(G29&lt;=0,G29-1,0),0)),IF(Demand!C53&gt;Mean2,IF(G29&gt;=0,G29+1,0),IF(Demand!C53&lt;Mean2,IF(G29&lt;=0,G29-1,0),0))))</f>
        <v>0</v>
      </c>
      <c r="H30" s="87" t="e">
        <f ca="1">IF(AND(ABS(G38)=8,P30&lt;ROWS(ReferralsRange)),Demand!C53,NA())</f>
        <v>#REF!</v>
      </c>
      <c r="I30" s="87">
        <v>0</v>
      </c>
      <c r="J30" s="87">
        <v>0</v>
      </c>
      <c r="K30" s="87">
        <v>0</v>
      </c>
      <c r="L30" s="87">
        <v>0</v>
      </c>
      <c r="M30" s="87">
        <v>0</v>
      </c>
      <c r="N30" s="87">
        <v>0</v>
      </c>
      <c r="O30" s="87">
        <v>0</v>
      </c>
      <c r="P30" s="95">
        <f ca="1"/>
        <v>29</v>
      </c>
      <c r="AE30" s="90"/>
    </row>
    <row r="31" spans="1:31" x14ac:dyDescent="0.25">
      <c r="A31" s="87">
        <v>0</v>
      </c>
      <c r="B31" s="87" t="e">
        <f>IF(Split=0,IF(OR(Demand!C54&gt;UCL,Demand!C54&lt;LCL),Demand!C54,NA()),IF(Split&gt;=P31,IF(OR(Demand!C54&gt;_UCL1,Demand!C54&lt;_LCL1),Demand!C54,NA()),IF(OR(Demand!C54&gt;_UCL2,Demand!C54&lt;_LCL2),Demand!C54,NA())))</f>
        <v>#N/A</v>
      </c>
      <c r="C31" s="87">
        <f>IF(Split=0,IF(Demand!C54&gt;Sigma2Plus,2,IF(Demand!C54&lt;Sigma2Minus,-2,IF(Demand!C54&lt;Mean,-1,1))),IF(Split&gt;=P31,IF(Demand!C54&gt;Sigma2Plus1,2,IF(Demand!C54&lt;Sigma2Minus1,-2,IF(Demand!C54&lt;Mean1,-1,1))),IF(Demand!C54&gt;Sigma2Plus2,2,IF(Demand!C54&lt;Sigma2Minus2,-2,IF(Demand!C54&lt;Mean2,-1,1)))))</f>
        <v>1</v>
      </c>
      <c r="D31" s="87" t="e">
        <f ca="1">IF(AND(ABS(SUM(C31:C33))&gt;4,P31&lt;ROWS(ReferralsRange)),Demand!C54,NA())</f>
        <v>#REF!</v>
      </c>
      <c r="E31" s="87">
        <f>IF(Split=0,IF(Demand!C54&gt;Sigma1Plus,2,IF(Demand!C54&lt;Sigma1Minus,-2,IF(Demand!C54&lt;Mean,-1,1))),IF(Split&gt;=P31,IF(Demand!C54&gt;Sigma1Plus1,2,IF(Demand!C54&lt;Sigma1Minus1,-2,IF(Demand!C54&lt;Mean1,-1,1))),IF(Demand!C54&gt;Sigma1Plus2,2,IF(Demand!C54&lt;Sigma1Minus2,-2,IF(Demand!C54&lt;Mean,-1,1)))))</f>
        <v>1</v>
      </c>
      <c r="F31" s="87" t="e">
        <f ca="1">IF(AND(ABS(SUM(E31:E35))&gt;8,P31&lt;ROWS(ReferralsRange)),Demand!C54,NA())</f>
        <v>#REF!</v>
      </c>
      <c r="G31" s="87">
        <f>IF(Split=0,IF(Demand!C54&gt;Mean,IF(G30&gt;=0,G30+1,0),IF(Demand!C54&lt;Mean,IF(G30&lt;=0,G30-1,0),0)),IF(Split&gt;=P30,IF(Demand!C54&gt;Mean1,IF(G30&gt;=0,G30+1,0),IF(Demand!C54&lt;Mean1,IF(G30&lt;=0,G30-1,0),0)),IF(Demand!C54&gt;Mean2,IF(G30&gt;=0,G30+1,0),IF(Demand!C54&lt;Mean2,IF(G30&lt;=0,G30-1,0),0))))</f>
        <v>0</v>
      </c>
      <c r="H31" s="87" t="e">
        <f ca="1">IF(AND(ABS(G39)=8,P31&lt;ROWS(ReferralsRange)),Demand!C54,NA())</f>
        <v>#REF!</v>
      </c>
      <c r="I31" s="87">
        <v>0</v>
      </c>
      <c r="J31" s="87">
        <v>0</v>
      </c>
      <c r="K31" s="87">
        <v>0</v>
      </c>
      <c r="L31" s="87">
        <v>0</v>
      </c>
      <c r="M31" s="87">
        <v>0</v>
      </c>
      <c r="N31" s="87">
        <v>0</v>
      </c>
      <c r="O31" s="87">
        <v>0</v>
      </c>
      <c r="P31" s="95">
        <f ca="1"/>
        <v>30</v>
      </c>
      <c r="Q31" s="88" t="s">
        <v>325</v>
      </c>
      <c r="S31" s="89">
        <v>1</v>
      </c>
      <c r="T31" s="85" t="s">
        <v>320</v>
      </c>
      <c r="AE31" s="90"/>
    </row>
    <row r="32" spans="1:31" x14ac:dyDescent="0.25">
      <c r="A32" s="87">
        <v>0</v>
      </c>
      <c r="B32" s="87" t="e">
        <f>IF(Split=0,IF(OR(Demand!C55&gt;UCL,Demand!C55&lt;LCL),Demand!C55,NA()),IF(Split&gt;=P32,IF(OR(Demand!C55&gt;_UCL1,Demand!C55&lt;_LCL1),Demand!C55,NA()),IF(OR(Demand!C55&gt;_UCL2,Demand!C55&lt;_LCL2),Demand!C55,NA())))</f>
        <v>#N/A</v>
      </c>
      <c r="C32" s="87">
        <f>IF(Split=0,IF(Demand!C55&gt;Sigma2Plus,2,IF(Demand!C55&lt;Sigma2Minus,-2,IF(Demand!C55&lt;Mean,-1,1))),IF(Split&gt;=P32,IF(Demand!C55&gt;Sigma2Plus1,2,IF(Demand!C55&lt;Sigma2Minus1,-2,IF(Demand!C55&lt;Mean1,-1,1))),IF(Demand!C55&gt;Sigma2Plus2,2,IF(Demand!C55&lt;Sigma2Minus2,-2,IF(Demand!C55&lt;Mean2,-1,1)))))</f>
        <v>1</v>
      </c>
      <c r="D32" s="87" t="e">
        <f ca="1">IF(AND(ABS(SUM(C32:C34))&gt;4,P32&lt;ROWS(ReferralsRange)),Demand!C55,NA())</f>
        <v>#REF!</v>
      </c>
      <c r="E32" s="87">
        <f>IF(Split=0,IF(Demand!C55&gt;Sigma1Plus,2,IF(Demand!C55&lt;Sigma1Minus,-2,IF(Demand!C55&lt;Mean,-1,1))),IF(Split&gt;=P32,IF(Demand!C55&gt;Sigma1Plus1,2,IF(Demand!C55&lt;Sigma1Minus1,-2,IF(Demand!C55&lt;Mean1,-1,1))),IF(Demand!C55&gt;Sigma1Plus2,2,IF(Demand!C55&lt;Sigma1Minus2,-2,IF(Demand!C55&lt;Mean,-1,1)))))</f>
        <v>1</v>
      </c>
      <c r="F32" s="87" t="e">
        <f ca="1">IF(AND(ABS(SUM(E32:E36))&gt;8,P32&lt;ROWS(ReferralsRange)),Demand!C55,NA())</f>
        <v>#REF!</v>
      </c>
      <c r="G32" s="87">
        <f>IF(Split=0,IF(Demand!C55&gt;Mean,IF(G31&gt;=0,G31+1,0),IF(Demand!C55&lt;Mean,IF(G31&lt;=0,G31-1,0),0)),IF(Split&gt;=P31,IF(Demand!C55&gt;Mean1,IF(G31&gt;=0,G31+1,0),IF(Demand!C55&lt;Mean1,IF(G31&lt;=0,G31-1,0),0)),IF(Demand!C55&gt;Mean2,IF(G31&gt;=0,G31+1,0),IF(Demand!C55&lt;Mean2,IF(G31&lt;=0,G31-1,0),0))))</f>
        <v>0</v>
      </c>
      <c r="H32" s="87" t="e">
        <f ca="1">IF(AND(ABS(G40)=8,P32&lt;ROWS(ReferralsRange)),Demand!C55,NA())</f>
        <v>#REF!</v>
      </c>
      <c r="I32" s="87">
        <v>0</v>
      </c>
      <c r="J32" s="87">
        <v>0</v>
      </c>
      <c r="K32" s="87">
        <v>0</v>
      </c>
      <c r="L32" s="87">
        <v>0</v>
      </c>
      <c r="M32" s="87">
        <v>0</v>
      </c>
      <c r="N32" s="87">
        <v>0</v>
      </c>
      <c r="O32" s="87">
        <v>0</v>
      </c>
      <c r="P32" s="95">
        <f ca="1"/>
        <v>31</v>
      </c>
      <c r="T32" s="86" t="s">
        <v>321</v>
      </c>
      <c r="AE32" s="90"/>
    </row>
    <row r="33" spans="1:31" x14ac:dyDescent="0.25">
      <c r="A33" s="87">
        <v>0</v>
      </c>
      <c r="B33" s="87" t="e">
        <f>IF(Split=0,IF(OR(Demand!C56&gt;UCL,Demand!C56&lt;LCL),Demand!C56,NA()),IF(Split&gt;=P33,IF(OR(Demand!C56&gt;_UCL1,Demand!C56&lt;_LCL1),Demand!C56,NA()),IF(OR(Demand!C56&gt;_UCL2,Demand!C56&lt;_LCL2),Demand!C56,NA())))</f>
        <v>#N/A</v>
      </c>
      <c r="C33" s="87">
        <f>IF(Split=0,IF(Demand!C56&gt;Sigma2Plus,2,IF(Demand!C56&lt;Sigma2Minus,-2,IF(Demand!C56&lt;Mean,-1,1))),IF(Split&gt;=P33,IF(Demand!C56&gt;Sigma2Plus1,2,IF(Demand!C56&lt;Sigma2Minus1,-2,IF(Demand!C56&lt;Mean1,-1,1))),IF(Demand!C56&gt;Sigma2Plus2,2,IF(Demand!C56&lt;Sigma2Minus2,-2,IF(Demand!C56&lt;Mean2,-1,1)))))</f>
        <v>1</v>
      </c>
      <c r="D33" s="87" t="e">
        <f ca="1">IF(AND(ABS(SUM(C33:C35))&gt;4,P33&lt;ROWS(ReferralsRange)),Demand!C56,NA())</f>
        <v>#REF!</v>
      </c>
      <c r="E33" s="87">
        <f>IF(Split=0,IF(Demand!C56&gt;Sigma1Plus,2,IF(Demand!C56&lt;Sigma1Minus,-2,IF(Demand!C56&lt;Mean,-1,1))),IF(Split&gt;=P33,IF(Demand!C56&gt;Sigma1Plus1,2,IF(Demand!C56&lt;Sigma1Minus1,-2,IF(Demand!C56&lt;Mean1,-1,1))),IF(Demand!C56&gt;Sigma1Plus2,2,IF(Demand!C56&lt;Sigma1Minus2,-2,IF(Demand!C56&lt;Mean,-1,1)))))</f>
        <v>1</v>
      </c>
      <c r="F33" s="87" t="e">
        <f ca="1">IF(AND(ABS(SUM(E33:E37))&gt;8,P33&lt;ROWS(ReferralsRange)),Demand!C56,NA())</f>
        <v>#REF!</v>
      </c>
      <c r="G33" s="87">
        <f>IF(Split=0,IF(Demand!C56&gt;Mean,IF(G32&gt;=0,G32+1,0),IF(Demand!C56&lt;Mean,IF(G32&lt;=0,G32-1,0),0)),IF(Split&gt;=P32,IF(Demand!C56&gt;Mean1,IF(G32&gt;=0,G32+1,0),IF(Demand!C56&lt;Mean1,IF(G32&lt;=0,G32-1,0),0)),IF(Demand!C56&gt;Mean2,IF(G32&gt;=0,G32+1,0),IF(Demand!C56&lt;Mean2,IF(G32&lt;=0,G32-1,0),0))))</f>
        <v>0</v>
      </c>
      <c r="H33" s="87" t="e">
        <f ca="1">IF(AND(ABS(G41)=8,P33&lt;ROWS(ReferralsRange)),Demand!C56,NA())</f>
        <v>#REF!</v>
      </c>
      <c r="I33" s="87">
        <v>0</v>
      </c>
      <c r="J33" s="87">
        <v>0</v>
      </c>
      <c r="K33" s="87">
        <v>0</v>
      </c>
      <c r="L33" s="87">
        <v>0</v>
      </c>
      <c r="M33" s="87">
        <v>0</v>
      </c>
      <c r="N33" s="87">
        <v>0</v>
      </c>
      <c r="O33" s="87">
        <v>0</v>
      </c>
      <c r="P33" s="95">
        <f ca="1"/>
        <v>32</v>
      </c>
      <c r="T33" s="86" t="s">
        <v>322</v>
      </c>
      <c r="AE33" s="90"/>
    </row>
    <row r="34" spans="1:31" x14ac:dyDescent="0.25">
      <c r="A34" s="87">
        <v>0</v>
      </c>
      <c r="B34" s="87" t="e">
        <f>IF(Split=0,IF(OR(Demand!C57&gt;UCL,Demand!C57&lt;LCL),Demand!C57,NA()),IF(Split&gt;=P34,IF(OR(Demand!C57&gt;_UCL1,Demand!C57&lt;_LCL1),Demand!C57,NA()),IF(OR(Demand!C57&gt;_UCL2,Demand!C57&lt;_LCL2),Demand!C57,NA())))</f>
        <v>#N/A</v>
      </c>
      <c r="C34" s="87">
        <f>IF(Split=0,IF(Demand!C57&gt;Sigma2Plus,2,IF(Demand!C57&lt;Sigma2Minus,-2,IF(Demand!C57&lt;Mean,-1,1))),IF(Split&gt;=P34,IF(Demand!C57&gt;Sigma2Plus1,2,IF(Demand!C57&lt;Sigma2Minus1,-2,IF(Demand!C57&lt;Mean1,-1,1))),IF(Demand!C57&gt;Sigma2Plus2,2,IF(Demand!C57&lt;Sigma2Minus2,-2,IF(Demand!C57&lt;Mean2,-1,1)))))</f>
        <v>1</v>
      </c>
      <c r="D34" s="87" t="e">
        <f ca="1">IF(AND(ABS(SUM(C34:C36))&gt;4,P34&lt;ROWS(ReferralsRange)),Demand!C57,NA())</f>
        <v>#REF!</v>
      </c>
      <c r="E34" s="87">
        <f>IF(Split=0,IF(Demand!C57&gt;Sigma1Plus,2,IF(Demand!C57&lt;Sigma1Minus,-2,IF(Demand!C57&lt;Mean,-1,1))),IF(Split&gt;=P34,IF(Demand!C57&gt;Sigma1Plus1,2,IF(Demand!C57&lt;Sigma1Minus1,-2,IF(Demand!C57&lt;Mean1,-1,1))),IF(Demand!C57&gt;Sigma1Plus2,2,IF(Demand!C57&lt;Sigma1Minus2,-2,IF(Demand!C57&lt;Mean,-1,1)))))</f>
        <v>1</v>
      </c>
      <c r="F34" s="87" t="e">
        <f ca="1">IF(AND(ABS(SUM(E34:E38))&gt;8,P34&lt;ROWS(ReferralsRange)),Demand!C57,NA())</f>
        <v>#REF!</v>
      </c>
      <c r="G34" s="87">
        <f>IF(Split=0,IF(Demand!C57&gt;Mean,IF(G33&gt;=0,G33+1,0),IF(Demand!C57&lt;Mean,IF(G33&lt;=0,G33-1,0),0)),IF(Split&gt;=P33,IF(Demand!C57&gt;Mean1,IF(G33&gt;=0,G33+1,0),IF(Demand!C57&lt;Mean1,IF(G33&lt;=0,G33-1,0),0)),IF(Demand!C57&gt;Mean2,IF(G33&gt;=0,G33+1,0),IF(Demand!C57&lt;Mean2,IF(G33&lt;=0,G33-1,0),0))))</f>
        <v>0</v>
      </c>
      <c r="H34" s="87" t="e">
        <f ca="1">IF(AND(ABS(G42)=8,P34&lt;ROWS(ReferralsRange)),Demand!C57,NA())</f>
        <v>#REF!</v>
      </c>
      <c r="I34" s="87">
        <v>0</v>
      </c>
      <c r="J34" s="87">
        <v>0</v>
      </c>
      <c r="K34" s="87">
        <v>0</v>
      </c>
      <c r="L34" s="87">
        <v>0</v>
      </c>
      <c r="M34" s="87">
        <v>0</v>
      </c>
      <c r="N34" s="87">
        <v>0</v>
      </c>
      <c r="O34" s="87">
        <v>0</v>
      </c>
      <c r="P34" s="95">
        <f ca="1"/>
        <v>33</v>
      </c>
      <c r="T34" s="86" t="s">
        <v>323</v>
      </c>
      <c r="AE34" s="90"/>
    </row>
    <row r="35" spans="1:31" x14ac:dyDescent="0.25">
      <c r="A35" s="87">
        <v>0</v>
      </c>
      <c r="B35" s="87" t="e">
        <f>IF(Split=0,IF(OR(Demand!C58&gt;UCL,Demand!C58&lt;LCL),Demand!C58,NA()),IF(Split&gt;=P35,IF(OR(Demand!C58&gt;_UCL1,Demand!C58&lt;_LCL1),Demand!C58,NA()),IF(OR(Demand!C58&gt;_UCL2,Demand!C58&lt;_LCL2),Demand!C58,NA())))</f>
        <v>#N/A</v>
      </c>
      <c r="C35" s="87">
        <f>IF(Split=0,IF(Demand!C58&gt;Sigma2Plus,2,IF(Demand!C58&lt;Sigma2Minus,-2,IF(Demand!C58&lt;Mean,-1,1))),IF(Split&gt;=P35,IF(Demand!C58&gt;Sigma2Plus1,2,IF(Demand!C58&lt;Sigma2Minus1,-2,IF(Demand!C58&lt;Mean1,-1,1))),IF(Demand!C58&gt;Sigma2Plus2,2,IF(Demand!C58&lt;Sigma2Minus2,-2,IF(Demand!C58&lt;Mean2,-1,1)))))</f>
        <v>1</v>
      </c>
      <c r="D35" s="87" t="e">
        <f ca="1">IF(AND(ABS(SUM(C35:C37))&gt;4,P35&lt;ROWS(ReferralsRange)),Demand!C58,NA())</f>
        <v>#REF!</v>
      </c>
      <c r="E35" s="87">
        <f>IF(Split=0,IF(Demand!C58&gt;Sigma1Plus,2,IF(Demand!C58&lt;Sigma1Minus,-2,IF(Demand!C58&lt;Mean,-1,1))),IF(Split&gt;=P35,IF(Demand!C58&gt;Sigma1Plus1,2,IF(Demand!C58&lt;Sigma1Minus1,-2,IF(Demand!C58&lt;Mean1,-1,1))),IF(Demand!C58&gt;Sigma1Plus2,2,IF(Demand!C58&lt;Sigma1Minus2,-2,IF(Demand!C58&lt;Mean,-1,1)))))</f>
        <v>1</v>
      </c>
      <c r="F35" s="87" t="e">
        <f ca="1">IF(AND(ABS(SUM(E35:E39))&gt;8,P35&lt;ROWS(ReferralsRange)),Demand!C58,NA())</f>
        <v>#REF!</v>
      </c>
      <c r="G35" s="87">
        <f>IF(Split=0,IF(Demand!C58&gt;Mean,IF(G34&gt;=0,G34+1,0),IF(Demand!C58&lt;Mean,IF(G34&lt;=0,G34-1,0),0)),IF(Split&gt;=P34,IF(Demand!C58&gt;Mean1,IF(G34&gt;=0,G34+1,0),IF(Demand!C58&lt;Mean1,IF(G34&lt;=0,G34-1,0),0)),IF(Demand!C58&gt;Mean2,IF(G34&gt;=0,G34+1,0),IF(Demand!C58&lt;Mean2,IF(G34&lt;=0,G34-1,0),0))))</f>
        <v>0</v>
      </c>
      <c r="H35" s="87" t="e">
        <f ca="1">IF(AND(ABS(G43)=8,P35&lt;ROWS(ReferralsRange)),Demand!C58,NA())</f>
        <v>#REF!</v>
      </c>
      <c r="I35" s="87">
        <v>0</v>
      </c>
      <c r="J35" s="87">
        <v>0</v>
      </c>
      <c r="K35" s="87">
        <v>0</v>
      </c>
      <c r="L35" s="87">
        <v>0</v>
      </c>
      <c r="M35" s="87">
        <v>0</v>
      </c>
      <c r="N35" s="87">
        <v>0</v>
      </c>
      <c r="O35" s="87">
        <v>0</v>
      </c>
      <c r="P35" s="87">
        <f ca="1"/>
        <v>34</v>
      </c>
      <c r="Q35" s="93"/>
      <c r="T35" s="86" t="s">
        <v>324</v>
      </c>
      <c r="AE35" s="90"/>
    </row>
    <row r="36" spans="1:31" x14ac:dyDescent="0.25">
      <c r="A36" s="87">
        <v>0</v>
      </c>
      <c r="B36" s="87" t="e">
        <f>IF(Split=0,IF(OR(Demand!C59&gt;UCL,Demand!C59&lt;LCL),Demand!C59,NA()),IF(Split&gt;=P36,IF(OR(Demand!C59&gt;_UCL1,Demand!C59&lt;_LCL1),Demand!C59,NA()),IF(OR(Demand!C59&gt;_UCL2,Demand!C59&lt;_LCL2),Demand!C59,NA())))</f>
        <v>#N/A</v>
      </c>
      <c r="C36" s="87">
        <f>IF(Split=0,IF(Demand!C59&gt;Sigma2Plus,2,IF(Demand!C59&lt;Sigma2Minus,-2,IF(Demand!C59&lt;Mean,-1,1))),IF(Split&gt;=P36,IF(Demand!C59&gt;Sigma2Plus1,2,IF(Demand!C59&lt;Sigma2Minus1,-2,IF(Demand!C59&lt;Mean1,-1,1))),IF(Demand!C59&gt;Sigma2Plus2,2,IF(Demand!C59&lt;Sigma2Minus2,-2,IF(Demand!C59&lt;Mean2,-1,1)))))</f>
        <v>1</v>
      </c>
      <c r="D36" s="87" t="e">
        <f ca="1">IF(AND(ABS(SUM(C36:C38))&gt;4,P36&lt;ROWS(ReferralsRange)),Demand!C59,NA())</f>
        <v>#REF!</v>
      </c>
      <c r="E36" s="87">
        <f>IF(Split=0,IF(Demand!C59&gt;Sigma1Plus,2,IF(Demand!C59&lt;Sigma1Minus,-2,IF(Demand!C59&lt;Mean,-1,1))),IF(Split&gt;=P36,IF(Demand!C59&gt;Sigma1Plus1,2,IF(Demand!C59&lt;Sigma1Minus1,-2,IF(Demand!C59&lt;Mean1,-1,1))),IF(Demand!C59&gt;Sigma1Plus2,2,IF(Demand!C59&lt;Sigma1Minus2,-2,IF(Demand!C59&lt;Mean,-1,1)))))</f>
        <v>1</v>
      </c>
      <c r="F36" s="87" t="e">
        <f ca="1">IF(AND(ABS(SUM(E36:E40))&gt;8,P36&lt;ROWS(ReferralsRange)),Demand!C59,NA())</f>
        <v>#REF!</v>
      </c>
      <c r="G36" s="87">
        <f>IF(Split=0,IF(Demand!C59&gt;Mean,IF(G35&gt;=0,G35+1,0),IF(Demand!C59&lt;Mean,IF(G35&lt;=0,G35-1,0),0)),IF(Split&gt;=P35,IF(Demand!C59&gt;Mean1,IF(G35&gt;=0,G35+1,0),IF(Demand!C59&lt;Mean1,IF(G35&lt;=0,G35-1,0),0)),IF(Demand!C59&gt;Mean2,IF(G35&gt;=0,G35+1,0),IF(Demand!C59&lt;Mean2,IF(G35&lt;=0,G35-1,0),0))))</f>
        <v>0</v>
      </c>
      <c r="H36" s="87" t="e">
        <f ca="1">IF(AND(ABS(G44)=8,P36&lt;ROWS(ReferralsRange)),Demand!C59,NA())</f>
        <v>#REF!</v>
      </c>
      <c r="I36" s="87">
        <v>0</v>
      </c>
      <c r="J36" s="87">
        <v>0</v>
      </c>
      <c r="K36" s="87">
        <v>0</v>
      </c>
      <c r="L36" s="87">
        <v>0</v>
      </c>
      <c r="M36" s="87">
        <v>0</v>
      </c>
      <c r="N36" s="87">
        <v>0</v>
      </c>
      <c r="O36" s="87">
        <v>0</v>
      </c>
      <c r="P36" s="87">
        <f ca="1"/>
        <v>35</v>
      </c>
      <c r="Q36" s="94"/>
      <c r="R36" s="91"/>
      <c r="S36" s="91"/>
      <c r="T36" s="91"/>
      <c r="U36" s="91"/>
      <c r="V36" s="91"/>
      <c r="W36" s="91"/>
      <c r="X36" s="91"/>
      <c r="Y36" s="91"/>
      <c r="Z36" s="91"/>
      <c r="AA36" s="91"/>
      <c r="AB36" s="91"/>
      <c r="AC36" s="91"/>
      <c r="AD36" s="91"/>
      <c r="AE36" s="92"/>
    </row>
    <row r="37" spans="1:31" x14ac:dyDescent="0.25">
      <c r="A37" s="87">
        <v>0</v>
      </c>
      <c r="B37" s="87" t="e">
        <f>IF(Split=0,IF(OR(Demand!C60&gt;UCL,Demand!C60&lt;LCL),Demand!C60,NA()),IF(Split&gt;=P37,IF(OR(Demand!C60&gt;_UCL1,Demand!C60&lt;_LCL1),Demand!C60,NA()),IF(OR(Demand!C60&gt;_UCL2,Demand!C60&lt;_LCL2),Demand!C60,NA())))</f>
        <v>#N/A</v>
      </c>
      <c r="C37" s="87">
        <f>IF(Split=0,IF(Demand!C60&gt;Sigma2Plus,2,IF(Demand!C60&lt;Sigma2Minus,-2,IF(Demand!C60&lt;Mean,-1,1))),IF(Split&gt;=P37,IF(Demand!C60&gt;Sigma2Plus1,2,IF(Demand!C60&lt;Sigma2Minus1,-2,IF(Demand!C60&lt;Mean1,-1,1))),IF(Demand!C60&gt;Sigma2Plus2,2,IF(Demand!C60&lt;Sigma2Minus2,-2,IF(Demand!C60&lt;Mean2,-1,1)))))</f>
        <v>1</v>
      </c>
      <c r="D37" s="87" t="e">
        <f ca="1">IF(AND(ABS(SUM(C37:C39))&gt;4,P37&lt;ROWS(ReferralsRange)),Demand!C60,NA())</f>
        <v>#REF!</v>
      </c>
      <c r="E37" s="87">
        <f>IF(Split=0,IF(Demand!C60&gt;Sigma1Plus,2,IF(Demand!C60&lt;Sigma1Minus,-2,IF(Demand!C60&lt;Mean,-1,1))),IF(Split&gt;=P37,IF(Demand!C60&gt;Sigma1Plus1,2,IF(Demand!C60&lt;Sigma1Minus1,-2,IF(Demand!C60&lt;Mean1,-1,1))),IF(Demand!C60&gt;Sigma1Plus2,2,IF(Demand!C60&lt;Sigma1Minus2,-2,IF(Demand!C60&lt;Mean,-1,1)))))</f>
        <v>1</v>
      </c>
      <c r="F37" s="87" t="e">
        <f ca="1">IF(AND(ABS(SUM(E37:E41))&gt;8,P37&lt;ROWS(ReferralsRange)),Demand!C60,NA())</f>
        <v>#REF!</v>
      </c>
      <c r="G37" s="87">
        <f>IF(Split=0,IF(Demand!C60&gt;Mean,IF(G36&gt;=0,G36+1,0),IF(Demand!C60&lt;Mean,IF(G36&lt;=0,G36-1,0),0)),IF(Split&gt;=P36,IF(Demand!C60&gt;Mean1,IF(G36&gt;=0,G36+1,0),IF(Demand!C60&lt;Mean1,IF(G36&lt;=0,G36-1,0),0)),IF(Demand!C60&gt;Mean2,IF(G36&gt;=0,G36+1,0),IF(Demand!C60&lt;Mean2,IF(G36&lt;=0,G36-1,0),0))))</f>
        <v>0</v>
      </c>
      <c r="H37" s="87" t="e">
        <f ca="1">IF(AND(ABS(G45)=8,P37&lt;ROWS(ReferralsRange)),Demand!C60,NA())</f>
        <v>#REF!</v>
      </c>
      <c r="I37" s="87">
        <v>0</v>
      </c>
      <c r="J37" s="87">
        <v>0</v>
      </c>
      <c r="K37" s="87">
        <v>0</v>
      </c>
      <c r="L37" s="87">
        <v>0</v>
      </c>
      <c r="M37" s="87">
        <v>0</v>
      </c>
      <c r="N37" s="87">
        <v>0</v>
      </c>
      <c r="O37" s="87">
        <v>0</v>
      </c>
      <c r="P37" s="87">
        <f ca="1"/>
        <v>36</v>
      </c>
    </row>
    <row r="38" spans="1:31" x14ac:dyDescent="0.25">
      <c r="A38" s="87">
        <v>0</v>
      </c>
      <c r="B38" s="87" t="e">
        <f>IF(Split=0,IF(OR(Demand!C61&gt;UCL,Demand!C61&lt;LCL),Demand!C61,NA()),IF(Split&gt;=P38,IF(OR(Demand!C61&gt;_UCL1,Demand!C61&lt;_LCL1),Demand!C61,NA()),IF(OR(Demand!C61&gt;_UCL2,Demand!C61&lt;_LCL2),Demand!C61,NA())))</f>
        <v>#N/A</v>
      </c>
      <c r="C38" s="87">
        <f>IF(Split=0,IF(Demand!C61&gt;Sigma2Plus,2,IF(Demand!C61&lt;Sigma2Minus,-2,IF(Demand!C61&lt;Mean,-1,1))),IF(Split&gt;=P38,IF(Demand!C61&gt;Sigma2Plus1,2,IF(Demand!C61&lt;Sigma2Minus1,-2,IF(Demand!C61&lt;Mean1,-1,1))),IF(Demand!C61&gt;Sigma2Plus2,2,IF(Demand!C61&lt;Sigma2Minus2,-2,IF(Demand!C61&lt;Mean2,-1,1)))))</f>
        <v>1</v>
      </c>
      <c r="D38" s="87" t="e">
        <f ca="1">IF(AND(ABS(SUM(C38:C40))&gt;4,P38&lt;ROWS(ReferralsRange)),Demand!C61,NA())</f>
        <v>#REF!</v>
      </c>
      <c r="E38" s="87">
        <f>IF(Split=0,IF(Demand!C61&gt;Sigma1Plus,2,IF(Demand!C61&lt;Sigma1Minus,-2,IF(Demand!C61&lt;Mean,-1,1))),IF(Split&gt;=P38,IF(Demand!C61&gt;Sigma1Plus1,2,IF(Demand!C61&lt;Sigma1Minus1,-2,IF(Demand!C61&lt;Mean1,-1,1))),IF(Demand!C61&gt;Sigma1Plus2,2,IF(Demand!C61&lt;Sigma1Minus2,-2,IF(Demand!C61&lt;Mean,-1,1)))))</f>
        <v>1</v>
      </c>
      <c r="F38" s="87" t="e">
        <f ca="1">IF(AND(ABS(SUM(E38:E42))&gt;8,P38&lt;ROWS(ReferralsRange)),Demand!C61,NA())</f>
        <v>#REF!</v>
      </c>
      <c r="G38" s="87">
        <f>IF(Split=0,IF(Demand!C61&gt;Mean,IF(G37&gt;=0,G37+1,0),IF(Demand!C61&lt;Mean,IF(G37&lt;=0,G37-1,0),0)),IF(Split&gt;=P37,IF(Demand!C61&gt;Mean1,IF(G37&gt;=0,G37+1,0),IF(Demand!C61&lt;Mean1,IF(G37&lt;=0,G37-1,0),0)),IF(Demand!C61&gt;Mean2,IF(G37&gt;=0,G37+1,0),IF(Demand!C61&lt;Mean2,IF(G37&lt;=0,G37-1,0),0))))</f>
        <v>0</v>
      </c>
      <c r="H38" s="87" t="e">
        <f ca="1">IF(AND(ABS(G46)=8,P38&lt;ROWS(ReferralsRange)),Demand!C61,NA())</f>
        <v>#REF!</v>
      </c>
      <c r="I38" s="87">
        <v>0</v>
      </c>
      <c r="J38" s="87">
        <v>0</v>
      </c>
      <c r="K38" s="87">
        <v>0</v>
      </c>
      <c r="L38" s="87">
        <v>0</v>
      </c>
      <c r="M38" s="87">
        <v>0</v>
      </c>
      <c r="N38" s="87">
        <v>0</v>
      </c>
      <c r="O38" s="87">
        <v>0</v>
      </c>
      <c r="P38" s="87">
        <f ca="1"/>
        <v>37</v>
      </c>
    </row>
    <row r="39" spans="1:31" x14ac:dyDescent="0.25">
      <c r="A39" s="87">
        <v>0</v>
      </c>
      <c r="B39" s="87" t="e">
        <f>IF(Split=0,IF(OR(Demand!C62&gt;UCL,Demand!C62&lt;LCL),Demand!C62,NA()),IF(Split&gt;=P39,IF(OR(Demand!C62&gt;_UCL1,Demand!C62&lt;_LCL1),Demand!C62,NA()),IF(OR(Demand!C62&gt;_UCL2,Demand!C62&lt;_LCL2),Demand!C62,NA())))</f>
        <v>#N/A</v>
      </c>
      <c r="C39" s="87">
        <f>IF(Split=0,IF(Demand!C62&gt;Sigma2Plus,2,IF(Demand!C62&lt;Sigma2Minus,-2,IF(Demand!C62&lt;Mean,-1,1))),IF(Split&gt;=P39,IF(Demand!C62&gt;Sigma2Plus1,2,IF(Demand!C62&lt;Sigma2Minus1,-2,IF(Demand!C62&lt;Mean1,-1,1))),IF(Demand!C62&gt;Sigma2Plus2,2,IF(Demand!C62&lt;Sigma2Minus2,-2,IF(Demand!C62&lt;Mean2,-1,1)))))</f>
        <v>1</v>
      </c>
      <c r="D39" s="87" t="e">
        <f ca="1">IF(AND(ABS(SUM(C39:C41))&gt;4,P39&lt;ROWS(ReferralsRange)),Demand!C62,NA())</f>
        <v>#REF!</v>
      </c>
      <c r="E39" s="87">
        <f>IF(Split=0,IF(Demand!C62&gt;Sigma1Plus,2,IF(Demand!C62&lt;Sigma1Minus,-2,IF(Demand!C62&lt;Mean,-1,1))),IF(Split&gt;=P39,IF(Demand!C62&gt;Sigma1Plus1,2,IF(Demand!C62&lt;Sigma1Minus1,-2,IF(Demand!C62&lt;Mean1,-1,1))),IF(Demand!C62&gt;Sigma1Plus2,2,IF(Demand!C62&lt;Sigma1Minus2,-2,IF(Demand!C62&lt;Mean,-1,1)))))</f>
        <v>1</v>
      </c>
      <c r="F39" s="87" t="e">
        <f ca="1">IF(AND(ABS(SUM(E39:E43))&gt;8,P39&lt;ROWS(ReferralsRange)),Demand!C62,NA())</f>
        <v>#REF!</v>
      </c>
      <c r="G39" s="87">
        <f>IF(Split=0,IF(Demand!C62&gt;Mean,IF(G38&gt;=0,G38+1,0),IF(Demand!C62&lt;Mean,IF(G38&lt;=0,G38-1,0),0)),IF(Split&gt;=P38,IF(Demand!C62&gt;Mean1,IF(G38&gt;=0,G38+1,0),IF(Demand!C62&lt;Mean1,IF(G38&lt;=0,G38-1,0),0)),IF(Demand!C62&gt;Mean2,IF(G38&gt;=0,G38+1,0),IF(Demand!C62&lt;Mean2,IF(G38&lt;=0,G38-1,0),0))))</f>
        <v>0</v>
      </c>
      <c r="H39" s="87" t="e">
        <f ca="1">IF(AND(ABS(G47)=8,P39&lt;ROWS(ReferralsRange)),Demand!C62,NA())</f>
        <v>#REF!</v>
      </c>
      <c r="I39" s="87">
        <v>0</v>
      </c>
      <c r="J39" s="87">
        <v>0</v>
      </c>
      <c r="K39" s="87">
        <v>0</v>
      </c>
      <c r="L39" s="87">
        <v>0</v>
      </c>
      <c r="M39" s="87">
        <v>0</v>
      </c>
      <c r="N39" s="87">
        <v>0</v>
      </c>
      <c r="O39" s="87">
        <v>0</v>
      </c>
      <c r="P39" s="87">
        <f ca="1"/>
        <v>38</v>
      </c>
    </row>
    <row r="40" spans="1:31" x14ac:dyDescent="0.25">
      <c r="A40" s="87">
        <v>0</v>
      </c>
      <c r="B40" s="87" t="e">
        <f>IF(Split=0,IF(OR(Demand!C63&gt;UCL,Demand!C63&lt;LCL),Demand!C63,NA()),IF(Split&gt;=P40,IF(OR(Demand!C63&gt;_UCL1,Demand!C63&lt;_LCL1),Demand!C63,NA()),IF(OR(Demand!C63&gt;_UCL2,Demand!C63&lt;_LCL2),Demand!C63,NA())))</f>
        <v>#N/A</v>
      </c>
      <c r="C40" s="87">
        <f>IF(Split=0,IF(Demand!C63&gt;Sigma2Plus,2,IF(Demand!C63&lt;Sigma2Minus,-2,IF(Demand!C63&lt;Mean,-1,1))),IF(Split&gt;=P40,IF(Demand!C63&gt;Sigma2Plus1,2,IF(Demand!C63&lt;Sigma2Minus1,-2,IF(Demand!C63&lt;Mean1,-1,1))),IF(Demand!C63&gt;Sigma2Plus2,2,IF(Demand!C63&lt;Sigma2Minus2,-2,IF(Demand!C63&lt;Mean2,-1,1)))))</f>
        <v>1</v>
      </c>
      <c r="D40" s="87" t="e">
        <f ca="1">IF(AND(ABS(SUM(C40:C42))&gt;4,P40&lt;ROWS(ReferralsRange)),Demand!C63,NA())</f>
        <v>#REF!</v>
      </c>
      <c r="E40" s="87">
        <f>IF(Split=0,IF(Demand!C63&gt;Sigma1Plus,2,IF(Demand!C63&lt;Sigma1Minus,-2,IF(Demand!C63&lt;Mean,-1,1))),IF(Split&gt;=P40,IF(Demand!C63&gt;Sigma1Plus1,2,IF(Demand!C63&lt;Sigma1Minus1,-2,IF(Demand!C63&lt;Mean1,-1,1))),IF(Demand!C63&gt;Sigma1Plus2,2,IF(Demand!C63&lt;Sigma1Minus2,-2,IF(Demand!C63&lt;Mean,-1,1)))))</f>
        <v>1</v>
      </c>
      <c r="F40" s="87" t="e">
        <f ca="1">IF(AND(ABS(SUM(E40:E44))&gt;8,P40&lt;ROWS(ReferralsRange)),Demand!C63,NA())</f>
        <v>#REF!</v>
      </c>
      <c r="G40" s="87">
        <f>IF(Split=0,IF(Demand!C63&gt;Mean,IF(G39&gt;=0,G39+1,0),IF(Demand!C63&lt;Mean,IF(G39&lt;=0,G39-1,0),0)),IF(Split&gt;=P39,IF(Demand!C63&gt;Mean1,IF(G39&gt;=0,G39+1,0),IF(Demand!C63&lt;Mean1,IF(G39&lt;=0,G39-1,0),0)),IF(Demand!C63&gt;Mean2,IF(G39&gt;=0,G39+1,0),IF(Demand!C63&lt;Mean2,IF(G39&lt;=0,G39-1,0),0))))</f>
        <v>0</v>
      </c>
      <c r="H40" s="87" t="e">
        <f ca="1">IF(AND(ABS(G48)=8,P40&lt;ROWS(ReferralsRange)),Demand!C63,NA())</f>
        <v>#REF!</v>
      </c>
      <c r="I40" s="87">
        <v>0</v>
      </c>
      <c r="J40" s="87">
        <v>0</v>
      </c>
      <c r="K40" s="87">
        <v>0</v>
      </c>
      <c r="L40" s="87">
        <v>0</v>
      </c>
      <c r="M40" s="87">
        <v>0</v>
      </c>
      <c r="N40" s="87">
        <v>0</v>
      </c>
      <c r="O40" s="87">
        <v>0</v>
      </c>
      <c r="P40" s="87">
        <f ca="1"/>
        <v>39</v>
      </c>
    </row>
    <row r="41" spans="1:31" x14ac:dyDescent="0.25">
      <c r="A41" s="87">
        <v>0</v>
      </c>
      <c r="B41" s="87" t="e">
        <f>IF(Split=0,IF(OR(Demand!C64&gt;UCL,Demand!C64&lt;LCL),Demand!C64,NA()),IF(Split&gt;=P41,IF(OR(Demand!C64&gt;_UCL1,Demand!C64&lt;_LCL1),Demand!C64,NA()),IF(OR(Demand!C64&gt;_UCL2,Demand!C64&lt;_LCL2),Demand!C64,NA())))</f>
        <v>#N/A</v>
      </c>
      <c r="C41" s="87">
        <f>IF(Split=0,IF(Demand!C64&gt;Sigma2Plus,2,IF(Demand!C64&lt;Sigma2Minus,-2,IF(Demand!C64&lt;Mean,-1,1))),IF(Split&gt;=P41,IF(Demand!C64&gt;Sigma2Plus1,2,IF(Demand!C64&lt;Sigma2Minus1,-2,IF(Demand!C64&lt;Mean1,-1,1))),IF(Demand!C64&gt;Sigma2Plus2,2,IF(Demand!C64&lt;Sigma2Minus2,-2,IF(Demand!C64&lt;Mean2,-1,1)))))</f>
        <v>1</v>
      </c>
      <c r="D41" s="87" t="e">
        <f ca="1">IF(AND(ABS(SUM(C41:C43))&gt;4,P41&lt;ROWS(ReferralsRange)),Demand!C64,NA())</f>
        <v>#REF!</v>
      </c>
      <c r="E41" s="87">
        <f>IF(Split=0,IF(Demand!C64&gt;Sigma1Plus,2,IF(Demand!C64&lt;Sigma1Minus,-2,IF(Demand!C64&lt;Mean,-1,1))),IF(Split&gt;=P41,IF(Demand!C64&gt;Sigma1Plus1,2,IF(Demand!C64&lt;Sigma1Minus1,-2,IF(Demand!C64&lt;Mean1,-1,1))),IF(Demand!C64&gt;Sigma1Plus2,2,IF(Demand!C64&lt;Sigma1Minus2,-2,IF(Demand!C64&lt;Mean,-1,1)))))</f>
        <v>1</v>
      </c>
      <c r="F41" s="87" t="e">
        <f ca="1">IF(AND(ABS(SUM(E41:E45))&gt;8,P41&lt;ROWS(ReferralsRange)),Demand!C64,NA())</f>
        <v>#REF!</v>
      </c>
      <c r="G41" s="87">
        <f>IF(Split=0,IF(Demand!C64&gt;Mean,IF(G40&gt;=0,G40+1,0),IF(Demand!C64&lt;Mean,IF(G40&lt;=0,G40-1,0),0)),IF(Split&gt;=P40,IF(Demand!C64&gt;Mean1,IF(G40&gt;=0,G40+1,0),IF(Demand!C64&lt;Mean1,IF(G40&lt;=0,G40-1,0),0)),IF(Demand!C64&gt;Mean2,IF(G40&gt;=0,G40+1,0),IF(Demand!C64&lt;Mean2,IF(G40&lt;=0,G40-1,0),0))))</f>
        <v>0</v>
      </c>
      <c r="H41" s="87" t="e">
        <f ca="1">IF(AND(ABS(G49)=8,P41&lt;ROWS(ReferralsRange)),Demand!C64,NA())</f>
        <v>#REF!</v>
      </c>
      <c r="I41" s="87">
        <v>0</v>
      </c>
      <c r="J41" s="87">
        <v>0</v>
      </c>
      <c r="K41" s="87">
        <v>0</v>
      </c>
      <c r="L41" s="87">
        <v>0</v>
      </c>
      <c r="M41" s="87">
        <v>0</v>
      </c>
      <c r="N41" s="87">
        <v>0</v>
      </c>
      <c r="O41" s="87">
        <v>0</v>
      </c>
      <c r="P41" s="87">
        <f ca="1"/>
        <v>40</v>
      </c>
    </row>
    <row r="42" spans="1:31" x14ac:dyDescent="0.25">
      <c r="A42" s="87">
        <v>0</v>
      </c>
      <c r="B42" s="87" t="e">
        <f>IF(Split=0,IF(OR(Demand!C65&gt;UCL,Demand!C65&lt;LCL),Demand!C65,NA()),IF(Split&gt;=P42,IF(OR(Demand!C65&gt;_UCL1,Demand!C65&lt;_LCL1),Demand!C65,NA()),IF(OR(Demand!C65&gt;_UCL2,Demand!C65&lt;_LCL2),Demand!C65,NA())))</f>
        <v>#N/A</v>
      </c>
      <c r="C42" s="87">
        <f>IF(Split=0,IF(Demand!C65&gt;Sigma2Plus,2,IF(Demand!C65&lt;Sigma2Minus,-2,IF(Demand!C65&lt;Mean,-1,1))),IF(Split&gt;=P42,IF(Demand!C65&gt;Sigma2Plus1,2,IF(Demand!C65&lt;Sigma2Minus1,-2,IF(Demand!C65&lt;Mean1,-1,1))),IF(Demand!C65&gt;Sigma2Plus2,2,IF(Demand!C65&lt;Sigma2Minus2,-2,IF(Demand!C65&lt;Mean2,-1,1)))))</f>
        <v>1</v>
      </c>
      <c r="D42" s="87" t="e">
        <f ca="1">IF(AND(ABS(SUM(C42:C44))&gt;4,P42&lt;ROWS(ReferralsRange)),Demand!C65,NA())</f>
        <v>#REF!</v>
      </c>
      <c r="E42" s="87">
        <f>IF(Split=0,IF(Demand!C65&gt;Sigma1Plus,2,IF(Demand!C65&lt;Sigma1Minus,-2,IF(Demand!C65&lt;Mean,-1,1))),IF(Split&gt;=P42,IF(Demand!C65&gt;Sigma1Plus1,2,IF(Demand!C65&lt;Sigma1Minus1,-2,IF(Demand!C65&lt;Mean1,-1,1))),IF(Demand!C65&gt;Sigma1Plus2,2,IF(Demand!C65&lt;Sigma1Minus2,-2,IF(Demand!C65&lt;Mean,-1,1)))))</f>
        <v>1</v>
      </c>
      <c r="F42" s="87" t="e">
        <f ca="1">IF(AND(ABS(SUM(E42:E46))&gt;8,P42&lt;ROWS(ReferralsRange)),Demand!C65,NA())</f>
        <v>#REF!</v>
      </c>
      <c r="G42" s="87">
        <f>IF(Split=0,IF(Demand!C65&gt;Mean,IF(G41&gt;=0,G41+1,0),IF(Demand!C65&lt;Mean,IF(G41&lt;=0,G41-1,0),0)),IF(Split&gt;=P41,IF(Demand!C65&gt;Mean1,IF(G41&gt;=0,G41+1,0),IF(Demand!C65&lt;Mean1,IF(G41&lt;=0,G41-1,0),0)),IF(Demand!C65&gt;Mean2,IF(G41&gt;=0,G41+1,0),IF(Demand!C65&lt;Mean2,IF(G41&lt;=0,G41-1,0),0))))</f>
        <v>0</v>
      </c>
      <c r="H42" s="87" t="e">
        <f ca="1">IF(AND(ABS(G50)=8,P42&lt;ROWS(ReferralsRange)),Demand!C65,NA())</f>
        <v>#REF!</v>
      </c>
      <c r="I42" s="87">
        <v>0</v>
      </c>
      <c r="J42" s="87">
        <v>0</v>
      </c>
      <c r="K42" s="87">
        <v>0</v>
      </c>
      <c r="L42" s="87">
        <v>0</v>
      </c>
      <c r="M42" s="87">
        <v>0</v>
      </c>
      <c r="N42" s="87">
        <v>0</v>
      </c>
      <c r="O42" s="87">
        <v>0</v>
      </c>
      <c r="P42" s="87">
        <f ca="1"/>
        <v>41</v>
      </c>
    </row>
    <row r="43" spans="1:31" x14ac:dyDescent="0.25">
      <c r="A43" s="87">
        <v>0</v>
      </c>
      <c r="B43" s="87" t="e">
        <f>IF(Split=0,IF(OR(Demand!C66&gt;UCL,Demand!C66&lt;LCL),Demand!C66,NA()),IF(Split&gt;=P43,IF(OR(Demand!C66&gt;_UCL1,Demand!C66&lt;_LCL1),Demand!C66,NA()),IF(OR(Demand!C66&gt;_UCL2,Demand!C66&lt;_LCL2),Demand!C66,NA())))</f>
        <v>#N/A</v>
      </c>
      <c r="C43" s="87">
        <f>IF(Split=0,IF(Demand!C66&gt;Sigma2Plus,2,IF(Demand!C66&lt;Sigma2Minus,-2,IF(Demand!C66&lt;Mean,-1,1))),IF(Split&gt;=P43,IF(Demand!C66&gt;Sigma2Plus1,2,IF(Demand!C66&lt;Sigma2Minus1,-2,IF(Demand!C66&lt;Mean1,-1,1))),IF(Demand!C66&gt;Sigma2Plus2,2,IF(Demand!C66&lt;Sigma2Minus2,-2,IF(Demand!C66&lt;Mean2,-1,1)))))</f>
        <v>1</v>
      </c>
      <c r="D43" s="87" t="e">
        <f ca="1">IF(AND(ABS(SUM(C43:C45))&gt;4,P43&lt;ROWS(ReferralsRange)),Demand!C66,NA())</f>
        <v>#REF!</v>
      </c>
      <c r="E43" s="87">
        <f>IF(Split=0,IF(Demand!C66&gt;Sigma1Plus,2,IF(Demand!C66&lt;Sigma1Minus,-2,IF(Demand!C66&lt;Mean,-1,1))),IF(Split&gt;=P43,IF(Demand!C66&gt;Sigma1Plus1,2,IF(Demand!C66&lt;Sigma1Minus1,-2,IF(Demand!C66&lt;Mean1,-1,1))),IF(Demand!C66&gt;Sigma1Plus2,2,IF(Demand!C66&lt;Sigma1Minus2,-2,IF(Demand!C66&lt;Mean,-1,1)))))</f>
        <v>1</v>
      </c>
      <c r="F43" s="87" t="e">
        <f ca="1">IF(AND(ABS(SUM(E43:E47))&gt;8,P43&lt;ROWS(ReferralsRange)),Demand!C66,NA())</f>
        <v>#REF!</v>
      </c>
      <c r="G43" s="87">
        <f>IF(Split=0,IF(Demand!C66&gt;Mean,IF(G42&gt;=0,G42+1,0),IF(Demand!C66&lt;Mean,IF(G42&lt;=0,G42-1,0),0)),IF(Split&gt;=P42,IF(Demand!C66&gt;Mean1,IF(G42&gt;=0,G42+1,0),IF(Demand!C66&lt;Mean1,IF(G42&lt;=0,G42-1,0),0)),IF(Demand!C66&gt;Mean2,IF(G42&gt;=0,G42+1,0),IF(Demand!C66&lt;Mean2,IF(G42&lt;=0,G42-1,0),0))))</f>
        <v>0</v>
      </c>
      <c r="H43" s="87" t="e">
        <f ca="1">IF(AND(ABS(G51)=8,P43&lt;ROWS(ReferralsRange)),Demand!C66,NA())</f>
        <v>#REF!</v>
      </c>
      <c r="I43" s="87">
        <v>0</v>
      </c>
      <c r="J43" s="87">
        <v>0</v>
      </c>
      <c r="K43" s="87">
        <v>0</v>
      </c>
      <c r="L43" s="87">
        <v>0</v>
      </c>
      <c r="M43" s="87">
        <v>0</v>
      </c>
      <c r="N43" s="87">
        <v>0</v>
      </c>
      <c r="O43" s="87">
        <v>0</v>
      </c>
      <c r="P43" s="87">
        <f ca="1"/>
        <v>42</v>
      </c>
    </row>
    <row r="44" spans="1:31" x14ac:dyDescent="0.25">
      <c r="A44" s="87">
        <v>0</v>
      </c>
      <c r="B44" s="87" t="e">
        <f>IF(Split=0,IF(OR(Demand!C67&gt;UCL,Demand!C67&lt;LCL),Demand!C67,NA()),IF(Split&gt;=P44,IF(OR(Demand!C67&gt;_UCL1,Demand!C67&lt;_LCL1),Demand!C67,NA()),IF(OR(Demand!C67&gt;_UCL2,Demand!C67&lt;_LCL2),Demand!C67,NA())))</f>
        <v>#N/A</v>
      </c>
      <c r="C44" s="87">
        <f>IF(Split=0,IF(Demand!C67&gt;Sigma2Plus,2,IF(Demand!C67&lt;Sigma2Minus,-2,IF(Demand!C67&lt;Mean,-1,1))),IF(Split&gt;=P44,IF(Demand!C67&gt;Sigma2Plus1,2,IF(Demand!C67&lt;Sigma2Minus1,-2,IF(Demand!C67&lt;Mean1,-1,1))),IF(Demand!C67&gt;Sigma2Plus2,2,IF(Demand!C67&lt;Sigma2Minus2,-2,IF(Demand!C67&lt;Mean2,-1,1)))))</f>
        <v>1</v>
      </c>
      <c r="D44" s="87" t="e">
        <f ca="1">IF(AND(ABS(SUM(C44:C46))&gt;4,P44&lt;ROWS(ReferralsRange)),Demand!C67,NA())</f>
        <v>#REF!</v>
      </c>
      <c r="E44" s="87">
        <f>IF(Split=0,IF(Demand!C67&gt;Sigma1Plus,2,IF(Demand!C67&lt;Sigma1Minus,-2,IF(Demand!C67&lt;Mean,-1,1))),IF(Split&gt;=P44,IF(Demand!C67&gt;Sigma1Plus1,2,IF(Demand!C67&lt;Sigma1Minus1,-2,IF(Demand!C67&lt;Mean1,-1,1))),IF(Demand!C67&gt;Sigma1Plus2,2,IF(Demand!C67&lt;Sigma1Minus2,-2,IF(Demand!C67&lt;Mean,-1,1)))))</f>
        <v>1</v>
      </c>
      <c r="F44" s="87" t="e">
        <f ca="1">IF(AND(ABS(SUM(E44:E48))&gt;8,P44&lt;ROWS(ReferralsRange)),Demand!C67,NA())</f>
        <v>#REF!</v>
      </c>
      <c r="G44" s="87">
        <f>IF(Split=0,IF(Demand!C67&gt;Mean,IF(G43&gt;=0,G43+1,0),IF(Demand!C67&lt;Mean,IF(G43&lt;=0,G43-1,0),0)),IF(Split&gt;=P43,IF(Demand!C67&gt;Mean1,IF(G43&gt;=0,G43+1,0),IF(Demand!C67&lt;Mean1,IF(G43&lt;=0,G43-1,0),0)),IF(Demand!C67&gt;Mean2,IF(G43&gt;=0,G43+1,0),IF(Demand!C67&lt;Mean2,IF(G43&lt;=0,G43-1,0),0))))</f>
        <v>0</v>
      </c>
      <c r="H44" s="87" t="e">
        <f ca="1">IF(AND(ABS(G52)=8,P44&lt;ROWS(ReferralsRange)),Demand!C67,NA())</f>
        <v>#REF!</v>
      </c>
      <c r="I44" s="87">
        <v>0</v>
      </c>
      <c r="J44" s="87">
        <v>0</v>
      </c>
      <c r="K44" s="87">
        <v>0</v>
      </c>
      <c r="L44" s="87">
        <v>0</v>
      </c>
      <c r="M44" s="87">
        <v>0</v>
      </c>
      <c r="N44" s="87">
        <v>0</v>
      </c>
      <c r="O44" s="87">
        <v>0</v>
      </c>
      <c r="P44" s="87">
        <f ca="1"/>
        <v>43</v>
      </c>
    </row>
    <row r="45" spans="1:31" x14ac:dyDescent="0.25">
      <c r="A45" s="87">
        <v>0</v>
      </c>
      <c r="B45" s="87" t="e">
        <f>IF(Split=0,IF(OR(Demand!C68&gt;UCL,Demand!C68&lt;LCL),Demand!C68,NA()),IF(Split&gt;=P45,IF(OR(Demand!C68&gt;_UCL1,Demand!C68&lt;_LCL1),Demand!C68,NA()),IF(OR(Demand!C68&gt;_UCL2,Demand!C68&lt;_LCL2),Demand!C68,NA())))</f>
        <v>#N/A</v>
      </c>
      <c r="C45" s="87">
        <f>IF(Split=0,IF(Demand!C68&gt;Sigma2Plus,2,IF(Demand!C68&lt;Sigma2Minus,-2,IF(Demand!C68&lt;Mean,-1,1))),IF(Split&gt;=P45,IF(Demand!C68&gt;Sigma2Plus1,2,IF(Demand!C68&lt;Sigma2Minus1,-2,IF(Demand!C68&lt;Mean1,-1,1))),IF(Demand!C68&gt;Sigma2Plus2,2,IF(Demand!C68&lt;Sigma2Minus2,-2,IF(Demand!C68&lt;Mean2,-1,1)))))</f>
        <v>1</v>
      </c>
      <c r="D45" s="87" t="e">
        <f ca="1">IF(AND(ABS(SUM(C45:C47))&gt;4,P45&lt;ROWS(ReferralsRange)),Demand!C68,NA())</f>
        <v>#REF!</v>
      </c>
      <c r="E45" s="87">
        <f>IF(Split=0,IF(Demand!C68&gt;Sigma1Plus,2,IF(Demand!C68&lt;Sigma1Minus,-2,IF(Demand!C68&lt;Mean,-1,1))),IF(Split&gt;=P45,IF(Demand!C68&gt;Sigma1Plus1,2,IF(Demand!C68&lt;Sigma1Minus1,-2,IF(Demand!C68&lt;Mean1,-1,1))),IF(Demand!C68&gt;Sigma1Plus2,2,IF(Demand!C68&lt;Sigma1Minus2,-2,IF(Demand!C68&lt;Mean,-1,1)))))</f>
        <v>1</v>
      </c>
      <c r="F45" s="87" t="e">
        <f ca="1">IF(AND(ABS(SUM(E45:E49))&gt;8,P45&lt;ROWS(ReferralsRange)),Demand!C68,NA())</f>
        <v>#REF!</v>
      </c>
      <c r="G45" s="87">
        <f>IF(Split=0,IF(Demand!C68&gt;Mean,IF(G44&gt;=0,G44+1,0),IF(Demand!C68&lt;Mean,IF(G44&lt;=0,G44-1,0),0)),IF(Split&gt;=P44,IF(Demand!C68&gt;Mean1,IF(G44&gt;=0,G44+1,0),IF(Demand!C68&lt;Mean1,IF(G44&lt;=0,G44-1,0),0)),IF(Demand!C68&gt;Mean2,IF(G44&gt;=0,G44+1,0),IF(Demand!C68&lt;Mean2,IF(G44&lt;=0,G44-1,0),0))))</f>
        <v>0</v>
      </c>
      <c r="H45" s="87" t="e">
        <f ca="1">IF(AND(ABS(G53)=8,P45&lt;ROWS(ReferralsRange)),Demand!C68,NA())</f>
        <v>#REF!</v>
      </c>
      <c r="I45" s="87">
        <v>0</v>
      </c>
      <c r="J45" s="87">
        <v>0</v>
      </c>
      <c r="K45" s="87">
        <v>0</v>
      </c>
      <c r="L45" s="87">
        <v>0</v>
      </c>
      <c r="M45" s="87">
        <v>0</v>
      </c>
      <c r="N45" s="87">
        <v>0</v>
      </c>
      <c r="O45" s="87">
        <v>0</v>
      </c>
      <c r="P45" s="87">
        <f ca="1"/>
        <v>44</v>
      </c>
    </row>
    <row r="46" spans="1:31" x14ac:dyDescent="0.25">
      <c r="A46" s="87">
        <v>0</v>
      </c>
      <c r="B46" s="87" t="e">
        <f>IF(Split=0,IF(OR(Demand!C69&gt;UCL,Demand!C69&lt;LCL),Demand!C69,NA()),IF(Split&gt;=P46,IF(OR(Demand!C69&gt;_UCL1,Demand!C69&lt;_LCL1),Demand!C69,NA()),IF(OR(Demand!C69&gt;_UCL2,Demand!C69&lt;_LCL2),Demand!C69,NA())))</f>
        <v>#N/A</v>
      </c>
      <c r="C46" s="87">
        <f>IF(Split=0,IF(Demand!C69&gt;Sigma2Plus,2,IF(Demand!C69&lt;Sigma2Minus,-2,IF(Demand!C69&lt;Mean,-1,1))),IF(Split&gt;=P46,IF(Demand!C69&gt;Sigma2Plus1,2,IF(Demand!C69&lt;Sigma2Minus1,-2,IF(Demand!C69&lt;Mean1,-1,1))),IF(Demand!C69&gt;Sigma2Plus2,2,IF(Demand!C69&lt;Sigma2Minus2,-2,IF(Demand!C69&lt;Mean2,-1,1)))))</f>
        <v>1</v>
      </c>
      <c r="D46" s="87" t="e">
        <f ca="1">IF(AND(ABS(SUM(C46:C48))&gt;4,P46&lt;ROWS(ReferralsRange)),Demand!C69,NA())</f>
        <v>#REF!</v>
      </c>
      <c r="E46" s="87">
        <f>IF(Split=0,IF(Demand!C69&gt;Sigma1Plus,2,IF(Demand!C69&lt;Sigma1Minus,-2,IF(Demand!C69&lt;Mean,-1,1))),IF(Split&gt;=P46,IF(Demand!C69&gt;Sigma1Plus1,2,IF(Demand!C69&lt;Sigma1Minus1,-2,IF(Demand!C69&lt;Mean1,-1,1))),IF(Demand!C69&gt;Sigma1Plus2,2,IF(Demand!C69&lt;Sigma1Minus2,-2,IF(Demand!C69&lt;Mean,-1,1)))))</f>
        <v>1</v>
      </c>
      <c r="F46" s="87" t="e">
        <f ca="1">IF(AND(ABS(SUM(E46:E50))&gt;8,P46&lt;ROWS(ReferralsRange)),Demand!C69,NA())</f>
        <v>#REF!</v>
      </c>
      <c r="G46" s="87">
        <f>IF(Split=0,IF(Demand!C69&gt;Mean,IF(G45&gt;=0,G45+1,0),IF(Demand!C69&lt;Mean,IF(G45&lt;=0,G45-1,0),0)),IF(Split&gt;=P45,IF(Demand!C69&gt;Mean1,IF(G45&gt;=0,G45+1,0),IF(Demand!C69&lt;Mean1,IF(G45&lt;=0,G45-1,0),0)),IF(Demand!C69&gt;Mean2,IF(G45&gt;=0,G45+1,0),IF(Demand!C69&lt;Mean2,IF(G45&lt;=0,G45-1,0),0))))</f>
        <v>0</v>
      </c>
      <c r="H46" s="87" t="e">
        <f ca="1">IF(AND(ABS(G54)=8,P46&lt;ROWS(ReferralsRange)),Demand!C69,NA())</f>
        <v>#REF!</v>
      </c>
      <c r="I46" s="87">
        <v>0</v>
      </c>
      <c r="J46" s="87">
        <v>0</v>
      </c>
      <c r="K46" s="87">
        <v>0</v>
      </c>
      <c r="L46" s="87">
        <v>0</v>
      </c>
      <c r="M46" s="87">
        <v>0</v>
      </c>
      <c r="N46" s="87">
        <v>0</v>
      </c>
      <c r="O46" s="87">
        <v>0</v>
      </c>
      <c r="P46" s="87">
        <f ca="1"/>
        <v>45</v>
      </c>
    </row>
    <row r="47" spans="1:31" x14ac:dyDescent="0.25">
      <c r="A47" s="87">
        <v>0</v>
      </c>
      <c r="B47" s="87" t="e">
        <f>IF(Split=0,IF(OR(Demand!C70&gt;UCL,Demand!C70&lt;LCL),Demand!C70,NA()),IF(Split&gt;=P47,IF(OR(Demand!C70&gt;_UCL1,Demand!C70&lt;_LCL1),Demand!C70,NA()),IF(OR(Demand!C70&gt;_UCL2,Demand!C70&lt;_LCL2),Demand!C70,NA())))</f>
        <v>#N/A</v>
      </c>
      <c r="C47" s="87">
        <f>IF(Split=0,IF(Demand!C70&gt;Sigma2Plus,2,IF(Demand!C70&lt;Sigma2Minus,-2,IF(Demand!C70&lt;Mean,-1,1))),IF(Split&gt;=P47,IF(Demand!C70&gt;Sigma2Plus1,2,IF(Demand!C70&lt;Sigma2Minus1,-2,IF(Demand!C70&lt;Mean1,-1,1))),IF(Demand!C70&gt;Sigma2Plus2,2,IF(Demand!C70&lt;Sigma2Minus2,-2,IF(Demand!C70&lt;Mean2,-1,1)))))</f>
        <v>1</v>
      </c>
      <c r="D47" s="87" t="e">
        <f ca="1">IF(AND(ABS(SUM(C47:C49))&gt;4,P47&lt;ROWS(ReferralsRange)),Demand!C70,NA())</f>
        <v>#REF!</v>
      </c>
      <c r="E47" s="87">
        <f>IF(Split=0,IF(Demand!C70&gt;Sigma1Plus,2,IF(Demand!C70&lt;Sigma1Minus,-2,IF(Demand!C70&lt;Mean,-1,1))),IF(Split&gt;=P47,IF(Demand!C70&gt;Sigma1Plus1,2,IF(Demand!C70&lt;Sigma1Minus1,-2,IF(Demand!C70&lt;Mean1,-1,1))),IF(Demand!C70&gt;Sigma1Plus2,2,IF(Demand!C70&lt;Sigma1Minus2,-2,IF(Demand!C70&lt;Mean,-1,1)))))</f>
        <v>1</v>
      </c>
      <c r="F47" s="87" t="e">
        <f ca="1">IF(AND(ABS(SUM(E47:E51))&gt;8,P47&lt;ROWS(ReferralsRange)),Demand!C70,NA())</f>
        <v>#REF!</v>
      </c>
      <c r="G47" s="87">
        <f>IF(Split=0,IF(Demand!C70&gt;Mean,IF(G46&gt;=0,G46+1,0),IF(Demand!C70&lt;Mean,IF(G46&lt;=0,G46-1,0),0)),IF(Split&gt;=P46,IF(Demand!C70&gt;Mean1,IF(G46&gt;=0,G46+1,0),IF(Demand!C70&lt;Mean1,IF(G46&lt;=0,G46-1,0),0)),IF(Demand!C70&gt;Mean2,IF(G46&gt;=0,G46+1,0),IF(Demand!C70&lt;Mean2,IF(G46&lt;=0,G46-1,0),0))))</f>
        <v>0</v>
      </c>
      <c r="H47" s="87" t="e">
        <f ca="1">IF(AND(ABS(G55)=8,P47&lt;ROWS(ReferralsRange)),Demand!C70,NA())</f>
        <v>#REF!</v>
      </c>
      <c r="I47" s="87">
        <v>0</v>
      </c>
      <c r="J47" s="87">
        <v>0</v>
      </c>
      <c r="K47" s="87">
        <v>0</v>
      </c>
      <c r="L47" s="87">
        <v>0</v>
      </c>
      <c r="M47" s="87">
        <v>0</v>
      </c>
      <c r="N47" s="87">
        <v>0</v>
      </c>
      <c r="O47" s="87">
        <v>0</v>
      </c>
      <c r="P47" s="87">
        <f ca="1"/>
        <v>46</v>
      </c>
    </row>
    <row r="48" spans="1:31" x14ac:dyDescent="0.25">
      <c r="A48" s="87">
        <v>0</v>
      </c>
      <c r="B48" s="87" t="e">
        <f>IF(Split=0,IF(OR(Demand!C71&gt;UCL,Demand!C71&lt;LCL),Demand!C71,NA()),IF(Split&gt;=P48,IF(OR(Demand!C71&gt;_UCL1,Demand!C71&lt;_LCL1),Demand!C71,NA()),IF(OR(Demand!C71&gt;_UCL2,Demand!C71&lt;_LCL2),Demand!C71,NA())))</f>
        <v>#N/A</v>
      </c>
      <c r="C48" s="87">
        <f>IF(Split=0,IF(Demand!C71&gt;Sigma2Plus,2,IF(Demand!C71&lt;Sigma2Minus,-2,IF(Demand!C71&lt;Mean,-1,1))),IF(Split&gt;=P48,IF(Demand!C71&gt;Sigma2Plus1,2,IF(Demand!C71&lt;Sigma2Minus1,-2,IF(Demand!C71&lt;Mean1,-1,1))),IF(Demand!C71&gt;Sigma2Plus2,2,IF(Demand!C71&lt;Sigma2Minus2,-2,IF(Demand!C71&lt;Mean2,-1,1)))))</f>
        <v>1</v>
      </c>
      <c r="D48" s="87" t="e">
        <f ca="1">IF(AND(ABS(SUM(C48:C50))&gt;4,P48&lt;ROWS(ReferralsRange)),Demand!C71,NA())</f>
        <v>#REF!</v>
      </c>
      <c r="E48" s="87">
        <f>IF(Split=0,IF(Demand!C71&gt;Sigma1Plus,2,IF(Demand!C71&lt;Sigma1Minus,-2,IF(Demand!C71&lt;Mean,-1,1))),IF(Split&gt;=P48,IF(Demand!C71&gt;Sigma1Plus1,2,IF(Demand!C71&lt;Sigma1Minus1,-2,IF(Demand!C71&lt;Mean1,-1,1))),IF(Demand!C71&gt;Sigma1Plus2,2,IF(Demand!C71&lt;Sigma1Minus2,-2,IF(Demand!C71&lt;Mean,-1,1)))))</f>
        <v>1</v>
      </c>
      <c r="F48" s="87" t="e">
        <f ca="1">IF(AND(ABS(SUM(E48:E52))&gt;8,P48&lt;ROWS(ReferralsRange)),Demand!C71,NA())</f>
        <v>#REF!</v>
      </c>
      <c r="G48" s="87">
        <f>IF(Split=0,IF(Demand!C71&gt;Mean,IF(G47&gt;=0,G47+1,0),IF(Demand!C71&lt;Mean,IF(G47&lt;=0,G47-1,0),0)),IF(Split&gt;=P47,IF(Demand!C71&gt;Mean1,IF(G47&gt;=0,G47+1,0),IF(Demand!C71&lt;Mean1,IF(G47&lt;=0,G47-1,0),0)),IF(Demand!C71&gt;Mean2,IF(G47&gt;=0,G47+1,0),IF(Demand!C71&lt;Mean2,IF(G47&lt;=0,G47-1,0),0))))</f>
        <v>0</v>
      </c>
      <c r="H48" s="87" t="e">
        <f ca="1">IF(AND(ABS(G56)=8,P48&lt;ROWS(ReferralsRange)),Demand!C71,NA())</f>
        <v>#REF!</v>
      </c>
      <c r="I48" s="87">
        <v>0</v>
      </c>
      <c r="J48" s="87">
        <v>0</v>
      </c>
      <c r="K48" s="87">
        <v>0</v>
      </c>
      <c r="L48" s="87">
        <v>0</v>
      </c>
      <c r="M48" s="87">
        <v>0</v>
      </c>
      <c r="N48" s="87">
        <v>0</v>
      </c>
      <c r="O48" s="87">
        <v>0</v>
      </c>
      <c r="P48" s="87">
        <f ca="1"/>
        <v>47</v>
      </c>
    </row>
    <row r="49" spans="1:16" x14ac:dyDescent="0.25">
      <c r="A49" s="87">
        <v>0</v>
      </c>
      <c r="B49" s="87" t="e">
        <f>IF(Split=0,IF(OR(Demand!C72&gt;UCL,Demand!C72&lt;LCL),Demand!C72,NA()),IF(Split&gt;=P49,IF(OR(Demand!C72&gt;_UCL1,Demand!C72&lt;_LCL1),Demand!C72,NA()),IF(OR(Demand!C72&gt;_UCL2,Demand!C72&lt;_LCL2),Demand!C72,NA())))</f>
        <v>#N/A</v>
      </c>
      <c r="C49" s="87">
        <f>IF(Split=0,IF(Demand!C72&gt;Sigma2Plus,2,IF(Demand!C72&lt;Sigma2Minus,-2,IF(Demand!C72&lt;Mean,-1,1))),IF(Split&gt;=P49,IF(Demand!C72&gt;Sigma2Plus1,2,IF(Demand!C72&lt;Sigma2Minus1,-2,IF(Demand!C72&lt;Mean1,-1,1))),IF(Demand!C72&gt;Sigma2Plus2,2,IF(Demand!C72&lt;Sigma2Minus2,-2,IF(Demand!C72&lt;Mean2,-1,1)))))</f>
        <v>1</v>
      </c>
      <c r="D49" s="87" t="e">
        <f ca="1">IF(AND(ABS(SUM(C49:C51))&gt;4,P49&lt;ROWS(ReferralsRange)),Demand!C72,NA())</f>
        <v>#REF!</v>
      </c>
      <c r="E49" s="87">
        <f>IF(Split=0,IF(Demand!C72&gt;Sigma1Plus,2,IF(Demand!C72&lt;Sigma1Minus,-2,IF(Demand!C72&lt;Mean,-1,1))),IF(Split&gt;=P49,IF(Demand!C72&gt;Sigma1Plus1,2,IF(Demand!C72&lt;Sigma1Minus1,-2,IF(Demand!C72&lt;Mean1,-1,1))),IF(Demand!C72&gt;Sigma1Plus2,2,IF(Demand!C72&lt;Sigma1Minus2,-2,IF(Demand!C72&lt;Mean,-1,1)))))</f>
        <v>1</v>
      </c>
      <c r="F49" s="87" t="e">
        <f ca="1">IF(AND(ABS(SUM(E49:E53))&gt;8,P49&lt;ROWS(ReferralsRange)),Demand!C72,NA())</f>
        <v>#REF!</v>
      </c>
      <c r="G49" s="87">
        <f>IF(Split=0,IF(Demand!C72&gt;Mean,IF(G48&gt;=0,G48+1,0),IF(Demand!C72&lt;Mean,IF(G48&lt;=0,G48-1,0),0)),IF(Split&gt;=P48,IF(Demand!C72&gt;Mean1,IF(G48&gt;=0,G48+1,0),IF(Demand!C72&lt;Mean1,IF(G48&lt;=0,G48-1,0),0)),IF(Demand!C72&gt;Mean2,IF(G48&gt;=0,G48+1,0),IF(Demand!C72&lt;Mean2,IF(G48&lt;=0,G48-1,0),0))))</f>
        <v>0</v>
      </c>
      <c r="H49" s="87" t="e">
        <f ca="1">IF(AND(ABS(G57)=8,P49&lt;ROWS(ReferralsRange)),Demand!C72,NA())</f>
        <v>#REF!</v>
      </c>
      <c r="I49" s="87">
        <v>0</v>
      </c>
      <c r="J49" s="87">
        <v>0</v>
      </c>
      <c r="K49" s="87">
        <v>0</v>
      </c>
      <c r="L49" s="87">
        <v>0</v>
      </c>
      <c r="M49" s="87">
        <v>0</v>
      </c>
      <c r="N49" s="87">
        <v>0</v>
      </c>
      <c r="O49" s="87">
        <v>0</v>
      </c>
      <c r="P49" s="87">
        <f ca="1"/>
        <v>48</v>
      </c>
    </row>
    <row r="50" spans="1:16" x14ac:dyDescent="0.25">
      <c r="A50" s="87">
        <v>0</v>
      </c>
      <c r="B50" s="87" t="e">
        <f>IF(Split=0,IF(OR(Demand!C73&gt;UCL,Demand!C73&lt;LCL),Demand!C73,NA()),IF(Split&gt;=P50,IF(OR(Demand!C73&gt;_UCL1,Demand!C73&lt;_LCL1),Demand!C73,NA()),IF(OR(Demand!C73&gt;_UCL2,Demand!C73&lt;_LCL2),Demand!C73,NA())))</f>
        <v>#N/A</v>
      </c>
      <c r="C50" s="87">
        <f>IF(Split=0,IF(Demand!C73&gt;Sigma2Plus,2,IF(Demand!C73&lt;Sigma2Minus,-2,IF(Demand!C73&lt;Mean,-1,1))),IF(Split&gt;=P50,IF(Demand!C73&gt;Sigma2Plus1,2,IF(Demand!C73&lt;Sigma2Minus1,-2,IF(Demand!C73&lt;Mean1,-1,1))),IF(Demand!C73&gt;Sigma2Plus2,2,IF(Demand!C73&lt;Sigma2Minus2,-2,IF(Demand!C73&lt;Mean2,-1,1)))))</f>
        <v>1</v>
      </c>
      <c r="D50" s="87" t="e">
        <f ca="1">IF(AND(ABS(SUM(C50:C52))&gt;4,P50&lt;ROWS(ReferralsRange)),Demand!C73,NA())</f>
        <v>#REF!</v>
      </c>
      <c r="E50" s="87">
        <f>IF(Split=0,IF(Demand!C73&gt;Sigma1Plus,2,IF(Demand!C73&lt;Sigma1Minus,-2,IF(Demand!C73&lt;Mean,-1,1))),IF(Split&gt;=P50,IF(Demand!C73&gt;Sigma1Plus1,2,IF(Demand!C73&lt;Sigma1Minus1,-2,IF(Demand!C73&lt;Mean1,-1,1))),IF(Demand!C73&gt;Sigma1Plus2,2,IF(Demand!C73&lt;Sigma1Minus2,-2,IF(Demand!C73&lt;Mean,-1,1)))))</f>
        <v>1</v>
      </c>
      <c r="F50" s="87" t="e">
        <f ca="1">IF(AND(ABS(SUM(E50:E54))&gt;8,P50&lt;ROWS(ReferralsRange)),Demand!C73,NA())</f>
        <v>#REF!</v>
      </c>
      <c r="G50" s="87">
        <f>IF(Split=0,IF(Demand!C73&gt;Mean,IF(G49&gt;=0,G49+1,0),IF(Demand!C73&lt;Mean,IF(G49&lt;=0,G49-1,0),0)),IF(Split&gt;=P49,IF(Demand!C73&gt;Mean1,IF(G49&gt;=0,G49+1,0),IF(Demand!C73&lt;Mean1,IF(G49&lt;=0,G49-1,0),0)),IF(Demand!C73&gt;Mean2,IF(G49&gt;=0,G49+1,0),IF(Demand!C73&lt;Mean2,IF(G49&lt;=0,G49-1,0),0))))</f>
        <v>0</v>
      </c>
      <c r="H50" s="87" t="e">
        <f ca="1">IF(AND(ABS(G58)=8,P50&lt;ROWS(ReferralsRange)),Demand!C73,NA())</f>
        <v>#REF!</v>
      </c>
      <c r="I50" s="87">
        <v>0</v>
      </c>
      <c r="J50" s="87">
        <v>0</v>
      </c>
      <c r="K50" s="87">
        <v>0</v>
      </c>
      <c r="L50" s="87">
        <v>0</v>
      </c>
      <c r="M50" s="87">
        <v>0</v>
      </c>
      <c r="N50" s="87">
        <v>0</v>
      </c>
      <c r="O50" s="87">
        <v>0</v>
      </c>
      <c r="P50" s="87">
        <f ca="1"/>
        <v>49</v>
      </c>
    </row>
    <row r="51" spans="1:16" x14ac:dyDescent="0.25">
      <c r="A51" s="87">
        <v>0</v>
      </c>
      <c r="B51" s="87" t="e">
        <f>IF(Split=0,IF(OR(Demand!C74&gt;UCL,Demand!C74&lt;LCL),Demand!C74,NA()),IF(Split&gt;=P51,IF(OR(Demand!C74&gt;_UCL1,Demand!C74&lt;_LCL1),Demand!C74,NA()),IF(OR(Demand!C74&gt;_UCL2,Demand!C74&lt;_LCL2),Demand!C74,NA())))</f>
        <v>#N/A</v>
      </c>
      <c r="C51" s="87">
        <f>IF(Split=0,IF(Demand!C74&gt;Sigma2Plus,2,IF(Demand!C74&lt;Sigma2Minus,-2,IF(Demand!C74&lt;Mean,-1,1))),IF(Split&gt;=P51,IF(Demand!C74&gt;Sigma2Plus1,2,IF(Demand!C74&lt;Sigma2Minus1,-2,IF(Demand!C74&lt;Mean1,-1,1))),IF(Demand!C74&gt;Sigma2Plus2,2,IF(Demand!C74&lt;Sigma2Minus2,-2,IF(Demand!C74&lt;Mean2,-1,1)))))</f>
        <v>1</v>
      </c>
      <c r="D51" s="87" t="e">
        <f ca="1">IF(AND(ABS(SUM(C51:C53))&gt;4,P51&lt;ROWS(ReferralsRange)),Demand!C74,NA())</f>
        <v>#REF!</v>
      </c>
      <c r="E51" s="87">
        <f>IF(Split=0,IF(Demand!C74&gt;Sigma1Plus,2,IF(Demand!C74&lt;Sigma1Minus,-2,IF(Demand!C74&lt;Mean,-1,1))),IF(Split&gt;=P51,IF(Demand!C74&gt;Sigma1Plus1,2,IF(Demand!C74&lt;Sigma1Minus1,-2,IF(Demand!C74&lt;Mean1,-1,1))),IF(Demand!C74&gt;Sigma1Plus2,2,IF(Demand!C74&lt;Sigma1Minus2,-2,IF(Demand!C74&lt;Mean,-1,1)))))</f>
        <v>1</v>
      </c>
      <c r="F51" s="87" t="e">
        <f ca="1">IF(AND(ABS(SUM(E51:E55))&gt;8,P51&lt;ROWS(ReferralsRange)),Demand!C74,NA())</f>
        <v>#REF!</v>
      </c>
      <c r="G51" s="87">
        <f>IF(Split=0,IF(Demand!C74&gt;Mean,IF(G50&gt;=0,G50+1,0),IF(Demand!C74&lt;Mean,IF(G50&lt;=0,G50-1,0),0)),IF(Split&gt;=P50,IF(Demand!C74&gt;Mean1,IF(G50&gt;=0,G50+1,0),IF(Demand!C74&lt;Mean1,IF(G50&lt;=0,G50-1,0),0)),IF(Demand!C74&gt;Mean2,IF(G50&gt;=0,G50+1,0),IF(Demand!C74&lt;Mean2,IF(G50&lt;=0,G50-1,0),0))))</f>
        <v>0</v>
      </c>
      <c r="H51" s="87" t="e">
        <f ca="1">IF(AND(ABS(G59)=8,P51&lt;ROWS(ReferralsRange)),Demand!C74,NA())</f>
        <v>#REF!</v>
      </c>
      <c r="I51" s="87">
        <v>0</v>
      </c>
      <c r="J51" s="87">
        <v>0</v>
      </c>
      <c r="K51" s="87">
        <v>0</v>
      </c>
      <c r="L51" s="87">
        <v>0</v>
      </c>
      <c r="M51" s="87">
        <v>0</v>
      </c>
      <c r="N51" s="87">
        <v>0</v>
      </c>
      <c r="O51" s="87">
        <v>0</v>
      </c>
      <c r="P51" s="87">
        <f ca="1"/>
        <v>50</v>
      </c>
    </row>
    <row r="52" spans="1:16" x14ac:dyDescent="0.25">
      <c r="A52" s="87">
        <v>0</v>
      </c>
      <c r="B52" s="87" t="e">
        <f>IF(Split=0,IF(OR(Demand!C75&gt;UCL,Demand!C75&lt;LCL),Demand!C75,NA()),IF(Split&gt;=P52,IF(OR(Demand!C75&gt;_UCL1,Demand!C75&lt;_LCL1),Demand!C75,NA()),IF(OR(Demand!C75&gt;_UCL2,Demand!C75&lt;_LCL2),Demand!C75,NA())))</f>
        <v>#N/A</v>
      </c>
      <c r="C52" s="87">
        <f>IF(Split=0,IF(Demand!C75&gt;Sigma2Plus,2,IF(Demand!C75&lt;Sigma2Minus,-2,IF(Demand!C75&lt;Mean,-1,1))),IF(Split&gt;=P52,IF(Demand!C75&gt;Sigma2Plus1,2,IF(Demand!C75&lt;Sigma2Minus1,-2,IF(Demand!C75&lt;Mean1,-1,1))),IF(Demand!C75&gt;Sigma2Plus2,2,IF(Demand!C75&lt;Sigma2Minus2,-2,IF(Demand!C75&lt;Mean2,-1,1)))))</f>
        <v>1</v>
      </c>
      <c r="D52" s="87" t="e">
        <f ca="1">IF(AND(ABS(SUM(C52:C54))&gt;4,P52&lt;ROWS(ReferralsRange)),Demand!C75,NA())</f>
        <v>#REF!</v>
      </c>
      <c r="E52" s="87">
        <f>IF(Split=0,IF(Demand!C75&gt;Sigma1Plus,2,IF(Demand!C75&lt;Sigma1Minus,-2,IF(Demand!C75&lt;Mean,-1,1))),IF(Split&gt;=P52,IF(Demand!C75&gt;Sigma1Plus1,2,IF(Demand!C75&lt;Sigma1Minus1,-2,IF(Demand!C75&lt;Mean1,-1,1))),IF(Demand!C75&gt;Sigma1Plus2,2,IF(Demand!C75&lt;Sigma1Minus2,-2,IF(Demand!C75&lt;Mean,-1,1)))))</f>
        <v>1</v>
      </c>
      <c r="F52" s="87" t="e">
        <f ca="1">IF(AND(ABS(SUM(E52:E56))&gt;8,P52&lt;ROWS(ReferralsRange)),Demand!C75,NA())</f>
        <v>#REF!</v>
      </c>
      <c r="G52" s="87">
        <f>IF(Split=0,IF(Demand!C75&gt;Mean,IF(G51&gt;=0,G51+1,0),IF(Demand!C75&lt;Mean,IF(G51&lt;=0,G51-1,0),0)),IF(Split&gt;=P51,IF(Demand!C75&gt;Mean1,IF(G51&gt;=0,G51+1,0),IF(Demand!C75&lt;Mean1,IF(G51&lt;=0,G51-1,0),0)),IF(Demand!C75&gt;Mean2,IF(G51&gt;=0,G51+1,0),IF(Demand!C75&lt;Mean2,IF(G51&lt;=0,G51-1,0),0))))</f>
        <v>0</v>
      </c>
      <c r="H52" s="87" t="e">
        <f ca="1">IF(AND(ABS(G60)=8,P52&lt;ROWS(ReferralsRange)),Demand!C75,NA())</f>
        <v>#REF!</v>
      </c>
      <c r="I52" s="87">
        <v>0</v>
      </c>
      <c r="J52" s="87">
        <v>0</v>
      </c>
      <c r="K52" s="87">
        <v>0</v>
      </c>
      <c r="L52" s="87">
        <v>0</v>
      </c>
      <c r="M52" s="87">
        <v>0</v>
      </c>
      <c r="N52" s="87">
        <v>0</v>
      </c>
      <c r="O52" s="87">
        <v>0</v>
      </c>
      <c r="P52" s="87">
        <f ca="1"/>
        <v>51</v>
      </c>
    </row>
    <row r="53" spans="1:16" x14ac:dyDescent="0.25">
      <c r="A53" s="87">
        <v>0</v>
      </c>
      <c r="B53" s="87" t="e">
        <f>IF(Split=0,IF(OR(Demand!C76&gt;UCL,Demand!C76&lt;LCL),Demand!C76,NA()),IF(Split&gt;=P53,IF(OR(Demand!C76&gt;_UCL1,Demand!C76&lt;_LCL1),Demand!C76,NA()),IF(OR(Demand!C76&gt;_UCL2,Demand!C76&lt;_LCL2),Demand!C76,NA())))</f>
        <v>#N/A</v>
      </c>
      <c r="C53" s="87">
        <f>IF(Split=0,IF(Demand!C76&gt;Sigma2Plus,2,IF(Demand!C76&lt;Sigma2Minus,-2,IF(Demand!C76&lt;Mean,-1,1))),IF(Split&gt;=P53,IF(Demand!C76&gt;Sigma2Plus1,2,IF(Demand!C76&lt;Sigma2Minus1,-2,IF(Demand!C76&lt;Mean1,-1,1))),IF(Demand!C76&gt;Sigma2Plus2,2,IF(Demand!C76&lt;Sigma2Minus2,-2,IF(Demand!C76&lt;Mean2,-1,1)))))</f>
        <v>1</v>
      </c>
      <c r="D53" s="87" t="e">
        <f ca="1">IF(AND(ABS(SUM(C53:C55))&gt;4,P53&lt;ROWS(ReferralsRange)),Demand!C76,NA())</f>
        <v>#REF!</v>
      </c>
      <c r="E53" s="87">
        <f>IF(Split=0,IF(Demand!C76&gt;Sigma1Plus,2,IF(Demand!C76&lt;Sigma1Minus,-2,IF(Demand!C76&lt;Mean,-1,1))),IF(Split&gt;=P53,IF(Demand!C76&gt;Sigma1Plus1,2,IF(Demand!C76&lt;Sigma1Minus1,-2,IF(Demand!C76&lt;Mean1,-1,1))),IF(Demand!C76&gt;Sigma1Plus2,2,IF(Demand!C76&lt;Sigma1Minus2,-2,IF(Demand!C76&lt;Mean,-1,1)))))</f>
        <v>1</v>
      </c>
      <c r="F53" s="87" t="e">
        <f ca="1">IF(AND(ABS(SUM(E53:E57))&gt;8,P53&lt;ROWS(ReferralsRange)),Demand!C76,NA())</f>
        <v>#REF!</v>
      </c>
      <c r="G53" s="87">
        <f>IF(Split=0,IF(Demand!C76&gt;Mean,IF(G52&gt;=0,G52+1,0),IF(Demand!C76&lt;Mean,IF(G52&lt;=0,G52-1,0),0)),IF(Split&gt;=P52,IF(Demand!C76&gt;Mean1,IF(G52&gt;=0,G52+1,0),IF(Demand!C76&lt;Mean1,IF(G52&lt;=0,G52-1,0),0)),IF(Demand!C76&gt;Mean2,IF(G52&gt;=0,G52+1,0),IF(Demand!C76&lt;Mean2,IF(G52&lt;=0,G52-1,0),0))))</f>
        <v>0</v>
      </c>
      <c r="H53" s="87" t="e">
        <f ca="1">IF(AND(ABS(G61)=8,P53&lt;ROWS(ReferralsRange)),Demand!C76,NA())</f>
        <v>#REF!</v>
      </c>
      <c r="I53" s="87">
        <v>0</v>
      </c>
      <c r="J53" s="87">
        <v>0</v>
      </c>
      <c r="K53" s="87">
        <v>0</v>
      </c>
      <c r="L53" s="87">
        <v>0</v>
      </c>
      <c r="M53" s="87">
        <v>0</v>
      </c>
      <c r="N53" s="87">
        <v>0</v>
      </c>
      <c r="O53" s="87">
        <v>0</v>
      </c>
      <c r="P53" s="87">
        <f ca="1"/>
        <v>52</v>
      </c>
    </row>
  </sheetData>
  <sheetProtection algorithmName="SHA-512" hashValue="Ow76SxorXFKnyX90PSYEmuuoAo4hlBGzJkdvesX6OveMqj7uV2rc+ZIU+NDEmx+ulBAc7nSmV1afLtulxkLooQ==" saltValue="d2mNu+3NFvNfC0WuxTQAbQ==" spinCount="100000" sheet="1" selectLockedCells="1" selectUnlockedCells="1"/>
  <mergeCells count="2">
    <mergeCell ref="Q2:AE2"/>
    <mergeCell ref="Q3:AE3"/>
  </mergeCells>
  <pageMargins left="0.7" right="0.7" top="0.75" bottom="0.75" header="0.3" footer="0.3"/>
  <pageSetup paperSize="9" scale="88" orientation="landscape" r:id="rId1"/>
  <ignoredErrors>
    <ignoredError sqref="B23:F2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17</xdr:col>
                    <xdr:colOff>485775</xdr:colOff>
                    <xdr:row>30</xdr:row>
                    <xdr:rowOff>0</xdr:rowOff>
                  </from>
                  <to>
                    <xdr:col>18</xdr:col>
                    <xdr:colOff>514350</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P149"/>
  <sheetViews>
    <sheetView showGridLines="0" showRowColHeaders="0" zoomScaleNormal="100" workbookViewId="0">
      <selection activeCell="E20" sqref="E20"/>
    </sheetView>
  </sheetViews>
  <sheetFormatPr defaultRowHeight="15" x14ac:dyDescent="0.25"/>
  <cols>
    <col min="1" max="1" width="9.85546875" style="4" customWidth="1"/>
    <col min="2" max="2" width="16.28515625" style="4" customWidth="1"/>
    <col min="3" max="3" width="11.7109375" style="4" customWidth="1"/>
    <col min="4" max="4" width="8.28515625" style="4" customWidth="1"/>
    <col min="5" max="6" width="7.7109375" style="4" customWidth="1"/>
    <col min="7" max="7" width="8.5703125" style="4" customWidth="1"/>
    <col min="8" max="8" width="1" style="4" customWidth="1"/>
    <col min="9" max="9" width="5.7109375" style="103" customWidth="1"/>
    <col min="10" max="10" width="4.5703125" style="4" customWidth="1"/>
    <col min="11" max="11" width="16.28515625" style="4" customWidth="1"/>
    <col min="12" max="12" width="11.7109375" style="4" customWidth="1"/>
    <col min="13" max="13" width="8.28515625" style="4" customWidth="1"/>
    <col min="14" max="15" width="7.7109375" style="4" customWidth="1"/>
    <col min="16" max="16" width="8.5703125" style="4" customWidth="1"/>
    <col min="17" max="16384" width="9.140625" style="4"/>
  </cols>
  <sheetData>
    <row r="2" spans="1:16" ht="54" customHeight="1" x14ac:dyDescent="0.25">
      <c r="A2" s="324" t="str">
        <f>"Capacity Calculator - "&amp;ModelName</f>
        <v>Capacity Calculator - The NHS IMAS IST Cancer First Outpatients Demand &amp; Capacity Model</v>
      </c>
      <c r="B2" s="325"/>
      <c r="C2" s="325"/>
      <c r="D2" s="325"/>
      <c r="E2" s="325"/>
      <c r="F2" s="325"/>
      <c r="G2" s="325"/>
      <c r="H2" s="325"/>
      <c r="I2" s="325"/>
      <c r="J2" s="325"/>
      <c r="K2" s="325"/>
      <c r="L2" s="204"/>
      <c r="M2" s="204"/>
      <c r="N2" s="204"/>
      <c r="O2" s="204"/>
      <c r="P2" s="205"/>
    </row>
    <row r="3" spans="1:16" s="2" customFormat="1" ht="23.25" customHeight="1" x14ac:dyDescent="0.25">
      <c r="A3" s="298" t="s">
        <v>42</v>
      </c>
      <c r="B3" s="299"/>
      <c r="C3" s="299"/>
      <c r="D3" s="299"/>
      <c r="E3" s="299"/>
      <c r="F3" s="299"/>
      <c r="G3" s="299"/>
      <c r="H3" s="299"/>
      <c r="I3" s="299"/>
      <c r="J3" s="299"/>
      <c r="K3" s="299"/>
      <c r="L3" s="299"/>
      <c r="M3" s="299"/>
      <c r="N3" s="299"/>
      <c r="O3" s="299"/>
      <c r="P3" s="304"/>
    </row>
    <row r="4" spans="1:16" s="77" customFormat="1" x14ac:dyDescent="0.25">
      <c r="I4" s="103"/>
    </row>
    <row r="5" spans="1:16" s="77" customFormat="1" ht="18" x14ac:dyDescent="0.25">
      <c r="B5" s="321" t="str">
        <f>Demand!B6 &amp; " - " &amp; Demand!B8</f>
        <v>A. N. Other NHS Foundation Trust - A Tumour Site</v>
      </c>
      <c r="C5" s="321"/>
      <c r="D5" s="321"/>
      <c r="E5" s="321"/>
      <c r="F5" s="321"/>
      <c r="G5" s="321"/>
      <c r="H5" s="321"/>
      <c r="I5" s="321"/>
      <c r="J5" s="321"/>
      <c r="K5" s="321"/>
      <c r="L5" s="321"/>
      <c r="M5" s="321"/>
      <c r="N5" s="321"/>
      <c r="O5" s="321"/>
    </row>
    <row r="7" spans="1:16" ht="15" customHeight="1" x14ac:dyDescent="0.25">
      <c r="A7" s="312" t="s">
        <v>629</v>
      </c>
      <c r="B7" s="312"/>
      <c r="C7" s="312"/>
      <c r="D7" s="312"/>
      <c r="E7" s="312"/>
      <c r="F7" s="312"/>
      <c r="G7" s="312"/>
      <c r="I7" s="106"/>
      <c r="J7" s="312" t="s">
        <v>41</v>
      </c>
      <c r="K7" s="312"/>
      <c r="L7" s="312"/>
      <c r="M7" s="312"/>
      <c r="N7" s="312"/>
      <c r="O7" s="312"/>
      <c r="P7" s="312"/>
    </row>
    <row r="8" spans="1:16" x14ac:dyDescent="0.25">
      <c r="A8" s="312"/>
      <c r="B8" s="312"/>
      <c r="C8" s="312"/>
      <c r="D8" s="312"/>
      <c r="E8" s="312"/>
      <c r="F8" s="312"/>
      <c r="G8" s="312"/>
      <c r="I8" s="106"/>
      <c r="J8" s="312"/>
      <c r="K8" s="312"/>
      <c r="L8" s="312"/>
      <c r="M8" s="312"/>
      <c r="N8" s="312"/>
      <c r="O8" s="312"/>
      <c r="P8" s="312"/>
    </row>
    <row r="9" spans="1:16" ht="15.75" thickBot="1" x14ac:dyDescent="0.3">
      <c r="A9" s="312"/>
      <c r="B9" s="312"/>
      <c r="C9" s="312"/>
      <c r="D9" s="312"/>
      <c r="E9" s="312"/>
      <c r="F9" s="312"/>
      <c r="G9" s="312"/>
      <c r="I9" s="106"/>
      <c r="J9" s="312"/>
      <c r="K9" s="312"/>
      <c r="L9" s="312"/>
      <c r="M9" s="312"/>
      <c r="N9" s="312"/>
      <c r="O9" s="312"/>
      <c r="P9" s="312"/>
    </row>
    <row r="10" spans="1:16" ht="15" customHeight="1" x14ac:dyDescent="0.25">
      <c r="B10" s="292" t="s">
        <v>39</v>
      </c>
      <c r="C10" s="293"/>
      <c r="E10" s="322" t="s">
        <v>356</v>
      </c>
      <c r="F10" s="322"/>
      <c r="G10" s="322"/>
      <c r="H10" s="322"/>
      <c r="I10" s="322"/>
      <c r="K10" s="292" t="s">
        <v>40</v>
      </c>
      <c r="L10" s="294"/>
    </row>
    <row r="11" spans="1:16" ht="15" customHeight="1" x14ac:dyDescent="0.25">
      <c r="B11" s="295"/>
      <c r="C11" s="296"/>
      <c r="E11" s="322"/>
      <c r="F11" s="322"/>
      <c r="G11" s="322"/>
      <c r="H11" s="322"/>
      <c r="I11" s="322"/>
      <c r="K11" s="295"/>
      <c r="L11" s="297"/>
    </row>
    <row r="12" spans="1:16" s="2" customFormat="1" ht="15" customHeight="1" thickBot="1" x14ac:dyDescent="0.3">
      <c r="A12" s="4"/>
      <c r="B12" s="317">
        <f>IF($C$13=500,IF($H$15=1,$G$15,CoreCapacityAverage),TEXT($C$13,"0")&amp;" ("&amp;TEXT(IF($H$15=1,$G$15,CoreCapacityAverage),"0")&amp;")")</f>
        <v>0</v>
      </c>
      <c r="C12" s="318"/>
      <c r="D12" s="4"/>
      <c r="E12" s="323"/>
      <c r="F12" s="323"/>
      <c r="G12" s="323"/>
      <c r="H12" s="323"/>
      <c r="I12" s="323"/>
      <c r="J12" s="4"/>
      <c r="K12" s="317">
        <f>IF($L$13=200,IF($H$15=1,$P$15,AdHocCapacityAverage),TEXT($L$13,"0")&amp;" ("&amp;TEXT(IF($H$15=1,$P$15,AdHocCapacityAverage),"0")&amp;")")</f>
        <v>0</v>
      </c>
      <c r="L12" s="319"/>
      <c r="M12" s="4"/>
      <c r="N12" s="4"/>
      <c r="O12" s="4"/>
      <c r="P12" s="4"/>
    </row>
    <row r="13" spans="1:16" s="2" customFormat="1" ht="15.75" customHeight="1" thickTop="1" thickBot="1" x14ac:dyDescent="0.3">
      <c r="A13" s="4"/>
      <c r="B13" s="24">
        <f>IF($C$13=500,IF($H$15=1,$G$15,CoreCapacityAverage),$C$13)</f>
        <v>0</v>
      </c>
      <c r="C13" s="40">
        <v>500</v>
      </c>
      <c r="D13" s="4"/>
      <c r="E13" s="111"/>
      <c r="F13" s="112"/>
      <c r="G13" s="112"/>
      <c r="H13" s="112"/>
      <c r="I13" s="113"/>
      <c r="J13" s="110"/>
      <c r="K13" s="24">
        <f>IF($L$13=200,IF($H$15=1,$P$15,AdHocCapacityAverage),$L$13)</f>
        <v>0</v>
      </c>
      <c r="L13" s="109">
        <v>200</v>
      </c>
      <c r="M13" s="4"/>
      <c r="N13" s="4"/>
      <c r="O13" s="4"/>
      <c r="P13" s="4"/>
    </row>
    <row r="14" spans="1:16" x14ac:dyDescent="0.25">
      <c r="A14" s="96"/>
      <c r="B14" s="96"/>
      <c r="J14" s="96"/>
      <c r="K14" s="96"/>
    </row>
    <row r="15" spans="1:16" ht="15.75" thickBot="1" x14ac:dyDescent="0.3">
      <c r="A15" s="320" t="s">
        <v>641</v>
      </c>
      <c r="B15" s="320"/>
      <c r="C15" s="320"/>
      <c r="D15" s="320"/>
      <c r="E15" s="22" t="s">
        <v>12</v>
      </c>
      <c r="F15" s="22">
        <f>SUM(F17:F91)</f>
        <v>0</v>
      </c>
      <c r="G15" s="23">
        <f>RoutineSlots/52</f>
        <v>0</v>
      </c>
      <c r="H15" s="42">
        <v>1</v>
      </c>
      <c r="J15" s="96"/>
      <c r="K15" s="96"/>
      <c r="N15" s="22" t="s">
        <v>12</v>
      </c>
      <c r="O15" s="22">
        <f>SUM(O17:O91)</f>
        <v>0</v>
      </c>
      <c r="P15" s="23">
        <f>AdHocSlots/52</f>
        <v>0</v>
      </c>
    </row>
    <row r="16" spans="1:16" ht="53.25" thickBot="1" x14ac:dyDescent="0.3">
      <c r="A16" s="5" t="s">
        <v>14</v>
      </c>
      <c r="B16" s="6" t="s">
        <v>15</v>
      </c>
      <c r="C16" s="6" t="s">
        <v>10</v>
      </c>
      <c r="D16" s="6" t="s">
        <v>13</v>
      </c>
      <c r="E16" s="6" t="s">
        <v>627</v>
      </c>
      <c r="F16" s="6" t="s">
        <v>628</v>
      </c>
      <c r="G16" s="7" t="s">
        <v>11</v>
      </c>
      <c r="H16" s="3"/>
      <c r="I16" s="313" t="s">
        <v>14</v>
      </c>
      <c r="J16" s="314"/>
      <c r="K16" s="6" t="s">
        <v>15</v>
      </c>
      <c r="L16" s="6" t="s">
        <v>10</v>
      </c>
      <c r="M16" s="6" t="s">
        <v>13</v>
      </c>
      <c r="N16" s="6" t="s">
        <v>627</v>
      </c>
      <c r="O16" s="6" t="s">
        <v>628</v>
      </c>
      <c r="P16" s="7" t="s">
        <v>11</v>
      </c>
    </row>
    <row r="17" spans="1:16" s="71" customFormat="1" x14ac:dyDescent="0.25">
      <c r="A17" s="191"/>
      <c r="B17" s="192"/>
      <c r="C17" s="192"/>
      <c r="D17" s="193"/>
      <c r="E17" s="193"/>
      <c r="F17" s="157" t="str">
        <f>IF(D17*E17&gt;0,D17*E17,"")</f>
        <v/>
      </c>
      <c r="G17" s="163" t="str">
        <f>IF(F17="",F17,F17/52)</f>
        <v/>
      </c>
      <c r="I17" s="315"/>
      <c r="J17" s="316"/>
      <c r="K17" s="10"/>
      <c r="L17" s="10"/>
      <c r="M17" s="11"/>
      <c r="N17" s="11"/>
      <c r="O17" s="12" t="str">
        <f>IF(M17*N17&gt;0,M17*N17,"")</f>
        <v/>
      </c>
      <c r="P17" s="13" t="str">
        <f>IF(O17="",O17,O17/52)</f>
        <v/>
      </c>
    </row>
    <row r="18" spans="1:16" s="71" customFormat="1" x14ac:dyDescent="0.25">
      <c r="A18" s="194"/>
      <c r="B18" s="195"/>
      <c r="C18" s="195"/>
      <c r="D18" s="196"/>
      <c r="E18" s="196"/>
      <c r="F18" s="158" t="str">
        <f>IF(D18*E18&gt;0,D18*E18,"")</f>
        <v/>
      </c>
      <c r="G18" s="159" t="str">
        <f>IF(F18="",F18,F18/52)</f>
        <v/>
      </c>
      <c r="I18" s="307"/>
      <c r="J18" s="308"/>
      <c r="K18" s="14"/>
      <c r="L18" s="14"/>
      <c r="M18" s="15"/>
      <c r="N18" s="15"/>
      <c r="O18" s="16" t="str">
        <f>IF(M18*N18&gt;0,M18*N18,"")</f>
        <v/>
      </c>
      <c r="P18" s="17" t="str">
        <f>IF(O18="",O18,O18/52)</f>
        <v/>
      </c>
    </row>
    <row r="19" spans="1:16" s="71" customFormat="1" x14ac:dyDescent="0.25">
      <c r="A19" s="194"/>
      <c r="B19" s="195"/>
      <c r="C19" s="195"/>
      <c r="D19" s="196"/>
      <c r="E19" s="196"/>
      <c r="F19" s="158" t="str">
        <f>IF(D19*E19&gt;0,D19*E19,"")</f>
        <v/>
      </c>
      <c r="G19" s="159" t="str">
        <f>IF(F19="",F19,F19/52)</f>
        <v/>
      </c>
      <c r="I19" s="307"/>
      <c r="J19" s="308"/>
      <c r="K19" s="14"/>
      <c r="L19" s="14"/>
      <c r="M19" s="15"/>
      <c r="N19" s="15"/>
      <c r="O19" s="16" t="str">
        <f>IF(M19*N19&gt;0,M19*N19,"")</f>
        <v/>
      </c>
      <c r="P19" s="17" t="str">
        <f>IF(O19="",O19,O19/52)</f>
        <v/>
      </c>
    </row>
    <row r="20" spans="1:16" s="71" customFormat="1" x14ac:dyDescent="0.25">
      <c r="A20" s="194"/>
      <c r="B20" s="195"/>
      <c r="C20" s="195"/>
      <c r="D20" s="196"/>
      <c r="E20" s="196"/>
      <c r="F20" s="158" t="str">
        <f>IF(D20*E20&gt;0,D20*E20,"")</f>
        <v/>
      </c>
      <c r="G20" s="159" t="str">
        <f>IF(F20="",F20,F20/52)</f>
        <v/>
      </c>
      <c r="I20" s="307"/>
      <c r="J20" s="308"/>
      <c r="K20" s="14"/>
      <c r="L20" s="14"/>
      <c r="M20" s="15"/>
      <c r="N20" s="15"/>
      <c r="O20" s="16" t="str">
        <f t="shared" ref="O20:O85" si="0">IF(M20*N20&gt;0,M20*N20,"")</f>
        <v/>
      </c>
      <c r="P20" s="17" t="str">
        <f t="shared" ref="P20:P85" si="1">IF(O20="",O20,O20/52)</f>
        <v/>
      </c>
    </row>
    <row r="21" spans="1:16" s="71" customFormat="1" x14ac:dyDescent="0.25">
      <c r="A21" s="194"/>
      <c r="B21" s="195"/>
      <c r="C21" s="195"/>
      <c r="D21" s="196"/>
      <c r="E21" s="196"/>
      <c r="F21" s="158" t="str">
        <f t="shared" ref="F21:F29" si="2">IF(D21*E21&gt;0,D21*E21,"")</f>
        <v/>
      </c>
      <c r="G21" s="159" t="str">
        <f t="shared" ref="G21:G29" si="3">IF(F21="",F21,F21/52)</f>
        <v/>
      </c>
      <c r="I21" s="307"/>
      <c r="J21" s="308"/>
      <c r="K21" s="14"/>
      <c r="L21" s="14"/>
      <c r="M21" s="15"/>
      <c r="N21" s="15"/>
      <c r="O21" s="16" t="str">
        <f t="shared" si="0"/>
        <v/>
      </c>
      <c r="P21" s="17" t="str">
        <f t="shared" si="1"/>
        <v/>
      </c>
    </row>
    <row r="22" spans="1:16" s="71" customFormat="1" x14ac:dyDescent="0.25">
      <c r="A22" s="194"/>
      <c r="B22" s="195"/>
      <c r="C22" s="195"/>
      <c r="D22" s="196"/>
      <c r="E22" s="196"/>
      <c r="F22" s="158" t="str">
        <f t="shared" si="2"/>
        <v/>
      </c>
      <c r="G22" s="159" t="str">
        <f t="shared" si="3"/>
        <v/>
      </c>
      <c r="I22" s="307"/>
      <c r="J22" s="308"/>
      <c r="K22" s="14"/>
      <c r="L22" s="14"/>
      <c r="M22" s="15"/>
      <c r="N22" s="15"/>
      <c r="O22" s="16" t="str">
        <f t="shared" si="0"/>
        <v/>
      </c>
      <c r="P22" s="17" t="str">
        <f t="shared" si="1"/>
        <v/>
      </c>
    </row>
    <row r="23" spans="1:16" s="71" customFormat="1" x14ac:dyDescent="0.25">
      <c r="A23" s="151"/>
      <c r="B23" s="152"/>
      <c r="C23" s="152"/>
      <c r="D23" s="153"/>
      <c r="E23" s="153"/>
      <c r="F23" s="158" t="str">
        <f t="shared" si="2"/>
        <v/>
      </c>
      <c r="G23" s="159" t="str">
        <f t="shared" si="3"/>
        <v/>
      </c>
      <c r="I23" s="307"/>
      <c r="J23" s="308"/>
      <c r="K23" s="14"/>
      <c r="L23" s="14"/>
      <c r="M23" s="15"/>
      <c r="N23" s="15"/>
      <c r="O23" s="16" t="str">
        <f t="shared" si="0"/>
        <v/>
      </c>
      <c r="P23" s="17" t="str">
        <f t="shared" si="1"/>
        <v/>
      </c>
    </row>
    <row r="24" spans="1:16" s="71" customFormat="1" x14ac:dyDescent="0.25">
      <c r="A24" s="151"/>
      <c r="B24" s="152"/>
      <c r="C24" s="152"/>
      <c r="D24" s="153"/>
      <c r="E24" s="153"/>
      <c r="F24" s="158" t="str">
        <f t="shared" si="2"/>
        <v/>
      </c>
      <c r="G24" s="159" t="str">
        <f t="shared" si="3"/>
        <v/>
      </c>
      <c r="I24" s="307"/>
      <c r="J24" s="308"/>
      <c r="K24" s="14"/>
      <c r="L24" s="14"/>
      <c r="M24" s="15"/>
      <c r="N24" s="15"/>
      <c r="O24" s="16" t="str">
        <f t="shared" si="0"/>
        <v/>
      </c>
      <c r="P24" s="17" t="str">
        <f t="shared" si="1"/>
        <v/>
      </c>
    </row>
    <row r="25" spans="1:16" s="71" customFormat="1" x14ac:dyDescent="0.25">
      <c r="A25" s="151"/>
      <c r="B25" s="152"/>
      <c r="C25" s="152"/>
      <c r="D25" s="153"/>
      <c r="E25" s="153"/>
      <c r="F25" s="158" t="str">
        <f t="shared" si="2"/>
        <v/>
      </c>
      <c r="G25" s="159" t="str">
        <f t="shared" si="3"/>
        <v/>
      </c>
      <c r="I25" s="307"/>
      <c r="J25" s="308"/>
      <c r="K25" s="14"/>
      <c r="L25" s="14"/>
      <c r="M25" s="15"/>
      <c r="N25" s="15"/>
      <c r="O25" s="16" t="str">
        <f t="shared" si="0"/>
        <v/>
      </c>
      <c r="P25" s="17" t="str">
        <f t="shared" si="1"/>
        <v/>
      </c>
    </row>
    <row r="26" spans="1:16" s="71" customFormat="1" x14ac:dyDescent="0.25">
      <c r="A26" s="151"/>
      <c r="B26" s="152"/>
      <c r="C26" s="152"/>
      <c r="D26" s="153"/>
      <c r="E26" s="153"/>
      <c r="F26" s="158" t="str">
        <f t="shared" si="2"/>
        <v/>
      </c>
      <c r="G26" s="159" t="str">
        <f t="shared" si="3"/>
        <v/>
      </c>
      <c r="I26" s="307"/>
      <c r="J26" s="308"/>
      <c r="K26" s="14"/>
      <c r="L26" s="14"/>
      <c r="M26" s="15"/>
      <c r="N26" s="15"/>
      <c r="O26" s="16" t="str">
        <f t="shared" si="0"/>
        <v/>
      </c>
      <c r="P26" s="17" t="str">
        <f t="shared" si="1"/>
        <v/>
      </c>
    </row>
    <row r="27" spans="1:16" s="71" customFormat="1" x14ac:dyDescent="0.25">
      <c r="A27" s="151"/>
      <c r="B27" s="152"/>
      <c r="C27" s="152"/>
      <c r="D27" s="153"/>
      <c r="E27" s="153"/>
      <c r="F27" s="158" t="str">
        <f t="shared" si="2"/>
        <v/>
      </c>
      <c r="G27" s="159" t="str">
        <f t="shared" si="3"/>
        <v/>
      </c>
      <c r="I27" s="307"/>
      <c r="J27" s="308"/>
      <c r="K27" s="14"/>
      <c r="L27" s="14"/>
      <c r="M27" s="15"/>
      <c r="N27" s="15"/>
      <c r="O27" s="16" t="str">
        <f t="shared" si="0"/>
        <v/>
      </c>
      <c r="P27" s="17" t="str">
        <f t="shared" si="1"/>
        <v/>
      </c>
    </row>
    <row r="28" spans="1:16" s="71" customFormat="1" x14ac:dyDescent="0.25">
      <c r="A28" s="151"/>
      <c r="B28" s="152"/>
      <c r="C28" s="152"/>
      <c r="D28" s="153"/>
      <c r="E28" s="153"/>
      <c r="F28" s="158" t="str">
        <f t="shared" si="2"/>
        <v/>
      </c>
      <c r="G28" s="159" t="str">
        <f t="shared" si="3"/>
        <v/>
      </c>
      <c r="I28" s="307"/>
      <c r="J28" s="308"/>
      <c r="K28" s="14"/>
      <c r="L28" s="14"/>
      <c r="M28" s="15"/>
      <c r="N28" s="15"/>
      <c r="O28" s="16" t="str">
        <f t="shared" si="0"/>
        <v/>
      </c>
      <c r="P28" s="17" t="str">
        <f t="shared" si="1"/>
        <v/>
      </c>
    </row>
    <row r="29" spans="1:16" s="71" customFormat="1" x14ac:dyDescent="0.25">
      <c r="A29" s="151"/>
      <c r="B29" s="152"/>
      <c r="C29" s="152"/>
      <c r="D29" s="153"/>
      <c r="E29" s="153"/>
      <c r="F29" s="158" t="str">
        <f t="shared" si="2"/>
        <v/>
      </c>
      <c r="G29" s="159" t="str">
        <f t="shared" si="3"/>
        <v/>
      </c>
      <c r="I29" s="307"/>
      <c r="J29" s="308"/>
      <c r="K29" s="14"/>
      <c r="L29" s="14"/>
      <c r="M29" s="15"/>
      <c r="N29" s="15"/>
      <c r="O29" s="16" t="str">
        <f t="shared" si="0"/>
        <v/>
      </c>
      <c r="P29" s="17" t="str">
        <f t="shared" si="1"/>
        <v/>
      </c>
    </row>
    <row r="30" spans="1:16" s="71" customFormat="1" x14ac:dyDescent="0.25">
      <c r="A30" s="151"/>
      <c r="B30" s="152"/>
      <c r="C30" s="152"/>
      <c r="D30" s="153"/>
      <c r="E30" s="153"/>
      <c r="F30" s="158" t="str">
        <f>IF(D30*E30&gt;0,D30*E30,"")</f>
        <v/>
      </c>
      <c r="G30" s="159" t="str">
        <f>IF(F30="",F30,F30/52)</f>
        <v/>
      </c>
      <c r="I30" s="307"/>
      <c r="J30" s="308"/>
      <c r="K30" s="14"/>
      <c r="L30" s="14"/>
      <c r="M30" s="15"/>
      <c r="N30" s="15"/>
      <c r="O30" s="16" t="str">
        <f t="shared" ref="O30:O39" si="4">IF(M30*N30&gt;0,M30*N30,"")</f>
        <v/>
      </c>
      <c r="P30" s="17" t="str">
        <f t="shared" ref="P30:P39" si="5">IF(O30="",O30,O30/52)</f>
        <v/>
      </c>
    </row>
    <row r="31" spans="1:16" s="71" customFormat="1" x14ac:dyDescent="0.25">
      <c r="A31" s="151"/>
      <c r="B31" s="152"/>
      <c r="C31" s="152"/>
      <c r="D31" s="153"/>
      <c r="E31" s="153"/>
      <c r="F31" s="158" t="str">
        <f t="shared" ref="F31:F39" si="6">IF(D31*E31&gt;0,D31*E31,"")</f>
        <v/>
      </c>
      <c r="G31" s="159" t="str">
        <f t="shared" ref="G31:G39" si="7">IF(F31="",F31,F31/52)</f>
        <v/>
      </c>
      <c r="I31" s="307"/>
      <c r="J31" s="308"/>
      <c r="K31" s="14"/>
      <c r="L31" s="14"/>
      <c r="M31" s="15"/>
      <c r="N31" s="15"/>
      <c r="O31" s="16" t="str">
        <f t="shared" si="4"/>
        <v/>
      </c>
      <c r="P31" s="17" t="str">
        <f t="shared" si="5"/>
        <v/>
      </c>
    </row>
    <row r="32" spans="1:16" s="71" customFormat="1" x14ac:dyDescent="0.25">
      <c r="A32" s="151"/>
      <c r="B32" s="152"/>
      <c r="C32" s="152"/>
      <c r="D32" s="153"/>
      <c r="E32" s="153"/>
      <c r="F32" s="158" t="str">
        <f t="shared" si="6"/>
        <v/>
      </c>
      <c r="G32" s="159" t="str">
        <f t="shared" si="7"/>
        <v/>
      </c>
      <c r="I32" s="307"/>
      <c r="J32" s="308"/>
      <c r="K32" s="14"/>
      <c r="L32" s="14"/>
      <c r="M32" s="15"/>
      <c r="N32" s="15"/>
      <c r="O32" s="16" t="str">
        <f t="shared" si="4"/>
        <v/>
      </c>
      <c r="P32" s="17" t="str">
        <f t="shared" si="5"/>
        <v/>
      </c>
    </row>
    <row r="33" spans="1:16" s="71" customFormat="1" x14ac:dyDescent="0.25">
      <c r="A33" s="151"/>
      <c r="B33" s="152"/>
      <c r="C33" s="152"/>
      <c r="D33" s="153"/>
      <c r="E33" s="153"/>
      <c r="F33" s="158" t="str">
        <f t="shared" si="6"/>
        <v/>
      </c>
      <c r="G33" s="159" t="str">
        <f t="shared" si="7"/>
        <v/>
      </c>
      <c r="I33" s="307"/>
      <c r="J33" s="308"/>
      <c r="K33" s="14"/>
      <c r="L33" s="14"/>
      <c r="M33" s="15"/>
      <c r="N33" s="15"/>
      <c r="O33" s="16" t="str">
        <f t="shared" si="4"/>
        <v/>
      </c>
      <c r="P33" s="17" t="str">
        <f t="shared" si="5"/>
        <v/>
      </c>
    </row>
    <row r="34" spans="1:16" s="71" customFormat="1" x14ac:dyDescent="0.25">
      <c r="A34" s="151"/>
      <c r="B34" s="152"/>
      <c r="C34" s="152"/>
      <c r="D34" s="153"/>
      <c r="E34" s="153"/>
      <c r="F34" s="158" t="str">
        <f t="shared" si="6"/>
        <v/>
      </c>
      <c r="G34" s="159" t="str">
        <f t="shared" si="7"/>
        <v/>
      </c>
      <c r="I34" s="307"/>
      <c r="J34" s="308"/>
      <c r="K34" s="14"/>
      <c r="L34" s="14"/>
      <c r="M34" s="15"/>
      <c r="N34" s="15"/>
      <c r="O34" s="16" t="str">
        <f t="shared" si="4"/>
        <v/>
      </c>
      <c r="P34" s="17" t="str">
        <f t="shared" si="5"/>
        <v/>
      </c>
    </row>
    <row r="35" spans="1:16" s="71" customFormat="1" x14ac:dyDescent="0.25">
      <c r="A35" s="151"/>
      <c r="B35" s="152"/>
      <c r="C35" s="152"/>
      <c r="D35" s="153"/>
      <c r="E35" s="153"/>
      <c r="F35" s="158" t="str">
        <f t="shared" si="6"/>
        <v/>
      </c>
      <c r="G35" s="159" t="str">
        <f t="shared" si="7"/>
        <v/>
      </c>
      <c r="I35" s="307"/>
      <c r="J35" s="308"/>
      <c r="K35" s="14"/>
      <c r="L35" s="14"/>
      <c r="M35" s="15"/>
      <c r="N35" s="15"/>
      <c r="O35" s="16" t="str">
        <f t="shared" si="4"/>
        <v/>
      </c>
      <c r="P35" s="17" t="str">
        <f t="shared" si="5"/>
        <v/>
      </c>
    </row>
    <row r="36" spans="1:16" s="71" customFormat="1" x14ac:dyDescent="0.25">
      <c r="A36" s="151"/>
      <c r="B36" s="152"/>
      <c r="C36" s="152"/>
      <c r="D36" s="153"/>
      <c r="E36" s="153"/>
      <c r="F36" s="158" t="str">
        <f t="shared" si="6"/>
        <v/>
      </c>
      <c r="G36" s="159" t="str">
        <f t="shared" si="7"/>
        <v/>
      </c>
      <c r="I36" s="307"/>
      <c r="J36" s="308"/>
      <c r="K36" s="14"/>
      <c r="L36" s="14"/>
      <c r="M36" s="15"/>
      <c r="N36" s="15"/>
      <c r="O36" s="16" t="str">
        <f t="shared" si="4"/>
        <v/>
      </c>
      <c r="P36" s="17" t="str">
        <f t="shared" si="5"/>
        <v/>
      </c>
    </row>
    <row r="37" spans="1:16" s="71" customFormat="1" x14ac:dyDescent="0.25">
      <c r="A37" s="151"/>
      <c r="B37" s="152"/>
      <c r="C37" s="152"/>
      <c r="D37" s="153"/>
      <c r="E37" s="153"/>
      <c r="F37" s="158" t="str">
        <f t="shared" si="6"/>
        <v/>
      </c>
      <c r="G37" s="159" t="str">
        <f t="shared" si="7"/>
        <v/>
      </c>
      <c r="I37" s="307"/>
      <c r="J37" s="308"/>
      <c r="K37" s="14"/>
      <c r="L37" s="14"/>
      <c r="M37" s="15"/>
      <c r="N37" s="15"/>
      <c r="O37" s="16" t="str">
        <f t="shared" si="4"/>
        <v/>
      </c>
      <c r="P37" s="17" t="str">
        <f t="shared" si="5"/>
        <v/>
      </c>
    </row>
    <row r="38" spans="1:16" s="71" customFormat="1" x14ac:dyDescent="0.25">
      <c r="A38" s="151"/>
      <c r="B38" s="152"/>
      <c r="C38" s="152"/>
      <c r="D38" s="153"/>
      <c r="E38" s="153"/>
      <c r="F38" s="158" t="str">
        <f t="shared" si="6"/>
        <v/>
      </c>
      <c r="G38" s="159" t="str">
        <f t="shared" si="7"/>
        <v/>
      </c>
      <c r="I38" s="307"/>
      <c r="J38" s="308"/>
      <c r="K38" s="14"/>
      <c r="L38" s="14"/>
      <c r="M38" s="15"/>
      <c r="N38" s="15"/>
      <c r="O38" s="16" t="str">
        <f t="shared" si="4"/>
        <v/>
      </c>
      <c r="P38" s="17" t="str">
        <f t="shared" si="5"/>
        <v/>
      </c>
    </row>
    <row r="39" spans="1:16" s="71" customFormat="1" x14ac:dyDescent="0.25">
      <c r="A39" s="151"/>
      <c r="B39" s="152"/>
      <c r="C39" s="152"/>
      <c r="D39" s="153"/>
      <c r="E39" s="153"/>
      <c r="F39" s="158" t="str">
        <f t="shared" si="6"/>
        <v/>
      </c>
      <c r="G39" s="159" t="str">
        <f t="shared" si="7"/>
        <v/>
      </c>
      <c r="I39" s="307"/>
      <c r="J39" s="308"/>
      <c r="K39" s="14"/>
      <c r="L39" s="14"/>
      <c r="M39" s="15"/>
      <c r="N39" s="15"/>
      <c r="O39" s="16" t="str">
        <f t="shared" si="4"/>
        <v/>
      </c>
      <c r="P39" s="17" t="str">
        <f t="shared" si="5"/>
        <v/>
      </c>
    </row>
    <row r="40" spans="1:16" s="71" customFormat="1" x14ac:dyDescent="0.25">
      <c r="A40" s="151"/>
      <c r="B40" s="152"/>
      <c r="C40" s="152"/>
      <c r="D40" s="153"/>
      <c r="E40" s="153"/>
      <c r="F40" s="158" t="str">
        <f>IF(D40*E40&gt;0,D40*E40,"")</f>
        <v/>
      </c>
      <c r="G40" s="159" t="str">
        <f>IF(F40="",F40,F40/52)</f>
        <v/>
      </c>
      <c r="I40" s="307"/>
      <c r="J40" s="308"/>
      <c r="K40" s="14"/>
      <c r="L40" s="14"/>
      <c r="M40" s="15"/>
      <c r="N40" s="15"/>
      <c r="O40" s="16" t="str">
        <f t="shared" ref="O40:O49" si="8">IF(M40*N40&gt;0,M40*N40,"")</f>
        <v/>
      </c>
      <c r="P40" s="17" t="str">
        <f t="shared" ref="P40:P49" si="9">IF(O40="",O40,O40/52)</f>
        <v/>
      </c>
    </row>
    <row r="41" spans="1:16" s="71" customFormat="1" x14ac:dyDescent="0.25">
      <c r="A41" s="151"/>
      <c r="B41" s="152"/>
      <c r="C41" s="152"/>
      <c r="D41" s="153"/>
      <c r="E41" s="153"/>
      <c r="F41" s="158" t="str">
        <f t="shared" ref="F41:F49" si="10">IF(D41*E41&gt;0,D41*E41,"")</f>
        <v/>
      </c>
      <c r="G41" s="159" t="str">
        <f t="shared" ref="G41:G49" si="11">IF(F41="",F41,F41/52)</f>
        <v/>
      </c>
      <c r="I41" s="307"/>
      <c r="J41" s="308"/>
      <c r="K41" s="14"/>
      <c r="L41" s="14"/>
      <c r="M41" s="15"/>
      <c r="N41" s="15"/>
      <c r="O41" s="16" t="str">
        <f t="shared" si="8"/>
        <v/>
      </c>
      <c r="P41" s="17" t="str">
        <f t="shared" si="9"/>
        <v/>
      </c>
    </row>
    <row r="42" spans="1:16" s="71" customFormat="1" x14ac:dyDescent="0.25">
      <c r="A42" s="151"/>
      <c r="B42" s="152"/>
      <c r="C42" s="152"/>
      <c r="D42" s="153"/>
      <c r="E42" s="153"/>
      <c r="F42" s="158" t="str">
        <f t="shared" si="10"/>
        <v/>
      </c>
      <c r="G42" s="159" t="str">
        <f t="shared" si="11"/>
        <v/>
      </c>
      <c r="I42" s="307"/>
      <c r="J42" s="308"/>
      <c r="K42" s="14"/>
      <c r="L42" s="14"/>
      <c r="M42" s="15"/>
      <c r="N42" s="15"/>
      <c r="O42" s="16" t="str">
        <f t="shared" si="8"/>
        <v/>
      </c>
      <c r="P42" s="17" t="str">
        <f t="shared" si="9"/>
        <v/>
      </c>
    </row>
    <row r="43" spans="1:16" s="71" customFormat="1" x14ac:dyDescent="0.25">
      <c r="A43" s="151"/>
      <c r="B43" s="152"/>
      <c r="C43" s="152"/>
      <c r="D43" s="153"/>
      <c r="E43" s="153"/>
      <c r="F43" s="158" t="str">
        <f t="shared" si="10"/>
        <v/>
      </c>
      <c r="G43" s="159" t="str">
        <f t="shared" si="11"/>
        <v/>
      </c>
      <c r="I43" s="307"/>
      <c r="J43" s="308"/>
      <c r="K43" s="14"/>
      <c r="L43" s="14"/>
      <c r="M43" s="15"/>
      <c r="N43" s="15"/>
      <c r="O43" s="16" t="str">
        <f t="shared" si="8"/>
        <v/>
      </c>
      <c r="P43" s="17" t="str">
        <f t="shared" si="9"/>
        <v/>
      </c>
    </row>
    <row r="44" spans="1:16" s="71" customFormat="1" x14ac:dyDescent="0.25">
      <c r="A44" s="151"/>
      <c r="B44" s="152"/>
      <c r="C44" s="152"/>
      <c r="D44" s="153"/>
      <c r="E44" s="153"/>
      <c r="F44" s="158" t="str">
        <f t="shared" si="10"/>
        <v/>
      </c>
      <c r="G44" s="159" t="str">
        <f t="shared" si="11"/>
        <v/>
      </c>
      <c r="I44" s="307"/>
      <c r="J44" s="308"/>
      <c r="K44" s="14"/>
      <c r="L44" s="14"/>
      <c r="M44" s="15"/>
      <c r="N44" s="15"/>
      <c r="O44" s="16" t="str">
        <f t="shared" si="8"/>
        <v/>
      </c>
      <c r="P44" s="17" t="str">
        <f t="shared" si="9"/>
        <v/>
      </c>
    </row>
    <row r="45" spans="1:16" s="71" customFormat="1" x14ac:dyDescent="0.25">
      <c r="A45" s="151"/>
      <c r="B45" s="152"/>
      <c r="C45" s="152"/>
      <c r="D45" s="153"/>
      <c r="E45" s="153"/>
      <c r="F45" s="158" t="str">
        <f t="shared" si="10"/>
        <v/>
      </c>
      <c r="G45" s="159" t="str">
        <f t="shared" si="11"/>
        <v/>
      </c>
      <c r="I45" s="307"/>
      <c r="J45" s="308"/>
      <c r="K45" s="14"/>
      <c r="L45" s="14"/>
      <c r="M45" s="15"/>
      <c r="N45" s="15"/>
      <c r="O45" s="16" t="str">
        <f t="shared" si="8"/>
        <v/>
      </c>
      <c r="P45" s="17" t="str">
        <f t="shared" si="9"/>
        <v/>
      </c>
    </row>
    <row r="46" spans="1:16" s="71" customFormat="1" x14ac:dyDescent="0.25">
      <c r="A46" s="151"/>
      <c r="B46" s="152"/>
      <c r="C46" s="152"/>
      <c r="D46" s="153"/>
      <c r="E46" s="153"/>
      <c r="F46" s="158" t="str">
        <f t="shared" si="10"/>
        <v/>
      </c>
      <c r="G46" s="159" t="str">
        <f t="shared" si="11"/>
        <v/>
      </c>
      <c r="I46" s="307"/>
      <c r="J46" s="308"/>
      <c r="K46" s="14"/>
      <c r="L46" s="14"/>
      <c r="M46" s="15"/>
      <c r="N46" s="15"/>
      <c r="O46" s="16" t="str">
        <f t="shared" si="8"/>
        <v/>
      </c>
      <c r="P46" s="17" t="str">
        <f t="shared" si="9"/>
        <v/>
      </c>
    </row>
    <row r="47" spans="1:16" s="71" customFormat="1" x14ac:dyDescent="0.25">
      <c r="A47" s="151"/>
      <c r="B47" s="152"/>
      <c r="C47" s="152"/>
      <c r="D47" s="153"/>
      <c r="E47" s="153"/>
      <c r="F47" s="158" t="str">
        <f t="shared" si="10"/>
        <v/>
      </c>
      <c r="G47" s="159" t="str">
        <f t="shared" si="11"/>
        <v/>
      </c>
      <c r="I47" s="307"/>
      <c r="J47" s="308"/>
      <c r="K47" s="14"/>
      <c r="L47" s="14"/>
      <c r="M47" s="15"/>
      <c r="N47" s="15"/>
      <c r="O47" s="16" t="str">
        <f t="shared" si="8"/>
        <v/>
      </c>
      <c r="P47" s="17" t="str">
        <f t="shared" si="9"/>
        <v/>
      </c>
    </row>
    <row r="48" spans="1:16" s="71" customFormat="1" x14ac:dyDescent="0.25">
      <c r="A48" s="151"/>
      <c r="B48" s="152"/>
      <c r="C48" s="152"/>
      <c r="D48" s="153"/>
      <c r="E48" s="153"/>
      <c r="F48" s="158" t="str">
        <f t="shared" si="10"/>
        <v/>
      </c>
      <c r="G48" s="159" t="str">
        <f t="shared" si="11"/>
        <v/>
      </c>
      <c r="I48" s="307"/>
      <c r="J48" s="308"/>
      <c r="K48" s="14"/>
      <c r="L48" s="14"/>
      <c r="M48" s="15"/>
      <c r="N48" s="15"/>
      <c r="O48" s="16" t="str">
        <f t="shared" si="8"/>
        <v/>
      </c>
      <c r="P48" s="17" t="str">
        <f t="shared" si="9"/>
        <v/>
      </c>
    </row>
    <row r="49" spans="1:16" s="71" customFormat="1" x14ac:dyDescent="0.25">
      <c r="A49" s="151"/>
      <c r="B49" s="152"/>
      <c r="C49" s="152"/>
      <c r="D49" s="153"/>
      <c r="E49" s="153"/>
      <c r="F49" s="158" t="str">
        <f t="shared" si="10"/>
        <v/>
      </c>
      <c r="G49" s="159" t="str">
        <f t="shared" si="11"/>
        <v/>
      </c>
      <c r="I49" s="307"/>
      <c r="J49" s="308"/>
      <c r="K49" s="14"/>
      <c r="L49" s="14"/>
      <c r="M49" s="15"/>
      <c r="N49" s="15"/>
      <c r="O49" s="16" t="str">
        <f t="shared" si="8"/>
        <v/>
      </c>
      <c r="P49" s="17" t="str">
        <f t="shared" si="9"/>
        <v/>
      </c>
    </row>
    <row r="50" spans="1:16" s="71" customFormat="1" x14ac:dyDescent="0.25">
      <c r="A50" s="151"/>
      <c r="B50" s="152"/>
      <c r="C50" s="152"/>
      <c r="D50" s="153"/>
      <c r="E50" s="153"/>
      <c r="F50" s="158" t="str">
        <f>IF(D50*E50&gt;0,D50*E50,"")</f>
        <v/>
      </c>
      <c r="G50" s="159" t="str">
        <f>IF(F50="",F50,F50/52)</f>
        <v/>
      </c>
      <c r="I50" s="307"/>
      <c r="J50" s="308"/>
      <c r="K50" s="14"/>
      <c r="L50" s="14"/>
      <c r="M50" s="15"/>
      <c r="N50" s="15"/>
      <c r="O50" s="16" t="str">
        <f t="shared" ref="O50:O59" si="12">IF(M50*N50&gt;0,M50*N50,"")</f>
        <v/>
      </c>
      <c r="P50" s="17" t="str">
        <f t="shared" ref="P50:P59" si="13">IF(O50="",O50,O50/52)</f>
        <v/>
      </c>
    </row>
    <row r="51" spans="1:16" s="71" customFormat="1" x14ac:dyDescent="0.25">
      <c r="A51" s="151"/>
      <c r="B51" s="152"/>
      <c r="C51" s="152"/>
      <c r="D51" s="153"/>
      <c r="E51" s="153"/>
      <c r="F51" s="158" t="str">
        <f t="shared" ref="F51:F59" si="14">IF(D51*E51&gt;0,D51*E51,"")</f>
        <v/>
      </c>
      <c r="G51" s="159" t="str">
        <f t="shared" ref="G51:G59" si="15">IF(F51="",F51,F51/52)</f>
        <v/>
      </c>
      <c r="I51" s="307"/>
      <c r="J51" s="308"/>
      <c r="K51" s="14"/>
      <c r="L51" s="14"/>
      <c r="M51" s="15"/>
      <c r="N51" s="15"/>
      <c r="O51" s="16" t="str">
        <f t="shared" si="12"/>
        <v/>
      </c>
      <c r="P51" s="17" t="str">
        <f t="shared" si="13"/>
        <v/>
      </c>
    </row>
    <row r="52" spans="1:16" s="71" customFormat="1" x14ac:dyDescent="0.25">
      <c r="A52" s="151"/>
      <c r="B52" s="152"/>
      <c r="C52" s="152"/>
      <c r="D52" s="153"/>
      <c r="E52" s="153"/>
      <c r="F52" s="158" t="str">
        <f t="shared" si="14"/>
        <v/>
      </c>
      <c r="G52" s="159" t="str">
        <f t="shared" si="15"/>
        <v/>
      </c>
      <c r="I52" s="307"/>
      <c r="J52" s="308"/>
      <c r="K52" s="14"/>
      <c r="L52" s="14"/>
      <c r="M52" s="15"/>
      <c r="N52" s="15"/>
      <c r="O52" s="16" t="str">
        <f t="shared" si="12"/>
        <v/>
      </c>
      <c r="P52" s="17" t="str">
        <f t="shared" si="13"/>
        <v/>
      </c>
    </row>
    <row r="53" spans="1:16" s="71" customFormat="1" x14ac:dyDescent="0.25">
      <c r="A53" s="151"/>
      <c r="B53" s="152"/>
      <c r="C53" s="152"/>
      <c r="D53" s="153"/>
      <c r="E53" s="153"/>
      <c r="F53" s="158" t="str">
        <f t="shared" si="14"/>
        <v/>
      </c>
      <c r="G53" s="159" t="str">
        <f t="shared" si="15"/>
        <v/>
      </c>
      <c r="I53" s="307"/>
      <c r="J53" s="308"/>
      <c r="K53" s="14"/>
      <c r="L53" s="14"/>
      <c r="M53" s="15"/>
      <c r="N53" s="15"/>
      <c r="O53" s="16" t="str">
        <f t="shared" si="12"/>
        <v/>
      </c>
      <c r="P53" s="17" t="str">
        <f t="shared" si="13"/>
        <v/>
      </c>
    </row>
    <row r="54" spans="1:16" s="71" customFormat="1" x14ac:dyDescent="0.25">
      <c r="A54" s="151"/>
      <c r="B54" s="152"/>
      <c r="C54" s="152"/>
      <c r="D54" s="153"/>
      <c r="E54" s="153"/>
      <c r="F54" s="158" t="str">
        <f t="shared" si="14"/>
        <v/>
      </c>
      <c r="G54" s="159" t="str">
        <f t="shared" si="15"/>
        <v/>
      </c>
      <c r="I54" s="307"/>
      <c r="J54" s="308"/>
      <c r="K54" s="14"/>
      <c r="L54" s="14"/>
      <c r="M54" s="15"/>
      <c r="N54" s="15"/>
      <c r="O54" s="16" t="str">
        <f t="shared" si="12"/>
        <v/>
      </c>
      <c r="P54" s="17" t="str">
        <f t="shared" si="13"/>
        <v/>
      </c>
    </row>
    <row r="55" spans="1:16" s="71" customFormat="1" x14ac:dyDescent="0.25">
      <c r="A55" s="151"/>
      <c r="B55" s="152"/>
      <c r="C55" s="152"/>
      <c r="D55" s="153"/>
      <c r="E55" s="153"/>
      <c r="F55" s="158" t="str">
        <f t="shared" si="14"/>
        <v/>
      </c>
      <c r="G55" s="159" t="str">
        <f t="shared" si="15"/>
        <v/>
      </c>
      <c r="I55" s="307"/>
      <c r="J55" s="308"/>
      <c r="K55" s="14"/>
      <c r="L55" s="14"/>
      <c r="M55" s="15"/>
      <c r="N55" s="15"/>
      <c r="O55" s="16" t="str">
        <f t="shared" si="12"/>
        <v/>
      </c>
      <c r="P55" s="17" t="str">
        <f t="shared" si="13"/>
        <v/>
      </c>
    </row>
    <row r="56" spans="1:16" s="71" customFormat="1" x14ac:dyDescent="0.25">
      <c r="A56" s="151"/>
      <c r="B56" s="152"/>
      <c r="C56" s="152"/>
      <c r="D56" s="153"/>
      <c r="E56" s="153"/>
      <c r="F56" s="158" t="str">
        <f t="shared" si="14"/>
        <v/>
      </c>
      <c r="G56" s="159" t="str">
        <f t="shared" si="15"/>
        <v/>
      </c>
      <c r="I56" s="307"/>
      <c r="J56" s="308"/>
      <c r="K56" s="14"/>
      <c r="L56" s="14"/>
      <c r="M56" s="15"/>
      <c r="N56" s="15"/>
      <c r="O56" s="16" t="str">
        <f t="shared" si="12"/>
        <v/>
      </c>
      <c r="P56" s="17" t="str">
        <f t="shared" si="13"/>
        <v/>
      </c>
    </row>
    <row r="57" spans="1:16" s="71" customFormat="1" x14ac:dyDescent="0.25">
      <c r="A57" s="151"/>
      <c r="B57" s="152"/>
      <c r="C57" s="152"/>
      <c r="D57" s="153"/>
      <c r="E57" s="153"/>
      <c r="F57" s="158" t="str">
        <f t="shared" si="14"/>
        <v/>
      </c>
      <c r="G57" s="159" t="str">
        <f t="shared" si="15"/>
        <v/>
      </c>
      <c r="I57" s="307"/>
      <c r="J57" s="308"/>
      <c r="K57" s="14"/>
      <c r="L57" s="14"/>
      <c r="M57" s="15"/>
      <c r="N57" s="15"/>
      <c r="O57" s="16" t="str">
        <f t="shared" si="12"/>
        <v/>
      </c>
      <c r="P57" s="17" t="str">
        <f t="shared" si="13"/>
        <v/>
      </c>
    </row>
    <row r="58" spans="1:16" s="71" customFormat="1" x14ac:dyDescent="0.25">
      <c r="A58" s="151"/>
      <c r="B58" s="152"/>
      <c r="C58" s="152"/>
      <c r="D58" s="153"/>
      <c r="E58" s="153"/>
      <c r="F58" s="158" t="str">
        <f t="shared" si="14"/>
        <v/>
      </c>
      <c r="G58" s="159" t="str">
        <f t="shared" si="15"/>
        <v/>
      </c>
      <c r="I58" s="307"/>
      <c r="J58" s="308"/>
      <c r="K58" s="14"/>
      <c r="L58" s="14"/>
      <c r="M58" s="15"/>
      <c r="N58" s="15"/>
      <c r="O58" s="16" t="str">
        <f t="shared" si="12"/>
        <v/>
      </c>
      <c r="P58" s="17" t="str">
        <f t="shared" si="13"/>
        <v/>
      </c>
    </row>
    <row r="59" spans="1:16" s="71" customFormat="1" x14ac:dyDescent="0.25">
      <c r="A59" s="151"/>
      <c r="B59" s="152"/>
      <c r="C59" s="152"/>
      <c r="D59" s="153"/>
      <c r="E59" s="153"/>
      <c r="F59" s="158" t="str">
        <f t="shared" si="14"/>
        <v/>
      </c>
      <c r="G59" s="159" t="str">
        <f t="shared" si="15"/>
        <v/>
      </c>
      <c r="I59" s="307"/>
      <c r="J59" s="308"/>
      <c r="K59" s="14"/>
      <c r="L59" s="14"/>
      <c r="M59" s="15"/>
      <c r="N59" s="15"/>
      <c r="O59" s="16" t="str">
        <f t="shared" si="12"/>
        <v/>
      </c>
      <c r="P59" s="17" t="str">
        <f t="shared" si="13"/>
        <v/>
      </c>
    </row>
    <row r="60" spans="1:16" s="71" customFormat="1" x14ac:dyDescent="0.25">
      <c r="A60" s="151"/>
      <c r="B60" s="152"/>
      <c r="C60" s="152"/>
      <c r="D60" s="153"/>
      <c r="E60" s="153"/>
      <c r="F60" s="158" t="str">
        <f>IF(D60*E60&gt;0,D60*E60,"")</f>
        <v/>
      </c>
      <c r="G60" s="159" t="str">
        <f>IF(F60="",F60,F60/52)</f>
        <v/>
      </c>
      <c r="I60" s="307"/>
      <c r="J60" s="308"/>
      <c r="K60" s="14"/>
      <c r="L60" s="14"/>
      <c r="M60" s="15"/>
      <c r="N60" s="15"/>
      <c r="O60" s="16" t="str">
        <f t="shared" ref="O60:O69" si="16">IF(M60*N60&gt;0,M60*N60,"")</f>
        <v/>
      </c>
      <c r="P60" s="17" t="str">
        <f t="shared" ref="P60:P69" si="17">IF(O60="",O60,O60/52)</f>
        <v/>
      </c>
    </row>
    <row r="61" spans="1:16" s="71" customFormat="1" x14ac:dyDescent="0.25">
      <c r="A61" s="151"/>
      <c r="B61" s="152"/>
      <c r="C61" s="152"/>
      <c r="D61" s="153"/>
      <c r="E61" s="153"/>
      <c r="F61" s="158" t="str">
        <f t="shared" ref="F61:F69" si="18">IF(D61*E61&gt;0,D61*E61,"")</f>
        <v/>
      </c>
      <c r="G61" s="159" t="str">
        <f t="shared" ref="G61:G69" si="19">IF(F61="",F61,F61/52)</f>
        <v/>
      </c>
      <c r="I61" s="307"/>
      <c r="J61" s="308"/>
      <c r="K61" s="14"/>
      <c r="L61" s="14"/>
      <c r="M61" s="15"/>
      <c r="N61" s="15"/>
      <c r="O61" s="16" t="str">
        <f t="shared" si="16"/>
        <v/>
      </c>
      <c r="P61" s="17" t="str">
        <f t="shared" si="17"/>
        <v/>
      </c>
    </row>
    <row r="62" spans="1:16" s="71" customFormat="1" x14ac:dyDescent="0.25">
      <c r="A62" s="151"/>
      <c r="B62" s="152"/>
      <c r="C62" s="152"/>
      <c r="D62" s="153"/>
      <c r="E62" s="153"/>
      <c r="F62" s="158" t="str">
        <f t="shared" si="18"/>
        <v/>
      </c>
      <c r="G62" s="159" t="str">
        <f t="shared" si="19"/>
        <v/>
      </c>
      <c r="I62" s="307"/>
      <c r="J62" s="308"/>
      <c r="K62" s="14"/>
      <c r="L62" s="14"/>
      <c r="M62" s="15"/>
      <c r="N62" s="15"/>
      <c r="O62" s="16" t="str">
        <f t="shared" si="16"/>
        <v/>
      </c>
      <c r="P62" s="17" t="str">
        <f t="shared" si="17"/>
        <v/>
      </c>
    </row>
    <row r="63" spans="1:16" s="71" customFormat="1" x14ac:dyDescent="0.25">
      <c r="A63" s="151"/>
      <c r="B63" s="152"/>
      <c r="C63" s="152"/>
      <c r="D63" s="153"/>
      <c r="E63" s="153"/>
      <c r="F63" s="158" t="str">
        <f t="shared" si="18"/>
        <v/>
      </c>
      <c r="G63" s="159" t="str">
        <f t="shared" si="19"/>
        <v/>
      </c>
      <c r="I63" s="307"/>
      <c r="J63" s="308"/>
      <c r="K63" s="14"/>
      <c r="L63" s="14"/>
      <c r="M63" s="15"/>
      <c r="N63" s="15"/>
      <c r="O63" s="16" t="str">
        <f t="shared" si="16"/>
        <v/>
      </c>
      <c r="P63" s="17" t="str">
        <f t="shared" si="17"/>
        <v/>
      </c>
    </row>
    <row r="64" spans="1:16" s="71" customFormat="1" x14ac:dyDescent="0.25">
      <c r="A64" s="151"/>
      <c r="B64" s="152"/>
      <c r="C64" s="152"/>
      <c r="D64" s="153"/>
      <c r="E64" s="153"/>
      <c r="F64" s="158" t="str">
        <f t="shared" si="18"/>
        <v/>
      </c>
      <c r="G64" s="159" t="str">
        <f t="shared" si="19"/>
        <v/>
      </c>
      <c r="I64" s="307"/>
      <c r="J64" s="308"/>
      <c r="K64" s="14"/>
      <c r="L64" s="14"/>
      <c r="M64" s="15"/>
      <c r="N64" s="15"/>
      <c r="O64" s="16" t="str">
        <f t="shared" si="16"/>
        <v/>
      </c>
      <c r="P64" s="17" t="str">
        <f t="shared" si="17"/>
        <v/>
      </c>
    </row>
    <row r="65" spans="1:16" s="71" customFormat="1" x14ac:dyDescent="0.25">
      <c r="A65" s="151"/>
      <c r="B65" s="152"/>
      <c r="C65" s="152"/>
      <c r="D65" s="153"/>
      <c r="E65" s="153"/>
      <c r="F65" s="158" t="str">
        <f t="shared" si="18"/>
        <v/>
      </c>
      <c r="G65" s="159" t="str">
        <f t="shared" si="19"/>
        <v/>
      </c>
      <c r="I65" s="307"/>
      <c r="J65" s="308"/>
      <c r="K65" s="14"/>
      <c r="L65" s="14"/>
      <c r="M65" s="15"/>
      <c r="N65" s="15"/>
      <c r="O65" s="16" t="str">
        <f t="shared" si="16"/>
        <v/>
      </c>
      <c r="P65" s="17" t="str">
        <f t="shared" si="17"/>
        <v/>
      </c>
    </row>
    <row r="66" spans="1:16" s="71" customFormat="1" x14ac:dyDescent="0.25">
      <c r="A66" s="151"/>
      <c r="B66" s="152"/>
      <c r="C66" s="152"/>
      <c r="D66" s="153"/>
      <c r="E66" s="153"/>
      <c r="F66" s="158" t="str">
        <f t="shared" si="18"/>
        <v/>
      </c>
      <c r="G66" s="159" t="str">
        <f t="shared" si="19"/>
        <v/>
      </c>
      <c r="I66" s="307"/>
      <c r="J66" s="308"/>
      <c r="K66" s="14"/>
      <c r="L66" s="14"/>
      <c r="M66" s="15"/>
      <c r="N66" s="15"/>
      <c r="O66" s="16" t="str">
        <f t="shared" si="16"/>
        <v/>
      </c>
      <c r="P66" s="17" t="str">
        <f t="shared" si="17"/>
        <v/>
      </c>
    </row>
    <row r="67" spans="1:16" s="71" customFormat="1" x14ac:dyDescent="0.25">
      <c r="A67" s="151"/>
      <c r="B67" s="152"/>
      <c r="C67" s="152"/>
      <c r="D67" s="153"/>
      <c r="E67" s="153"/>
      <c r="F67" s="158" t="str">
        <f t="shared" si="18"/>
        <v/>
      </c>
      <c r="G67" s="159" t="str">
        <f t="shared" si="19"/>
        <v/>
      </c>
      <c r="I67" s="307"/>
      <c r="J67" s="308"/>
      <c r="K67" s="14"/>
      <c r="L67" s="14"/>
      <c r="M67" s="15"/>
      <c r="N67" s="15"/>
      <c r="O67" s="16" t="str">
        <f t="shared" si="16"/>
        <v/>
      </c>
      <c r="P67" s="17" t="str">
        <f t="shared" si="17"/>
        <v/>
      </c>
    </row>
    <row r="68" spans="1:16" s="71" customFormat="1" x14ac:dyDescent="0.25">
      <c r="A68" s="151"/>
      <c r="B68" s="152"/>
      <c r="C68" s="152"/>
      <c r="D68" s="153"/>
      <c r="E68" s="153"/>
      <c r="F68" s="158" t="str">
        <f t="shared" si="18"/>
        <v/>
      </c>
      <c r="G68" s="159" t="str">
        <f t="shared" si="19"/>
        <v/>
      </c>
      <c r="I68" s="307"/>
      <c r="J68" s="308"/>
      <c r="K68" s="14"/>
      <c r="L68" s="14"/>
      <c r="M68" s="15"/>
      <c r="N68" s="15"/>
      <c r="O68" s="16" t="str">
        <f t="shared" si="16"/>
        <v/>
      </c>
      <c r="P68" s="17" t="str">
        <f t="shared" si="17"/>
        <v/>
      </c>
    </row>
    <row r="69" spans="1:16" s="71" customFormat="1" x14ac:dyDescent="0.25">
      <c r="A69" s="151"/>
      <c r="B69" s="152"/>
      <c r="C69" s="152"/>
      <c r="D69" s="153"/>
      <c r="E69" s="153"/>
      <c r="F69" s="158" t="str">
        <f t="shared" si="18"/>
        <v/>
      </c>
      <c r="G69" s="159" t="str">
        <f t="shared" si="19"/>
        <v/>
      </c>
      <c r="I69" s="307"/>
      <c r="J69" s="308"/>
      <c r="K69" s="14"/>
      <c r="L69" s="14"/>
      <c r="M69" s="15"/>
      <c r="N69" s="15"/>
      <c r="O69" s="16" t="str">
        <f t="shared" si="16"/>
        <v/>
      </c>
      <c r="P69" s="17" t="str">
        <f t="shared" si="17"/>
        <v/>
      </c>
    </row>
    <row r="70" spans="1:16" s="71" customFormat="1" x14ac:dyDescent="0.25">
      <c r="A70" s="151"/>
      <c r="B70" s="152"/>
      <c r="C70" s="152"/>
      <c r="D70" s="153"/>
      <c r="E70" s="153"/>
      <c r="F70" s="158" t="str">
        <f>IF(D70*E70&gt;0,D70*E70,"")</f>
        <v/>
      </c>
      <c r="G70" s="159" t="str">
        <f>IF(F70="",F70,F70/52)</f>
        <v/>
      </c>
      <c r="I70" s="307"/>
      <c r="J70" s="308"/>
      <c r="K70" s="14"/>
      <c r="L70" s="14"/>
      <c r="M70" s="15"/>
      <c r="N70" s="15"/>
      <c r="O70" s="16" t="str">
        <f t="shared" ref="O70:O79" si="20">IF(M70*N70&gt;0,M70*N70,"")</f>
        <v/>
      </c>
      <c r="P70" s="17" t="str">
        <f t="shared" ref="P70:P79" si="21">IF(O70="",O70,O70/52)</f>
        <v/>
      </c>
    </row>
    <row r="71" spans="1:16" s="71" customFormat="1" x14ac:dyDescent="0.25">
      <c r="A71" s="151"/>
      <c r="B71" s="152"/>
      <c r="C71" s="152"/>
      <c r="D71" s="153"/>
      <c r="E71" s="153"/>
      <c r="F71" s="158" t="str">
        <f t="shared" ref="F71:F79" si="22">IF(D71*E71&gt;0,D71*E71,"")</f>
        <v/>
      </c>
      <c r="G71" s="159" t="str">
        <f t="shared" ref="G71:G79" si="23">IF(F71="",F71,F71/52)</f>
        <v/>
      </c>
      <c r="I71" s="307"/>
      <c r="J71" s="308"/>
      <c r="K71" s="14"/>
      <c r="L71" s="14"/>
      <c r="M71" s="15"/>
      <c r="N71" s="15"/>
      <c r="O71" s="16" t="str">
        <f t="shared" si="20"/>
        <v/>
      </c>
      <c r="P71" s="17" t="str">
        <f t="shared" si="21"/>
        <v/>
      </c>
    </row>
    <row r="72" spans="1:16" s="71" customFormat="1" x14ac:dyDescent="0.25">
      <c r="A72" s="151"/>
      <c r="B72" s="152"/>
      <c r="C72" s="152"/>
      <c r="D72" s="153"/>
      <c r="E72" s="153"/>
      <c r="F72" s="158" t="str">
        <f t="shared" si="22"/>
        <v/>
      </c>
      <c r="G72" s="159" t="str">
        <f t="shared" si="23"/>
        <v/>
      </c>
      <c r="I72" s="307"/>
      <c r="J72" s="308"/>
      <c r="K72" s="14"/>
      <c r="L72" s="14"/>
      <c r="M72" s="15"/>
      <c r="N72" s="15"/>
      <c r="O72" s="16" t="str">
        <f t="shared" si="20"/>
        <v/>
      </c>
      <c r="P72" s="17" t="str">
        <f t="shared" si="21"/>
        <v/>
      </c>
    </row>
    <row r="73" spans="1:16" s="71" customFormat="1" x14ac:dyDescent="0.25">
      <c r="A73" s="151"/>
      <c r="B73" s="152"/>
      <c r="C73" s="152"/>
      <c r="D73" s="153"/>
      <c r="E73" s="153"/>
      <c r="F73" s="158" t="str">
        <f t="shared" si="22"/>
        <v/>
      </c>
      <c r="G73" s="159" t="str">
        <f t="shared" si="23"/>
        <v/>
      </c>
      <c r="I73" s="307"/>
      <c r="J73" s="308"/>
      <c r="K73" s="14"/>
      <c r="L73" s="14"/>
      <c r="M73" s="15"/>
      <c r="N73" s="15"/>
      <c r="O73" s="16" t="str">
        <f t="shared" si="20"/>
        <v/>
      </c>
      <c r="P73" s="17" t="str">
        <f t="shared" si="21"/>
        <v/>
      </c>
    </row>
    <row r="74" spans="1:16" s="71" customFormat="1" x14ac:dyDescent="0.25">
      <c r="A74" s="151"/>
      <c r="B74" s="152"/>
      <c r="C74" s="152"/>
      <c r="D74" s="153"/>
      <c r="E74" s="153"/>
      <c r="F74" s="158" t="str">
        <f t="shared" si="22"/>
        <v/>
      </c>
      <c r="G74" s="159" t="str">
        <f t="shared" si="23"/>
        <v/>
      </c>
      <c r="I74" s="307"/>
      <c r="J74" s="308"/>
      <c r="K74" s="14"/>
      <c r="L74" s="14"/>
      <c r="M74" s="15"/>
      <c r="N74" s="15"/>
      <c r="O74" s="16" t="str">
        <f t="shared" si="20"/>
        <v/>
      </c>
      <c r="P74" s="17" t="str">
        <f t="shared" si="21"/>
        <v/>
      </c>
    </row>
    <row r="75" spans="1:16" s="71" customFormat="1" x14ac:dyDescent="0.25">
      <c r="A75" s="151"/>
      <c r="B75" s="152"/>
      <c r="C75" s="152"/>
      <c r="D75" s="153"/>
      <c r="E75" s="153"/>
      <c r="F75" s="158" t="str">
        <f t="shared" si="22"/>
        <v/>
      </c>
      <c r="G75" s="159" t="str">
        <f t="shared" si="23"/>
        <v/>
      </c>
      <c r="I75" s="307"/>
      <c r="J75" s="308"/>
      <c r="K75" s="14"/>
      <c r="L75" s="14"/>
      <c r="M75" s="15"/>
      <c r="N75" s="15"/>
      <c r="O75" s="16" t="str">
        <f t="shared" si="20"/>
        <v/>
      </c>
      <c r="P75" s="17" t="str">
        <f t="shared" si="21"/>
        <v/>
      </c>
    </row>
    <row r="76" spans="1:16" s="71" customFormat="1" x14ac:dyDescent="0.25">
      <c r="A76" s="151"/>
      <c r="B76" s="152"/>
      <c r="C76" s="152"/>
      <c r="D76" s="153"/>
      <c r="E76" s="153"/>
      <c r="F76" s="158" t="str">
        <f t="shared" si="22"/>
        <v/>
      </c>
      <c r="G76" s="159" t="str">
        <f t="shared" si="23"/>
        <v/>
      </c>
      <c r="I76" s="307"/>
      <c r="J76" s="308"/>
      <c r="K76" s="14"/>
      <c r="L76" s="14"/>
      <c r="M76" s="15"/>
      <c r="N76" s="15"/>
      <c r="O76" s="16" t="str">
        <f t="shared" si="20"/>
        <v/>
      </c>
      <c r="P76" s="17" t="str">
        <f t="shared" si="21"/>
        <v/>
      </c>
    </row>
    <row r="77" spans="1:16" s="71" customFormat="1" x14ac:dyDescent="0.25">
      <c r="A77" s="151"/>
      <c r="B77" s="152"/>
      <c r="C77" s="152"/>
      <c r="D77" s="153"/>
      <c r="E77" s="153"/>
      <c r="F77" s="158" t="str">
        <f t="shared" si="22"/>
        <v/>
      </c>
      <c r="G77" s="159" t="str">
        <f t="shared" si="23"/>
        <v/>
      </c>
      <c r="I77" s="307"/>
      <c r="J77" s="308"/>
      <c r="K77" s="14"/>
      <c r="L77" s="14"/>
      <c r="M77" s="15"/>
      <c r="N77" s="15"/>
      <c r="O77" s="16" t="str">
        <f t="shared" si="20"/>
        <v/>
      </c>
      <c r="P77" s="17" t="str">
        <f t="shared" si="21"/>
        <v/>
      </c>
    </row>
    <row r="78" spans="1:16" s="71" customFormat="1" x14ac:dyDescent="0.25">
      <c r="A78" s="151"/>
      <c r="B78" s="152"/>
      <c r="C78" s="152"/>
      <c r="D78" s="153"/>
      <c r="E78" s="153"/>
      <c r="F78" s="158" t="str">
        <f t="shared" si="22"/>
        <v/>
      </c>
      <c r="G78" s="159" t="str">
        <f t="shared" si="23"/>
        <v/>
      </c>
      <c r="I78" s="307"/>
      <c r="J78" s="308"/>
      <c r="K78" s="14"/>
      <c r="L78" s="14"/>
      <c r="M78" s="15"/>
      <c r="N78" s="15"/>
      <c r="O78" s="16" t="str">
        <f t="shared" si="20"/>
        <v/>
      </c>
      <c r="P78" s="17" t="str">
        <f t="shared" si="21"/>
        <v/>
      </c>
    </row>
    <row r="79" spans="1:16" s="71" customFormat="1" x14ac:dyDescent="0.25">
      <c r="A79" s="151"/>
      <c r="B79" s="152"/>
      <c r="C79" s="152"/>
      <c r="D79" s="153"/>
      <c r="E79" s="153"/>
      <c r="F79" s="158" t="str">
        <f t="shared" si="22"/>
        <v/>
      </c>
      <c r="G79" s="159" t="str">
        <f t="shared" si="23"/>
        <v/>
      </c>
      <c r="I79" s="307"/>
      <c r="J79" s="308"/>
      <c r="K79" s="14"/>
      <c r="L79" s="14"/>
      <c r="M79" s="15"/>
      <c r="N79" s="15"/>
      <c r="O79" s="16" t="str">
        <f t="shared" si="20"/>
        <v/>
      </c>
      <c r="P79" s="17" t="str">
        <f t="shared" si="21"/>
        <v/>
      </c>
    </row>
    <row r="80" spans="1:16" s="71" customFormat="1" x14ac:dyDescent="0.25">
      <c r="A80" s="151"/>
      <c r="B80" s="152"/>
      <c r="C80" s="152"/>
      <c r="D80" s="153"/>
      <c r="E80" s="153"/>
      <c r="F80" s="158" t="str">
        <f>IF(D80*E80&gt;0,D80*E80,"")</f>
        <v/>
      </c>
      <c r="G80" s="159" t="str">
        <f>IF(F80="",F80,F80/52)</f>
        <v/>
      </c>
      <c r="I80" s="307"/>
      <c r="J80" s="308"/>
      <c r="K80" s="14"/>
      <c r="L80" s="14"/>
      <c r="M80" s="15"/>
      <c r="N80" s="15"/>
      <c r="O80" s="16" t="str">
        <f t="shared" si="0"/>
        <v/>
      </c>
      <c r="P80" s="17" t="str">
        <f t="shared" si="1"/>
        <v/>
      </c>
    </row>
    <row r="81" spans="1:16" s="71" customFormat="1" x14ac:dyDescent="0.25">
      <c r="A81" s="151"/>
      <c r="B81" s="152"/>
      <c r="C81" s="152"/>
      <c r="D81" s="153"/>
      <c r="E81" s="153"/>
      <c r="F81" s="158" t="str">
        <f>IF(D81*E81&gt;0,D81*E81,"")</f>
        <v/>
      </c>
      <c r="G81" s="159" t="str">
        <f>IF(F81="",F81,F81/52)</f>
        <v/>
      </c>
      <c r="I81" s="307"/>
      <c r="J81" s="308"/>
      <c r="K81" s="14"/>
      <c r="L81" s="14"/>
      <c r="M81" s="15"/>
      <c r="N81" s="15"/>
      <c r="O81" s="16" t="str">
        <f t="shared" si="0"/>
        <v/>
      </c>
      <c r="P81" s="17" t="str">
        <f t="shared" si="1"/>
        <v/>
      </c>
    </row>
    <row r="82" spans="1:16" s="71" customFormat="1" x14ac:dyDescent="0.25">
      <c r="A82" s="151"/>
      <c r="B82" s="152"/>
      <c r="C82" s="152"/>
      <c r="D82" s="153"/>
      <c r="E82" s="153"/>
      <c r="F82" s="158" t="str">
        <f>IF(D82*E82&gt;0,D82*E82,"")</f>
        <v/>
      </c>
      <c r="G82" s="159" t="str">
        <f>IF(F82="",F82,F82/52)</f>
        <v/>
      </c>
      <c r="I82" s="307"/>
      <c r="J82" s="308"/>
      <c r="K82" s="14"/>
      <c r="L82" s="14"/>
      <c r="M82" s="15"/>
      <c r="N82" s="15"/>
      <c r="O82" s="16" t="str">
        <f t="shared" si="0"/>
        <v/>
      </c>
      <c r="P82" s="17" t="str">
        <f t="shared" si="1"/>
        <v/>
      </c>
    </row>
    <row r="83" spans="1:16" s="71" customFormat="1" x14ac:dyDescent="0.25">
      <c r="A83" s="151"/>
      <c r="B83" s="152"/>
      <c r="C83" s="152"/>
      <c r="D83" s="153"/>
      <c r="E83" s="153"/>
      <c r="F83" s="158" t="str">
        <f>IF(D83*E83&gt;0,D83*E83,"")</f>
        <v/>
      </c>
      <c r="G83" s="159" t="str">
        <f>IF(F83="",F83,F83/52)</f>
        <v/>
      </c>
      <c r="I83" s="307"/>
      <c r="J83" s="308"/>
      <c r="K83" s="14"/>
      <c r="L83" s="14"/>
      <c r="M83" s="15"/>
      <c r="N83" s="15"/>
      <c r="O83" s="16" t="str">
        <f t="shared" si="0"/>
        <v/>
      </c>
      <c r="P83" s="17" t="str">
        <f t="shared" si="1"/>
        <v/>
      </c>
    </row>
    <row r="84" spans="1:16" s="71" customFormat="1" x14ac:dyDescent="0.25">
      <c r="A84" s="151"/>
      <c r="B84" s="152"/>
      <c r="C84" s="152"/>
      <c r="D84" s="153"/>
      <c r="E84" s="153"/>
      <c r="F84" s="158" t="str">
        <f t="shared" ref="F84:F91" si="24">IF(D84*E84&gt;0,D84*E84,"")</f>
        <v/>
      </c>
      <c r="G84" s="159" t="str">
        <f t="shared" ref="G84:G91" si="25">IF(F84="",F84,F84/52)</f>
        <v/>
      </c>
      <c r="I84" s="307"/>
      <c r="J84" s="308"/>
      <c r="K84" s="14"/>
      <c r="L84" s="14"/>
      <c r="M84" s="15"/>
      <c r="N84" s="15"/>
      <c r="O84" s="16" t="str">
        <f t="shared" si="0"/>
        <v/>
      </c>
      <c r="P84" s="17" t="str">
        <f t="shared" si="1"/>
        <v/>
      </c>
    </row>
    <row r="85" spans="1:16" s="71" customFormat="1" x14ac:dyDescent="0.25">
      <c r="A85" s="151"/>
      <c r="B85" s="152"/>
      <c r="C85" s="152"/>
      <c r="D85" s="153"/>
      <c r="E85" s="153"/>
      <c r="F85" s="158" t="str">
        <f t="shared" si="24"/>
        <v/>
      </c>
      <c r="G85" s="159" t="str">
        <f t="shared" si="25"/>
        <v/>
      </c>
      <c r="I85" s="307"/>
      <c r="J85" s="308"/>
      <c r="K85" s="14"/>
      <c r="L85" s="14"/>
      <c r="M85" s="15"/>
      <c r="N85" s="15"/>
      <c r="O85" s="16" t="str">
        <f t="shared" si="0"/>
        <v/>
      </c>
      <c r="P85" s="17" t="str">
        <f t="shared" si="1"/>
        <v/>
      </c>
    </row>
    <row r="86" spans="1:16" s="71" customFormat="1" x14ac:dyDescent="0.25">
      <c r="A86" s="151"/>
      <c r="B86" s="152"/>
      <c r="C86" s="152"/>
      <c r="D86" s="153"/>
      <c r="E86" s="153"/>
      <c r="F86" s="158" t="str">
        <f t="shared" si="24"/>
        <v/>
      </c>
      <c r="G86" s="159" t="str">
        <f t="shared" si="25"/>
        <v/>
      </c>
      <c r="I86" s="307"/>
      <c r="J86" s="308"/>
      <c r="K86" s="14"/>
      <c r="L86" s="14"/>
      <c r="M86" s="15"/>
      <c r="N86" s="15"/>
      <c r="O86" s="16" t="str">
        <f t="shared" ref="O86:O91" si="26">IF(M86*N86&gt;0,M86*N86,"")</f>
        <v/>
      </c>
      <c r="P86" s="17" t="str">
        <f t="shared" ref="P86:P91" si="27">IF(O86="",O86,O86/52)</f>
        <v/>
      </c>
    </row>
    <row r="87" spans="1:16" s="71" customFormat="1" x14ac:dyDescent="0.25">
      <c r="A87" s="151"/>
      <c r="B87" s="152"/>
      <c r="C87" s="152"/>
      <c r="D87" s="153"/>
      <c r="E87" s="153"/>
      <c r="F87" s="158" t="str">
        <f t="shared" si="24"/>
        <v/>
      </c>
      <c r="G87" s="159" t="str">
        <f t="shared" si="25"/>
        <v/>
      </c>
      <c r="I87" s="307"/>
      <c r="J87" s="308"/>
      <c r="K87" s="14"/>
      <c r="L87" s="14"/>
      <c r="M87" s="15"/>
      <c r="N87" s="15"/>
      <c r="O87" s="16" t="str">
        <f t="shared" si="26"/>
        <v/>
      </c>
      <c r="P87" s="17" t="str">
        <f t="shared" si="27"/>
        <v/>
      </c>
    </row>
    <row r="88" spans="1:16" s="71" customFormat="1" x14ac:dyDescent="0.25">
      <c r="A88" s="151"/>
      <c r="B88" s="152"/>
      <c r="C88" s="152"/>
      <c r="D88" s="153"/>
      <c r="E88" s="153"/>
      <c r="F88" s="158" t="str">
        <f t="shared" si="24"/>
        <v/>
      </c>
      <c r="G88" s="159" t="str">
        <f t="shared" si="25"/>
        <v/>
      </c>
      <c r="I88" s="307"/>
      <c r="J88" s="308"/>
      <c r="K88" s="14"/>
      <c r="L88" s="14"/>
      <c r="M88" s="15"/>
      <c r="N88" s="15"/>
      <c r="O88" s="16" t="str">
        <f t="shared" si="26"/>
        <v/>
      </c>
      <c r="P88" s="17" t="str">
        <f t="shared" si="27"/>
        <v/>
      </c>
    </row>
    <row r="89" spans="1:16" s="71" customFormat="1" x14ac:dyDescent="0.25">
      <c r="A89" s="151"/>
      <c r="B89" s="152"/>
      <c r="C89" s="152"/>
      <c r="D89" s="153"/>
      <c r="E89" s="153"/>
      <c r="F89" s="158" t="str">
        <f t="shared" si="24"/>
        <v/>
      </c>
      <c r="G89" s="159" t="str">
        <f t="shared" si="25"/>
        <v/>
      </c>
      <c r="I89" s="307"/>
      <c r="J89" s="308"/>
      <c r="K89" s="14"/>
      <c r="L89" s="14"/>
      <c r="M89" s="15"/>
      <c r="N89" s="15"/>
      <c r="O89" s="16" t="str">
        <f t="shared" si="26"/>
        <v/>
      </c>
      <c r="P89" s="17" t="str">
        <f t="shared" si="27"/>
        <v/>
      </c>
    </row>
    <row r="90" spans="1:16" s="71" customFormat="1" x14ac:dyDescent="0.25">
      <c r="A90" s="151"/>
      <c r="B90" s="152"/>
      <c r="C90" s="152"/>
      <c r="D90" s="153"/>
      <c r="E90" s="153"/>
      <c r="F90" s="158" t="str">
        <f t="shared" si="24"/>
        <v/>
      </c>
      <c r="G90" s="159" t="str">
        <f t="shared" si="25"/>
        <v/>
      </c>
      <c r="I90" s="307"/>
      <c r="J90" s="308"/>
      <c r="K90" s="14"/>
      <c r="L90" s="14"/>
      <c r="M90" s="15"/>
      <c r="N90" s="15"/>
      <c r="O90" s="16" t="str">
        <f t="shared" si="26"/>
        <v/>
      </c>
      <c r="P90" s="17" t="str">
        <f t="shared" si="27"/>
        <v/>
      </c>
    </row>
    <row r="91" spans="1:16" s="71" customFormat="1" ht="15.75" thickBot="1" x14ac:dyDescent="0.3">
      <c r="A91" s="154"/>
      <c r="B91" s="155"/>
      <c r="C91" s="155"/>
      <c r="D91" s="156"/>
      <c r="E91" s="156"/>
      <c r="F91" s="160" t="str">
        <f t="shared" si="24"/>
        <v/>
      </c>
      <c r="G91" s="161" t="str">
        <f t="shared" si="25"/>
        <v/>
      </c>
      <c r="I91" s="309"/>
      <c r="J91" s="310"/>
      <c r="K91" s="18"/>
      <c r="L91" s="18"/>
      <c r="M91" s="19"/>
      <c r="N91" s="19"/>
      <c r="O91" s="20" t="str">
        <f t="shared" si="26"/>
        <v/>
      </c>
      <c r="P91" s="21" t="str">
        <f t="shared" si="27"/>
        <v/>
      </c>
    </row>
    <row r="93" spans="1:16" s="102" customFormat="1" ht="15" customHeight="1" x14ac:dyDescent="0.25">
      <c r="A93" s="311" t="s">
        <v>630</v>
      </c>
      <c r="B93" s="311"/>
      <c r="C93" s="311"/>
      <c r="D93" s="311"/>
      <c r="E93" s="311"/>
      <c r="F93" s="311"/>
      <c r="G93" s="311"/>
      <c r="H93" s="71"/>
      <c r="I93" s="105"/>
      <c r="J93" s="311" t="s">
        <v>631</v>
      </c>
      <c r="K93" s="311"/>
      <c r="L93" s="311"/>
      <c r="M93" s="311"/>
      <c r="N93" s="311"/>
      <c r="O93" s="311"/>
      <c r="P93" s="311"/>
    </row>
    <row r="94" spans="1:16" s="102" customFormat="1" x14ac:dyDescent="0.25">
      <c r="A94" s="311"/>
      <c r="B94" s="311"/>
      <c r="C94" s="311"/>
      <c r="D94" s="311"/>
      <c r="E94" s="311"/>
      <c r="F94" s="311"/>
      <c r="G94" s="311"/>
      <c r="H94" s="71"/>
      <c r="I94" s="105"/>
      <c r="J94" s="311"/>
      <c r="K94" s="311"/>
      <c r="L94" s="311"/>
      <c r="M94" s="311"/>
      <c r="N94" s="311"/>
      <c r="O94" s="311"/>
      <c r="P94" s="311"/>
    </row>
    <row r="95" spans="1:16" s="102" customFormat="1" ht="15.75" thickBot="1" x14ac:dyDescent="0.3">
      <c r="A95" s="311"/>
      <c r="B95" s="311"/>
      <c r="C95" s="311"/>
      <c r="D95" s="311"/>
      <c r="E95" s="311"/>
      <c r="F95" s="311"/>
      <c r="G95" s="311"/>
      <c r="H95" s="71"/>
      <c r="I95" s="105"/>
      <c r="J95" s="311"/>
      <c r="K95" s="311"/>
      <c r="L95" s="311"/>
      <c r="M95" s="311"/>
      <c r="N95" s="311"/>
      <c r="O95" s="311"/>
      <c r="P95" s="311"/>
    </row>
    <row r="96" spans="1:16" s="102" customFormat="1" ht="15.75" thickBot="1" x14ac:dyDescent="0.3">
      <c r="A96" s="305" t="s">
        <v>642</v>
      </c>
      <c r="B96" s="306"/>
      <c r="C96" s="121" t="s">
        <v>332</v>
      </c>
      <c r="D96" s="122" t="e">
        <f ca="1">SUM(CoreCapacityRange)</f>
        <v>#REF!</v>
      </c>
      <c r="I96" s="103"/>
      <c r="L96" s="121" t="s">
        <v>332</v>
      </c>
      <c r="M96" s="122" t="e">
        <f ca="1">SUM(AdHocCapacityRange)</f>
        <v>#REF!</v>
      </c>
    </row>
    <row r="97" spans="2:13" s="102" customFormat="1" ht="21" x14ac:dyDescent="0.25">
      <c r="B97" s="118" t="s">
        <v>58</v>
      </c>
      <c r="C97" s="119" t="s">
        <v>333</v>
      </c>
      <c r="D97" s="120" t="s">
        <v>621</v>
      </c>
      <c r="I97" s="103"/>
      <c r="K97" s="123" t="s">
        <v>58</v>
      </c>
      <c r="L97" s="124" t="s">
        <v>333</v>
      </c>
      <c r="M97" s="125" t="s">
        <v>622</v>
      </c>
    </row>
    <row r="98" spans="2:13" s="102" customFormat="1" x14ac:dyDescent="0.25">
      <c r="B98" s="114">
        <f t="array" aca="1" ref="B98:B149" ca="1">ROW(INDIRECT("1:52"))</f>
        <v>1</v>
      </c>
      <c r="C98" s="115" t="e">
        <f t="array" aca="1" ref="C98:C149" ca="1">ReferralsRange</f>
        <v>#REF!</v>
      </c>
      <c r="D98" s="189">
        <v>10</v>
      </c>
      <c r="I98" s="103"/>
      <c r="K98" s="114">
        <f t="array" aca="1" ref="K98:K149" ca="1">ROW(INDIRECT("1:52"))</f>
        <v>1</v>
      </c>
      <c r="L98" s="115" t="e">
        <f t="array" aca="1" ref="L98:L149" ca="1">ReferralsRange</f>
        <v>#REF!</v>
      </c>
      <c r="M98" s="189"/>
    </row>
    <row r="99" spans="2:13" s="102" customFormat="1" x14ac:dyDescent="0.25">
      <c r="B99" s="114">
        <f ca="1"/>
        <v>2</v>
      </c>
      <c r="C99" s="115" t="e">
        <f ca="1"/>
        <v>#REF!</v>
      </c>
      <c r="D99" s="189">
        <v>20</v>
      </c>
      <c r="I99" s="103"/>
      <c r="K99" s="114">
        <f ca="1"/>
        <v>2</v>
      </c>
      <c r="L99" s="115" t="e">
        <f ca="1"/>
        <v>#REF!</v>
      </c>
      <c r="M99" s="189">
        <v>2</v>
      </c>
    </row>
    <row r="100" spans="2:13" s="102" customFormat="1" x14ac:dyDescent="0.25">
      <c r="B100" s="114">
        <f ca="1"/>
        <v>3</v>
      </c>
      <c r="C100" s="115" t="e">
        <f ca="1"/>
        <v>#REF!</v>
      </c>
      <c r="D100" s="189">
        <v>20</v>
      </c>
      <c r="I100" s="103"/>
      <c r="K100" s="114">
        <f ca="1"/>
        <v>3</v>
      </c>
      <c r="L100" s="115" t="e">
        <f ca="1"/>
        <v>#REF!</v>
      </c>
      <c r="M100" s="189"/>
    </row>
    <row r="101" spans="2:13" s="102" customFormat="1" x14ac:dyDescent="0.25">
      <c r="B101" s="114">
        <f ca="1"/>
        <v>4</v>
      </c>
      <c r="C101" s="115" t="e">
        <f ca="1"/>
        <v>#REF!</v>
      </c>
      <c r="D101" s="189">
        <v>10</v>
      </c>
      <c r="I101" s="103"/>
      <c r="K101" s="114">
        <f ca="1"/>
        <v>4</v>
      </c>
      <c r="L101" s="115" t="e">
        <f ca="1"/>
        <v>#REF!</v>
      </c>
      <c r="M101" s="189"/>
    </row>
    <row r="102" spans="2:13" s="102" customFormat="1" x14ac:dyDescent="0.25">
      <c r="B102" s="114">
        <f ca="1"/>
        <v>5</v>
      </c>
      <c r="C102" s="115" t="e">
        <f ca="1"/>
        <v>#REF!</v>
      </c>
      <c r="D102" s="189">
        <v>10</v>
      </c>
      <c r="I102" s="103"/>
      <c r="K102" s="114">
        <f ca="1"/>
        <v>5</v>
      </c>
      <c r="L102" s="115" t="e">
        <f ca="1"/>
        <v>#REF!</v>
      </c>
      <c r="M102" s="189">
        <v>3</v>
      </c>
    </row>
    <row r="103" spans="2:13" s="102" customFormat="1" x14ac:dyDescent="0.25">
      <c r="B103" s="114">
        <f ca="1"/>
        <v>6</v>
      </c>
      <c r="C103" s="115" t="e">
        <f ca="1"/>
        <v>#REF!</v>
      </c>
      <c r="D103" s="189">
        <v>20</v>
      </c>
      <c r="I103" s="103"/>
      <c r="K103" s="114">
        <f ca="1"/>
        <v>6</v>
      </c>
      <c r="L103" s="115" t="e">
        <f ca="1"/>
        <v>#REF!</v>
      </c>
      <c r="M103" s="189">
        <v>6</v>
      </c>
    </row>
    <row r="104" spans="2:13" s="102" customFormat="1" x14ac:dyDescent="0.25">
      <c r="B104" s="114">
        <f ca="1"/>
        <v>7</v>
      </c>
      <c r="C104" s="115" t="e">
        <f ca="1"/>
        <v>#REF!</v>
      </c>
      <c r="D104" s="189">
        <v>20</v>
      </c>
      <c r="I104" s="103"/>
      <c r="K104" s="114">
        <f ca="1"/>
        <v>7</v>
      </c>
      <c r="L104" s="115" t="e">
        <f ca="1"/>
        <v>#REF!</v>
      </c>
      <c r="M104" s="189"/>
    </row>
    <row r="105" spans="2:13" s="102" customFormat="1" x14ac:dyDescent="0.25">
      <c r="B105" s="114">
        <f ca="1"/>
        <v>8</v>
      </c>
      <c r="C105" s="115" t="e">
        <f ca="1"/>
        <v>#REF!</v>
      </c>
      <c r="D105" s="189">
        <v>10</v>
      </c>
      <c r="I105" s="103"/>
      <c r="K105" s="114">
        <f ca="1"/>
        <v>8</v>
      </c>
      <c r="L105" s="115" t="e">
        <f ca="1"/>
        <v>#REF!</v>
      </c>
      <c r="M105" s="189"/>
    </row>
    <row r="106" spans="2:13" s="102" customFormat="1" x14ac:dyDescent="0.25">
      <c r="B106" s="114">
        <f ca="1"/>
        <v>9</v>
      </c>
      <c r="C106" s="115" t="e">
        <f ca="1"/>
        <v>#REF!</v>
      </c>
      <c r="D106" s="189">
        <v>20</v>
      </c>
      <c r="I106" s="103"/>
      <c r="K106" s="114">
        <f ca="1"/>
        <v>9</v>
      </c>
      <c r="L106" s="115" t="e">
        <f ca="1"/>
        <v>#REF!</v>
      </c>
      <c r="M106" s="189">
        <v>3</v>
      </c>
    </row>
    <row r="107" spans="2:13" s="102" customFormat="1" x14ac:dyDescent="0.25">
      <c r="B107" s="114">
        <f ca="1"/>
        <v>10</v>
      </c>
      <c r="C107" s="115" t="e">
        <f ca="1"/>
        <v>#REF!</v>
      </c>
      <c r="D107" s="189">
        <v>20</v>
      </c>
      <c r="I107" s="103"/>
      <c r="K107" s="114">
        <f ca="1"/>
        <v>10</v>
      </c>
      <c r="L107" s="115" t="e">
        <f ca="1"/>
        <v>#REF!</v>
      </c>
      <c r="M107" s="189"/>
    </row>
    <row r="108" spans="2:13" s="102" customFormat="1" x14ac:dyDescent="0.25">
      <c r="B108" s="114">
        <f ca="1"/>
        <v>11</v>
      </c>
      <c r="C108" s="115" t="e">
        <f ca="1"/>
        <v>#REF!</v>
      </c>
      <c r="D108" s="189">
        <v>10</v>
      </c>
      <c r="I108" s="103"/>
      <c r="K108" s="114">
        <f ca="1"/>
        <v>11</v>
      </c>
      <c r="L108" s="115" t="e">
        <f ca="1"/>
        <v>#REF!</v>
      </c>
      <c r="M108" s="189"/>
    </row>
    <row r="109" spans="2:13" s="102" customFormat="1" x14ac:dyDescent="0.25">
      <c r="B109" s="114">
        <f ca="1"/>
        <v>12</v>
      </c>
      <c r="C109" s="115" t="e">
        <f ca="1"/>
        <v>#REF!</v>
      </c>
      <c r="D109" s="189">
        <v>20</v>
      </c>
      <c r="I109" s="103"/>
      <c r="K109" s="114">
        <f ca="1"/>
        <v>12</v>
      </c>
      <c r="L109" s="115" t="e">
        <f ca="1"/>
        <v>#REF!</v>
      </c>
      <c r="M109" s="189">
        <v>5</v>
      </c>
    </row>
    <row r="110" spans="2:13" s="102" customFormat="1" x14ac:dyDescent="0.25">
      <c r="B110" s="114">
        <f ca="1"/>
        <v>13</v>
      </c>
      <c r="C110" s="115" t="e">
        <f ca="1"/>
        <v>#REF!</v>
      </c>
      <c r="D110" s="189">
        <v>20</v>
      </c>
      <c r="I110" s="103"/>
      <c r="K110" s="114">
        <f ca="1"/>
        <v>13</v>
      </c>
      <c r="L110" s="115" t="e">
        <f ca="1"/>
        <v>#REF!</v>
      </c>
      <c r="M110" s="189"/>
    </row>
    <row r="111" spans="2:13" s="102" customFormat="1" x14ac:dyDescent="0.25">
      <c r="B111" s="114">
        <f ca="1"/>
        <v>14</v>
      </c>
      <c r="C111" s="115" t="e">
        <f ca="1"/>
        <v>#REF!</v>
      </c>
      <c r="D111" s="189">
        <v>10</v>
      </c>
      <c r="I111" s="103"/>
      <c r="K111" s="114">
        <f ca="1"/>
        <v>14</v>
      </c>
      <c r="L111" s="115" t="e">
        <f ca="1"/>
        <v>#REF!</v>
      </c>
      <c r="M111" s="189">
        <v>3</v>
      </c>
    </row>
    <row r="112" spans="2:13" s="102" customFormat="1" x14ac:dyDescent="0.25">
      <c r="B112" s="114">
        <f ca="1"/>
        <v>15</v>
      </c>
      <c r="C112" s="115" t="e">
        <f ca="1"/>
        <v>#REF!</v>
      </c>
      <c r="D112" s="189">
        <v>20</v>
      </c>
      <c r="I112" s="103"/>
      <c r="K112" s="114">
        <f ca="1"/>
        <v>15</v>
      </c>
      <c r="L112" s="115" t="e">
        <f ca="1"/>
        <v>#REF!</v>
      </c>
      <c r="M112" s="189"/>
    </row>
    <row r="113" spans="2:13" s="102" customFormat="1" x14ac:dyDescent="0.25">
      <c r="B113" s="114">
        <f ca="1"/>
        <v>16</v>
      </c>
      <c r="C113" s="115" t="e">
        <f ca="1"/>
        <v>#REF!</v>
      </c>
      <c r="D113" s="189">
        <v>20</v>
      </c>
      <c r="I113" s="103"/>
      <c r="K113" s="114">
        <f ca="1"/>
        <v>16</v>
      </c>
      <c r="L113" s="115" t="e">
        <f ca="1"/>
        <v>#REF!</v>
      </c>
      <c r="M113" s="189"/>
    </row>
    <row r="114" spans="2:13" s="102" customFormat="1" x14ac:dyDescent="0.25">
      <c r="B114" s="114">
        <f ca="1"/>
        <v>17</v>
      </c>
      <c r="C114" s="115" t="e">
        <f ca="1"/>
        <v>#REF!</v>
      </c>
      <c r="D114" s="189">
        <v>20</v>
      </c>
      <c r="I114" s="103"/>
      <c r="K114" s="114">
        <f ca="1"/>
        <v>17</v>
      </c>
      <c r="L114" s="115" t="e">
        <f ca="1"/>
        <v>#REF!</v>
      </c>
      <c r="M114" s="189"/>
    </row>
    <row r="115" spans="2:13" s="102" customFormat="1" x14ac:dyDescent="0.25">
      <c r="B115" s="114">
        <f ca="1"/>
        <v>18</v>
      </c>
      <c r="C115" s="115" t="e">
        <f ca="1"/>
        <v>#REF!</v>
      </c>
      <c r="D115" s="189">
        <v>20</v>
      </c>
      <c r="I115" s="103"/>
      <c r="K115" s="114">
        <f ca="1"/>
        <v>18</v>
      </c>
      <c r="L115" s="115" t="e">
        <f ca="1"/>
        <v>#REF!</v>
      </c>
      <c r="M115" s="189">
        <v>5</v>
      </c>
    </row>
    <row r="116" spans="2:13" s="102" customFormat="1" x14ac:dyDescent="0.25">
      <c r="B116" s="114">
        <f ca="1"/>
        <v>19</v>
      </c>
      <c r="C116" s="115" t="e">
        <f ca="1"/>
        <v>#REF!</v>
      </c>
      <c r="D116" s="189">
        <v>20</v>
      </c>
      <c r="I116" s="103"/>
      <c r="K116" s="114">
        <f ca="1"/>
        <v>19</v>
      </c>
      <c r="L116" s="115" t="e">
        <f ca="1"/>
        <v>#REF!</v>
      </c>
      <c r="M116" s="189"/>
    </row>
    <row r="117" spans="2:13" s="102" customFormat="1" x14ac:dyDescent="0.25">
      <c r="B117" s="114">
        <f ca="1"/>
        <v>20</v>
      </c>
      <c r="C117" s="115" t="e">
        <f ca="1"/>
        <v>#REF!</v>
      </c>
      <c r="D117" s="189">
        <v>20</v>
      </c>
      <c r="I117" s="103"/>
      <c r="K117" s="114">
        <f ca="1"/>
        <v>20</v>
      </c>
      <c r="L117" s="115" t="e">
        <f ca="1"/>
        <v>#REF!</v>
      </c>
      <c r="M117" s="189"/>
    </row>
    <row r="118" spans="2:13" s="102" customFormat="1" x14ac:dyDescent="0.25">
      <c r="B118" s="114">
        <f ca="1"/>
        <v>21</v>
      </c>
      <c r="C118" s="115" t="e">
        <f ca="1"/>
        <v>#REF!</v>
      </c>
      <c r="D118" s="189">
        <v>20</v>
      </c>
      <c r="I118" s="103"/>
      <c r="K118" s="114">
        <f ca="1"/>
        <v>21</v>
      </c>
      <c r="L118" s="115" t="e">
        <f ca="1"/>
        <v>#REF!</v>
      </c>
      <c r="M118" s="189">
        <v>3</v>
      </c>
    </row>
    <row r="119" spans="2:13" s="102" customFormat="1" x14ac:dyDescent="0.25">
      <c r="B119" s="114">
        <f ca="1"/>
        <v>22</v>
      </c>
      <c r="C119" s="115" t="e">
        <f ca="1"/>
        <v>#REF!</v>
      </c>
      <c r="D119" s="189">
        <v>20</v>
      </c>
      <c r="I119" s="103"/>
      <c r="K119" s="114">
        <f ca="1"/>
        <v>22</v>
      </c>
      <c r="L119" s="115" t="e">
        <f ca="1"/>
        <v>#REF!</v>
      </c>
      <c r="M119" s="189"/>
    </row>
    <row r="120" spans="2:13" s="102" customFormat="1" x14ac:dyDescent="0.25">
      <c r="B120" s="114">
        <f ca="1"/>
        <v>23</v>
      </c>
      <c r="C120" s="115" t="e">
        <f ca="1"/>
        <v>#REF!</v>
      </c>
      <c r="D120" s="189">
        <v>20</v>
      </c>
      <c r="I120" s="103"/>
      <c r="K120" s="114">
        <f ca="1"/>
        <v>23</v>
      </c>
      <c r="L120" s="115" t="e">
        <f ca="1"/>
        <v>#REF!</v>
      </c>
      <c r="M120" s="189">
        <v>3</v>
      </c>
    </row>
    <row r="121" spans="2:13" s="102" customFormat="1" x14ac:dyDescent="0.25">
      <c r="B121" s="114">
        <f ca="1"/>
        <v>24</v>
      </c>
      <c r="C121" s="115" t="e">
        <f ca="1"/>
        <v>#REF!</v>
      </c>
      <c r="D121" s="189">
        <v>20</v>
      </c>
      <c r="I121" s="103"/>
      <c r="K121" s="114">
        <f ca="1"/>
        <v>24</v>
      </c>
      <c r="L121" s="115" t="e">
        <f ca="1"/>
        <v>#REF!</v>
      </c>
      <c r="M121" s="189"/>
    </row>
    <row r="122" spans="2:13" s="102" customFormat="1" x14ac:dyDescent="0.25">
      <c r="B122" s="114">
        <f ca="1"/>
        <v>25</v>
      </c>
      <c r="C122" s="115" t="e">
        <f ca="1"/>
        <v>#REF!</v>
      </c>
      <c r="D122" s="189">
        <v>20</v>
      </c>
      <c r="I122" s="103"/>
      <c r="K122" s="114">
        <f ca="1"/>
        <v>25</v>
      </c>
      <c r="L122" s="115" t="e">
        <f ca="1"/>
        <v>#REF!</v>
      </c>
      <c r="M122" s="189"/>
    </row>
    <row r="123" spans="2:13" s="102" customFormat="1" x14ac:dyDescent="0.25">
      <c r="B123" s="114">
        <f ca="1"/>
        <v>26</v>
      </c>
      <c r="C123" s="115" t="e">
        <f ca="1"/>
        <v>#REF!</v>
      </c>
      <c r="D123" s="189">
        <v>20</v>
      </c>
      <c r="I123" s="103"/>
      <c r="K123" s="114">
        <f ca="1"/>
        <v>26</v>
      </c>
      <c r="L123" s="115" t="e">
        <f ca="1"/>
        <v>#REF!</v>
      </c>
      <c r="M123" s="189">
        <v>6</v>
      </c>
    </row>
    <row r="124" spans="2:13" s="102" customFormat="1" x14ac:dyDescent="0.25">
      <c r="B124" s="114">
        <f ca="1"/>
        <v>27</v>
      </c>
      <c r="C124" s="115" t="e">
        <f ca="1"/>
        <v>#REF!</v>
      </c>
      <c r="D124" s="189">
        <v>20</v>
      </c>
      <c r="I124" s="103"/>
      <c r="K124" s="114">
        <f ca="1"/>
        <v>27</v>
      </c>
      <c r="L124" s="115" t="e">
        <f ca="1"/>
        <v>#REF!</v>
      </c>
      <c r="M124" s="189"/>
    </row>
    <row r="125" spans="2:13" s="102" customFormat="1" x14ac:dyDescent="0.25">
      <c r="B125" s="114">
        <f ca="1"/>
        <v>28</v>
      </c>
      <c r="C125" s="115" t="e">
        <f ca="1"/>
        <v>#REF!</v>
      </c>
      <c r="D125" s="189">
        <v>20</v>
      </c>
      <c r="I125" s="103"/>
      <c r="K125" s="114">
        <f ca="1"/>
        <v>28</v>
      </c>
      <c r="L125" s="115" t="e">
        <f ca="1"/>
        <v>#REF!</v>
      </c>
      <c r="M125" s="189"/>
    </row>
    <row r="126" spans="2:13" s="102" customFormat="1" x14ac:dyDescent="0.25">
      <c r="B126" s="114">
        <f ca="1"/>
        <v>29</v>
      </c>
      <c r="C126" s="115" t="e">
        <f ca="1"/>
        <v>#REF!</v>
      </c>
      <c r="D126" s="189">
        <v>20</v>
      </c>
      <c r="I126" s="103"/>
      <c r="K126" s="114">
        <f ca="1"/>
        <v>29</v>
      </c>
      <c r="L126" s="115" t="e">
        <f ca="1"/>
        <v>#REF!</v>
      </c>
      <c r="M126" s="189">
        <v>3</v>
      </c>
    </row>
    <row r="127" spans="2:13" s="102" customFormat="1" x14ac:dyDescent="0.25">
      <c r="B127" s="114">
        <f ca="1"/>
        <v>30</v>
      </c>
      <c r="C127" s="115" t="e">
        <f ca="1"/>
        <v>#REF!</v>
      </c>
      <c r="D127" s="189">
        <v>20</v>
      </c>
      <c r="I127" s="103"/>
      <c r="K127" s="114">
        <f ca="1"/>
        <v>30</v>
      </c>
      <c r="L127" s="115" t="e">
        <f ca="1"/>
        <v>#REF!</v>
      </c>
      <c r="M127" s="189"/>
    </row>
    <row r="128" spans="2:13" s="102" customFormat="1" x14ac:dyDescent="0.25">
      <c r="B128" s="114">
        <f ca="1"/>
        <v>31</v>
      </c>
      <c r="C128" s="115" t="e">
        <f ca="1"/>
        <v>#REF!</v>
      </c>
      <c r="D128" s="189">
        <v>10</v>
      </c>
      <c r="I128" s="103"/>
      <c r="K128" s="114">
        <f ca="1"/>
        <v>31</v>
      </c>
      <c r="L128" s="115" t="e">
        <f ca="1"/>
        <v>#REF!</v>
      </c>
      <c r="M128" s="189"/>
    </row>
    <row r="129" spans="2:13" s="102" customFormat="1" x14ac:dyDescent="0.25">
      <c r="B129" s="114">
        <f ca="1"/>
        <v>32</v>
      </c>
      <c r="C129" s="115" t="e">
        <f ca="1"/>
        <v>#REF!</v>
      </c>
      <c r="D129" s="189">
        <v>20</v>
      </c>
      <c r="I129" s="103"/>
      <c r="K129" s="114">
        <f ca="1"/>
        <v>32</v>
      </c>
      <c r="L129" s="115" t="e">
        <f ca="1"/>
        <v>#REF!</v>
      </c>
      <c r="M129" s="189">
        <v>5</v>
      </c>
    </row>
    <row r="130" spans="2:13" s="102" customFormat="1" x14ac:dyDescent="0.25">
      <c r="B130" s="114">
        <f ca="1"/>
        <v>33</v>
      </c>
      <c r="C130" s="115" t="e">
        <f ca="1"/>
        <v>#REF!</v>
      </c>
      <c r="D130" s="189">
        <v>20</v>
      </c>
      <c r="I130" s="103"/>
      <c r="K130" s="114">
        <f ca="1"/>
        <v>33</v>
      </c>
      <c r="L130" s="115" t="e">
        <f ca="1"/>
        <v>#REF!</v>
      </c>
      <c r="M130" s="189">
        <v>7</v>
      </c>
    </row>
    <row r="131" spans="2:13" s="102" customFormat="1" x14ac:dyDescent="0.25">
      <c r="B131" s="114">
        <f ca="1"/>
        <v>34</v>
      </c>
      <c r="C131" s="115" t="e">
        <f ca="1"/>
        <v>#REF!</v>
      </c>
      <c r="D131" s="189">
        <v>10</v>
      </c>
      <c r="I131" s="103"/>
      <c r="K131" s="114">
        <f ca="1"/>
        <v>34</v>
      </c>
      <c r="L131" s="115" t="e">
        <f ca="1"/>
        <v>#REF!</v>
      </c>
      <c r="M131" s="189">
        <v>8</v>
      </c>
    </row>
    <row r="132" spans="2:13" s="102" customFormat="1" x14ac:dyDescent="0.25">
      <c r="B132" s="114">
        <f ca="1"/>
        <v>35</v>
      </c>
      <c r="C132" s="115" t="e">
        <f ca="1"/>
        <v>#REF!</v>
      </c>
      <c r="D132" s="189">
        <v>20</v>
      </c>
      <c r="I132" s="103"/>
      <c r="K132" s="114">
        <f ca="1"/>
        <v>35</v>
      </c>
      <c r="L132" s="115" t="e">
        <f ca="1"/>
        <v>#REF!</v>
      </c>
      <c r="M132" s="189"/>
    </row>
    <row r="133" spans="2:13" s="102" customFormat="1" x14ac:dyDescent="0.25">
      <c r="B133" s="114">
        <f ca="1"/>
        <v>36</v>
      </c>
      <c r="C133" s="115" t="e">
        <f ca="1"/>
        <v>#REF!</v>
      </c>
      <c r="D133" s="189">
        <v>20</v>
      </c>
      <c r="I133" s="103"/>
      <c r="K133" s="114">
        <f ca="1"/>
        <v>36</v>
      </c>
      <c r="L133" s="115" t="e">
        <f ca="1"/>
        <v>#REF!</v>
      </c>
      <c r="M133" s="189"/>
    </row>
    <row r="134" spans="2:13" s="102" customFormat="1" x14ac:dyDescent="0.25">
      <c r="B134" s="114">
        <f ca="1"/>
        <v>37</v>
      </c>
      <c r="C134" s="115" t="e">
        <f ca="1"/>
        <v>#REF!</v>
      </c>
      <c r="D134" s="189">
        <v>10</v>
      </c>
      <c r="I134" s="103"/>
      <c r="K134" s="114">
        <f ca="1"/>
        <v>37</v>
      </c>
      <c r="L134" s="115" t="e">
        <f ca="1"/>
        <v>#REF!</v>
      </c>
      <c r="M134" s="189"/>
    </row>
    <row r="135" spans="2:13" s="102" customFormat="1" x14ac:dyDescent="0.25">
      <c r="B135" s="114">
        <f ca="1"/>
        <v>38</v>
      </c>
      <c r="C135" s="115" t="e">
        <f ca="1"/>
        <v>#REF!</v>
      </c>
      <c r="D135" s="189">
        <v>20</v>
      </c>
      <c r="I135" s="103"/>
      <c r="K135" s="114">
        <f ca="1"/>
        <v>38</v>
      </c>
      <c r="L135" s="115" t="e">
        <f ca="1"/>
        <v>#REF!</v>
      </c>
      <c r="M135" s="189"/>
    </row>
    <row r="136" spans="2:13" s="102" customFormat="1" x14ac:dyDescent="0.25">
      <c r="B136" s="114">
        <f ca="1"/>
        <v>39</v>
      </c>
      <c r="C136" s="115" t="e">
        <f ca="1"/>
        <v>#REF!</v>
      </c>
      <c r="D136" s="189">
        <v>20</v>
      </c>
      <c r="I136" s="103"/>
      <c r="K136" s="114">
        <f ca="1"/>
        <v>39</v>
      </c>
      <c r="L136" s="115" t="e">
        <f ca="1"/>
        <v>#REF!</v>
      </c>
      <c r="M136" s="189">
        <v>3</v>
      </c>
    </row>
    <row r="137" spans="2:13" s="102" customFormat="1" x14ac:dyDescent="0.25">
      <c r="B137" s="114">
        <f ca="1"/>
        <v>40</v>
      </c>
      <c r="C137" s="115" t="e">
        <f ca="1"/>
        <v>#REF!</v>
      </c>
      <c r="D137" s="189">
        <v>10</v>
      </c>
      <c r="I137" s="103"/>
      <c r="K137" s="114">
        <f ca="1"/>
        <v>40</v>
      </c>
      <c r="L137" s="115" t="e">
        <f ca="1"/>
        <v>#REF!</v>
      </c>
      <c r="M137" s="189"/>
    </row>
    <row r="138" spans="2:13" s="102" customFormat="1" x14ac:dyDescent="0.25">
      <c r="B138" s="114">
        <f ca="1"/>
        <v>41</v>
      </c>
      <c r="C138" s="115" t="e">
        <f ca="1"/>
        <v>#REF!</v>
      </c>
      <c r="D138" s="189">
        <v>20</v>
      </c>
      <c r="I138" s="103"/>
      <c r="K138" s="114">
        <f ca="1"/>
        <v>41</v>
      </c>
      <c r="L138" s="115" t="e">
        <f ca="1"/>
        <v>#REF!</v>
      </c>
      <c r="M138" s="189"/>
    </row>
    <row r="139" spans="2:13" s="102" customFormat="1" x14ac:dyDescent="0.25">
      <c r="B139" s="114">
        <f ca="1"/>
        <v>42</v>
      </c>
      <c r="C139" s="115" t="e">
        <f ca="1"/>
        <v>#REF!</v>
      </c>
      <c r="D139" s="189">
        <v>10</v>
      </c>
      <c r="I139" s="103"/>
      <c r="K139" s="114">
        <f ca="1"/>
        <v>42</v>
      </c>
      <c r="L139" s="115" t="e">
        <f ca="1"/>
        <v>#REF!</v>
      </c>
      <c r="M139" s="189">
        <v>8</v>
      </c>
    </row>
    <row r="140" spans="2:13" s="102" customFormat="1" x14ac:dyDescent="0.25">
      <c r="B140" s="114">
        <f ca="1"/>
        <v>43</v>
      </c>
      <c r="C140" s="115" t="e">
        <f ca="1"/>
        <v>#REF!</v>
      </c>
      <c r="D140" s="189">
        <v>20</v>
      </c>
      <c r="I140" s="103"/>
      <c r="K140" s="114">
        <f ca="1"/>
        <v>43</v>
      </c>
      <c r="L140" s="115" t="e">
        <f ca="1"/>
        <v>#REF!</v>
      </c>
      <c r="M140" s="189"/>
    </row>
    <row r="141" spans="2:13" s="102" customFormat="1" x14ac:dyDescent="0.25">
      <c r="B141" s="114">
        <f ca="1"/>
        <v>44</v>
      </c>
      <c r="C141" s="115" t="e">
        <f ca="1"/>
        <v>#REF!</v>
      </c>
      <c r="D141" s="189">
        <v>20</v>
      </c>
      <c r="I141" s="103"/>
      <c r="K141" s="114">
        <f ca="1"/>
        <v>44</v>
      </c>
      <c r="L141" s="115" t="e">
        <f ca="1"/>
        <v>#REF!</v>
      </c>
      <c r="M141" s="189"/>
    </row>
    <row r="142" spans="2:13" s="102" customFormat="1" x14ac:dyDescent="0.25">
      <c r="B142" s="114">
        <f ca="1"/>
        <v>45</v>
      </c>
      <c r="C142" s="115" t="e">
        <f ca="1"/>
        <v>#REF!</v>
      </c>
      <c r="D142" s="189">
        <v>10</v>
      </c>
      <c r="I142" s="103"/>
      <c r="K142" s="114">
        <f ca="1"/>
        <v>45</v>
      </c>
      <c r="L142" s="115" t="e">
        <f ca="1"/>
        <v>#REF!</v>
      </c>
      <c r="M142" s="189">
        <v>4</v>
      </c>
    </row>
    <row r="143" spans="2:13" s="102" customFormat="1" x14ac:dyDescent="0.25">
      <c r="B143" s="114">
        <f ca="1"/>
        <v>46</v>
      </c>
      <c r="C143" s="115" t="e">
        <f ca="1"/>
        <v>#REF!</v>
      </c>
      <c r="D143" s="189">
        <v>20</v>
      </c>
      <c r="I143" s="103"/>
      <c r="K143" s="114">
        <f ca="1"/>
        <v>46</v>
      </c>
      <c r="L143" s="115" t="e">
        <f ca="1"/>
        <v>#REF!</v>
      </c>
      <c r="M143" s="189"/>
    </row>
    <row r="144" spans="2:13" s="102" customFormat="1" x14ac:dyDescent="0.25">
      <c r="B144" s="114">
        <f ca="1"/>
        <v>47</v>
      </c>
      <c r="C144" s="115" t="e">
        <f ca="1"/>
        <v>#REF!</v>
      </c>
      <c r="D144" s="189">
        <v>20</v>
      </c>
      <c r="I144" s="103"/>
      <c r="K144" s="114">
        <f ca="1"/>
        <v>47</v>
      </c>
      <c r="L144" s="115" t="e">
        <f ca="1"/>
        <v>#REF!</v>
      </c>
      <c r="M144" s="189"/>
    </row>
    <row r="145" spans="2:13" s="102" customFormat="1" x14ac:dyDescent="0.25">
      <c r="B145" s="114">
        <f ca="1"/>
        <v>48</v>
      </c>
      <c r="C145" s="115" t="e">
        <f ca="1"/>
        <v>#REF!</v>
      </c>
      <c r="D145" s="189">
        <v>10</v>
      </c>
      <c r="I145" s="103"/>
      <c r="K145" s="114">
        <f ca="1"/>
        <v>48</v>
      </c>
      <c r="L145" s="115" t="e">
        <f ca="1"/>
        <v>#REF!</v>
      </c>
      <c r="M145" s="189"/>
    </row>
    <row r="146" spans="2:13" s="102" customFormat="1" x14ac:dyDescent="0.25">
      <c r="B146" s="114">
        <f ca="1"/>
        <v>49</v>
      </c>
      <c r="C146" s="115" t="e">
        <f ca="1"/>
        <v>#REF!</v>
      </c>
      <c r="D146" s="189">
        <v>20</v>
      </c>
      <c r="I146" s="103"/>
      <c r="K146" s="114">
        <f ca="1"/>
        <v>49</v>
      </c>
      <c r="L146" s="115" t="e">
        <f ca="1"/>
        <v>#REF!</v>
      </c>
      <c r="M146" s="189">
        <v>4</v>
      </c>
    </row>
    <row r="147" spans="2:13" s="102" customFormat="1" x14ac:dyDescent="0.25">
      <c r="B147" s="114">
        <f ca="1"/>
        <v>50</v>
      </c>
      <c r="C147" s="115" t="e">
        <f ca="1"/>
        <v>#REF!</v>
      </c>
      <c r="D147" s="189">
        <v>20</v>
      </c>
      <c r="I147" s="103"/>
      <c r="K147" s="114">
        <f ca="1"/>
        <v>50</v>
      </c>
      <c r="L147" s="115" t="e">
        <f ca="1"/>
        <v>#REF!</v>
      </c>
      <c r="M147" s="189"/>
    </row>
    <row r="148" spans="2:13" s="102" customFormat="1" x14ac:dyDescent="0.25">
      <c r="B148" s="114">
        <f ca="1"/>
        <v>51</v>
      </c>
      <c r="C148" s="115" t="e">
        <f ca="1"/>
        <v>#REF!</v>
      </c>
      <c r="D148" s="189">
        <v>20</v>
      </c>
      <c r="I148" s="103"/>
      <c r="K148" s="114">
        <f ca="1"/>
        <v>51</v>
      </c>
      <c r="L148" s="115" t="e">
        <f ca="1"/>
        <v>#REF!</v>
      </c>
      <c r="M148" s="189"/>
    </row>
    <row r="149" spans="2:13" s="102" customFormat="1" ht="15.75" thickBot="1" x14ac:dyDescent="0.3">
      <c r="B149" s="116">
        <f ca="1"/>
        <v>52</v>
      </c>
      <c r="C149" s="117" t="e">
        <f ca="1"/>
        <v>#REF!</v>
      </c>
      <c r="D149" s="190">
        <v>0</v>
      </c>
      <c r="I149" s="103"/>
      <c r="K149" s="116">
        <f ca="1"/>
        <v>52</v>
      </c>
      <c r="L149" s="117" t="e">
        <f ca="1"/>
        <v>#REF!</v>
      </c>
      <c r="M149" s="190"/>
    </row>
  </sheetData>
  <sheetProtection password="CD36" sheet="1" objects="1" scenarios="1" selectLockedCells="1"/>
  <mergeCells count="90">
    <mergeCell ref="I68:J68"/>
    <mergeCell ref="I69:J69"/>
    <mergeCell ref="I50:J50"/>
    <mergeCell ref="I51:J51"/>
    <mergeCell ref="I52:J52"/>
    <mergeCell ref="I53:J53"/>
    <mergeCell ref="I54:J54"/>
    <mergeCell ref="I55:J55"/>
    <mergeCell ref="I56:J56"/>
    <mergeCell ref="I57:J57"/>
    <mergeCell ref="I58:J58"/>
    <mergeCell ref="I59:J59"/>
    <mergeCell ref="I62:J62"/>
    <mergeCell ref="I63:J63"/>
    <mergeCell ref="I64:J64"/>
    <mergeCell ref="I75:J75"/>
    <mergeCell ref="I76:J76"/>
    <mergeCell ref="I77:J77"/>
    <mergeCell ref="I78:J78"/>
    <mergeCell ref="I79:J79"/>
    <mergeCell ref="I73:J73"/>
    <mergeCell ref="I74:J74"/>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B5:O5"/>
    <mergeCell ref="E10:I12"/>
    <mergeCell ref="A2:K2"/>
    <mergeCell ref="I71:J71"/>
    <mergeCell ref="I72:J72"/>
    <mergeCell ref="I44:J44"/>
    <mergeCell ref="I45:J45"/>
    <mergeCell ref="I46:J46"/>
    <mergeCell ref="I65:J65"/>
    <mergeCell ref="I66:J66"/>
    <mergeCell ref="I47:J47"/>
    <mergeCell ref="I48:J48"/>
    <mergeCell ref="I49:J49"/>
    <mergeCell ref="I60:J60"/>
    <mergeCell ref="I61:J61"/>
    <mergeCell ref="I67:J67"/>
    <mergeCell ref="I20:J20"/>
    <mergeCell ref="B10:C11"/>
    <mergeCell ref="B12:C12"/>
    <mergeCell ref="K10:L11"/>
    <mergeCell ref="K12:L12"/>
    <mergeCell ref="A15:D15"/>
    <mergeCell ref="I70:J70"/>
    <mergeCell ref="A93:G95"/>
    <mergeCell ref="J93:P95"/>
    <mergeCell ref="A3:P3"/>
    <mergeCell ref="J7:P9"/>
    <mergeCell ref="A7:G9"/>
    <mergeCell ref="I16:J16"/>
    <mergeCell ref="I17:J17"/>
    <mergeCell ref="I18:J18"/>
    <mergeCell ref="I89:J89"/>
    <mergeCell ref="I90:J90"/>
    <mergeCell ref="I21:J21"/>
    <mergeCell ref="I22:J22"/>
    <mergeCell ref="I23:J23"/>
    <mergeCell ref="I24:J24"/>
    <mergeCell ref="I19:J19"/>
    <mergeCell ref="A96:B96"/>
    <mergeCell ref="I85:J85"/>
    <mergeCell ref="I86:J86"/>
    <mergeCell ref="I25:J25"/>
    <mergeCell ref="I26:J26"/>
    <mergeCell ref="I91:J91"/>
    <mergeCell ref="I81:J81"/>
    <mergeCell ref="I82:J82"/>
    <mergeCell ref="I83:J83"/>
    <mergeCell ref="I84:J84"/>
    <mergeCell ref="I29:J29"/>
    <mergeCell ref="I80:J80"/>
    <mergeCell ref="I87:J87"/>
    <mergeCell ref="I88:J88"/>
    <mergeCell ref="I27:J27"/>
    <mergeCell ref="I28:J28"/>
  </mergeCells>
  <conditionalFormatting sqref="C98:C149 L98:L149">
    <cfRule type="containsErrors" dxfId="17" priority="2" stopIfTrue="1">
      <formula>ISERROR(C98)</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C98:C149 L98:L149"/>
  </dataValidations>
  <hyperlinks>
    <hyperlink ref="A15:D15" location="Capacity!A96" display="Go to 'Historic Activity' Calculator"/>
    <hyperlink ref="A96:B96" location="Capacity!A15" display="Go back to top of sheet"/>
  </hyperlinks>
  <pageMargins left="0.39370078740157483" right="0.39370078740157483" top="1.5748031496062993" bottom="0.59055118110236227" header="0.59055118110236227" footer="0"/>
  <pageSetup paperSize="9" scale="68" fitToHeight="0" orientation="portrait" errors="blank" r:id="rId1"/>
  <headerFooter>
    <oddHeader>&amp;R&amp;G</oddHeader>
  </headerFooter>
  <rowBreaks count="1" manualBreakCount="1">
    <brk id="92" max="1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89" r:id="rId5" name="Scroll Bar 81">
              <controlPr locked="0" defaultSize="0" print="0" autoPict="0">
                <anchor moveWithCells="1">
                  <from>
                    <xdr:col>1</xdr:col>
                    <xdr:colOff>0</xdr:colOff>
                    <xdr:row>12</xdr:row>
                    <xdr:rowOff>9525</xdr:rowOff>
                  </from>
                  <to>
                    <xdr:col>2</xdr:col>
                    <xdr:colOff>771525</xdr:colOff>
                    <xdr:row>12</xdr:row>
                    <xdr:rowOff>190500</xdr:rowOff>
                  </to>
                </anchor>
              </controlPr>
            </control>
          </mc:Choice>
        </mc:AlternateContent>
        <mc:AlternateContent xmlns:mc="http://schemas.openxmlformats.org/markup-compatibility/2006">
          <mc:Choice Requires="x14">
            <control shapeId="17490" r:id="rId6" name="Scroll Bar 82">
              <controlPr locked="0" defaultSize="0" print="0" autoPict="0">
                <anchor moveWithCells="1">
                  <from>
                    <xdr:col>10</xdr:col>
                    <xdr:colOff>0</xdr:colOff>
                    <xdr:row>12</xdr:row>
                    <xdr:rowOff>9525</xdr:rowOff>
                  </from>
                  <to>
                    <xdr:col>11</xdr:col>
                    <xdr:colOff>771525</xdr:colOff>
                    <xdr:row>12</xdr:row>
                    <xdr:rowOff>190500</xdr:rowOff>
                  </to>
                </anchor>
              </controlPr>
            </control>
          </mc:Choice>
        </mc:AlternateContent>
        <mc:AlternateContent xmlns:mc="http://schemas.openxmlformats.org/markup-compatibility/2006">
          <mc:Choice Requires="x14">
            <control shapeId="17720" r:id="rId7" name="Option Button 312">
              <controlPr defaultSize="0" autoFill="0" autoLine="0" autoPict="0">
                <anchor moveWithCells="1">
                  <from>
                    <xdr:col>4</xdr:col>
                    <xdr:colOff>19050</xdr:colOff>
                    <xdr:row>11</xdr:row>
                    <xdr:rowOff>171450</xdr:rowOff>
                  </from>
                  <to>
                    <xdr:col>6</xdr:col>
                    <xdr:colOff>114300</xdr:colOff>
                    <xdr:row>13</xdr:row>
                    <xdr:rowOff>0</xdr:rowOff>
                  </to>
                </anchor>
              </controlPr>
            </control>
          </mc:Choice>
        </mc:AlternateContent>
        <mc:AlternateContent xmlns:mc="http://schemas.openxmlformats.org/markup-compatibility/2006">
          <mc:Choice Requires="x14">
            <control shapeId="17721" r:id="rId8" name="Option Button 313">
              <controlPr defaultSize="0" autoFill="0" autoLine="0" autoPict="0">
                <anchor moveWithCells="1">
                  <from>
                    <xdr:col>6</xdr:col>
                    <xdr:colOff>114300</xdr:colOff>
                    <xdr:row>11</xdr:row>
                    <xdr:rowOff>171450</xdr:rowOff>
                  </from>
                  <to>
                    <xdr:col>10</xdr:col>
                    <xdr:colOff>190500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Q30"/>
  <sheetViews>
    <sheetView showGridLines="0" showRowColHeaders="0" topLeftCell="A4" zoomScaleNormal="100" workbookViewId="0">
      <selection activeCell="D15" sqref="D15"/>
    </sheetView>
  </sheetViews>
  <sheetFormatPr defaultRowHeight="15" x14ac:dyDescent="0.25"/>
  <cols>
    <col min="1" max="1" width="8" style="4" customWidth="1"/>
    <col min="2" max="16" width="8.28515625" style="4" customWidth="1"/>
    <col min="17" max="17" width="8.140625" style="4" customWidth="1"/>
    <col min="18" max="16384" width="9.140625" style="4"/>
  </cols>
  <sheetData>
    <row r="2" spans="1:17" ht="54" customHeight="1" x14ac:dyDescent="0.25">
      <c r="A2" s="281" t="str">
        <f>"Parameters - "&amp;ModelName</f>
        <v>Parameters - The NHS IMAS IST Cancer First Outpatients Demand &amp; Capacity Model</v>
      </c>
      <c r="B2" s="282"/>
      <c r="C2" s="282"/>
      <c r="D2" s="282"/>
      <c r="E2" s="282"/>
      <c r="F2" s="282"/>
      <c r="G2" s="282"/>
      <c r="H2" s="282"/>
      <c r="I2" s="282"/>
      <c r="J2" s="282"/>
      <c r="K2" s="282"/>
      <c r="L2" s="282"/>
      <c r="M2" s="282"/>
      <c r="N2" s="282"/>
      <c r="O2" s="282"/>
      <c r="P2" s="282"/>
      <c r="Q2" s="283"/>
    </row>
    <row r="3" spans="1:17" s="2" customFormat="1" ht="23.25" customHeight="1" x14ac:dyDescent="0.25">
      <c r="A3" s="298" t="s">
        <v>296</v>
      </c>
      <c r="B3" s="299"/>
      <c r="C3" s="299"/>
      <c r="D3" s="299"/>
      <c r="E3" s="299"/>
      <c r="F3" s="299"/>
      <c r="G3" s="299"/>
      <c r="H3" s="299"/>
      <c r="I3" s="299"/>
      <c r="J3" s="299"/>
      <c r="K3" s="299"/>
      <c r="L3" s="299"/>
      <c r="M3" s="299"/>
      <c r="N3" s="299"/>
      <c r="O3" s="299"/>
      <c r="P3" s="299"/>
      <c r="Q3" s="304"/>
    </row>
    <row r="4" spans="1:17" x14ac:dyDescent="0.25">
      <c r="A4" s="27"/>
      <c r="B4" s="28"/>
      <c r="C4" s="28"/>
      <c r="D4" s="28"/>
      <c r="E4" s="28"/>
      <c r="F4" s="29"/>
      <c r="G4" s="29"/>
      <c r="H4" s="29"/>
      <c r="I4" s="29"/>
      <c r="J4" s="29"/>
      <c r="K4" s="29"/>
      <c r="L4" s="29"/>
      <c r="M4" s="29"/>
      <c r="N4" s="29"/>
      <c r="O4" s="29"/>
      <c r="P4" s="28"/>
      <c r="Q4" s="30"/>
    </row>
    <row r="5" spans="1:17" s="77" customFormat="1" ht="18" x14ac:dyDescent="0.25">
      <c r="B5" s="321" t="str">
        <f>Demand!B6 &amp; " - " &amp; Demand!B8</f>
        <v>A. N. Other NHS Foundation Trust - A Tumour Site</v>
      </c>
      <c r="C5" s="321"/>
      <c r="D5" s="321"/>
      <c r="E5" s="321"/>
      <c r="F5" s="321"/>
      <c r="G5" s="321"/>
      <c r="H5" s="321"/>
      <c r="I5" s="321"/>
      <c r="J5" s="321"/>
      <c r="K5" s="321"/>
      <c r="L5" s="321"/>
      <c r="M5" s="321"/>
      <c r="N5" s="321"/>
      <c r="O5" s="321"/>
      <c r="P5" s="321"/>
      <c r="Q5" s="35"/>
    </row>
    <row r="6" spans="1:17" s="79" customFormat="1" ht="18" x14ac:dyDescent="0.25">
      <c r="B6" s="81"/>
      <c r="C6" s="81"/>
      <c r="D6" s="81"/>
      <c r="E6" s="81"/>
      <c r="F6" s="81"/>
      <c r="G6" s="81"/>
      <c r="H6" s="81"/>
      <c r="I6" s="81"/>
      <c r="J6" s="81"/>
      <c r="K6" s="81"/>
      <c r="L6" s="81"/>
      <c r="M6" s="81"/>
      <c r="N6" s="81"/>
      <c r="O6" s="81"/>
      <c r="P6" s="81"/>
      <c r="Q6" s="35"/>
    </row>
    <row r="7" spans="1:17" s="79" customFormat="1" ht="18" x14ac:dyDescent="0.25">
      <c r="B7" s="340" t="s">
        <v>535</v>
      </c>
      <c r="C7" s="341"/>
      <c r="D7" s="341"/>
      <c r="E7" s="341"/>
      <c r="F7" s="341"/>
      <c r="G7" s="341"/>
      <c r="H7" s="341"/>
      <c r="I7" s="81"/>
      <c r="J7" s="340" t="s">
        <v>645</v>
      </c>
      <c r="K7" s="341"/>
      <c r="L7" s="341"/>
      <c r="M7" s="341"/>
      <c r="N7" s="341"/>
      <c r="O7" s="341"/>
      <c r="P7" s="341"/>
      <c r="Q7" s="35"/>
    </row>
    <row r="8" spans="1:17" s="79" customFormat="1" ht="18" x14ac:dyDescent="0.25">
      <c r="B8" s="341"/>
      <c r="C8" s="341"/>
      <c r="D8" s="341"/>
      <c r="E8" s="341"/>
      <c r="F8" s="341"/>
      <c r="G8" s="341"/>
      <c r="H8" s="341"/>
      <c r="I8" s="81"/>
      <c r="J8" s="341"/>
      <c r="K8" s="341"/>
      <c r="L8" s="341"/>
      <c r="M8" s="341"/>
      <c r="N8" s="341"/>
      <c r="O8" s="341"/>
      <c r="P8" s="341"/>
      <c r="Q8" s="35"/>
    </row>
    <row r="9" spans="1:17" s="79" customFormat="1" ht="18" x14ac:dyDescent="0.25">
      <c r="B9" s="341"/>
      <c r="C9" s="341"/>
      <c r="D9" s="341"/>
      <c r="E9" s="341"/>
      <c r="F9" s="341"/>
      <c r="G9" s="341"/>
      <c r="H9" s="341"/>
      <c r="I9" s="81"/>
      <c r="J9" s="341"/>
      <c r="K9" s="341"/>
      <c r="L9" s="341"/>
      <c r="M9" s="341"/>
      <c r="N9" s="341"/>
      <c r="O9" s="341"/>
      <c r="P9" s="341"/>
      <c r="Q9" s="35"/>
    </row>
    <row r="10" spans="1:17" s="79" customFormat="1" ht="18" x14ac:dyDescent="0.25">
      <c r="B10" s="81"/>
      <c r="C10" s="81"/>
      <c r="D10" s="81"/>
      <c r="E10" s="81"/>
      <c r="F10" s="81"/>
      <c r="G10" s="81"/>
      <c r="H10" s="81"/>
      <c r="I10" s="81"/>
      <c r="J10" s="81"/>
      <c r="K10" s="81"/>
      <c r="L10" s="81"/>
      <c r="M10" s="81"/>
      <c r="N10" s="81"/>
      <c r="O10" s="81"/>
      <c r="P10" s="81"/>
      <c r="Q10" s="35"/>
    </row>
    <row r="11" spans="1:17" s="77" customFormat="1" ht="15.75" thickBot="1" x14ac:dyDescent="0.3">
      <c r="Q11" s="35"/>
    </row>
    <row r="12" spans="1:17" s="79" customFormat="1" x14ac:dyDescent="0.25">
      <c r="B12" s="334" t="s">
        <v>302</v>
      </c>
      <c r="C12" s="335"/>
      <c r="D12" s="336"/>
      <c r="F12" s="292" t="s">
        <v>305</v>
      </c>
      <c r="G12" s="293"/>
      <c r="H12" s="294"/>
      <c r="J12" s="292" t="s">
        <v>44</v>
      </c>
      <c r="K12" s="293"/>
      <c r="L12" s="294"/>
      <c r="M12" s="2"/>
      <c r="N12" s="295" t="s">
        <v>45</v>
      </c>
      <c r="O12" s="296"/>
      <c r="P12" s="296"/>
      <c r="Q12" s="35"/>
    </row>
    <row r="13" spans="1:17" s="79" customFormat="1" x14ac:dyDescent="0.25">
      <c r="B13" s="337"/>
      <c r="C13" s="338"/>
      <c r="D13" s="339"/>
      <c r="F13" s="295"/>
      <c r="G13" s="296"/>
      <c r="H13" s="297"/>
      <c r="J13" s="295"/>
      <c r="K13" s="296"/>
      <c r="L13" s="297"/>
      <c r="M13" s="2"/>
      <c r="N13" s="295"/>
      <c r="O13" s="296"/>
      <c r="P13" s="296"/>
      <c r="Q13" s="35"/>
    </row>
    <row r="14" spans="1:17" s="79" customFormat="1" ht="15.75" thickBot="1" x14ac:dyDescent="0.3">
      <c r="B14" s="345">
        <f>IFERROR(IF(C15=500,D15,TEXT(C15,"0")&amp;" ("&amp;TEXT(D15,"0")&amp;")"),"N/A")</f>
        <v>0</v>
      </c>
      <c r="C14" s="346"/>
      <c r="D14" s="347">
        <v>1</v>
      </c>
      <c r="F14" s="317">
        <f>IFERROR(RefsPerWeek/7,"N/A")</f>
        <v>0</v>
      </c>
      <c r="G14" s="318"/>
      <c r="H14" s="319"/>
      <c r="J14" s="342">
        <v>1</v>
      </c>
      <c r="K14" s="343"/>
      <c r="L14" s="344"/>
      <c r="M14" s="69"/>
      <c r="N14" s="342">
        <v>1</v>
      </c>
      <c r="O14" s="343"/>
      <c r="P14" s="343"/>
      <c r="Q14" s="35"/>
    </row>
    <row r="15" spans="1:17" s="79" customFormat="1" ht="15.75" thickBot="1" x14ac:dyDescent="0.3">
      <c r="B15" s="41">
        <f>IFERROR(IF(C15=500,D15,C15),"N/A")</f>
        <v>0</v>
      </c>
      <c r="C15" s="40">
        <v>500</v>
      </c>
      <c r="D15" s="62">
        <f>IF(Split=0,Mean,Mean2)</f>
        <v>0</v>
      </c>
      <c r="F15" s="24"/>
      <c r="G15" s="26"/>
      <c r="H15" s="25"/>
      <c r="J15" s="126"/>
      <c r="K15" s="127"/>
      <c r="L15" s="128"/>
      <c r="M15" s="69"/>
      <c r="N15" s="45">
        <f>CEILING(DailyMaxWait/7,1)</f>
        <v>1</v>
      </c>
      <c r="O15" s="43"/>
      <c r="P15" s="44"/>
      <c r="Q15" s="35"/>
    </row>
    <row r="16" spans="1:17" s="79" customFormat="1" ht="15.75" thickBot="1" x14ac:dyDescent="0.3">
      <c r="Q16" s="35"/>
    </row>
    <row r="17" spans="1:17" s="79" customFormat="1" ht="15" customHeight="1" x14ac:dyDescent="0.25">
      <c r="B17" s="292" t="s">
        <v>616</v>
      </c>
      <c r="C17" s="293"/>
      <c r="D17" s="294"/>
      <c r="F17" s="292" t="s">
        <v>615</v>
      </c>
      <c r="G17" s="293"/>
      <c r="H17" s="294"/>
      <c r="J17" s="292" t="s">
        <v>16</v>
      </c>
      <c r="K17" s="293"/>
      <c r="L17" s="294"/>
      <c r="Q17" s="35"/>
    </row>
    <row r="18" spans="1:17" s="79" customFormat="1" x14ac:dyDescent="0.25">
      <c r="B18" s="295"/>
      <c r="C18" s="296"/>
      <c r="D18" s="297"/>
      <c r="F18" s="295"/>
      <c r="G18" s="296"/>
      <c r="H18" s="297"/>
      <c r="J18" s="295"/>
      <c r="K18" s="296"/>
      <c r="L18" s="297"/>
      <c r="Q18" s="35"/>
    </row>
    <row r="19" spans="1:17" s="79" customFormat="1" x14ac:dyDescent="0.25">
      <c r="B19" s="326">
        <f>IFERROR(IF(C20=1000,D20,TEXT(C20/1000,"0.0%")&amp;" ("&amp;TEXT(D20,"0.0%")&amp;")"),"N/A")</f>
        <v>0</v>
      </c>
      <c r="C19" s="327"/>
      <c r="D19" s="328"/>
      <c r="F19" s="326">
        <f>IFERROR(IF(G20=1000,H20,TEXT(G20/1000,"0.0%")&amp;" ("&amp;TEXT(H20,"0.0%")&amp;")"),"N/A")</f>
        <v>0</v>
      </c>
      <c r="G19" s="327"/>
      <c r="H19" s="328"/>
      <c r="J19" s="329">
        <f>K20/100</f>
        <v>0</v>
      </c>
      <c r="K19" s="330"/>
      <c r="L19" s="331"/>
      <c r="Q19" s="35"/>
    </row>
    <row r="20" spans="1:17" s="79" customFormat="1" ht="15.75" thickBot="1" x14ac:dyDescent="0.3">
      <c r="B20" s="24">
        <f>IFERROR(IF(C20=1000,D20,C20/1000),"N/A")</f>
        <v>0</v>
      </c>
      <c r="C20" s="40">
        <v>1000</v>
      </c>
      <c r="D20" s="64">
        <f>IF(COUNT(Demand!N25:N524)&gt;0,(COUNTIF(Demand!K25:K524,"Yes")/COUNT(Demand!N25:N524)),0)</f>
        <v>0</v>
      </c>
      <c r="F20" s="24">
        <f>IFERROR(IF(G20=1000,H20,),"N/A")</f>
        <v>0</v>
      </c>
      <c r="G20" s="40">
        <v>1000</v>
      </c>
      <c r="H20" s="25">
        <f>IF(SUM(Demand!C25:C76)&gt;0,SUM(Demand!D25:D76)/SUM(Demand!C25:C76),0)</f>
        <v>0</v>
      </c>
      <c r="J20" s="24"/>
      <c r="K20" s="40">
        <v>0</v>
      </c>
      <c r="L20" s="25"/>
      <c r="Q20" s="35"/>
    </row>
    <row r="21" spans="1:17" s="79" customFormat="1" ht="15.75" thickBot="1" x14ac:dyDescent="0.3">
      <c r="Q21" s="35"/>
    </row>
    <row r="22" spans="1:17" s="79" customFormat="1" x14ac:dyDescent="0.25">
      <c r="B22" s="292" t="s">
        <v>304</v>
      </c>
      <c r="C22" s="293"/>
      <c r="D22" s="294"/>
      <c r="F22" s="292" t="s">
        <v>303</v>
      </c>
      <c r="G22" s="293"/>
      <c r="H22" s="294"/>
      <c r="J22" s="332" t="s">
        <v>614</v>
      </c>
      <c r="K22" s="332"/>
      <c r="L22" s="332"/>
      <c r="M22" s="332"/>
      <c r="N22" s="332"/>
      <c r="O22" s="332"/>
      <c r="P22" s="332"/>
      <c r="Q22" s="35"/>
    </row>
    <row r="23" spans="1:17" s="79" customFormat="1" x14ac:dyDescent="0.25">
      <c r="B23" s="295"/>
      <c r="C23" s="296"/>
      <c r="D23" s="297"/>
      <c r="F23" s="295">
        <v>1</v>
      </c>
      <c r="G23" s="296"/>
      <c r="H23" s="297"/>
      <c r="J23" s="333"/>
      <c r="K23" s="333"/>
      <c r="L23" s="333"/>
      <c r="M23" s="333"/>
      <c r="N23" s="333"/>
      <c r="O23" s="333"/>
      <c r="P23" s="333"/>
      <c r="Q23" s="35"/>
    </row>
    <row r="24" spans="1:17" s="79" customFormat="1" x14ac:dyDescent="0.25">
      <c r="B24" s="326" t="e">
        <f>COUNTIF(Demand!M25:M524,"&lt;&gt;")/COUNT(Demand!N25:N524)</f>
        <v>#DIV/0!</v>
      </c>
      <c r="C24" s="327"/>
      <c r="D24" s="328"/>
      <c r="F24" s="326">
        <f>IFERROR(IF(G25=200,H25,TEXT(G25/1000,"0.0%")&amp;" ("&amp;TEXT(H25,"0.0%")&amp;")"),"N/A")</f>
        <v>0</v>
      </c>
      <c r="G24" s="327"/>
      <c r="H24" s="328"/>
      <c r="J24" s="333"/>
      <c r="K24" s="333"/>
      <c r="L24" s="333"/>
      <c r="M24" s="333"/>
      <c r="N24" s="333"/>
      <c r="O24" s="333"/>
      <c r="P24" s="333"/>
      <c r="Q24" s="35"/>
    </row>
    <row r="25" spans="1:17" s="79" customFormat="1" ht="15.75" thickBot="1" x14ac:dyDescent="0.3">
      <c r="B25" s="24"/>
      <c r="C25" s="40">
        <v>499</v>
      </c>
      <c r="D25" s="25"/>
      <c r="F25" s="24">
        <f>IFERROR(IF(G25=200,H25,G25/1000),"N/A")</f>
        <v>0</v>
      </c>
      <c r="G25" s="40">
        <v>200</v>
      </c>
      <c r="H25" s="63">
        <f>IF(COUNT(Demand!N25:N524)&gt;0,COUNTIF(Demand!L25:L524,"&gt;0")/COUNT(Demand!N25:N524),0)</f>
        <v>0</v>
      </c>
      <c r="J25" s="333"/>
      <c r="K25" s="333"/>
      <c r="L25" s="333"/>
      <c r="M25" s="333"/>
      <c r="N25" s="333"/>
      <c r="O25" s="333"/>
      <c r="P25" s="333"/>
      <c r="Q25" s="35"/>
    </row>
    <row r="26" spans="1:17" s="79" customFormat="1" x14ac:dyDescent="0.25">
      <c r="Q26" s="35"/>
    </row>
    <row r="27" spans="1:17" x14ac:dyDescent="0.25">
      <c r="A27" s="31"/>
      <c r="B27" s="32"/>
      <c r="C27" s="32"/>
      <c r="D27" s="32"/>
      <c r="E27" s="32"/>
      <c r="F27" s="32"/>
      <c r="G27" s="32"/>
      <c r="H27" s="32"/>
      <c r="I27" s="32"/>
      <c r="J27" s="32"/>
      <c r="K27" s="32"/>
      <c r="L27" s="32"/>
      <c r="M27" s="32"/>
      <c r="N27" s="32"/>
      <c r="O27" s="32"/>
      <c r="P27" s="32"/>
      <c r="Q27" s="36"/>
    </row>
    <row r="28" spans="1:17" x14ac:dyDescent="0.25">
      <c r="A28" s="9"/>
      <c r="B28" s="9"/>
      <c r="C28" s="9"/>
      <c r="D28" s="9"/>
      <c r="E28" s="9"/>
      <c r="F28" s="9"/>
      <c r="G28" s="9"/>
      <c r="H28" s="9"/>
      <c r="I28" s="9"/>
      <c r="J28" s="9"/>
      <c r="K28" s="9"/>
      <c r="L28" s="9"/>
      <c r="M28" s="9"/>
      <c r="N28" s="9"/>
      <c r="O28" s="9"/>
    </row>
    <row r="29" spans="1:17" x14ac:dyDescent="0.25">
      <c r="A29" s="9"/>
      <c r="B29" s="9"/>
      <c r="C29" s="9"/>
      <c r="D29" s="9"/>
      <c r="E29" s="9"/>
      <c r="F29" s="9"/>
      <c r="G29" s="9"/>
      <c r="H29" s="9"/>
      <c r="I29" s="9"/>
      <c r="J29" s="9"/>
      <c r="K29" s="9"/>
      <c r="L29" s="9"/>
      <c r="M29" s="9"/>
      <c r="N29" s="9"/>
      <c r="O29" s="9"/>
    </row>
    <row r="30" spans="1:17" x14ac:dyDescent="0.25">
      <c r="A30" s="9"/>
      <c r="B30" s="9"/>
      <c r="C30" s="9"/>
      <c r="D30" s="9"/>
      <c r="E30" s="9"/>
      <c r="F30" s="9"/>
      <c r="G30" s="9"/>
      <c r="H30" s="9"/>
      <c r="I30" s="9"/>
      <c r="J30" s="9"/>
      <c r="K30" s="9"/>
      <c r="L30" s="9"/>
      <c r="M30" s="9"/>
      <c r="N30" s="9"/>
      <c r="O30" s="9"/>
    </row>
  </sheetData>
  <sheetProtection password="CD36" sheet="1" objects="1" scenarios="1" selectLockedCells="1" selectUnlockedCells="1"/>
  <mergeCells count="24">
    <mergeCell ref="A2:Q2"/>
    <mergeCell ref="F12:H13"/>
    <mergeCell ref="A3:Q3"/>
    <mergeCell ref="B12:D13"/>
    <mergeCell ref="F22:H23"/>
    <mergeCell ref="J17:L18"/>
    <mergeCell ref="B5:P5"/>
    <mergeCell ref="B7:H9"/>
    <mergeCell ref="J7:P9"/>
    <mergeCell ref="N14:P14"/>
    <mergeCell ref="J12:L13"/>
    <mergeCell ref="N12:P13"/>
    <mergeCell ref="J14:L14"/>
    <mergeCell ref="B14:D14"/>
    <mergeCell ref="F14:H14"/>
    <mergeCell ref="F24:H24"/>
    <mergeCell ref="J19:L19"/>
    <mergeCell ref="B24:D24"/>
    <mergeCell ref="F19:H19"/>
    <mergeCell ref="B17:D18"/>
    <mergeCell ref="B22:D23"/>
    <mergeCell ref="F17:H18"/>
    <mergeCell ref="B19:D19"/>
    <mergeCell ref="J22:P25"/>
  </mergeCells>
  <conditionalFormatting sqref="F24:H24 B24:D24">
    <cfRule type="containsErrors" dxfId="16" priority="7" stopIfTrue="1">
      <formula>ISERROR(B24)</formula>
    </cfRule>
  </conditionalFormatting>
  <conditionalFormatting sqref="F19:H19">
    <cfRule type="containsErrors" dxfId="15" priority="5" stopIfTrue="1">
      <formula>ISERROR(F19)</formula>
    </cfRule>
  </conditionalFormatting>
  <conditionalFormatting sqref="B19:D19">
    <cfRule type="containsErrors" dxfId="14" priority="4" stopIfTrue="1">
      <formula>ISERROR(B19)</formula>
    </cfRule>
  </conditionalFormatting>
  <conditionalFormatting sqref="N14:P14">
    <cfRule type="cellIs" dxfId="13" priority="1" operator="between">
      <formula>11</formula>
      <formula>18</formula>
    </cfRule>
    <cfRule type="cellIs" dxfId="12" priority="2" operator="between">
      <formula>8</formula>
      <formula>11</formula>
    </cfRule>
  </conditionalFormatting>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14</xdr:row>
                    <xdr:rowOff>9525</xdr:rowOff>
                  </from>
                  <to>
                    <xdr:col>3</xdr:col>
                    <xdr:colOff>542925</xdr:colOff>
                    <xdr:row>14</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24</xdr:row>
                    <xdr:rowOff>9525</xdr:rowOff>
                  </from>
                  <to>
                    <xdr:col>7</xdr:col>
                    <xdr:colOff>542925</xdr:colOff>
                    <xdr:row>24</xdr:row>
                    <xdr:rowOff>190500</xdr:rowOff>
                  </to>
                </anchor>
              </controlPr>
            </control>
          </mc:Choice>
        </mc:AlternateContent>
        <mc:AlternateContent xmlns:mc="http://schemas.openxmlformats.org/markup-compatibility/2006">
          <mc:Choice Requires="x14">
            <control shapeId="16442" r:id="rId7" name="Scroll Bar 58">
              <controlPr locked="0" defaultSize="0" print="0" autoPict="0">
                <anchor moveWithCells="1">
                  <from>
                    <xdr:col>9</xdr:col>
                    <xdr:colOff>0</xdr:colOff>
                    <xdr:row>19</xdr:row>
                    <xdr:rowOff>9525</xdr:rowOff>
                  </from>
                  <to>
                    <xdr:col>11</xdr:col>
                    <xdr:colOff>542925</xdr:colOff>
                    <xdr:row>19</xdr:row>
                    <xdr:rowOff>190500</xdr:rowOff>
                  </to>
                </anchor>
              </controlPr>
            </control>
          </mc:Choice>
        </mc:AlternateContent>
        <mc:AlternateContent xmlns:mc="http://schemas.openxmlformats.org/markup-compatibility/2006">
          <mc:Choice Requires="x14">
            <control shapeId="16447" r:id="rId8" name="Scroll Bar 63">
              <controlPr locked="0" defaultSize="0" print="0" autoPict="0">
                <anchor moveWithCells="1">
                  <from>
                    <xdr:col>1</xdr:col>
                    <xdr:colOff>0</xdr:colOff>
                    <xdr:row>19</xdr:row>
                    <xdr:rowOff>9525</xdr:rowOff>
                  </from>
                  <to>
                    <xdr:col>3</xdr:col>
                    <xdr:colOff>542925</xdr:colOff>
                    <xdr:row>19</xdr:row>
                    <xdr:rowOff>190500</xdr:rowOff>
                  </to>
                </anchor>
              </controlPr>
            </control>
          </mc:Choice>
        </mc:AlternateContent>
        <mc:AlternateContent xmlns:mc="http://schemas.openxmlformats.org/markup-compatibility/2006">
          <mc:Choice Requires="x14">
            <control shapeId="16489" r:id="rId9" name="Scroll Bar 105">
              <controlPr locked="0" defaultSize="0" print="0" autoPict="0">
                <anchor moveWithCells="1">
                  <from>
                    <xdr:col>5</xdr:col>
                    <xdr:colOff>0</xdr:colOff>
                    <xdr:row>19</xdr:row>
                    <xdr:rowOff>9525</xdr:rowOff>
                  </from>
                  <to>
                    <xdr:col>7</xdr:col>
                    <xdr:colOff>542925</xdr:colOff>
                    <xdr:row>19</xdr:row>
                    <xdr:rowOff>190500</xdr:rowOff>
                  </to>
                </anchor>
              </controlPr>
            </control>
          </mc:Choice>
        </mc:AlternateContent>
        <mc:AlternateContent xmlns:mc="http://schemas.openxmlformats.org/markup-compatibility/2006">
          <mc:Choice Requires="x14">
            <control shapeId="16598" r:id="rId10" name="Scroll Bar 214">
              <controlPr locked="0" defaultSize="0" print="0" autoPict="0">
                <anchor moveWithCells="1">
                  <from>
                    <xdr:col>9</xdr:col>
                    <xdr:colOff>0</xdr:colOff>
                    <xdr:row>14</xdr:row>
                    <xdr:rowOff>9525</xdr:rowOff>
                  </from>
                  <to>
                    <xdr:col>11</xdr:col>
                    <xdr:colOff>542925</xdr:colOff>
                    <xdr:row>14</xdr:row>
                    <xdr:rowOff>190500</xdr:rowOff>
                  </to>
                </anchor>
              </controlPr>
            </control>
          </mc:Choice>
        </mc:AlternateContent>
        <mc:AlternateContent xmlns:mc="http://schemas.openxmlformats.org/markup-compatibility/2006">
          <mc:Choice Requires="x14">
            <control shapeId="16599" r:id="rId11" name="Scroll Bar 215">
              <controlPr locked="0" defaultSize="0" print="0" autoPict="0">
                <anchor moveWithCells="1">
                  <from>
                    <xdr:col>13</xdr:col>
                    <xdr:colOff>0</xdr:colOff>
                    <xdr:row>14</xdr:row>
                    <xdr:rowOff>9525</xdr:rowOff>
                  </from>
                  <to>
                    <xdr:col>15</xdr:col>
                    <xdr:colOff>542925</xdr:colOff>
                    <xdr:row>14</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Q93"/>
  <sheetViews>
    <sheetView showGridLines="0" showRowColHeaders="0" zoomScaleNormal="100" zoomScaleSheetLayoutView="80" workbookViewId="0">
      <selection activeCell="S22" sqref="S22"/>
    </sheetView>
  </sheetViews>
  <sheetFormatPr defaultRowHeight="15" x14ac:dyDescent="0.25"/>
  <cols>
    <col min="1" max="3" width="9.140625" style="84"/>
    <col min="4" max="4" width="10.140625" style="84" customWidth="1"/>
    <col min="5" max="5" width="12.28515625" style="84" customWidth="1"/>
    <col min="6" max="6" width="5" style="84" customWidth="1"/>
    <col min="7" max="14" width="9.140625" style="84"/>
    <col min="15" max="15" width="12.42578125" style="84" customWidth="1"/>
    <col min="16" max="16384" width="9.140625" style="84"/>
  </cols>
  <sheetData>
    <row r="2" spans="1:15" ht="54" customHeight="1" x14ac:dyDescent="0.25">
      <c r="A2" s="372" t="str">
        <f>"Trust Summary - "&amp;ModelName</f>
        <v>Trust Summary - The NHS IMAS IST Cancer First Outpatients Demand &amp; Capacity Model</v>
      </c>
      <c r="B2" s="271"/>
      <c r="C2" s="271"/>
      <c r="D2" s="271"/>
      <c r="E2" s="271"/>
      <c r="F2" s="271"/>
      <c r="G2" s="271"/>
      <c r="H2" s="271"/>
      <c r="I2" s="271"/>
      <c r="J2" s="271"/>
      <c r="K2" s="271"/>
      <c r="L2" s="271"/>
      <c r="M2" s="271"/>
      <c r="N2" s="271"/>
      <c r="O2" s="272"/>
    </row>
    <row r="3" spans="1:15" s="129" customFormat="1" ht="23.25" customHeight="1" x14ac:dyDescent="0.25">
      <c r="A3" s="273" t="str">
        <f>"Current Service"&amp;IF(Split&gt;0," (Based on split at week "&amp;Split&amp;")","")</f>
        <v>Current Service</v>
      </c>
      <c r="B3" s="274"/>
      <c r="C3" s="274"/>
      <c r="D3" s="274"/>
      <c r="E3" s="274"/>
      <c r="F3" s="274"/>
      <c r="G3" s="274"/>
      <c r="H3" s="274"/>
      <c r="I3" s="274"/>
      <c r="J3" s="274"/>
      <c r="K3" s="274"/>
      <c r="L3" s="274"/>
      <c r="M3" s="274"/>
      <c r="N3" s="274"/>
      <c r="O3" s="275"/>
    </row>
    <row r="4" spans="1:15" ht="3" customHeight="1" x14ac:dyDescent="0.25"/>
    <row r="5" spans="1:15" ht="18" x14ac:dyDescent="0.25">
      <c r="B5" s="379" t="str">
        <f>Demand!$B$6 &amp; " - " &amp; Demand!$B$8</f>
        <v>A. N. Other NHS Foundation Trust - A Tumour Site</v>
      </c>
      <c r="C5" s="379"/>
      <c r="D5" s="379"/>
      <c r="E5" s="379"/>
      <c r="F5" s="379"/>
      <c r="G5" s="379"/>
      <c r="H5" s="379"/>
      <c r="I5" s="379"/>
      <c r="J5" s="379"/>
      <c r="K5" s="379"/>
      <c r="L5" s="379"/>
      <c r="M5" s="379"/>
      <c r="N5" s="379"/>
    </row>
    <row r="6" spans="1:15" ht="8.25" customHeight="1" x14ac:dyDescent="0.25"/>
    <row r="7" spans="1:15" ht="15" customHeight="1" x14ac:dyDescent="0.25">
      <c r="B7" s="373" t="s">
        <v>35</v>
      </c>
      <c r="C7" s="374"/>
      <c r="D7" s="375"/>
      <c r="E7" s="130" t="s">
        <v>57</v>
      </c>
    </row>
    <row r="8" spans="1:15" x14ac:dyDescent="0.25">
      <c r="B8" s="376" t="s">
        <v>92</v>
      </c>
      <c r="C8" s="377"/>
      <c r="D8" s="378"/>
      <c r="E8" s="131">
        <f>RefsPerWeek</f>
        <v>0</v>
      </c>
    </row>
    <row r="9" spans="1:15" x14ac:dyDescent="0.25">
      <c r="B9" s="369" t="s">
        <v>69</v>
      </c>
      <c r="C9" s="370"/>
      <c r="D9" s="371"/>
      <c r="E9" s="131">
        <f>IFERROR(RefsPerWeek*(1-ChooseAndBook),"N/A")</f>
        <v>0</v>
      </c>
    </row>
    <row r="10" spans="1:15" x14ac:dyDescent="0.25">
      <c r="B10" s="369" t="s">
        <v>632</v>
      </c>
      <c r="C10" s="370"/>
      <c r="D10" s="371"/>
      <c r="E10" s="131">
        <f>IFERROR(RefsPerWeek*ChooseAndBook,"N/A")</f>
        <v>0</v>
      </c>
    </row>
    <row r="11" spans="1:15" x14ac:dyDescent="0.25">
      <c r="B11" s="354" t="s">
        <v>70</v>
      </c>
      <c r="C11" s="355"/>
      <c r="D11" s="356"/>
      <c r="E11" s="132">
        <f>IFERROR(DNARate*RefsPerWeek,"N/A")</f>
        <v>0</v>
      </c>
    </row>
    <row r="12" spans="1:15" x14ac:dyDescent="0.25">
      <c r="B12" s="369" t="s">
        <v>38</v>
      </c>
      <c r="C12" s="370"/>
      <c r="D12" s="371"/>
      <c r="E12" s="132">
        <f>IFERROR(DNAsRebooked,"N/A")</f>
        <v>0</v>
      </c>
    </row>
    <row r="13" spans="1:15" x14ac:dyDescent="0.25">
      <c r="B13" s="369" t="s">
        <v>37</v>
      </c>
      <c r="C13" s="370"/>
      <c r="D13" s="371"/>
      <c r="E13" s="132">
        <f>IFERROR(DNAsDischarged,"N/A")</f>
        <v>0</v>
      </c>
    </row>
    <row r="14" spans="1:15" x14ac:dyDescent="0.25">
      <c r="A14" s="133"/>
      <c r="B14" s="354" t="s">
        <v>71</v>
      </c>
      <c r="C14" s="355"/>
      <c r="D14" s="356"/>
      <c r="E14" s="134" t="str">
        <f>IFERROR(RefsPerWeek*RearrangedRate,"N/A")</f>
        <v>N/A</v>
      </c>
      <c r="F14" s="133"/>
      <c r="G14" s="133"/>
      <c r="H14" s="133"/>
    </row>
    <row r="15" spans="1:15" x14ac:dyDescent="0.25">
      <c r="A15" s="133"/>
      <c r="B15" s="133"/>
      <c r="C15" s="133"/>
      <c r="D15" s="133"/>
      <c r="E15" s="133"/>
      <c r="F15" s="133"/>
      <c r="G15" s="133"/>
      <c r="H15" s="133"/>
    </row>
    <row r="16" spans="1:15" x14ac:dyDescent="0.25">
      <c r="A16" s="133"/>
      <c r="B16" s="366" t="s">
        <v>79</v>
      </c>
      <c r="C16" s="367"/>
      <c r="D16" s="367"/>
      <c r="E16" s="367"/>
      <c r="F16" s="133"/>
      <c r="G16" s="133"/>
      <c r="H16" s="133"/>
    </row>
    <row r="17" spans="1:15" x14ac:dyDescent="0.25">
      <c r="A17" s="133"/>
      <c r="B17" s="354" t="s">
        <v>75</v>
      </c>
      <c r="C17" s="355"/>
      <c r="D17" s="356"/>
      <c r="E17" s="131" t="str">
        <f ca="1">IFERROR(MeanWait,"N/A")</f>
        <v>N/A</v>
      </c>
      <c r="F17" s="133"/>
      <c r="G17" s="133"/>
      <c r="H17" s="135"/>
    </row>
    <row r="18" spans="1:15" x14ac:dyDescent="0.25">
      <c r="A18" s="133"/>
      <c r="B18" s="354" t="s">
        <v>76</v>
      </c>
      <c r="C18" s="355"/>
      <c r="D18" s="356"/>
      <c r="E18" s="131" t="str">
        <f ca="1">IFERROR(MedianWait,"N/A")</f>
        <v>N/A</v>
      </c>
      <c r="F18" s="133"/>
      <c r="G18" s="135"/>
      <c r="H18" s="135"/>
    </row>
    <row r="19" spans="1:15" x14ac:dyDescent="0.25">
      <c r="A19" s="133"/>
      <c r="B19" s="354" t="s">
        <v>78</v>
      </c>
      <c r="C19" s="355"/>
      <c r="D19" s="356"/>
      <c r="E19" s="136" t="str">
        <f ca="1">IFERROR(Over8,"N/A")</f>
        <v>N/A</v>
      </c>
      <c r="F19" s="133"/>
      <c r="G19" s="135"/>
      <c r="H19" s="135"/>
    </row>
    <row r="20" spans="1:15" x14ac:dyDescent="0.25">
      <c r="A20" s="133"/>
      <c r="B20" s="354" t="s">
        <v>77</v>
      </c>
      <c r="C20" s="355"/>
      <c r="D20" s="356"/>
      <c r="E20" s="254" t="str">
        <f ca="1">IFERROR(Over13,"N/A")</f>
        <v>N/A</v>
      </c>
      <c r="F20" s="133"/>
      <c r="G20" s="133"/>
      <c r="H20" s="133"/>
    </row>
    <row r="21" spans="1:15" s="200" customFormat="1" x14ac:dyDescent="0.25">
      <c r="A21" s="201"/>
      <c r="B21" s="354" t="s">
        <v>617</v>
      </c>
      <c r="C21" s="355"/>
      <c r="D21" s="356"/>
      <c r="E21" s="136">
        <f>Parameters!B20</f>
        <v>0</v>
      </c>
      <c r="F21" s="201"/>
      <c r="G21" s="201"/>
      <c r="H21" s="201"/>
    </row>
    <row r="22" spans="1:15" s="200" customFormat="1" x14ac:dyDescent="0.25">
      <c r="A22" s="201"/>
      <c r="B22" s="354" t="s">
        <v>618</v>
      </c>
      <c r="C22" s="355"/>
      <c r="D22" s="356"/>
      <c r="E22" s="136">
        <f>ChooseAndBook</f>
        <v>0</v>
      </c>
      <c r="F22" s="201"/>
      <c r="G22" s="201"/>
      <c r="H22" s="201"/>
    </row>
    <row r="23" spans="1:15" s="200" customFormat="1" x14ac:dyDescent="0.25">
      <c r="A23" s="201"/>
      <c r="B23" s="197" t="s">
        <v>619</v>
      </c>
      <c r="C23" s="198"/>
      <c r="D23" s="199"/>
      <c r="E23" s="137" t="e">
        <f>RearrangedRate</f>
        <v>#DIV/0!</v>
      </c>
      <c r="F23" s="201"/>
      <c r="G23" s="201"/>
      <c r="H23" s="201"/>
    </row>
    <row r="24" spans="1:15" x14ac:dyDescent="0.25">
      <c r="A24" s="133"/>
      <c r="F24" s="133"/>
      <c r="G24" s="133"/>
      <c r="H24" s="133"/>
    </row>
    <row r="25" spans="1:15" s="129" customFormat="1" ht="23.25" customHeight="1" x14ac:dyDescent="0.25">
      <c r="A25" s="273" t="s">
        <v>36</v>
      </c>
      <c r="B25" s="274"/>
      <c r="C25" s="274"/>
      <c r="D25" s="274"/>
      <c r="E25" s="274"/>
      <c r="F25" s="274"/>
      <c r="G25" s="274"/>
      <c r="H25" s="274"/>
      <c r="I25" s="274"/>
      <c r="J25" s="274"/>
      <c r="K25" s="274"/>
      <c r="L25" s="274"/>
      <c r="M25" s="274"/>
      <c r="N25" s="274"/>
      <c r="O25" s="275"/>
    </row>
    <row r="26" spans="1:15" ht="15" customHeight="1" x14ac:dyDescent="0.25">
      <c r="A26" s="133"/>
      <c r="B26" s="133"/>
      <c r="C26" s="133"/>
      <c r="D26" s="133"/>
      <c r="E26" s="133"/>
      <c r="F26" s="133"/>
      <c r="G26" s="133"/>
      <c r="H26" s="133"/>
      <c r="I26" s="133"/>
      <c r="J26" s="133"/>
      <c r="K26" s="133"/>
      <c r="L26" s="133"/>
      <c r="M26" s="133"/>
      <c r="N26" s="133"/>
      <c r="O26" s="133"/>
    </row>
    <row r="27" spans="1:15" ht="15" customHeight="1" x14ac:dyDescent="0.25">
      <c r="B27" s="366" t="s">
        <v>35</v>
      </c>
      <c r="C27" s="367"/>
      <c r="D27" s="367"/>
      <c r="E27" s="130" t="s">
        <v>57</v>
      </c>
      <c r="F27" s="133"/>
      <c r="G27" s="368" t="s">
        <v>328</v>
      </c>
      <c r="H27" s="368"/>
      <c r="I27" s="368"/>
      <c r="J27" s="368"/>
      <c r="K27" s="368"/>
      <c r="L27" s="368"/>
      <c r="M27" s="368"/>
      <c r="N27" s="368"/>
      <c r="O27" s="368"/>
    </row>
    <row r="28" spans="1:15" ht="15" customHeight="1" x14ac:dyDescent="0.25">
      <c r="B28" s="354" t="s">
        <v>33</v>
      </c>
      <c r="C28" s="355"/>
      <c r="D28" s="356"/>
      <c r="E28" s="131">
        <f>RoutineMeanSlots</f>
        <v>0</v>
      </c>
      <c r="F28" s="133"/>
      <c r="G28" s="368"/>
      <c r="H28" s="368"/>
      <c r="I28" s="368"/>
      <c r="J28" s="368"/>
      <c r="K28" s="368"/>
      <c r="L28" s="368"/>
      <c r="M28" s="368"/>
      <c r="N28" s="368"/>
      <c r="O28" s="368"/>
    </row>
    <row r="29" spans="1:15" ht="15" customHeight="1" x14ac:dyDescent="0.25">
      <c r="B29" s="354" t="s">
        <v>34</v>
      </c>
      <c r="C29" s="355"/>
      <c r="D29" s="356"/>
      <c r="E29" s="131">
        <f>AdHocMeanSlots</f>
        <v>0</v>
      </c>
      <c r="F29" s="133"/>
      <c r="G29" s="368"/>
      <c r="H29" s="368"/>
      <c r="I29" s="368"/>
      <c r="J29" s="368"/>
      <c r="K29" s="368"/>
      <c r="L29" s="368"/>
      <c r="M29" s="368"/>
      <c r="N29" s="368"/>
      <c r="O29" s="368"/>
    </row>
    <row r="30" spans="1:15" ht="15" customHeight="1" x14ac:dyDescent="0.25">
      <c r="B30" s="354" t="s">
        <v>93</v>
      </c>
      <c r="C30" s="355"/>
      <c r="D30" s="356"/>
      <c r="E30" s="131">
        <f>SUM(E28:E29)</f>
        <v>0</v>
      </c>
      <c r="F30" s="133"/>
      <c r="G30" s="368"/>
      <c r="H30" s="368"/>
      <c r="I30" s="368"/>
      <c r="J30" s="368"/>
      <c r="K30" s="368"/>
      <c r="L30" s="368"/>
      <c r="M30" s="368"/>
      <c r="N30" s="368"/>
      <c r="O30" s="368"/>
    </row>
    <row r="31" spans="1:15" s="200" customFormat="1" ht="15" customHeight="1" x14ac:dyDescent="0.25">
      <c r="B31" s="363" t="s">
        <v>620</v>
      </c>
      <c r="C31" s="364"/>
      <c r="D31" s="365"/>
      <c r="E31" s="138">
        <f>E30-E37</f>
        <v>0</v>
      </c>
      <c r="F31" s="201"/>
      <c r="G31" s="368"/>
      <c r="H31" s="368"/>
      <c r="I31" s="368"/>
      <c r="J31" s="368"/>
      <c r="K31" s="368"/>
      <c r="L31" s="368"/>
      <c r="M31" s="368"/>
      <c r="N31" s="368"/>
      <c r="O31" s="368"/>
    </row>
    <row r="32" spans="1:15" ht="15" customHeight="1" x14ac:dyDescent="0.25">
      <c r="B32" s="139"/>
      <c r="C32" s="139"/>
      <c r="D32" s="139"/>
      <c r="E32" s="140"/>
      <c r="F32" s="133"/>
      <c r="G32" s="368"/>
      <c r="H32" s="368"/>
      <c r="I32" s="368"/>
      <c r="J32" s="368"/>
      <c r="K32" s="368"/>
      <c r="L32" s="368"/>
      <c r="M32" s="368"/>
      <c r="N32" s="368"/>
      <c r="O32" s="368"/>
    </row>
    <row r="33" spans="1:17" s="129" customFormat="1" ht="23.25" customHeight="1" x14ac:dyDescent="0.25">
      <c r="A33" s="273" t="str">
        <f>"Required Capacity"&amp;IF(Split&gt;0," (Based on split at week "&amp;Split&amp;")","")</f>
        <v>Required Capacity</v>
      </c>
      <c r="B33" s="274"/>
      <c r="C33" s="274"/>
      <c r="D33" s="274"/>
      <c r="E33" s="274"/>
      <c r="F33" s="274"/>
      <c r="G33" s="274"/>
      <c r="H33" s="274"/>
      <c r="I33" s="274"/>
      <c r="J33" s="274"/>
      <c r="K33" s="274"/>
      <c r="L33" s="274"/>
      <c r="M33" s="274"/>
      <c r="N33" s="274"/>
      <c r="O33" s="275"/>
    </row>
    <row r="34" spans="1:17" ht="15" customHeight="1" x14ac:dyDescent="0.25">
      <c r="A34" s="141"/>
      <c r="B34" s="141"/>
      <c r="C34" s="141"/>
      <c r="D34" s="141"/>
      <c r="E34" s="141"/>
      <c r="F34" s="141"/>
      <c r="G34" s="141"/>
      <c r="H34" s="141"/>
      <c r="I34" s="141"/>
      <c r="J34" s="141"/>
    </row>
    <row r="35" spans="1:17" x14ac:dyDescent="0.25">
      <c r="B35" s="366" t="s">
        <v>35</v>
      </c>
      <c r="C35" s="367"/>
      <c r="D35" s="367"/>
      <c r="E35" s="130" t="s">
        <v>19</v>
      </c>
      <c r="G35" s="142"/>
    </row>
    <row r="36" spans="1:17" x14ac:dyDescent="0.25">
      <c r="B36" s="354" t="s">
        <v>53</v>
      </c>
      <c r="C36" s="355"/>
      <c r="D36" s="356"/>
      <c r="E36" s="131" t="str">
        <f ca="1">IFERROR(CONCATENATE(TEXT($E$39,"#")," to ",TEXT($E$40,"#")),"N/A")</f>
        <v>N/A to N/A</v>
      </c>
      <c r="G36" s="142"/>
    </row>
    <row r="37" spans="1:17" x14ac:dyDescent="0.25">
      <c r="B37" s="354" t="s">
        <v>32</v>
      </c>
      <c r="C37" s="355"/>
      <c r="D37" s="356"/>
      <c r="E37" s="131">
        <f>RefsPerWeek</f>
        <v>0</v>
      </c>
      <c r="F37" s="361" t="str">
        <f>IFERROR("You currently have " &amp; IF(RefsPerWeek+DNAsRebooked-SUM(RoutineMeanSlots,AdHocMeanSlots)&lt;0,CONCATENATE(TEXT(ABS(RefsPerWeek+DNAsRebooked-SUM(RoutineMeanSlots,AdHocMeanSlots)),"#")," more slot(s) than referrals coming in plus reappointed DNAs"),CONCATENATE(TEXT(RefsPerWeek+DNAsRebooked-SUM(RoutineMeanSlots,AdHocMeanSlots),"#")," fewer slot(s) available than referrals coming in plus reappointed DNAs")),"")</f>
        <v>You currently have  fewer slot(s) available than referrals coming in plus reappointed DNAs</v>
      </c>
      <c r="G37" s="362"/>
      <c r="H37" s="362"/>
      <c r="I37" s="362"/>
      <c r="J37" s="362"/>
      <c r="K37" s="362"/>
      <c r="L37" s="362"/>
      <c r="M37" s="362"/>
      <c r="N37" s="362"/>
      <c r="O37" s="362"/>
    </row>
    <row r="38" spans="1:17" x14ac:dyDescent="0.25">
      <c r="B38" s="354" t="s">
        <v>334</v>
      </c>
      <c r="C38" s="355"/>
      <c r="D38" s="356"/>
      <c r="E38" s="131">
        <f>IFERROR(DNAsRebooked,"N/A")</f>
        <v>0</v>
      </c>
      <c r="F38" s="361"/>
      <c r="G38" s="362"/>
      <c r="H38" s="362"/>
      <c r="I38" s="362"/>
      <c r="J38" s="362"/>
      <c r="K38" s="362"/>
      <c r="L38" s="362"/>
      <c r="M38" s="362"/>
      <c r="N38" s="362"/>
      <c r="O38" s="362"/>
    </row>
    <row r="39" spans="1:17" x14ac:dyDescent="0.25">
      <c r="B39" s="354" t="s">
        <v>294</v>
      </c>
      <c r="C39" s="355"/>
      <c r="D39" s="356"/>
      <c r="E39" s="132" t="str">
        <f ca="1">IFERROR(Percentile75,"N/A")</f>
        <v>N/A</v>
      </c>
      <c r="F39" s="143" t="str">
        <f ca="1">IFERROR("You currently have " &amp; IF(Percentile75-SUM(RoutineMeanSlots,AdHocMeanSlots)&lt;0,CONCATENATE(TEXT(SUM(RoutineMeanSlots,AdHocMeanSlots)-Percentile75,"#")," more slot(s) than might be needed to sustain the service at a minimum level"),CONCATENATE(TEXT(Percentile75-SUM(RoutineMeanSlots,AdHocMeanSlots),"#")," fewer slot(s) than required to sustain the service at a minimum level (75th percentile)")),"")</f>
        <v/>
      </c>
    </row>
    <row r="40" spans="1:17" x14ac:dyDescent="0.25">
      <c r="B40" s="349" t="s">
        <v>50</v>
      </c>
      <c r="C40" s="350"/>
      <c r="D40" s="351"/>
      <c r="E40" s="134" t="str">
        <f ca="1">IFERROR(Percentile85,"N/A")</f>
        <v>N/A</v>
      </c>
      <c r="F40" s="143" t="str">
        <f ca="1">IFERROR("You currently have " &amp; IF(Percentile85-SUM(RoutineMeanSlots,AdHocMeanSlots)&lt;0,CONCATENATE(TEXT(SUM(RoutineMeanSlots,AdHocMeanSlots)-Percentile85,"#")," more slot(s) than might be needed to sustain the service at a comfortable level"),CONCATENATE(TEXT(Percentile85-SUM(RoutineMeanSlots,AdHocMeanSlots),"#")," fewer slot(s) than required to sustain the service at a comfortable level (85th percentile)")),"")</f>
        <v/>
      </c>
    </row>
    <row r="41" spans="1:17" x14ac:dyDescent="0.25">
      <c r="A41" s="144"/>
      <c r="B41" s="145"/>
      <c r="C41" s="146"/>
      <c r="D41" s="146"/>
      <c r="E41" s="146"/>
      <c r="F41" s="146"/>
    </row>
    <row r="42" spans="1:17" x14ac:dyDescent="0.25">
      <c r="A42" s="358" t="s">
        <v>295</v>
      </c>
      <c r="B42" s="358"/>
      <c r="C42" s="358"/>
      <c r="D42" s="358"/>
      <c r="E42" s="358"/>
      <c r="F42" s="358"/>
      <c r="G42" s="358"/>
      <c r="H42" s="358"/>
      <c r="Q42" s="238" t="str">
        <f>IF(Split = 0,"Demand","Demand: Calculations based on Split at "&amp;Split&amp;" weeks.")</f>
        <v>Demand</v>
      </c>
    </row>
    <row r="43" spans="1:17" x14ac:dyDescent="0.25">
      <c r="A43" s="358"/>
      <c r="B43" s="358"/>
      <c r="C43" s="358"/>
      <c r="D43" s="358"/>
      <c r="E43" s="358"/>
      <c r="F43" s="358"/>
      <c r="G43" s="358"/>
      <c r="H43" s="358"/>
      <c r="Q43" s="235"/>
    </row>
    <row r="44" spans="1:17" x14ac:dyDescent="0.25">
      <c r="A44" s="358"/>
      <c r="B44" s="358"/>
      <c r="C44" s="358"/>
      <c r="D44" s="358"/>
      <c r="E44" s="358"/>
      <c r="F44" s="358"/>
      <c r="G44" s="358"/>
      <c r="H44" s="358"/>
    </row>
    <row r="45" spans="1:17" x14ac:dyDescent="0.25">
      <c r="A45" s="358"/>
      <c r="B45" s="358"/>
      <c r="C45" s="358"/>
      <c r="D45" s="358"/>
      <c r="E45" s="358"/>
      <c r="F45" s="358"/>
      <c r="G45" s="358"/>
      <c r="H45" s="358"/>
    </row>
    <row r="46" spans="1:17" x14ac:dyDescent="0.25">
      <c r="A46" s="358"/>
      <c r="B46" s="358"/>
      <c r="C46" s="358"/>
      <c r="D46" s="358"/>
      <c r="E46" s="358"/>
      <c r="F46" s="358"/>
      <c r="G46" s="358"/>
      <c r="H46" s="358"/>
    </row>
    <row r="47" spans="1:17" x14ac:dyDescent="0.25">
      <c r="A47" s="358"/>
      <c r="B47" s="358"/>
      <c r="C47" s="358"/>
      <c r="D47" s="358"/>
      <c r="E47" s="358"/>
      <c r="F47" s="358"/>
      <c r="G47" s="358"/>
      <c r="H47" s="358"/>
    </row>
    <row r="48" spans="1:17" x14ac:dyDescent="0.25">
      <c r="A48" s="358"/>
      <c r="B48" s="358"/>
      <c r="C48" s="358"/>
      <c r="D48" s="358"/>
      <c r="E48" s="358"/>
      <c r="F48" s="358"/>
      <c r="G48" s="358"/>
      <c r="H48" s="358"/>
    </row>
    <row r="49" spans="1:15" x14ac:dyDescent="0.25">
      <c r="A49" s="133"/>
      <c r="B49" s="133"/>
      <c r="C49" s="133"/>
      <c r="D49" s="133"/>
      <c r="E49" s="133"/>
      <c r="F49" s="133"/>
      <c r="G49" s="133"/>
      <c r="H49" s="133"/>
      <c r="I49" s="133"/>
      <c r="J49" s="133"/>
      <c r="K49" s="133"/>
      <c r="L49" s="133"/>
      <c r="M49" s="133"/>
      <c r="N49" s="133"/>
      <c r="O49" s="133"/>
    </row>
    <row r="50" spans="1:15" x14ac:dyDescent="0.25">
      <c r="A50" s="358" t="s">
        <v>80</v>
      </c>
      <c r="B50" s="358"/>
      <c r="C50" s="358"/>
      <c r="D50" s="358"/>
      <c r="E50" s="358"/>
      <c r="F50" s="358"/>
      <c r="G50" s="358"/>
      <c r="H50" s="358"/>
      <c r="I50" s="133"/>
      <c r="J50" s="133"/>
      <c r="K50" s="133"/>
      <c r="L50" s="133"/>
      <c r="M50" s="133"/>
      <c r="N50" s="133"/>
      <c r="O50" s="133"/>
    </row>
    <row r="51" spans="1:15" x14ac:dyDescent="0.25">
      <c r="A51" s="358"/>
      <c r="B51" s="358"/>
      <c r="C51" s="358"/>
      <c r="D51" s="358"/>
      <c r="E51" s="358"/>
      <c r="F51" s="358"/>
      <c r="G51" s="358"/>
      <c r="H51" s="358"/>
      <c r="I51" s="133"/>
      <c r="J51" s="133"/>
      <c r="K51" s="133"/>
      <c r="L51" s="133"/>
      <c r="M51" s="133"/>
      <c r="N51" s="133"/>
      <c r="O51" s="133"/>
    </row>
    <row r="52" spans="1:15" x14ac:dyDescent="0.25">
      <c r="A52" s="358"/>
      <c r="B52" s="358"/>
      <c r="C52" s="358"/>
      <c r="D52" s="358"/>
      <c r="E52" s="358"/>
      <c r="F52" s="358"/>
      <c r="G52" s="358"/>
      <c r="H52" s="358"/>
      <c r="I52" s="133"/>
      <c r="J52" s="133"/>
      <c r="K52" s="133"/>
      <c r="L52" s="133"/>
      <c r="M52" s="133"/>
      <c r="N52" s="133"/>
      <c r="O52" s="133"/>
    </row>
    <row r="53" spans="1:15" x14ac:dyDescent="0.25">
      <c r="A53" s="358"/>
      <c r="B53" s="358"/>
      <c r="C53" s="358"/>
      <c r="D53" s="358"/>
      <c r="E53" s="358"/>
      <c r="F53" s="358"/>
      <c r="G53" s="358"/>
      <c r="H53" s="358"/>
      <c r="I53" s="133"/>
      <c r="J53" s="133"/>
      <c r="K53" s="133"/>
      <c r="L53" s="133"/>
      <c r="M53" s="133"/>
      <c r="N53" s="133"/>
      <c r="O53" s="133"/>
    </row>
    <row r="54" spans="1:15" x14ac:dyDescent="0.25">
      <c r="A54" s="358"/>
      <c r="B54" s="358"/>
      <c r="C54" s="358"/>
      <c r="D54" s="358"/>
      <c r="E54" s="358"/>
      <c r="F54" s="358"/>
      <c r="G54" s="358"/>
      <c r="H54" s="358"/>
      <c r="I54" s="133"/>
      <c r="J54" s="133"/>
      <c r="K54" s="133"/>
      <c r="L54" s="133"/>
      <c r="M54" s="133"/>
      <c r="N54" s="133"/>
      <c r="O54" s="133"/>
    </row>
    <row r="55" spans="1:15" x14ac:dyDescent="0.25">
      <c r="A55" s="358"/>
      <c r="B55" s="358"/>
      <c r="C55" s="358"/>
      <c r="D55" s="358"/>
      <c r="E55" s="358"/>
      <c r="F55" s="358"/>
      <c r="G55" s="358"/>
      <c r="H55" s="358"/>
      <c r="I55" s="133"/>
      <c r="J55" s="133"/>
      <c r="K55" s="133"/>
      <c r="L55" s="133"/>
      <c r="M55" s="133"/>
      <c r="N55" s="133"/>
      <c r="O55" s="133"/>
    </row>
    <row r="56" spans="1:15" x14ac:dyDescent="0.25">
      <c r="A56" s="358"/>
      <c r="B56" s="358"/>
      <c r="C56" s="358"/>
      <c r="D56" s="358"/>
      <c r="E56" s="358"/>
      <c r="F56" s="358"/>
      <c r="G56" s="358"/>
      <c r="H56" s="358"/>
      <c r="I56" s="133"/>
      <c r="J56" s="133"/>
      <c r="K56" s="133"/>
      <c r="L56" s="133"/>
      <c r="M56" s="133"/>
      <c r="N56" s="133"/>
      <c r="O56" s="133"/>
    </row>
    <row r="57" spans="1:15" x14ac:dyDescent="0.25">
      <c r="A57" s="133"/>
      <c r="B57" s="133"/>
      <c r="C57" s="133"/>
      <c r="D57" s="133"/>
      <c r="E57" s="133"/>
      <c r="F57" s="133"/>
      <c r="G57" s="133"/>
      <c r="H57" s="133"/>
      <c r="I57" s="133"/>
      <c r="J57" s="133"/>
      <c r="K57" s="133"/>
      <c r="L57" s="133"/>
      <c r="M57" s="133"/>
      <c r="N57" s="133"/>
      <c r="O57" s="133"/>
    </row>
    <row r="58" spans="1:15" ht="15" customHeight="1" x14ac:dyDescent="0.25">
      <c r="A58" s="359" t="s">
        <v>300</v>
      </c>
      <c r="B58" s="359"/>
      <c r="C58" s="359"/>
      <c r="D58" s="359"/>
      <c r="E58" s="359"/>
      <c r="F58" s="359"/>
      <c r="G58" s="359"/>
      <c r="H58" s="359"/>
      <c r="I58" s="359"/>
      <c r="J58" s="359"/>
      <c r="K58" s="359"/>
      <c r="L58" s="359"/>
      <c r="M58" s="359"/>
      <c r="N58" s="359"/>
      <c r="O58" s="359"/>
    </row>
    <row r="59" spans="1:15" x14ac:dyDescent="0.25">
      <c r="A59" s="359"/>
      <c r="B59" s="359"/>
      <c r="C59" s="359"/>
      <c r="D59" s="359"/>
      <c r="E59" s="359"/>
      <c r="F59" s="359"/>
      <c r="G59" s="359"/>
      <c r="H59" s="359"/>
      <c r="I59" s="359"/>
      <c r="J59" s="359"/>
      <c r="K59" s="359"/>
      <c r="L59" s="359"/>
      <c r="M59" s="359"/>
      <c r="N59" s="359"/>
      <c r="O59" s="359"/>
    </row>
    <row r="60" spans="1:15" x14ac:dyDescent="0.25">
      <c r="A60" s="359"/>
      <c r="B60" s="359"/>
      <c r="C60" s="359"/>
      <c r="D60" s="359"/>
      <c r="E60" s="359"/>
      <c r="F60" s="359"/>
      <c r="G60" s="359"/>
      <c r="H60" s="359"/>
      <c r="I60" s="359"/>
      <c r="J60" s="359"/>
      <c r="K60" s="359"/>
      <c r="L60" s="359"/>
      <c r="M60" s="359"/>
      <c r="N60" s="359"/>
      <c r="O60" s="359"/>
    </row>
    <row r="61" spans="1:15" x14ac:dyDescent="0.25">
      <c r="A61" s="359"/>
      <c r="B61" s="359"/>
      <c r="C61" s="359"/>
      <c r="D61" s="359"/>
      <c r="E61" s="359"/>
      <c r="F61" s="359"/>
      <c r="G61" s="359"/>
      <c r="H61" s="359"/>
      <c r="I61" s="359"/>
      <c r="J61" s="359"/>
      <c r="K61" s="359"/>
      <c r="L61" s="359"/>
      <c r="M61" s="359"/>
      <c r="N61" s="359"/>
      <c r="O61" s="359"/>
    </row>
    <row r="62" spans="1:15" x14ac:dyDescent="0.25">
      <c r="A62" s="359"/>
      <c r="B62" s="359"/>
      <c r="C62" s="359"/>
      <c r="D62" s="359"/>
      <c r="E62" s="359"/>
      <c r="F62" s="359"/>
      <c r="G62" s="359"/>
      <c r="H62" s="359"/>
      <c r="I62" s="359"/>
      <c r="J62" s="359"/>
      <c r="K62" s="359"/>
      <c r="L62" s="359"/>
      <c r="M62" s="359"/>
      <c r="N62" s="359"/>
      <c r="O62" s="359"/>
    </row>
    <row r="63" spans="1:15" x14ac:dyDescent="0.25">
      <c r="A63" s="359"/>
      <c r="B63" s="359"/>
      <c r="C63" s="359"/>
      <c r="D63" s="359"/>
      <c r="E63" s="359"/>
      <c r="F63" s="359"/>
      <c r="G63" s="359"/>
      <c r="H63" s="359"/>
      <c r="I63" s="359"/>
      <c r="J63" s="359"/>
      <c r="K63" s="359"/>
      <c r="L63" s="359"/>
      <c r="M63" s="359"/>
      <c r="N63" s="359"/>
      <c r="O63" s="359"/>
    </row>
    <row r="64" spans="1:15" x14ac:dyDescent="0.25">
      <c r="A64" s="141"/>
      <c r="B64" s="141"/>
      <c r="C64" s="141"/>
      <c r="D64" s="141"/>
      <c r="E64" s="141"/>
      <c r="F64" s="141"/>
      <c r="G64" s="141"/>
      <c r="H64" s="141"/>
      <c r="I64" s="141"/>
      <c r="J64" s="141"/>
      <c r="K64" s="141"/>
      <c r="L64" s="141"/>
      <c r="M64" s="141"/>
      <c r="N64" s="141"/>
      <c r="O64" s="141"/>
    </row>
    <row r="65" spans="1:16" x14ac:dyDescent="0.25">
      <c r="A65" s="147" t="str">
        <f>"Sustainable Waiting List"&amp;IF(Split&gt;0," (Based on split at week "&amp;Split&amp;")","")</f>
        <v>Sustainable Waiting List</v>
      </c>
      <c r="B65" s="148"/>
      <c r="C65" s="148"/>
      <c r="D65" s="148"/>
      <c r="E65" s="148"/>
      <c r="F65" s="148"/>
      <c r="G65" s="148"/>
      <c r="H65" s="148"/>
      <c r="I65" s="148"/>
      <c r="J65" s="148"/>
      <c r="K65" s="148"/>
      <c r="L65" s="148"/>
      <c r="M65" s="148"/>
      <c r="N65" s="148"/>
      <c r="O65" s="149"/>
      <c r="P65" s="129"/>
    </row>
    <row r="67" spans="1:16" ht="15" customHeight="1" x14ac:dyDescent="0.25">
      <c r="B67" s="352" t="s">
        <v>35</v>
      </c>
      <c r="C67" s="353"/>
      <c r="D67" s="353"/>
      <c r="E67" s="353"/>
    </row>
    <row r="68" spans="1:16" x14ac:dyDescent="0.25">
      <c r="B68" s="354" t="s">
        <v>83</v>
      </c>
      <c r="C68" s="355"/>
      <c r="D68" s="356"/>
      <c r="E68" s="131">
        <f>DailyMinWait</f>
        <v>1</v>
      </c>
    </row>
    <row r="69" spans="1:16" x14ac:dyDescent="0.25">
      <c r="B69" s="354" t="s">
        <v>84</v>
      </c>
      <c r="C69" s="355"/>
      <c r="D69" s="356"/>
      <c r="E69" s="131">
        <f>DailyMaxWait</f>
        <v>1</v>
      </c>
    </row>
    <row r="70" spans="1:16" x14ac:dyDescent="0.25">
      <c r="B70" s="354" t="s">
        <v>85</v>
      </c>
      <c r="C70" s="355"/>
      <c r="D70" s="356"/>
      <c r="E70" s="131">
        <f ca="1">IFERROR(SUM(Calculations!H15:I21)*7,"N/A")</f>
        <v>0</v>
      </c>
    </row>
    <row r="71" spans="1:16" s="129" customFormat="1" x14ac:dyDescent="0.25">
      <c r="A71" s="84"/>
      <c r="B71" s="349" t="s">
        <v>86</v>
      </c>
      <c r="C71" s="350"/>
      <c r="D71" s="351"/>
      <c r="E71" s="138">
        <f ca="1">IFERROR(SUM(Calculations!H22:I28)*7,"N/A")</f>
        <v>0</v>
      </c>
      <c r="F71" s="84"/>
      <c r="G71" s="84"/>
      <c r="H71" s="84"/>
      <c r="I71" s="84"/>
      <c r="J71" s="84"/>
      <c r="K71" s="84"/>
      <c r="L71" s="84"/>
      <c r="M71" s="84"/>
      <c r="N71" s="84"/>
      <c r="O71" s="84"/>
      <c r="P71" s="84"/>
    </row>
    <row r="72" spans="1:16" x14ac:dyDescent="0.25">
      <c r="B72" s="139"/>
      <c r="C72" s="139"/>
      <c r="D72" s="139"/>
      <c r="E72" s="140"/>
    </row>
    <row r="73" spans="1:16" x14ac:dyDescent="0.25">
      <c r="A73" s="360" t="s">
        <v>82</v>
      </c>
      <c r="B73" s="360"/>
      <c r="C73" s="360"/>
      <c r="D73" s="360"/>
      <c r="E73" s="360"/>
      <c r="F73" s="360"/>
      <c r="G73" s="360"/>
      <c r="H73" s="360"/>
      <c r="I73" s="360"/>
    </row>
    <row r="74" spans="1:16" x14ac:dyDescent="0.25">
      <c r="A74" s="360"/>
      <c r="B74" s="360"/>
      <c r="C74" s="360"/>
      <c r="D74" s="360"/>
      <c r="E74" s="360"/>
      <c r="F74" s="360"/>
      <c r="G74" s="360"/>
      <c r="H74" s="360"/>
      <c r="I74" s="360"/>
    </row>
    <row r="75" spans="1:16" x14ac:dyDescent="0.25">
      <c r="A75" s="360"/>
      <c r="B75" s="360"/>
      <c r="C75" s="360"/>
      <c r="D75" s="360"/>
      <c r="E75" s="360"/>
      <c r="F75" s="360"/>
      <c r="G75" s="360"/>
      <c r="H75" s="360"/>
      <c r="I75" s="360"/>
    </row>
    <row r="76" spans="1:16" x14ac:dyDescent="0.25">
      <c r="A76" s="360"/>
      <c r="B76" s="360"/>
      <c r="C76" s="360"/>
      <c r="D76" s="360"/>
      <c r="E76" s="360"/>
      <c r="F76" s="360"/>
      <c r="G76" s="360"/>
      <c r="H76" s="360"/>
      <c r="I76" s="360"/>
    </row>
    <row r="77" spans="1:16" x14ac:dyDescent="0.25">
      <c r="A77" s="360"/>
      <c r="B77" s="360"/>
      <c r="C77" s="360"/>
      <c r="D77" s="360"/>
      <c r="E77" s="360"/>
      <c r="F77" s="360"/>
      <c r="G77" s="360"/>
      <c r="H77" s="360"/>
      <c r="I77" s="360"/>
    </row>
    <row r="78" spans="1:16" ht="15" customHeight="1" x14ac:dyDescent="0.25">
      <c r="A78" s="273" t="s">
        <v>49</v>
      </c>
      <c r="B78" s="274"/>
      <c r="C78" s="274"/>
      <c r="D78" s="274"/>
      <c r="E78" s="274"/>
      <c r="F78" s="274"/>
      <c r="G78" s="274"/>
      <c r="H78" s="274"/>
      <c r="I78" s="274"/>
      <c r="J78" s="274"/>
      <c r="K78" s="274"/>
      <c r="L78" s="274"/>
      <c r="M78" s="274"/>
      <c r="N78" s="274"/>
      <c r="O78" s="275"/>
      <c r="P78" s="129"/>
    </row>
    <row r="79" spans="1:16" x14ac:dyDescent="0.25">
      <c r="B79" s="267"/>
      <c r="C79" s="267"/>
      <c r="D79" s="267"/>
    </row>
    <row r="80" spans="1:16" x14ac:dyDescent="0.25">
      <c r="B80" s="352" t="s">
        <v>35</v>
      </c>
      <c r="C80" s="353"/>
      <c r="D80" s="353"/>
      <c r="E80" s="130" t="s">
        <v>19</v>
      </c>
      <c r="G80" s="357" t="s">
        <v>335</v>
      </c>
      <c r="H80" s="357"/>
      <c r="I80" s="357"/>
      <c r="J80" s="357"/>
      <c r="K80" s="357"/>
      <c r="L80" s="357"/>
      <c r="M80" s="357"/>
      <c r="N80" s="357"/>
      <c r="O80" s="357"/>
    </row>
    <row r="81" spans="1:16" x14ac:dyDescent="0.25">
      <c r="B81" s="354" t="s">
        <v>51</v>
      </c>
      <c r="C81" s="355"/>
      <c r="D81" s="356"/>
      <c r="E81" s="131" t="str">
        <f ca="1">IFERROR(CONCATENATE(TEXT(MaxWaitingList*0.95,"#")," to ",TEXT(MaxWaitingList*1.05,"#")),"N/A")</f>
        <v xml:space="preserve"> to </v>
      </c>
      <c r="G81" s="357"/>
      <c r="H81" s="357"/>
      <c r="I81" s="357"/>
      <c r="J81" s="357"/>
      <c r="K81" s="357"/>
      <c r="L81" s="357"/>
      <c r="M81" s="357"/>
      <c r="N81" s="357"/>
      <c r="O81" s="357"/>
    </row>
    <row r="82" spans="1:16" x14ac:dyDescent="0.25">
      <c r="B82" s="354" t="s">
        <v>299</v>
      </c>
      <c r="C82" s="355"/>
      <c r="D82" s="356"/>
      <c r="E82" s="131">
        <f>WaitingList</f>
        <v>0</v>
      </c>
      <c r="G82" s="357"/>
      <c r="H82" s="357"/>
      <c r="I82" s="357"/>
      <c r="J82" s="357"/>
      <c r="K82" s="357"/>
      <c r="L82" s="357"/>
      <c r="M82" s="357"/>
      <c r="N82" s="357"/>
      <c r="O82" s="357"/>
    </row>
    <row r="83" spans="1:16" x14ac:dyDescent="0.25">
      <c r="B83" s="349" t="s">
        <v>52</v>
      </c>
      <c r="C83" s="350"/>
      <c r="D83" s="351"/>
      <c r="E83" s="138" t="str">
        <f ca="1">IFERROR(IF(WaitingList&gt;MaxWaitingList*1.05,CONCATENATE(TEXT(WaitingList-MaxWaitingList*1.05,"#")," to ",TEXT(WaitingList-MaxWaitingList*0.95,"#")),"n/a"),"N/A")</f>
        <v>n/a</v>
      </c>
      <c r="G83" s="357"/>
      <c r="H83" s="357"/>
      <c r="I83" s="357"/>
      <c r="J83" s="357"/>
      <c r="K83" s="357"/>
      <c r="L83" s="357"/>
      <c r="M83" s="357"/>
      <c r="N83" s="357"/>
      <c r="O83" s="357"/>
    </row>
    <row r="84" spans="1:16" s="129" customFormat="1" x14ac:dyDescent="0.25">
      <c r="A84" s="84"/>
      <c r="B84" s="139"/>
      <c r="C84" s="139"/>
      <c r="D84" s="139"/>
      <c r="E84" s="139"/>
      <c r="F84" s="140"/>
      <c r="G84" s="357"/>
      <c r="H84" s="357"/>
      <c r="I84" s="357"/>
      <c r="J84" s="357"/>
      <c r="K84" s="357"/>
      <c r="L84" s="357"/>
      <c r="M84" s="357"/>
      <c r="N84" s="357"/>
      <c r="O84" s="357"/>
      <c r="P84" s="84"/>
    </row>
    <row r="85" spans="1:16" x14ac:dyDescent="0.25">
      <c r="A85" s="147" t="s">
        <v>81</v>
      </c>
      <c r="B85" s="148"/>
      <c r="C85" s="148"/>
      <c r="D85" s="148"/>
      <c r="E85" s="148"/>
      <c r="F85" s="148"/>
      <c r="G85" s="148"/>
      <c r="H85" s="148"/>
      <c r="I85" s="148"/>
      <c r="J85" s="148"/>
      <c r="K85" s="148"/>
      <c r="L85" s="148"/>
      <c r="M85" s="148"/>
      <c r="N85" s="148"/>
      <c r="O85" s="149"/>
      <c r="P85" s="129"/>
    </row>
    <row r="86" spans="1:16" x14ac:dyDescent="0.25">
      <c r="A86" s="150"/>
      <c r="B86" s="150"/>
      <c r="C86" s="150"/>
      <c r="D86" s="150"/>
      <c r="E86" s="150"/>
      <c r="F86" s="150"/>
      <c r="G86" s="150"/>
      <c r="H86" s="150"/>
      <c r="I86" s="150"/>
      <c r="J86" s="150"/>
      <c r="K86" s="150"/>
      <c r="L86" s="150"/>
      <c r="M86" s="150"/>
      <c r="N86" s="150"/>
      <c r="O86" s="150"/>
    </row>
    <row r="87" spans="1:16" x14ac:dyDescent="0.25">
      <c r="A87" s="348" t="s">
        <v>87</v>
      </c>
      <c r="B87" s="348"/>
      <c r="C87" s="348"/>
      <c r="D87" s="348"/>
      <c r="E87" s="348"/>
      <c r="F87" s="348"/>
      <c r="G87" s="348"/>
      <c r="H87" s="348"/>
      <c r="I87" s="348"/>
      <c r="J87" s="348"/>
      <c r="K87" s="348"/>
      <c r="L87" s="348"/>
      <c r="M87" s="348"/>
      <c r="N87" s="348"/>
      <c r="O87" s="348"/>
    </row>
    <row r="88" spans="1:16" x14ac:dyDescent="0.25">
      <c r="A88" s="348"/>
      <c r="B88" s="348"/>
      <c r="C88" s="348"/>
      <c r="D88" s="348"/>
      <c r="E88" s="348"/>
      <c r="F88" s="348"/>
      <c r="G88" s="348"/>
      <c r="H88" s="348"/>
      <c r="I88" s="348"/>
      <c r="J88" s="348"/>
      <c r="K88" s="348"/>
      <c r="L88" s="348"/>
      <c r="M88" s="348"/>
      <c r="N88" s="348"/>
      <c r="O88" s="348"/>
    </row>
    <row r="89" spans="1:16" x14ac:dyDescent="0.25">
      <c r="A89" s="348"/>
      <c r="B89" s="348"/>
      <c r="C89" s="348"/>
      <c r="D89" s="348"/>
      <c r="E89" s="348"/>
      <c r="F89" s="348"/>
      <c r="G89" s="348"/>
      <c r="H89" s="348"/>
      <c r="I89" s="348"/>
      <c r="J89" s="348"/>
      <c r="K89" s="348"/>
      <c r="L89" s="348"/>
      <c r="M89" s="348"/>
      <c r="N89" s="348"/>
      <c r="O89" s="348"/>
    </row>
    <row r="90" spans="1:16" x14ac:dyDescent="0.25">
      <c r="A90" s="348"/>
      <c r="B90" s="348"/>
      <c r="C90" s="348"/>
      <c r="D90" s="348"/>
      <c r="E90" s="348"/>
      <c r="F90" s="348"/>
      <c r="G90" s="348"/>
      <c r="H90" s="348"/>
      <c r="I90" s="348"/>
      <c r="J90" s="348"/>
      <c r="K90" s="348"/>
      <c r="L90" s="348"/>
      <c r="M90" s="348"/>
      <c r="N90" s="348"/>
      <c r="O90" s="348"/>
    </row>
    <row r="91" spans="1:16" s="129" customFormat="1" ht="23.25" customHeight="1" x14ac:dyDescent="0.25">
      <c r="A91" s="348"/>
      <c r="B91" s="348"/>
      <c r="C91" s="348"/>
      <c r="D91" s="348"/>
      <c r="E91" s="348"/>
      <c r="F91" s="348"/>
      <c r="G91" s="348"/>
      <c r="H91" s="348"/>
      <c r="I91" s="348"/>
      <c r="J91" s="348"/>
      <c r="K91" s="348"/>
      <c r="L91" s="348"/>
      <c r="M91" s="348"/>
      <c r="N91" s="348"/>
      <c r="O91" s="348"/>
      <c r="P91" s="84"/>
    </row>
    <row r="93" spans="1:16" ht="15" customHeight="1" x14ac:dyDescent="0.25"/>
  </sheetData>
  <sheetProtection password="CD36" sheet="1" objects="1" scenarios="1"/>
  <mergeCells count="50">
    <mergeCell ref="A2:O2"/>
    <mergeCell ref="A25:O25"/>
    <mergeCell ref="B7:D7"/>
    <mergeCell ref="B11:D11"/>
    <mergeCell ref="B8:D8"/>
    <mergeCell ref="B20:D20"/>
    <mergeCell ref="A3:O3"/>
    <mergeCell ref="B16:E16"/>
    <mergeCell ref="B17:D17"/>
    <mergeCell ref="B18:D18"/>
    <mergeCell ref="B5:N5"/>
    <mergeCell ref="B22:D22"/>
    <mergeCell ref="B9:D9"/>
    <mergeCell ref="B10:D10"/>
    <mergeCell ref="B12:D12"/>
    <mergeCell ref="B68:D68"/>
    <mergeCell ref="B71:D71"/>
    <mergeCell ref="B37:D37"/>
    <mergeCell ref="B39:D39"/>
    <mergeCell ref="B13:D13"/>
    <mergeCell ref="B19:D19"/>
    <mergeCell ref="B14:D14"/>
    <mergeCell ref="F37:O38"/>
    <mergeCell ref="B21:D21"/>
    <mergeCell ref="B31:D31"/>
    <mergeCell ref="B29:D29"/>
    <mergeCell ref="A33:O33"/>
    <mergeCell ref="B38:D38"/>
    <mergeCell ref="B35:D35"/>
    <mergeCell ref="B28:D28"/>
    <mergeCell ref="B36:D36"/>
    <mergeCell ref="G27:O32"/>
    <mergeCell ref="B27:D27"/>
    <mergeCell ref="B30:D30"/>
    <mergeCell ref="A87:O91"/>
    <mergeCell ref="B83:D83"/>
    <mergeCell ref="B79:D79"/>
    <mergeCell ref="B80:D80"/>
    <mergeCell ref="B40:D40"/>
    <mergeCell ref="B82:D82"/>
    <mergeCell ref="G80:O84"/>
    <mergeCell ref="A42:H48"/>
    <mergeCell ref="B70:D70"/>
    <mergeCell ref="A50:H56"/>
    <mergeCell ref="A58:O63"/>
    <mergeCell ref="B67:E67"/>
    <mergeCell ref="B81:D81"/>
    <mergeCell ref="B69:D69"/>
    <mergeCell ref="A78:O78"/>
    <mergeCell ref="A73:I77"/>
  </mergeCells>
  <conditionalFormatting sqref="F39">
    <cfRule type="expression" dxfId="11" priority="12" stopIfTrue="1">
      <formula>ROUND($E$39-SUM(RoutineMeanSlots,AdHocMeanSlots),1)&gt;=1</formula>
    </cfRule>
  </conditionalFormatting>
  <conditionalFormatting sqref="F40">
    <cfRule type="expression" dxfId="10" priority="11" stopIfTrue="1">
      <formula>ROUND($E$40-SUM(RoutineMeanSlots,AdHocMeanSlots),1)&gt;=1</formula>
    </cfRule>
  </conditionalFormatting>
  <conditionalFormatting sqref="E18">
    <cfRule type="expression" dxfId="9" priority="7" stopIfTrue="1">
      <formula>$E$18&lt;9</formula>
    </cfRule>
    <cfRule type="expression" dxfId="8" priority="8" stopIfTrue="1">
      <formula>$E$18&lt;11</formula>
    </cfRule>
    <cfRule type="expression" dxfId="7" priority="9" stopIfTrue="1">
      <formula>$E$18&gt;=11</formula>
    </cfRule>
  </conditionalFormatting>
  <conditionalFormatting sqref="E8:E14 E70:E71 E81:E83">
    <cfRule type="containsErrors" dxfId="6" priority="6" stopIfTrue="1">
      <formula>ISERROR(E8)</formula>
    </cfRule>
  </conditionalFormatting>
  <conditionalFormatting sqref="E17:E23">
    <cfRule type="containsErrors" dxfId="5" priority="5" stopIfTrue="1">
      <formula>ISERROR(E17)</formula>
    </cfRule>
  </conditionalFormatting>
  <conditionalFormatting sqref="F37">
    <cfRule type="expression" dxfId="4" priority="4" stopIfTrue="1">
      <formula>RefsPerWeek-SUM(RoutineMeanSlots,AdHocMeanSlots)&gt;0</formula>
    </cfRule>
  </conditionalFormatting>
  <printOptions horizontalCentered="1"/>
  <pageMargins left="0.39370078740157483" right="0.39370078740157483" top="1.5748031496062993" bottom="0.59055118110236227" header="0.59055118110236227" footer="0"/>
  <pageSetup paperSize="9" scale="93" fitToWidth="0" fitToHeight="0" orientation="landscape" errors="blank" r:id="rId1"/>
  <headerFooter>
    <oddHeader>&amp;R&amp;G</oddHeader>
  </headerFooter>
  <rowBreaks count="2" manualBreakCount="2">
    <brk id="32" max="14" man="1"/>
    <brk id="6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Z54"/>
  <sheetViews>
    <sheetView showGridLines="0" showRowColHeaders="0" zoomScaleNormal="100" workbookViewId="0">
      <selection activeCell="P3" sqref="P3"/>
    </sheetView>
  </sheetViews>
  <sheetFormatPr defaultRowHeight="15" x14ac:dyDescent="0.25"/>
  <cols>
    <col min="1" max="14" width="9.140625" style="4"/>
    <col min="15" max="15" width="12.42578125" style="4" customWidth="1"/>
    <col min="16" max="16384" width="9.140625" style="4"/>
  </cols>
  <sheetData>
    <row r="2" spans="1:52" ht="54" customHeight="1" x14ac:dyDescent="0.25">
      <c r="A2" s="281" t="str">
        <f>"Graphs - "&amp;ModelName</f>
        <v>Graphs - The NHS IMAS IST Cancer First Outpatients Demand &amp; Capacity Model</v>
      </c>
      <c r="B2" s="282"/>
      <c r="C2" s="282"/>
      <c r="D2" s="282"/>
      <c r="E2" s="282"/>
      <c r="F2" s="282"/>
      <c r="G2" s="282"/>
      <c r="H2" s="282"/>
      <c r="I2" s="282"/>
      <c r="J2" s="282"/>
      <c r="K2" s="282"/>
      <c r="L2" s="282"/>
      <c r="M2" s="282"/>
      <c r="N2" s="282"/>
      <c r="O2" s="283"/>
    </row>
    <row r="3" spans="1:52" s="2" customFormat="1" ht="23.25" customHeight="1" x14ac:dyDescent="0.25">
      <c r="A3" s="298" t="s">
        <v>43</v>
      </c>
      <c r="B3" s="299"/>
      <c r="C3" s="299"/>
      <c r="D3" s="299"/>
      <c r="E3" s="299"/>
      <c r="F3" s="299"/>
      <c r="G3" s="299"/>
      <c r="H3" s="299"/>
      <c r="I3" s="299"/>
      <c r="J3" s="299"/>
      <c r="K3" s="299"/>
      <c r="L3" s="299"/>
      <c r="M3" s="299"/>
      <c r="N3" s="299"/>
      <c r="O3" s="304"/>
    </row>
    <row r="4" spans="1:52" s="39" customFormat="1" ht="15" customHeight="1" x14ac:dyDescent="0.25">
      <c r="A4" s="38" t="e">
        <f t="array" aca="1" ref="A4:AZ4" ca="1">IF(A5:AZ5&gt;=Split,Percentile75,NA())</f>
        <v>#REF!</v>
      </c>
      <c r="B4" s="38" t="e">
        <f ca="1"/>
        <v>#REF!</v>
      </c>
      <c r="C4" s="38" t="e">
        <f ca="1"/>
        <v>#REF!</v>
      </c>
      <c r="D4" s="38" t="e">
        <f ca="1"/>
        <v>#REF!</v>
      </c>
      <c r="E4" s="38" t="e">
        <f ca="1"/>
        <v>#REF!</v>
      </c>
      <c r="F4" s="38" t="e">
        <f ca="1"/>
        <v>#REF!</v>
      </c>
      <c r="G4" s="38" t="e">
        <f ca="1"/>
        <v>#REF!</v>
      </c>
      <c r="H4" s="38" t="e">
        <f ca="1"/>
        <v>#REF!</v>
      </c>
      <c r="I4" s="38" t="e">
        <f ca="1"/>
        <v>#REF!</v>
      </c>
      <c r="J4" s="38" t="e">
        <f ca="1"/>
        <v>#REF!</v>
      </c>
      <c r="K4" s="38" t="e">
        <f ca="1"/>
        <v>#REF!</v>
      </c>
      <c r="L4" s="38" t="e">
        <f ca="1"/>
        <v>#REF!</v>
      </c>
      <c r="M4" s="38" t="e">
        <f ca="1"/>
        <v>#REF!</v>
      </c>
      <c r="N4" s="38" t="e">
        <f ca="1"/>
        <v>#REF!</v>
      </c>
      <c r="O4" s="38" t="e">
        <f ca="1"/>
        <v>#REF!</v>
      </c>
      <c r="P4" s="39" t="e">
        <f ca="1"/>
        <v>#REF!</v>
      </c>
      <c r="Q4" s="39" t="e">
        <f ca="1"/>
        <v>#REF!</v>
      </c>
      <c r="R4" s="39" t="e">
        <f ca="1"/>
        <v>#REF!</v>
      </c>
      <c r="S4" s="39" t="e">
        <f ca="1"/>
        <v>#REF!</v>
      </c>
      <c r="T4" s="39" t="e">
        <f ca="1"/>
        <v>#REF!</v>
      </c>
      <c r="U4" s="39" t="e">
        <f ca="1"/>
        <v>#REF!</v>
      </c>
      <c r="V4" s="39" t="e">
        <f ca="1"/>
        <v>#REF!</v>
      </c>
      <c r="W4" s="39" t="e">
        <f ca="1"/>
        <v>#REF!</v>
      </c>
      <c r="X4" s="39" t="e">
        <f ca="1"/>
        <v>#REF!</v>
      </c>
      <c r="Y4" s="39" t="e">
        <f ca="1"/>
        <v>#REF!</v>
      </c>
      <c r="Z4" s="39" t="e">
        <f ca="1"/>
        <v>#REF!</v>
      </c>
      <c r="AA4" s="39" t="e">
        <f ca="1"/>
        <v>#REF!</v>
      </c>
      <c r="AB4" s="39" t="e">
        <f ca="1"/>
        <v>#REF!</v>
      </c>
      <c r="AC4" s="39" t="e">
        <f ca="1"/>
        <v>#REF!</v>
      </c>
      <c r="AD4" s="39" t="e">
        <f ca="1"/>
        <v>#REF!</v>
      </c>
      <c r="AE4" s="39" t="e">
        <f ca="1"/>
        <v>#REF!</v>
      </c>
      <c r="AF4" s="39" t="e">
        <f ca="1"/>
        <v>#REF!</v>
      </c>
      <c r="AG4" s="39" t="e">
        <f ca="1"/>
        <v>#REF!</v>
      </c>
      <c r="AH4" s="39" t="e">
        <f ca="1"/>
        <v>#REF!</v>
      </c>
      <c r="AI4" s="39" t="e">
        <f ca="1"/>
        <v>#REF!</v>
      </c>
      <c r="AJ4" s="39" t="e">
        <f ca="1"/>
        <v>#REF!</v>
      </c>
      <c r="AK4" s="39" t="e">
        <f ca="1"/>
        <v>#REF!</v>
      </c>
      <c r="AL4" s="39" t="e">
        <f ca="1"/>
        <v>#REF!</v>
      </c>
      <c r="AM4" s="39" t="e">
        <f ca="1"/>
        <v>#REF!</v>
      </c>
      <c r="AN4" s="39" t="e">
        <f ca="1"/>
        <v>#REF!</v>
      </c>
      <c r="AO4" s="39" t="e">
        <f ca="1"/>
        <v>#REF!</v>
      </c>
      <c r="AP4" s="39" t="e">
        <f ca="1"/>
        <v>#REF!</v>
      </c>
      <c r="AQ4" s="39" t="e">
        <f ca="1"/>
        <v>#REF!</v>
      </c>
      <c r="AR4" s="39" t="e">
        <f ca="1"/>
        <v>#REF!</v>
      </c>
      <c r="AS4" s="39" t="e">
        <f ca="1"/>
        <v>#REF!</v>
      </c>
      <c r="AT4" s="39" t="e">
        <f ca="1"/>
        <v>#REF!</v>
      </c>
      <c r="AU4" s="39" t="e">
        <f ca="1"/>
        <v>#REF!</v>
      </c>
      <c r="AV4" s="39" t="e">
        <f ca="1"/>
        <v>#REF!</v>
      </c>
      <c r="AW4" s="39" t="e">
        <f ca="1"/>
        <v>#REF!</v>
      </c>
      <c r="AX4" s="39" t="e">
        <f ca="1"/>
        <v>#REF!</v>
      </c>
      <c r="AY4" s="39" t="e">
        <f ca="1"/>
        <v>#REF!</v>
      </c>
      <c r="AZ4" s="39" t="e">
        <f ca="1"/>
        <v>#REF!</v>
      </c>
    </row>
    <row r="5" spans="1:52" s="39" customFormat="1" ht="15" customHeight="1" x14ac:dyDescent="0.25">
      <c r="A5" s="38">
        <v>1</v>
      </c>
      <c r="B5" s="38">
        <f>A5+1</f>
        <v>2</v>
      </c>
      <c r="C5" s="38">
        <f t="shared" ref="C5:AZ5" si="0">B5+1</f>
        <v>3</v>
      </c>
      <c r="D5" s="38">
        <f t="shared" si="0"/>
        <v>4</v>
      </c>
      <c r="E5" s="38">
        <f t="shared" si="0"/>
        <v>5</v>
      </c>
      <c r="F5" s="38">
        <f t="shared" si="0"/>
        <v>6</v>
      </c>
      <c r="G5" s="38">
        <f t="shared" si="0"/>
        <v>7</v>
      </c>
      <c r="H5" s="38">
        <f t="shared" si="0"/>
        <v>8</v>
      </c>
      <c r="I5" s="38">
        <f t="shared" si="0"/>
        <v>9</v>
      </c>
      <c r="J5" s="38">
        <f t="shared" si="0"/>
        <v>10</v>
      </c>
      <c r="K5" s="38">
        <f t="shared" si="0"/>
        <v>11</v>
      </c>
      <c r="L5" s="38">
        <f t="shared" si="0"/>
        <v>12</v>
      </c>
      <c r="M5" s="38">
        <f t="shared" si="0"/>
        <v>13</v>
      </c>
      <c r="N5" s="38">
        <f t="shared" si="0"/>
        <v>14</v>
      </c>
      <c r="O5" s="38">
        <f t="shared" si="0"/>
        <v>15</v>
      </c>
      <c r="P5" s="38">
        <f t="shared" si="0"/>
        <v>16</v>
      </c>
      <c r="Q5" s="38">
        <f t="shared" si="0"/>
        <v>17</v>
      </c>
      <c r="R5" s="38">
        <f t="shared" si="0"/>
        <v>18</v>
      </c>
      <c r="S5" s="38">
        <f t="shared" si="0"/>
        <v>19</v>
      </c>
      <c r="T5" s="38">
        <f t="shared" si="0"/>
        <v>20</v>
      </c>
      <c r="U5" s="38">
        <f t="shared" si="0"/>
        <v>21</v>
      </c>
      <c r="V5" s="38">
        <f t="shared" si="0"/>
        <v>22</v>
      </c>
      <c r="W5" s="38">
        <f t="shared" si="0"/>
        <v>23</v>
      </c>
      <c r="X5" s="38">
        <f t="shared" si="0"/>
        <v>24</v>
      </c>
      <c r="Y5" s="38">
        <f t="shared" si="0"/>
        <v>25</v>
      </c>
      <c r="Z5" s="38">
        <f t="shared" si="0"/>
        <v>26</v>
      </c>
      <c r="AA5" s="38">
        <f t="shared" si="0"/>
        <v>27</v>
      </c>
      <c r="AB5" s="38">
        <f t="shared" si="0"/>
        <v>28</v>
      </c>
      <c r="AC5" s="38">
        <f t="shared" si="0"/>
        <v>29</v>
      </c>
      <c r="AD5" s="38">
        <f t="shared" si="0"/>
        <v>30</v>
      </c>
      <c r="AE5" s="38">
        <f t="shared" si="0"/>
        <v>31</v>
      </c>
      <c r="AF5" s="38">
        <f t="shared" si="0"/>
        <v>32</v>
      </c>
      <c r="AG5" s="38">
        <f t="shared" si="0"/>
        <v>33</v>
      </c>
      <c r="AH5" s="38">
        <f t="shared" si="0"/>
        <v>34</v>
      </c>
      <c r="AI5" s="38">
        <f t="shared" si="0"/>
        <v>35</v>
      </c>
      <c r="AJ5" s="38">
        <f t="shared" si="0"/>
        <v>36</v>
      </c>
      <c r="AK5" s="38">
        <f t="shared" si="0"/>
        <v>37</v>
      </c>
      <c r="AL5" s="38">
        <f t="shared" si="0"/>
        <v>38</v>
      </c>
      <c r="AM5" s="38">
        <f t="shared" si="0"/>
        <v>39</v>
      </c>
      <c r="AN5" s="38">
        <f t="shared" si="0"/>
        <v>40</v>
      </c>
      <c r="AO5" s="38">
        <f t="shared" si="0"/>
        <v>41</v>
      </c>
      <c r="AP5" s="38">
        <f t="shared" si="0"/>
        <v>42</v>
      </c>
      <c r="AQ5" s="38">
        <f t="shared" si="0"/>
        <v>43</v>
      </c>
      <c r="AR5" s="38">
        <f t="shared" si="0"/>
        <v>44</v>
      </c>
      <c r="AS5" s="38">
        <f t="shared" si="0"/>
        <v>45</v>
      </c>
      <c r="AT5" s="38">
        <f t="shared" si="0"/>
        <v>46</v>
      </c>
      <c r="AU5" s="38">
        <f t="shared" si="0"/>
        <v>47</v>
      </c>
      <c r="AV5" s="38">
        <f t="shared" si="0"/>
        <v>48</v>
      </c>
      <c r="AW5" s="38">
        <f t="shared" si="0"/>
        <v>49</v>
      </c>
      <c r="AX5" s="38">
        <f t="shared" si="0"/>
        <v>50</v>
      </c>
      <c r="AY5" s="38">
        <f t="shared" si="0"/>
        <v>51</v>
      </c>
      <c r="AZ5" s="38">
        <f t="shared" si="0"/>
        <v>52</v>
      </c>
    </row>
    <row r="6" spans="1:52" s="77" customFormat="1" ht="18" x14ac:dyDescent="0.25">
      <c r="B6" s="321" t="str">
        <f>Demand!B6 &amp; " - " &amp; Demand!B8</f>
        <v>A. N. Other NHS Foundation Trust - A Tumour Site</v>
      </c>
      <c r="C6" s="321"/>
      <c r="D6" s="321"/>
      <c r="E6" s="321"/>
      <c r="F6" s="321"/>
      <c r="G6" s="321"/>
      <c r="H6" s="321"/>
      <c r="I6" s="321"/>
      <c r="J6" s="321"/>
      <c r="K6" s="321"/>
      <c r="L6" s="321"/>
      <c r="M6" s="321"/>
      <c r="N6" s="321"/>
    </row>
    <row r="7" spans="1:52" s="98" customFormat="1" x14ac:dyDescent="0.25">
      <c r="A7" s="38" t="e">
        <f t="array" aca="1" ref="A7:AZ7" ca="1">RefsPerWeek+(2*Deviation)</f>
        <v>#REF!</v>
      </c>
      <c r="B7" s="38" t="e">
        <f ca="1"/>
        <v>#REF!</v>
      </c>
      <c r="C7" s="38" t="e">
        <f ca="1"/>
        <v>#REF!</v>
      </c>
      <c r="D7" s="38" t="e">
        <f ca="1"/>
        <v>#REF!</v>
      </c>
      <c r="E7" s="38" t="e">
        <f ca="1"/>
        <v>#REF!</v>
      </c>
      <c r="F7" s="38" t="e">
        <f ca="1"/>
        <v>#REF!</v>
      </c>
      <c r="G7" s="38" t="e">
        <f ca="1"/>
        <v>#REF!</v>
      </c>
      <c r="H7" s="38" t="e">
        <f ca="1"/>
        <v>#REF!</v>
      </c>
      <c r="I7" s="38" t="e">
        <f ca="1"/>
        <v>#REF!</v>
      </c>
      <c r="J7" s="38" t="e">
        <f ca="1"/>
        <v>#REF!</v>
      </c>
      <c r="K7" s="38" t="e">
        <f ca="1"/>
        <v>#REF!</v>
      </c>
      <c r="L7" s="38" t="e">
        <f ca="1"/>
        <v>#REF!</v>
      </c>
      <c r="M7" s="38" t="e">
        <f ca="1"/>
        <v>#REF!</v>
      </c>
      <c r="N7" s="38" t="e">
        <f ca="1"/>
        <v>#REF!</v>
      </c>
      <c r="O7" s="38" t="e">
        <f ca="1"/>
        <v>#REF!</v>
      </c>
      <c r="P7" s="39" t="e">
        <f ca="1"/>
        <v>#REF!</v>
      </c>
      <c r="Q7" s="39" t="e">
        <f ca="1"/>
        <v>#REF!</v>
      </c>
      <c r="R7" s="39" t="e">
        <f ca="1"/>
        <v>#REF!</v>
      </c>
      <c r="S7" s="39" t="e">
        <f ca="1"/>
        <v>#REF!</v>
      </c>
      <c r="T7" s="39" t="e">
        <f ca="1"/>
        <v>#REF!</v>
      </c>
      <c r="U7" s="39" t="e">
        <f ca="1"/>
        <v>#REF!</v>
      </c>
      <c r="V7" s="39" t="e">
        <f ca="1"/>
        <v>#REF!</v>
      </c>
      <c r="W7" s="39" t="e">
        <f ca="1"/>
        <v>#REF!</v>
      </c>
      <c r="X7" s="39" t="e">
        <f ca="1"/>
        <v>#REF!</v>
      </c>
      <c r="Y7" s="39" t="e">
        <f ca="1"/>
        <v>#REF!</v>
      </c>
      <c r="Z7" s="39" t="e">
        <f ca="1"/>
        <v>#REF!</v>
      </c>
      <c r="AA7" s="39" t="e">
        <f ca="1"/>
        <v>#REF!</v>
      </c>
      <c r="AB7" s="39" t="e">
        <f ca="1"/>
        <v>#REF!</v>
      </c>
      <c r="AC7" s="39" t="e">
        <f ca="1"/>
        <v>#REF!</v>
      </c>
      <c r="AD7" s="39" t="e">
        <f ca="1"/>
        <v>#REF!</v>
      </c>
      <c r="AE7" s="39" t="e">
        <f ca="1"/>
        <v>#REF!</v>
      </c>
      <c r="AF7" s="39" t="e">
        <f ca="1"/>
        <v>#REF!</v>
      </c>
      <c r="AG7" s="39" t="e">
        <f ca="1"/>
        <v>#REF!</v>
      </c>
      <c r="AH7" s="39" t="e">
        <f ca="1"/>
        <v>#REF!</v>
      </c>
      <c r="AI7" s="39" t="e">
        <f ca="1"/>
        <v>#REF!</v>
      </c>
      <c r="AJ7" s="39" t="e">
        <f ca="1"/>
        <v>#REF!</v>
      </c>
      <c r="AK7" s="39" t="e">
        <f ca="1"/>
        <v>#REF!</v>
      </c>
      <c r="AL7" s="39" t="e">
        <f ca="1"/>
        <v>#REF!</v>
      </c>
      <c r="AM7" s="39" t="e">
        <f ca="1"/>
        <v>#REF!</v>
      </c>
      <c r="AN7" s="39" t="e">
        <f ca="1"/>
        <v>#REF!</v>
      </c>
      <c r="AO7" s="39" t="e">
        <f ca="1"/>
        <v>#REF!</v>
      </c>
      <c r="AP7" s="39" t="e">
        <f ca="1"/>
        <v>#REF!</v>
      </c>
      <c r="AQ7" s="39" t="e">
        <f ca="1"/>
        <v>#REF!</v>
      </c>
      <c r="AR7" s="39" t="e">
        <f ca="1"/>
        <v>#REF!</v>
      </c>
      <c r="AS7" s="39" t="e">
        <f ca="1"/>
        <v>#REF!</v>
      </c>
      <c r="AT7" s="39" t="e">
        <f ca="1"/>
        <v>#REF!</v>
      </c>
      <c r="AU7" s="39" t="e">
        <f ca="1"/>
        <v>#REF!</v>
      </c>
      <c r="AV7" s="39" t="e">
        <f ca="1"/>
        <v>#REF!</v>
      </c>
      <c r="AW7" s="39" t="e">
        <f ca="1"/>
        <v>#REF!</v>
      </c>
      <c r="AX7" s="39" t="e">
        <f ca="1"/>
        <v>#REF!</v>
      </c>
      <c r="AY7" s="39" t="e">
        <f ca="1"/>
        <v>#REF!</v>
      </c>
      <c r="AZ7" s="39" t="e">
        <f ca="1"/>
        <v>#REF!</v>
      </c>
    </row>
    <row r="8" spans="1:52" s="37" customFormat="1" ht="15" customHeight="1" x14ac:dyDescent="0.25">
      <c r="A8" s="37">
        <f t="array" ref="A8:AZ8">RefsPerWeek</f>
        <v>0</v>
      </c>
      <c r="B8" s="37">
        <v>0</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7">
        <v>0</v>
      </c>
      <c r="AN8" s="37">
        <v>0</v>
      </c>
      <c r="AO8" s="37">
        <v>0</v>
      </c>
      <c r="AP8" s="37">
        <v>0</v>
      </c>
      <c r="AQ8" s="37">
        <v>0</v>
      </c>
      <c r="AR8" s="37">
        <v>0</v>
      </c>
      <c r="AS8" s="37">
        <v>0</v>
      </c>
      <c r="AT8" s="37">
        <v>0</v>
      </c>
      <c r="AU8" s="37">
        <v>0</v>
      </c>
      <c r="AV8" s="37">
        <v>0</v>
      </c>
      <c r="AW8" s="37">
        <v>0</v>
      </c>
      <c r="AX8" s="37">
        <v>0</v>
      </c>
      <c r="AY8" s="37">
        <v>0</v>
      </c>
      <c r="AZ8" s="37">
        <v>0</v>
      </c>
    </row>
    <row r="9" spans="1:52" s="37" customFormat="1" x14ac:dyDescent="0.25">
      <c r="A9" s="37">
        <f t="array" ref="A9:AZ9">TRANSPOSE(Demand!C25:C76)</f>
        <v>0</v>
      </c>
      <c r="B9" s="37">
        <v>0</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7">
        <v>0</v>
      </c>
      <c r="AN9" s="37">
        <v>0</v>
      </c>
      <c r="AO9" s="37">
        <v>0</v>
      </c>
      <c r="AP9" s="37">
        <v>0</v>
      </c>
      <c r="AQ9" s="37">
        <v>0</v>
      </c>
      <c r="AR9" s="37">
        <v>0</v>
      </c>
      <c r="AS9" s="37">
        <v>0</v>
      </c>
      <c r="AT9" s="37">
        <v>0</v>
      </c>
      <c r="AU9" s="37">
        <v>0</v>
      </c>
      <c r="AV9" s="37">
        <v>0</v>
      </c>
      <c r="AW9" s="37">
        <v>0</v>
      </c>
      <c r="AX9" s="37">
        <v>0</v>
      </c>
      <c r="AY9" s="37">
        <v>0</v>
      </c>
      <c r="AZ9" s="37">
        <v>0</v>
      </c>
    </row>
    <row r="10" spans="1:52" s="33" customFormat="1" x14ac:dyDescent="0.25">
      <c r="A10" s="37"/>
      <c r="B10" s="37"/>
      <c r="C10" s="37"/>
      <c r="D10" s="37"/>
      <c r="E10" s="37"/>
      <c r="F10" s="37"/>
      <c r="G10" s="37"/>
      <c r="H10" s="37"/>
      <c r="I10" s="37"/>
      <c r="J10" s="37"/>
      <c r="K10" s="37"/>
      <c r="L10" s="37"/>
      <c r="M10" s="37"/>
      <c r="N10" s="37"/>
      <c r="O10" s="37"/>
      <c r="P10" s="37"/>
      <c r="Q10" s="37"/>
      <c r="R10" s="37"/>
    </row>
    <row r="11" spans="1:52" s="33" customFormat="1" x14ac:dyDescent="0.25"/>
    <row r="12" spans="1:52" s="33" customFormat="1" x14ac:dyDescent="0.25"/>
    <row r="13" spans="1:52" s="33" customFormat="1" x14ac:dyDescent="0.25"/>
    <row r="14" spans="1:52" s="33" customFormat="1" x14ac:dyDescent="0.25"/>
    <row r="15" spans="1:52" s="33" customFormat="1" x14ac:dyDescent="0.25"/>
    <row r="16" spans="1:52" s="33" customFormat="1" x14ac:dyDescent="0.25"/>
    <row r="17" s="33" customFormat="1" x14ac:dyDescent="0.25"/>
    <row r="18" s="33" customFormat="1" x14ac:dyDescent="0.25"/>
    <row r="19" s="33" customFormat="1" x14ac:dyDescent="0.25"/>
    <row r="20" s="33" customFormat="1" x14ac:dyDescent="0.25"/>
    <row r="21" s="33" customFormat="1" x14ac:dyDescent="0.25"/>
    <row r="22" s="33" customFormat="1" x14ac:dyDescent="0.25"/>
    <row r="23" s="33" customFormat="1" x14ac:dyDescent="0.25"/>
    <row r="24" s="33" customFormat="1" x14ac:dyDescent="0.25"/>
    <row r="25" s="33" customFormat="1" x14ac:dyDescent="0.25"/>
    <row r="26" s="33" customFormat="1" x14ac:dyDescent="0.25"/>
    <row r="27" s="33" customFormat="1" x14ac:dyDescent="0.25"/>
    <row r="28" s="33" customFormat="1" x14ac:dyDescent="0.25"/>
    <row r="29" s="33" customFormat="1" x14ac:dyDescent="0.25"/>
    <row r="30" s="33" customFormat="1" x14ac:dyDescent="0.25"/>
    <row r="35" spans="1:15" s="33" customFormat="1" x14ac:dyDescent="0.25"/>
    <row r="36" spans="1:15" s="97" customFormat="1" x14ac:dyDescent="0.25">
      <c r="A36" s="33"/>
      <c r="B36" s="33"/>
      <c r="C36" s="33"/>
      <c r="D36" s="33"/>
      <c r="E36" s="33"/>
      <c r="F36" s="33"/>
      <c r="G36" s="33"/>
      <c r="H36" s="33"/>
      <c r="I36" s="33"/>
      <c r="J36" s="33"/>
      <c r="K36" s="33"/>
      <c r="L36" s="33"/>
      <c r="M36" s="33"/>
      <c r="N36" s="33"/>
      <c r="O36" s="33"/>
    </row>
    <row r="37" spans="1:15" s="97" customFormat="1" x14ac:dyDescent="0.25">
      <c r="A37" s="33"/>
      <c r="B37" s="380" t="s">
        <v>292</v>
      </c>
      <c r="C37" s="380"/>
      <c r="D37" s="380"/>
      <c r="E37" s="380"/>
      <c r="F37" s="380"/>
      <c r="G37" s="33"/>
      <c r="H37" s="33"/>
      <c r="I37" s="33"/>
      <c r="J37" s="33"/>
      <c r="K37" s="33"/>
      <c r="L37" s="33"/>
      <c r="M37" s="33"/>
      <c r="N37" s="33"/>
      <c r="O37" s="33"/>
    </row>
    <row r="38" spans="1:15" s="97" customFormat="1" x14ac:dyDescent="0.25">
      <c r="A38" s="33"/>
      <c r="B38" s="380"/>
      <c r="C38" s="380"/>
      <c r="D38" s="380"/>
      <c r="E38" s="380"/>
      <c r="F38" s="380"/>
      <c r="G38" s="33"/>
      <c r="H38" s="33"/>
      <c r="I38" s="33"/>
      <c r="J38" s="33"/>
      <c r="K38" s="33"/>
      <c r="L38" s="33"/>
      <c r="M38" s="33"/>
      <c r="N38" s="33"/>
      <c r="O38" s="33"/>
    </row>
    <row r="39" spans="1:15" s="97" customFormat="1" x14ac:dyDescent="0.25">
      <c r="A39" s="33"/>
      <c r="B39" s="380"/>
      <c r="C39" s="380"/>
      <c r="D39" s="380"/>
      <c r="E39" s="380"/>
      <c r="F39" s="380"/>
      <c r="G39" s="33"/>
      <c r="H39" s="33"/>
      <c r="I39" s="33"/>
      <c r="J39" s="33"/>
      <c r="K39" s="33"/>
      <c r="L39" s="33"/>
      <c r="M39" s="33"/>
      <c r="N39" s="33"/>
      <c r="O39" s="33"/>
    </row>
    <row r="40" spans="1:15" s="97" customFormat="1" x14ac:dyDescent="0.25">
      <c r="A40" s="33"/>
      <c r="B40" s="380"/>
      <c r="C40" s="380"/>
      <c r="D40" s="380"/>
      <c r="E40" s="380"/>
      <c r="F40" s="380"/>
      <c r="G40" s="33"/>
      <c r="H40" s="33"/>
      <c r="I40" s="33"/>
      <c r="J40" s="33"/>
      <c r="K40" s="33"/>
      <c r="L40" s="33"/>
      <c r="M40" s="33"/>
      <c r="N40" s="33"/>
      <c r="O40" s="33"/>
    </row>
    <row r="41" spans="1:15" s="33" customFormat="1" x14ac:dyDescent="0.25">
      <c r="B41" s="380"/>
      <c r="C41" s="380"/>
      <c r="D41" s="380"/>
      <c r="E41" s="380"/>
      <c r="F41" s="380"/>
    </row>
    <row r="42" spans="1:15" s="33" customFormat="1" x14ac:dyDescent="0.25">
      <c r="B42" s="380"/>
      <c r="C42" s="380"/>
      <c r="D42" s="380"/>
      <c r="E42" s="380"/>
      <c r="F42" s="380"/>
    </row>
    <row r="43" spans="1:15" s="33" customFormat="1" x14ac:dyDescent="0.25">
      <c r="B43" s="380"/>
      <c r="C43" s="380"/>
      <c r="D43" s="380"/>
      <c r="E43" s="380"/>
      <c r="F43" s="380"/>
    </row>
    <row r="44" spans="1:15" s="33" customFormat="1" x14ac:dyDescent="0.25">
      <c r="B44" s="380"/>
      <c r="C44" s="380"/>
      <c r="D44" s="380"/>
      <c r="E44" s="380"/>
      <c r="F44" s="380"/>
    </row>
    <row r="45" spans="1:15" s="33" customFormat="1" x14ac:dyDescent="0.25">
      <c r="B45" s="380"/>
      <c r="C45" s="380"/>
      <c r="D45" s="380"/>
      <c r="E45" s="380"/>
      <c r="F45" s="380"/>
    </row>
    <row r="46" spans="1:15" s="33" customFormat="1" x14ac:dyDescent="0.25">
      <c r="B46" s="380"/>
      <c r="C46" s="380"/>
      <c r="D46" s="380"/>
      <c r="E46" s="380"/>
      <c r="F46" s="380"/>
    </row>
    <row r="47" spans="1:15" s="33" customFormat="1" x14ac:dyDescent="0.25">
      <c r="B47" s="380"/>
      <c r="C47" s="380"/>
      <c r="D47" s="380"/>
      <c r="E47" s="380"/>
      <c r="F47" s="380"/>
    </row>
    <row r="48" spans="1:15" s="33" customFormat="1" x14ac:dyDescent="0.25">
      <c r="B48" s="380"/>
      <c r="C48" s="380"/>
      <c r="D48" s="380"/>
      <c r="E48" s="380"/>
      <c r="F48" s="380"/>
    </row>
    <row r="49" spans="1:52" s="33" customFormat="1" x14ac:dyDescent="0.25"/>
    <row r="50" spans="1:52" s="33" customFormat="1" x14ac:dyDescent="0.25"/>
    <row r="51" spans="1:52" s="33" customFormat="1" x14ac:dyDescent="0.25"/>
    <row r="52" spans="1:52" s="33" customFormat="1" x14ac:dyDescent="0.25"/>
    <row r="53" spans="1:52" s="39" customFormat="1" ht="15" customHeight="1" x14ac:dyDescent="0.25">
      <c r="A53" s="38" t="e">
        <f t="array" aca="1" ref="A53:AZ53" ca="1">IF(A5:AZ5&gt;=Split,Percentile85,NA())</f>
        <v>#REF!</v>
      </c>
      <c r="B53" s="38" t="e">
        <f ca="1"/>
        <v>#REF!</v>
      </c>
      <c r="C53" s="38" t="e">
        <f ca="1"/>
        <v>#REF!</v>
      </c>
      <c r="D53" s="38" t="e">
        <f ca="1"/>
        <v>#REF!</v>
      </c>
      <c r="E53" s="38" t="e">
        <f ca="1"/>
        <v>#REF!</v>
      </c>
      <c r="F53" s="38" t="e">
        <f ca="1"/>
        <v>#REF!</v>
      </c>
      <c r="G53" s="38" t="e">
        <f ca="1"/>
        <v>#REF!</v>
      </c>
      <c r="H53" s="38" t="e">
        <f ca="1"/>
        <v>#REF!</v>
      </c>
      <c r="I53" s="38" t="e">
        <f ca="1"/>
        <v>#REF!</v>
      </c>
      <c r="J53" s="38" t="e">
        <f ca="1"/>
        <v>#REF!</v>
      </c>
      <c r="K53" s="38" t="e">
        <f ca="1"/>
        <v>#REF!</v>
      </c>
      <c r="L53" s="38" t="e">
        <f ca="1"/>
        <v>#REF!</v>
      </c>
      <c r="M53" s="38" t="e">
        <f ca="1"/>
        <v>#REF!</v>
      </c>
      <c r="N53" s="38" t="e">
        <f ca="1"/>
        <v>#REF!</v>
      </c>
      <c r="O53" s="38" t="e">
        <f ca="1"/>
        <v>#REF!</v>
      </c>
      <c r="P53" s="39" t="e">
        <f ca="1"/>
        <v>#REF!</v>
      </c>
      <c r="Q53" s="39" t="e">
        <f ca="1"/>
        <v>#REF!</v>
      </c>
      <c r="R53" s="39" t="e">
        <f ca="1"/>
        <v>#REF!</v>
      </c>
      <c r="S53" s="39" t="e">
        <f ca="1"/>
        <v>#REF!</v>
      </c>
      <c r="T53" s="39" t="e">
        <f ca="1"/>
        <v>#REF!</v>
      </c>
      <c r="U53" s="39" t="e">
        <f ca="1"/>
        <v>#REF!</v>
      </c>
      <c r="V53" s="39" t="e">
        <f ca="1"/>
        <v>#REF!</v>
      </c>
      <c r="W53" s="39" t="e">
        <f ca="1"/>
        <v>#REF!</v>
      </c>
      <c r="X53" s="39" t="e">
        <f ca="1"/>
        <v>#REF!</v>
      </c>
      <c r="Y53" s="39" t="e">
        <f ca="1"/>
        <v>#REF!</v>
      </c>
      <c r="Z53" s="39" t="e">
        <f ca="1"/>
        <v>#REF!</v>
      </c>
      <c r="AA53" s="39" t="e">
        <f ca="1"/>
        <v>#REF!</v>
      </c>
      <c r="AB53" s="39" t="e">
        <f ca="1"/>
        <v>#REF!</v>
      </c>
      <c r="AC53" s="39" t="e">
        <f ca="1"/>
        <v>#REF!</v>
      </c>
      <c r="AD53" s="39" t="e">
        <f ca="1"/>
        <v>#REF!</v>
      </c>
      <c r="AE53" s="39" t="e">
        <f ca="1"/>
        <v>#REF!</v>
      </c>
      <c r="AF53" s="39" t="e">
        <f ca="1"/>
        <v>#REF!</v>
      </c>
      <c r="AG53" s="39" t="e">
        <f ca="1"/>
        <v>#REF!</v>
      </c>
      <c r="AH53" s="39" t="e">
        <f ca="1"/>
        <v>#REF!</v>
      </c>
      <c r="AI53" s="39" t="e">
        <f ca="1"/>
        <v>#REF!</v>
      </c>
      <c r="AJ53" s="39" t="e">
        <f ca="1"/>
        <v>#REF!</v>
      </c>
      <c r="AK53" s="39" t="e">
        <f ca="1"/>
        <v>#REF!</v>
      </c>
      <c r="AL53" s="39" t="e">
        <f ca="1"/>
        <v>#REF!</v>
      </c>
      <c r="AM53" s="39" t="e">
        <f ca="1"/>
        <v>#REF!</v>
      </c>
      <c r="AN53" s="39" t="e">
        <f ca="1"/>
        <v>#REF!</v>
      </c>
      <c r="AO53" s="39" t="e">
        <f ca="1"/>
        <v>#REF!</v>
      </c>
      <c r="AP53" s="39" t="e">
        <f ca="1"/>
        <v>#REF!</v>
      </c>
      <c r="AQ53" s="39" t="e">
        <f ca="1"/>
        <v>#REF!</v>
      </c>
      <c r="AR53" s="39" t="e">
        <f ca="1"/>
        <v>#REF!</v>
      </c>
      <c r="AS53" s="39" t="e">
        <f ca="1"/>
        <v>#REF!</v>
      </c>
      <c r="AT53" s="39" t="e">
        <f ca="1"/>
        <v>#REF!</v>
      </c>
      <c r="AU53" s="39" t="e">
        <f ca="1"/>
        <v>#REF!</v>
      </c>
      <c r="AV53" s="39" t="e">
        <f ca="1"/>
        <v>#REF!</v>
      </c>
      <c r="AW53" s="39" t="e">
        <f ca="1"/>
        <v>#REF!</v>
      </c>
      <c r="AX53" s="39" t="e">
        <f ca="1"/>
        <v>#REF!</v>
      </c>
      <c r="AY53" s="39" t="e">
        <f ca="1"/>
        <v>#REF!</v>
      </c>
      <c r="AZ53" s="39" t="e">
        <f ca="1"/>
        <v>#REF!</v>
      </c>
    </row>
    <row r="54" spans="1:52" s="39" customFormat="1" ht="15" customHeight="1" x14ac:dyDescent="0.25">
      <c r="A54" s="38" t="e">
        <f t="array" aca="1" ref="A54:AZ54" ca="1">RefsPerWeek-(2*Deviation)</f>
        <v>#REF!</v>
      </c>
      <c r="B54" s="38" t="e">
        <f ca="1"/>
        <v>#REF!</v>
      </c>
      <c r="C54" s="38" t="e">
        <f ca="1"/>
        <v>#REF!</v>
      </c>
      <c r="D54" s="38" t="e">
        <f ca="1"/>
        <v>#REF!</v>
      </c>
      <c r="E54" s="38" t="e">
        <f ca="1"/>
        <v>#REF!</v>
      </c>
      <c r="F54" s="38" t="e">
        <f ca="1"/>
        <v>#REF!</v>
      </c>
      <c r="G54" s="38" t="e">
        <f ca="1"/>
        <v>#REF!</v>
      </c>
      <c r="H54" s="38" t="e">
        <f ca="1"/>
        <v>#REF!</v>
      </c>
      <c r="I54" s="38" t="e">
        <f ca="1"/>
        <v>#REF!</v>
      </c>
      <c r="J54" s="38" t="e">
        <f ca="1"/>
        <v>#REF!</v>
      </c>
      <c r="K54" s="38" t="e">
        <f ca="1"/>
        <v>#REF!</v>
      </c>
      <c r="L54" s="38" t="e">
        <f ca="1"/>
        <v>#REF!</v>
      </c>
      <c r="M54" s="38" t="e">
        <f ca="1"/>
        <v>#REF!</v>
      </c>
      <c r="N54" s="38" t="e">
        <f ca="1"/>
        <v>#REF!</v>
      </c>
      <c r="O54" s="38" t="e">
        <f ca="1"/>
        <v>#REF!</v>
      </c>
      <c r="P54" s="39" t="e">
        <f ca="1"/>
        <v>#REF!</v>
      </c>
      <c r="Q54" s="39" t="e">
        <f ca="1"/>
        <v>#REF!</v>
      </c>
      <c r="R54" s="39" t="e">
        <f ca="1"/>
        <v>#REF!</v>
      </c>
      <c r="S54" s="39" t="e">
        <f ca="1"/>
        <v>#REF!</v>
      </c>
      <c r="T54" s="39" t="e">
        <f ca="1"/>
        <v>#REF!</v>
      </c>
      <c r="U54" s="39" t="e">
        <f ca="1"/>
        <v>#REF!</v>
      </c>
      <c r="V54" s="39" t="e">
        <f ca="1"/>
        <v>#REF!</v>
      </c>
      <c r="W54" s="39" t="e">
        <f ca="1"/>
        <v>#REF!</v>
      </c>
      <c r="X54" s="39" t="e">
        <f ca="1"/>
        <v>#REF!</v>
      </c>
      <c r="Y54" s="39" t="e">
        <f ca="1"/>
        <v>#REF!</v>
      </c>
      <c r="Z54" s="39" t="e">
        <f ca="1"/>
        <v>#REF!</v>
      </c>
      <c r="AA54" s="39" t="e">
        <f ca="1"/>
        <v>#REF!</v>
      </c>
      <c r="AB54" s="39" t="e">
        <f ca="1"/>
        <v>#REF!</v>
      </c>
      <c r="AC54" s="39" t="e">
        <f ca="1"/>
        <v>#REF!</v>
      </c>
      <c r="AD54" s="39" t="e">
        <f ca="1"/>
        <v>#REF!</v>
      </c>
      <c r="AE54" s="39" t="e">
        <f ca="1"/>
        <v>#REF!</v>
      </c>
      <c r="AF54" s="39" t="e">
        <f ca="1"/>
        <v>#REF!</v>
      </c>
      <c r="AG54" s="39" t="e">
        <f ca="1"/>
        <v>#REF!</v>
      </c>
      <c r="AH54" s="39" t="e">
        <f ca="1"/>
        <v>#REF!</v>
      </c>
      <c r="AI54" s="39" t="e">
        <f ca="1"/>
        <v>#REF!</v>
      </c>
      <c r="AJ54" s="39" t="e">
        <f ca="1"/>
        <v>#REF!</v>
      </c>
      <c r="AK54" s="39" t="e">
        <f ca="1"/>
        <v>#REF!</v>
      </c>
      <c r="AL54" s="39" t="e">
        <f ca="1"/>
        <v>#REF!</v>
      </c>
      <c r="AM54" s="39" t="e">
        <f ca="1"/>
        <v>#REF!</v>
      </c>
      <c r="AN54" s="39" t="e">
        <f ca="1"/>
        <v>#REF!</v>
      </c>
      <c r="AO54" s="39" t="e">
        <f ca="1"/>
        <v>#REF!</v>
      </c>
      <c r="AP54" s="39" t="e">
        <f ca="1"/>
        <v>#REF!</v>
      </c>
      <c r="AQ54" s="39" t="e">
        <f ca="1"/>
        <v>#REF!</v>
      </c>
      <c r="AR54" s="39" t="e">
        <f ca="1"/>
        <v>#REF!</v>
      </c>
      <c r="AS54" s="39" t="e">
        <f ca="1"/>
        <v>#REF!</v>
      </c>
      <c r="AT54" s="39" t="e">
        <f ca="1"/>
        <v>#REF!</v>
      </c>
      <c r="AU54" s="39" t="e">
        <f ca="1"/>
        <v>#REF!</v>
      </c>
      <c r="AV54" s="39" t="e">
        <f ca="1"/>
        <v>#REF!</v>
      </c>
      <c r="AW54" s="39" t="e">
        <f ca="1"/>
        <v>#REF!</v>
      </c>
      <c r="AX54" s="39" t="e">
        <f ca="1"/>
        <v>#REF!</v>
      </c>
      <c r="AY54" s="39" t="e">
        <f ca="1"/>
        <v>#REF!</v>
      </c>
      <c r="AZ54" s="39" t="e">
        <f ca="1"/>
        <v>#REF!</v>
      </c>
    </row>
  </sheetData>
  <sheetProtection password="CD36" sheet="1" objects="1" scenarios="1" selectLockedCells="1" selectUnlockedCells="1"/>
  <mergeCells count="4">
    <mergeCell ref="A2:O2"/>
    <mergeCell ref="A3:O3"/>
    <mergeCell ref="B6:N6"/>
    <mergeCell ref="B37:F48"/>
  </mergeCells>
  <pageMargins left="0.39370078740157483" right="0.39370078740157483" top="1.5748031496062993" bottom="0.59055118110236215" header="0.59055118110236215" footer="0"/>
  <pageSetup paperSize="9" scale="99" fitToHeight="0" orientation="landscape" errors="blank" r:id="rId1"/>
  <headerFooter>
    <oddHeader>&amp;R&amp;G</oddHeader>
  </headerFooter>
  <rowBreaks count="1" manualBreakCount="1">
    <brk id="6"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1"/>
  <sheetViews>
    <sheetView showGridLines="0" showRowColHeaders="0" zoomScaleNormal="100" workbookViewId="0">
      <selection activeCell="A4" sqref="A4"/>
    </sheetView>
  </sheetViews>
  <sheetFormatPr defaultRowHeight="15" x14ac:dyDescent="0.25"/>
  <cols>
    <col min="1" max="1" width="6.140625" style="202" customWidth="1"/>
    <col min="2" max="2" width="11.28515625" style="202" customWidth="1"/>
    <col min="3" max="5" width="17.5703125" style="202" customWidth="1"/>
    <col min="6" max="6" width="7.140625" style="202" customWidth="1"/>
    <col min="7" max="7" width="9.85546875" style="202" customWidth="1"/>
    <col min="8" max="8" width="13.42578125" style="202" customWidth="1"/>
    <col min="9" max="9" width="3.85546875" style="202" customWidth="1"/>
    <col min="10" max="10" width="9.28515625" style="202" customWidth="1"/>
    <col min="11" max="11" width="8.85546875" style="202" customWidth="1"/>
    <col min="12" max="12" width="5.140625" style="202" customWidth="1"/>
    <col min="13" max="13" width="12.7109375" style="202" customWidth="1"/>
    <col min="14" max="16384" width="9.140625" style="202"/>
  </cols>
  <sheetData>
    <row r="2" spans="1:18" ht="54" customHeight="1" x14ac:dyDescent="0.25">
      <c r="A2" s="372" t="str">
        <f>"Calculations - "&amp;ModelName</f>
        <v>Calculations - The NHS IMAS IST Cancer First Outpatients Demand &amp; Capacity Model</v>
      </c>
      <c r="B2" s="271"/>
      <c r="C2" s="271"/>
      <c r="D2" s="271"/>
      <c r="E2" s="271"/>
      <c r="F2" s="271"/>
      <c r="G2" s="271"/>
      <c r="H2" s="271"/>
      <c r="I2" s="271"/>
      <c r="J2" s="271"/>
      <c r="K2" s="271"/>
      <c r="L2" s="271"/>
      <c r="M2" s="272"/>
    </row>
    <row r="3" spans="1:18" s="129" customFormat="1" ht="23.25" customHeight="1" x14ac:dyDescent="0.25">
      <c r="A3" s="273" t="str">
        <f>"Calculating Your Maximum Waiting List Dimensions"&amp;IF(Split&gt;0," (Based on split at week "&amp;Split&amp;")","")</f>
        <v>Calculating Your Maximum Waiting List Dimensions</v>
      </c>
      <c r="B3" s="274"/>
      <c r="C3" s="274"/>
      <c r="D3" s="274"/>
      <c r="E3" s="274"/>
      <c r="F3" s="274"/>
      <c r="G3" s="274"/>
      <c r="H3" s="274"/>
      <c r="I3" s="274"/>
      <c r="J3" s="274"/>
      <c r="K3" s="274"/>
      <c r="L3" s="274"/>
      <c r="M3" s="275"/>
    </row>
    <row r="4" spans="1:18" x14ac:dyDescent="0.25">
      <c r="G4" s="87"/>
      <c r="H4" s="87"/>
      <c r="I4" s="87"/>
      <c r="J4" s="87"/>
      <c r="K4" s="87"/>
      <c r="L4" s="87"/>
      <c r="M4" s="87"/>
    </row>
    <row r="5" spans="1:18" ht="18" x14ac:dyDescent="0.25">
      <c r="A5" s="379" t="str">
        <f>Demand!B6 &amp; " - " &amp; Demand!B8</f>
        <v>A. N. Other NHS Foundation Trust - A Tumour Site</v>
      </c>
      <c r="B5" s="379"/>
      <c r="C5" s="379"/>
      <c r="D5" s="379"/>
      <c r="E5" s="379"/>
      <c r="F5" s="379"/>
      <c r="G5" s="379"/>
      <c r="H5" s="379"/>
      <c r="I5" s="379"/>
      <c r="J5" s="379"/>
      <c r="K5" s="379"/>
      <c r="L5" s="379"/>
      <c r="M5" s="379"/>
      <c r="N5" s="206"/>
    </row>
    <row r="6" spans="1:18" ht="15.75" thickBot="1" x14ac:dyDescent="0.3">
      <c r="G6" s="87"/>
      <c r="H6" s="87"/>
      <c r="I6" s="87"/>
      <c r="J6" s="87"/>
      <c r="K6" s="87"/>
      <c r="L6" s="87"/>
      <c r="M6" s="87"/>
    </row>
    <row r="7" spans="1:18" s="129" customFormat="1" ht="23.25" customHeight="1" x14ac:dyDescent="0.25">
      <c r="B7" s="207"/>
      <c r="C7" s="207"/>
      <c r="D7" s="208" t="s">
        <v>68</v>
      </c>
      <c r="E7" s="209"/>
      <c r="F7" s="210"/>
      <c r="G7" s="381" t="s">
        <v>44</v>
      </c>
      <c r="H7" s="382"/>
      <c r="J7" s="381" t="s">
        <v>45</v>
      </c>
      <c r="K7" s="385"/>
      <c r="L7" s="382"/>
    </row>
    <row r="8" spans="1:18" x14ac:dyDescent="0.25">
      <c r="B8" s="211" t="s">
        <v>28</v>
      </c>
      <c r="C8" s="212"/>
      <c r="D8" s="213">
        <f>RefsPerWeek</f>
        <v>0</v>
      </c>
      <c r="E8" s="214"/>
      <c r="F8" s="210"/>
      <c r="G8" s="383"/>
      <c r="H8" s="384"/>
      <c r="I8" s="129"/>
      <c r="J8" s="383"/>
      <c r="K8" s="386"/>
      <c r="L8" s="384"/>
    </row>
    <row r="9" spans="1:18" ht="15.75" thickBot="1" x14ac:dyDescent="0.3">
      <c r="B9" s="211" t="s">
        <v>17</v>
      </c>
      <c r="C9" s="212"/>
      <c r="D9" s="213">
        <f>DNARate*RefsPerWeek*DNADischargeRate</f>
        <v>0</v>
      </c>
      <c r="E9" s="214"/>
      <c r="F9" s="215"/>
      <c r="G9" s="387">
        <f>DailyMinWait</f>
        <v>1</v>
      </c>
      <c r="H9" s="388"/>
      <c r="J9" s="387">
        <f>DailyMaxWait</f>
        <v>1</v>
      </c>
      <c r="K9" s="389"/>
      <c r="L9" s="388"/>
    </row>
    <row r="10" spans="1:18" x14ac:dyDescent="0.25">
      <c r="B10" s="211" t="s">
        <v>18</v>
      </c>
      <c r="C10" s="212"/>
      <c r="D10" s="213">
        <f>DNARate*RefsPerWeek*(1-DNADischargeRate)</f>
        <v>0</v>
      </c>
      <c r="E10" s="214"/>
      <c r="F10" s="216"/>
      <c r="G10" s="217"/>
      <c r="H10" s="217"/>
      <c r="I10" s="218"/>
      <c r="J10" s="219"/>
      <c r="K10" s="219"/>
      <c r="L10" s="219"/>
    </row>
    <row r="11" spans="1:18" ht="15.75" thickBot="1" x14ac:dyDescent="0.3">
      <c r="B11" s="211" t="s">
        <v>31</v>
      </c>
      <c r="C11" s="212"/>
      <c r="D11" s="220" t="str">
        <f>DailyMaxWait-DailyMinWait+1 &amp; " days"</f>
        <v>1 days</v>
      </c>
      <c r="E11" s="221"/>
    </row>
    <row r="12" spans="1:18" ht="15.75" thickBot="1" x14ac:dyDescent="0.3">
      <c r="G12" s="34"/>
    </row>
    <row r="13" spans="1:18" ht="27.75" customHeight="1" x14ac:dyDescent="0.25">
      <c r="A13" s="222" t="s">
        <v>301</v>
      </c>
      <c r="B13" s="222" t="s">
        <v>46</v>
      </c>
      <c r="C13" s="222" t="s">
        <v>26</v>
      </c>
      <c r="D13" s="222" t="s">
        <v>16</v>
      </c>
      <c r="E13" s="222" t="s">
        <v>25</v>
      </c>
      <c r="F13" s="392" t="s">
        <v>20</v>
      </c>
      <c r="G13" s="393"/>
      <c r="H13" s="392" t="s">
        <v>21</v>
      </c>
      <c r="I13" s="393"/>
      <c r="J13" s="394" t="s">
        <v>22</v>
      </c>
      <c r="K13" s="395"/>
      <c r="L13" s="394" t="s">
        <v>23</v>
      </c>
      <c r="M13" s="395"/>
      <c r="O13" s="223"/>
      <c r="P13" s="223"/>
      <c r="Q13" s="223"/>
      <c r="R13" s="223"/>
    </row>
    <row r="14" spans="1:18" x14ac:dyDescent="0.25">
      <c r="A14" s="224">
        <f t="array" aca="1" ref="A14:A39" ca="1">ROW(INDIRECT("1:26"))-1</f>
        <v>0</v>
      </c>
      <c r="B14" s="225">
        <f>RefsPerDay</f>
        <v>0</v>
      </c>
      <c r="C14" s="226"/>
      <c r="D14" s="226"/>
      <c r="E14" s="226"/>
      <c r="F14" s="390"/>
      <c r="G14" s="391"/>
      <c r="H14" s="390"/>
      <c r="I14" s="391"/>
      <c r="J14" s="396">
        <f>B14</f>
        <v>0</v>
      </c>
      <c r="K14" s="397"/>
      <c r="L14" s="398">
        <f>J14</f>
        <v>0</v>
      </c>
      <c r="M14" s="399"/>
      <c r="O14" s="223"/>
      <c r="P14" s="223"/>
      <c r="Q14" s="223"/>
      <c r="R14" s="223"/>
    </row>
    <row r="15" spans="1:18" x14ac:dyDescent="0.25">
      <c r="A15" s="227">
        <f ca="1"/>
        <v>1</v>
      </c>
      <c r="B15" s="228"/>
      <c r="C15" s="226">
        <f t="shared" ref="C15:C39" ca="1" si="0">IF(AND($A15&gt;=DailyMinWait,$A15&lt;=DailyMaxWait),RefsPerDay/DailyBookingPeriod,0)</f>
        <v>0</v>
      </c>
      <c r="D15" s="226">
        <f t="shared" ref="D15:D39" ca="1" si="1">IF($A15&gt;DailyMaxWait,0,IF($A15&gt;=DailyMinWait,DailyDNAsDischarged/DailyBookingPeriod,0))</f>
        <v>0</v>
      </c>
      <c r="E15" s="226">
        <f t="shared" ref="E15:E39" ca="1" si="2">IF($A15&gt;DailyMaxWait,0,IF($A15&gt;=DailyMinWait,DailyDNAsRebooked/DailyBookingPeriod,0))</f>
        <v>0</v>
      </c>
      <c r="F15" s="390">
        <f t="shared" ref="F15:F39" ca="1" si="3">IF(AND($A15&gt;=(DailyMinWait+DailyMinWait),$A15&lt;=(DailyMinWait+DailyMaxWait)),DailyDNAsRebooked/DailyBookingPeriod,0)</f>
        <v>0</v>
      </c>
      <c r="G15" s="391"/>
      <c r="H15" s="390">
        <f t="shared" ref="H15:H39" ca="1" si="4">C15-E15+F15</f>
        <v>0</v>
      </c>
      <c r="I15" s="391"/>
      <c r="J15" s="390">
        <f t="shared" ref="J15:J39" ca="1" si="5">IF($A15&gt;DailyMaxWait+DailyMinWait,NA(),J14-H15)</f>
        <v>0</v>
      </c>
      <c r="K15" s="391"/>
      <c r="L15" s="390">
        <f t="shared" ref="L15:L39" ca="1" si="6">IF($A15&gt;DailyMaxWait+DailyMinWait,"",L14+J15)</f>
        <v>0</v>
      </c>
      <c r="M15" s="391"/>
      <c r="O15" s="223"/>
      <c r="P15" s="223"/>
      <c r="Q15" s="223"/>
      <c r="R15" s="223"/>
    </row>
    <row r="16" spans="1:18" x14ac:dyDescent="0.25">
      <c r="A16" s="227">
        <f ca="1"/>
        <v>2</v>
      </c>
      <c r="B16" s="228"/>
      <c r="C16" s="226">
        <f t="shared" ca="1" si="0"/>
        <v>0</v>
      </c>
      <c r="D16" s="226">
        <f t="shared" ca="1" si="1"/>
        <v>0</v>
      </c>
      <c r="E16" s="226">
        <f t="shared" ca="1" si="2"/>
        <v>0</v>
      </c>
      <c r="F16" s="390">
        <f t="shared" ca="1" si="3"/>
        <v>0</v>
      </c>
      <c r="G16" s="391"/>
      <c r="H16" s="390">
        <f t="shared" ca="1" si="4"/>
        <v>0</v>
      </c>
      <c r="I16" s="391"/>
      <c r="J16" s="390">
        <f t="shared" ca="1" si="5"/>
        <v>0</v>
      </c>
      <c r="K16" s="391"/>
      <c r="L16" s="390">
        <f t="shared" ca="1" si="6"/>
        <v>0</v>
      </c>
      <c r="M16" s="391"/>
      <c r="O16" s="223"/>
      <c r="P16" s="223"/>
      <c r="Q16" s="223"/>
      <c r="R16" s="223"/>
    </row>
    <row r="17" spans="1:18" x14ac:dyDescent="0.25">
      <c r="A17" s="227">
        <f ca="1"/>
        <v>3</v>
      </c>
      <c r="B17" s="228"/>
      <c r="C17" s="226">
        <f t="shared" ca="1" si="0"/>
        <v>0</v>
      </c>
      <c r="D17" s="226">
        <f t="shared" ca="1" si="1"/>
        <v>0</v>
      </c>
      <c r="E17" s="226">
        <f t="shared" ca="1" si="2"/>
        <v>0</v>
      </c>
      <c r="F17" s="390">
        <f t="shared" ca="1" si="3"/>
        <v>0</v>
      </c>
      <c r="G17" s="391"/>
      <c r="H17" s="390">
        <f t="shared" ca="1" si="4"/>
        <v>0</v>
      </c>
      <c r="I17" s="391"/>
      <c r="J17" s="390" t="e">
        <f t="shared" ca="1" si="5"/>
        <v>#N/A</v>
      </c>
      <c r="K17" s="391"/>
      <c r="L17" s="390" t="str">
        <f t="shared" ca="1" si="6"/>
        <v/>
      </c>
      <c r="M17" s="391"/>
      <c r="O17" s="223"/>
      <c r="P17" s="223"/>
      <c r="Q17" s="223"/>
      <c r="R17" s="223"/>
    </row>
    <row r="18" spans="1:18" x14ac:dyDescent="0.25">
      <c r="A18" s="227">
        <f ca="1"/>
        <v>4</v>
      </c>
      <c r="B18" s="228"/>
      <c r="C18" s="226">
        <f t="shared" ca="1" si="0"/>
        <v>0</v>
      </c>
      <c r="D18" s="226">
        <f t="shared" ca="1" si="1"/>
        <v>0</v>
      </c>
      <c r="E18" s="226">
        <f t="shared" ca="1" si="2"/>
        <v>0</v>
      </c>
      <c r="F18" s="390">
        <f t="shared" ca="1" si="3"/>
        <v>0</v>
      </c>
      <c r="G18" s="391"/>
      <c r="H18" s="390">
        <f t="shared" ca="1" si="4"/>
        <v>0</v>
      </c>
      <c r="I18" s="391"/>
      <c r="J18" s="390" t="e">
        <f t="shared" ca="1" si="5"/>
        <v>#N/A</v>
      </c>
      <c r="K18" s="391"/>
      <c r="L18" s="390" t="str">
        <f t="shared" ca="1" si="6"/>
        <v/>
      </c>
      <c r="M18" s="391"/>
      <c r="O18" s="223"/>
      <c r="P18" s="223"/>
      <c r="Q18" s="223"/>
      <c r="R18" s="223"/>
    </row>
    <row r="19" spans="1:18" x14ac:dyDescent="0.25">
      <c r="A19" s="227">
        <f ca="1"/>
        <v>5</v>
      </c>
      <c r="B19" s="228"/>
      <c r="C19" s="226">
        <f t="shared" ca="1" si="0"/>
        <v>0</v>
      </c>
      <c r="D19" s="226">
        <f t="shared" ca="1" si="1"/>
        <v>0</v>
      </c>
      <c r="E19" s="226">
        <f t="shared" ca="1" si="2"/>
        <v>0</v>
      </c>
      <c r="F19" s="390">
        <f t="shared" ca="1" si="3"/>
        <v>0</v>
      </c>
      <c r="G19" s="391"/>
      <c r="H19" s="390">
        <f t="shared" ca="1" si="4"/>
        <v>0</v>
      </c>
      <c r="I19" s="391"/>
      <c r="J19" s="390" t="e">
        <f t="shared" ca="1" si="5"/>
        <v>#N/A</v>
      </c>
      <c r="K19" s="391"/>
      <c r="L19" s="390" t="str">
        <f t="shared" ca="1" si="6"/>
        <v/>
      </c>
      <c r="M19" s="391"/>
      <c r="O19" s="223"/>
      <c r="P19" s="223"/>
      <c r="Q19" s="223"/>
      <c r="R19" s="223"/>
    </row>
    <row r="20" spans="1:18" x14ac:dyDescent="0.25">
      <c r="A20" s="227">
        <f ca="1"/>
        <v>6</v>
      </c>
      <c r="B20" s="228"/>
      <c r="C20" s="226">
        <f t="shared" ca="1" si="0"/>
        <v>0</v>
      </c>
      <c r="D20" s="226">
        <f t="shared" ca="1" si="1"/>
        <v>0</v>
      </c>
      <c r="E20" s="226">
        <f t="shared" ca="1" si="2"/>
        <v>0</v>
      </c>
      <c r="F20" s="390">
        <f t="shared" ca="1" si="3"/>
        <v>0</v>
      </c>
      <c r="G20" s="391"/>
      <c r="H20" s="390">
        <f t="shared" ca="1" si="4"/>
        <v>0</v>
      </c>
      <c r="I20" s="391"/>
      <c r="J20" s="390" t="e">
        <f t="shared" ca="1" si="5"/>
        <v>#N/A</v>
      </c>
      <c r="K20" s="391"/>
      <c r="L20" s="390" t="str">
        <f t="shared" ca="1" si="6"/>
        <v/>
      </c>
      <c r="M20" s="391"/>
      <c r="O20" s="223"/>
      <c r="P20" s="223"/>
      <c r="Q20" s="223"/>
      <c r="R20" s="223"/>
    </row>
    <row r="21" spans="1:18" x14ac:dyDescent="0.25">
      <c r="A21" s="227">
        <f ca="1"/>
        <v>7</v>
      </c>
      <c r="B21" s="228"/>
      <c r="C21" s="226">
        <f t="shared" ca="1" si="0"/>
        <v>0</v>
      </c>
      <c r="D21" s="226">
        <f t="shared" ca="1" si="1"/>
        <v>0</v>
      </c>
      <c r="E21" s="226">
        <f t="shared" ca="1" si="2"/>
        <v>0</v>
      </c>
      <c r="F21" s="390">
        <f t="shared" ca="1" si="3"/>
        <v>0</v>
      </c>
      <c r="G21" s="391"/>
      <c r="H21" s="390">
        <f t="shared" ca="1" si="4"/>
        <v>0</v>
      </c>
      <c r="I21" s="391"/>
      <c r="J21" s="390" t="e">
        <f t="shared" ca="1" si="5"/>
        <v>#N/A</v>
      </c>
      <c r="K21" s="391"/>
      <c r="L21" s="390" t="str">
        <f t="shared" ca="1" si="6"/>
        <v/>
      </c>
      <c r="M21" s="391"/>
      <c r="O21" s="223"/>
      <c r="P21" s="223"/>
      <c r="Q21" s="223"/>
      <c r="R21" s="223"/>
    </row>
    <row r="22" spans="1:18" x14ac:dyDescent="0.25">
      <c r="A22" s="227">
        <f ca="1"/>
        <v>8</v>
      </c>
      <c r="B22" s="228"/>
      <c r="C22" s="226">
        <f t="shared" ca="1" si="0"/>
        <v>0</v>
      </c>
      <c r="D22" s="226">
        <f t="shared" ca="1" si="1"/>
        <v>0</v>
      </c>
      <c r="E22" s="226">
        <f t="shared" ca="1" si="2"/>
        <v>0</v>
      </c>
      <c r="F22" s="390">
        <f t="shared" ca="1" si="3"/>
        <v>0</v>
      </c>
      <c r="G22" s="391"/>
      <c r="H22" s="390">
        <f t="shared" ca="1" si="4"/>
        <v>0</v>
      </c>
      <c r="I22" s="391"/>
      <c r="J22" s="390" t="e">
        <f t="shared" ca="1" si="5"/>
        <v>#N/A</v>
      </c>
      <c r="K22" s="391"/>
      <c r="L22" s="390" t="str">
        <f t="shared" ca="1" si="6"/>
        <v/>
      </c>
      <c r="M22" s="391"/>
    </row>
    <row r="23" spans="1:18" x14ac:dyDescent="0.25">
      <c r="A23" s="227">
        <f ca="1"/>
        <v>9</v>
      </c>
      <c r="B23" s="228"/>
      <c r="C23" s="226">
        <f t="shared" ca="1" si="0"/>
        <v>0</v>
      </c>
      <c r="D23" s="226">
        <f t="shared" ca="1" si="1"/>
        <v>0</v>
      </c>
      <c r="E23" s="226">
        <f t="shared" ca="1" si="2"/>
        <v>0</v>
      </c>
      <c r="F23" s="390">
        <f t="shared" ca="1" si="3"/>
        <v>0</v>
      </c>
      <c r="G23" s="391"/>
      <c r="H23" s="390">
        <f t="shared" ca="1" si="4"/>
        <v>0</v>
      </c>
      <c r="I23" s="391"/>
      <c r="J23" s="390" t="e">
        <f t="shared" ca="1" si="5"/>
        <v>#N/A</v>
      </c>
      <c r="K23" s="391"/>
      <c r="L23" s="390" t="str">
        <f t="shared" ca="1" si="6"/>
        <v/>
      </c>
      <c r="M23" s="391"/>
    </row>
    <row r="24" spans="1:18" x14ac:dyDescent="0.25">
      <c r="A24" s="227">
        <f ca="1"/>
        <v>10</v>
      </c>
      <c r="B24" s="228"/>
      <c r="C24" s="226">
        <f t="shared" ca="1" si="0"/>
        <v>0</v>
      </c>
      <c r="D24" s="226">
        <f t="shared" ca="1" si="1"/>
        <v>0</v>
      </c>
      <c r="E24" s="226">
        <f t="shared" ca="1" si="2"/>
        <v>0</v>
      </c>
      <c r="F24" s="390">
        <f t="shared" ca="1" si="3"/>
        <v>0</v>
      </c>
      <c r="G24" s="391"/>
      <c r="H24" s="390">
        <f t="shared" ca="1" si="4"/>
        <v>0</v>
      </c>
      <c r="I24" s="391"/>
      <c r="J24" s="390" t="e">
        <f t="shared" ca="1" si="5"/>
        <v>#N/A</v>
      </c>
      <c r="K24" s="391"/>
      <c r="L24" s="390" t="str">
        <f t="shared" ca="1" si="6"/>
        <v/>
      </c>
      <c r="M24" s="391"/>
    </row>
    <row r="25" spans="1:18" x14ac:dyDescent="0.25">
      <c r="A25" s="227">
        <f ca="1"/>
        <v>11</v>
      </c>
      <c r="B25" s="228"/>
      <c r="C25" s="226">
        <f t="shared" ca="1" si="0"/>
        <v>0</v>
      </c>
      <c r="D25" s="226">
        <f t="shared" ca="1" si="1"/>
        <v>0</v>
      </c>
      <c r="E25" s="226">
        <f t="shared" ca="1" si="2"/>
        <v>0</v>
      </c>
      <c r="F25" s="390">
        <f t="shared" ca="1" si="3"/>
        <v>0</v>
      </c>
      <c r="G25" s="391"/>
      <c r="H25" s="390">
        <f t="shared" ca="1" si="4"/>
        <v>0</v>
      </c>
      <c r="I25" s="391"/>
      <c r="J25" s="390" t="e">
        <f t="shared" ca="1" si="5"/>
        <v>#N/A</v>
      </c>
      <c r="K25" s="391"/>
      <c r="L25" s="390" t="str">
        <f t="shared" ca="1" si="6"/>
        <v/>
      </c>
      <c r="M25" s="391"/>
    </row>
    <row r="26" spans="1:18" x14ac:dyDescent="0.25">
      <c r="A26" s="227">
        <f ca="1"/>
        <v>12</v>
      </c>
      <c r="B26" s="228"/>
      <c r="C26" s="226">
        <f t="shared" ca="1" si="0"/>
        <v>0</v>
      </c>
      <c r="D26" s="226">
        <f t="shared" ca="1" si="1"/>
        <v>0</v>
      </c>
      <c r="E26" s="226">
        <f t="shared" ca="1" si="2"/>
        <v>0</v>
      </c>
      <c r="F26" s="390">
        <f t="shared" ca="1" si="3"/>
        <v>0</v>
      </c>
      <c r="G26" s="391"/>
      <c r="H26" s="390">
        <f t="shared" ca="1" si="4"/>
        <v>0</v>
      </c>
      <c r="I26" s="391"/>
      <c r="J26" s="390" t="e">
        <f t="shared" ca="1" si="5"/>
        <v>#N/A</v>
      </c>
      <c r="K26" s="391"/>
      <c r="L26" s="390" t="str">
        <f t="shared" ca="1" si="6"/>
        <v/>
      </c>
      <c r="M26" s="391"/>
    </row>
    <row r="27" spans="1:18" x14ac:dyDescent="0.25">
      <c r="A27" s="227">
        <f ca="1"/>
        <v>13</v>
      </c>
      <c r="B27" s="228"/>
      <c r="C27" s="226">
        <f t="shared" ca="1" si="0"/>
        <v>0</v>
      </c>
      <c r="D27" s="226">
        <f t="shared" ca="1" si="1"/>
        <v>0</v>
      </c>
      <c r="E27" s="226">
        <f t="shared" ca="1" si="2"/>
        <v>0</v>
      </c>
      <c r="F27" s="390">
        <f t="shared" ca="1" si="3"/>
        <v>0</v>
      </c>
      <c r="G27" s="391"/>
      <c r="H27" s="390">
        <f t="shared" ca="1" si="4"/>
        <v>0</v>
      </c>
      <c r="I27" s="391"/>
      <c r="J27" s="390" t="e">
        <f t="shared" ca="1" si="5"/>
        <v>#N/A</v>
      </c>
      <c r="K27" s="391"/>
      <c r="L27" s="390" t="str">
        <f t="shared" ca="1" si="6"/>
        <v/>
      </c>
      <c r="M27" s="391"/>
    </row>
    <row r="28" spans="1:18" x14ac:dyDescent="0.25">
      <c r="A28" s="227">
        <f ca="1"/>
        <v>14</v>
      </c>
      <c r="B28" s="228"/>
      <c r="C28" s="226">
        <f t="shared" ca="1" si="0"/>
        <v>0</v>
      </c>
      <c r="D28" s="226">
        <f t="shared" ca="1" si="1"/>
        <v>0</v>
      </c>
      <c r="E28" s="226">
        <f t="shared" ca="1" si="2"/>
        <v>0</v>
      </c>
      <c r="F28" s="390">
        <f t="shared" ca="1" si="3"/>
        <v>0</v>
      </c>
      <c r="G28" s="391"/>
      <c r="H28" s="390">
        <f t="shared" ca="1" si="4"/>
        <v>0</v>
      </c>
      <c r="I28" s="391"/>
      <c r="J28" s="390" t="e">
        <f t="shared" ca="1" si="5"/>
        <v>#N/A</v>
      </c>
      <c r="K28" s="391"/>
      <c r="L28" s="390" t="str">
        <f t="shared" ca="1" si="6"/>
        <v/>
      </c>
      <c r="M28" s="391"/>
    </row>
    <row r="29" spans="1:18" x14ac:dyDescent="0.25">
      <c r="A29" s="227">
        <f ca="1"/>
        <v>15</v>
      </c>
      <c r="B29" s="228"/>
      <c r="C29" s="226">
        <f t="shared" ca="1" si="0"/>
        <v>0</v>
      </c>
      <c r="D29" s="226">
        <f t="shared" ca="1" si="1"/>
        <v>0</v>
      </c>
      <c r="E29" s="226">
        <f t="shared" ca="1" si="2"/>
        <v>0</v>
      </c>
      <c r="F29" s="390">
        <f t="shared" ca="1" si="3"/>
        <v>0</v>
      </c>
      <c r="G29" s="391"/>
      <c r="H29" s="390">
        <f t="shared" ca="1" si="4"/>
        <v>0</v>
      </c>
      <c r="I29" s="391"/>
      <c r="J29" s="390" t="e">
        <f t="shared" ca="1" si="5"/>
        <v>#N/A</v>
      </c>
      <c r="K29" s="391"/>
      <c r="L29" s="390" t="str">
        <f t="shared" ca="1" si="6"/>
        <v/>
      </c>
      <c r="M29" s="391"/>
    </row>
    <row r="30" spans="1:18" x14ac:dyDescent="0.25">
      <c r="A30" s="227">
        <f ca="1"/>
        <v>16</v>
      </c>
      <c r="B30" s="228"/>
      <c r="C30" s="226">
        <f t="shared" ca="1" si="0"/>
        <v>0</v>
      </c>
      <c r="D30" s="226">
        <f t="shared" ca="1" si="1"/>
        <v>0</v>
      </c>
      <c r="E30" s="226">
        <f t="shared" ca="1" si="2"/>
        <v>0</v>
      </c>
      <c r="F30" s="390">
        <f t="shared" ca="1" si="3"/>
        <v>0</v>
      </c>
      <c r="G30" s="391"/>
      <c r="H30" s="390">
        <f t="shared" ca="1" si="4"/>
        <v>0</v>
      </c>
      <c r="I30" s="391"/>
      <c r="J30" s="390" t="e">
        <f t="shared" ca="1" si="5"/>
        <v>#N/A</v>
      </c>
      <c r="K30" s="391"/>
      <c r="L30" s="390" t="str">
        <f t="shared" ca="1" si="6"/>
        <v/>
      </c>
      <c r="M30" s="391"/>
    </row>
    <row r="31" spans="1:18" x14ac:dyDescent="0.25">
      <c r="A31" s="227">
        <f ca="1"/>
        <v>17</v>
      </c>
      <c r="B31" s="228"/>
      <c r="C31" s="226">
        <f t="shared" ca="1" si="0"/>
        <v>0</v>
      </c>
      <c r="D31" s="226">
        <f t="shared" ca="1" si="1"/>
        <v>0</v>
      </c>
      <c r="E31" s="226">
        <f t="shared" ca="1" si="2"/>
        <v>0</v>
      </c>
      <c r="F31" s="390">
        <f t="shared" ca="1" si="3"/>
        <v>0</v>
      </c>
      <c r="G31" s="391"/>
      <c r="H31" s="390">
        <f t="shared" ca="1" si="4"/>
        <v>0</v>
      </c>
      <c r="I31" s="391"/>
      <c r="J31" s="390" t="e">
        <f t="shared" ca="1" si="5"/>
        <v>#N/A</v>
      </c>
      <c r="K31" s="391"/>
      <c r="L31" s="390" t="str">
        <f t="shared" ca="1" si="6"/>
        <v/>
      </c>
      <c r="M31" s="391"/>
    </row>
    <row r="32" spans="1:18" x14ac:dyDescent="0.25">
      <c r="A32" s="227">
        <f ca="1"/>
        <v>18</v>
      </c>
      <c r="B32" s="228"/>
      <c r="C32" s="226">
        <f t="shared" ca="1" si="0"/>
        <v>0</v>
      </c>
      <c r="D32" s="226">
        <f t="shared" ca="1" si="1"/>
        <v>0</v>
      </c>
      <c r="E32" s="226">
        <f t="shared" ca="1" si="2"/>
        <v>0</v>
      </c>
      <c r="F32" s="390">
        <f t="shared" ca="1" si="3"/>
        <v>0</v>
      </c>
      <c r="G32" s="391"/>
      <c r="H32" s="390">
        <f t="shared" ca="1" si="4"/>
        <v>0</v>
      </c>
      <c r="I32" s="391"/>
      <c r="J32" s="390" t="e">
        <f t="shared" ca="1" si="5"/>
        <v>#N/A</v>
      </c>
      <c r="K32" s="391"/>
      <c r="L32" s="390" t="str">
        <f t="shared" ca="1" si="6"/>
        <v/>
      </c>
      <c r="M32" s="391"/>
    </row>
    <row r="33" spans="1:13" x14ac:dyDescent="0.25">
      <c r="A33" s="227">
        <f ca="1"/>
        <v>19</v>
      </c>
      <c r="B33" s="228"/>
      <c r="C33" s="226">
        <f t="shared" ca="1" si="0"/>
        <v>0</v>
      </c>
      <c r="D33" s="226">
        <f t="shared" ca="1" si="1"/>
        <v>0</v>
      </c>
      <c r="E33" s="226">
        <f t="shared" ca="1" si="2"/>
        <v>0</v>
      </c>
      <c r="F33" s="390">
        <f t="shared" ca="1" si="3"/>
        <v>0</v>
      </c>
      <c r="G33" s="391"/>
      <c r="H33" s="390">
        <f t="shared" ca="1" si="4"/>
        <v>0</v>
      </c>
      <c r="I33" s="391"/>
      <c r="J33" s="390" t="e">
        <f t="shared" ca="1" si="5"/>
        <v>#N/A</v>
      </c>
      <c r="K33" s="391"/>
      <c r="L33" s="390" t="str">
        <f t="shared" ca="1" si="6"/>
        <v/>
      </c>
      <c r="M33" s="391"/>
    </row>
    <row r="34" spans="1:13" x14ac:dyDescent="0.25">
      <c r="A34" s="227">
        <f ca="1"/>
        <v>20</v>
      </c>
      <c r="B34" s="228"/>
      <c r="C34" s="226">
        <f t="shared" ca="1" si="0"/>
        <v>0</v>
      </c>
      <c r="D34" s="226">
        <f t="shared" ca="1" si="1"/>
        <v>0</v>
      </c>
      <c r="E34" s="226">
        <f t="shared" ca="1" si="2"/>
        <v>0</v>
      </c>
      <c r="F34" s="390">
        <f t="shared" ca="1" si="3"/>
        <v>0</v>
      </c>
      <c r="G34" s="391"/>
      <c r="H34" s="390">
        <f t="shared" ca="1" si="4"/>
        <v>0</v>
      </c>
      <c r="I34" s="391"/>
      <c r="J34" s="390" t="e">
        <f t="shared" ca="1" si="5"/>
        <v>#N/A</v>
      </c>
      <c r="K34" s="391"/>
      <c r="L34" s="390" t="str">
        <f t="shared" ca="1" si="6"/>
        <v/>
      </c>
      <c r="M34" s="391"/>
    </row>
    <row r="35" spans="1:13" x14ac:dyDescent="0.25">
      <c r="A35" s="227">
        <f ca="1"/>
        <v>21</v>
      </c>
      <c r="B35" s="228"/>
      <c r="C35" s="226">
        <f t="shared" ca="1" si="0"/>
        <v>0</v>
      </c>
      <c r="D35" s="226">
        <f t="shared" ca="1" si="1"/>
        <v>0</v>
      </c>
      <c r="E35" s="226">
        <f t="shared" ca="1" si="2"/>
        <v>0</v>
      </c>
      <c r="F35" s="390">
        <f t="shared" ca="1" si="3"/>
        <v>0</v>
      </c>
      <c r="G35" s="391"/>
      <c r="H35" s="390">
        <f t="shared" ca="1" si="4"/>
        <v>0</v>
      </c>
      <c r="I35" s="391"/>
      <c r="J35" s="390" t="e">
        <f t="shared" ca="1" si="5"/>
        <v>#N/A</v>
      </c>
      <c r="K35" s="391"/>
      <c r="L35" s="390" t="str">
        <f t="shared" ca="1" si="6"/>
        <v/>
      </c>
      <c r="M35" s="391"/>
    </row>
    <row r="36" spans="1:13" x14ac:dyDescent="0.25">
      <c r="A36" s="227">
        <f ca="1"/>
        <v>22</v>
      </c>
      <c r="B36" s="228"/>
      <c r="C36" s="226">
        <f t="shared" ca="1" si="0"/>
        <v>0</v>
      </c>
      <c r="D36" s="226">
        <f t="shared" ca="1" si="1"/>
        <v>0</v>
      </c>
      <c r="E36" s="226">
        <f t="shared" ca="1" si="2"/>
        <v>0</v>
      </c>
      <c r="F36" s="390">
        <f t="shared" ca="1" si="3"/>
        <v>0</v>
      </c>
      <c r="G36" s="391"/>
      <c r="H36" s="390">
        <f t="shared" ca="1" si="4"/>
        <v>0</v>
      </c>
      <c r="I36" s="391"/>
      <c r="J36" s="390" t="e">
        <f t="shared" ca="1" si="5"/>
        <v>#N/A</v>
      </c>
      <c r="K36" s="391"/>
      <c r="L36" s="390" t="str">
        <f t="shared" ca="1" si="6"/>
        <v/>
      </c>
      <c r="M36" s="391"/>
    </row>
    <row r="37" spans="1:13" x14ac:dyDescent="0.25">
      <c r="A37" s="227">
        <f ca="1"/>
        <v>23</v>
      </c>
      <c r="B37" s="228"/>
      <c r="C37" s="226">
        <f t="shared" ca="1" si="0"/>
        <v>0</v>
      </c>
      <c r="D37" s="226">
        <f t="shared" ca="1" si="1"/>
        <v>0</v>
      </c>
      <c r="E37" s="226">
        <f t="shared" ca="1" si="2"/>
        <v>0</v>
      </c>
      <c r="F37" s="390">
        <f t="shared" ca="1" si="3"/>
        <v>0</v>
      </c>
      <c r="G37" s="391"/>
      <c r="H37" s="390">
        <f t="shared" ca="1" si="4"/>
        <v>0</v>
      </c>
      <c r="I37" s="391"/>
      <c r="J37" s="390" t="e">
        <f t="shared" ca="1" si="5"/>
        <v>#N/A</v>
      </c>
      <c r="K37" s="391"/>
      <c r="L37" s="390" t="str">
        <f t="shared" ca="1" si="6"/>
        <v/>
      </c>
      <c r="M37" s="391"/>
    </row>
    <row r="38" spans="1:13" x14ac:dyDescent="0.25">
      <c r="A38" s="227">
        <f ca="1"/>
        <v>24</v>
      </c>
      <c r="B38" s="228"/>
      <c r="C38" s="226">
        <f t="shared" ca="1" si="0"/>
        <v>0</v>
      </c>
      <c r="D38" s="226">
        <f t="shared" ca="1" si="1"/>
        <v>0</v>
      </c>
      <c r="E38" s="226">
        <f t="shared" ca="1" si="2"/>
        <v>0</v>
      </c>
      <c r="F38" s="390">
        <f t="shared" ca="1" si="3"/>
        <v>0</v>
      </c>
      <c r="G38" s="391"/>
      <c r="H38" s="390">
        <f t="shared" ca="1" si="4"/>
        <v>0</v>
      </c>
      <c r="I38" s="391"/>
      <c r="J38" s="390" t="e">
        <f t="shared" ca="1" si="5"/>
        <v>#N/A</v>
      </c>
      <c r="K38" s="391"/>
      <c r="L38" s="390" t="str">
        <f t="shared" ca="1" si="6"/>
        <v/>
      </c>
      <c r="M38" s="391"/>
    </row>
    <row r="39" spans="1:13" x14ac:dyDescent="0.25">
      <c r="A39" s="229">
        <f ca="1"/>
        <v>25</v>
      </c>
      <c r="B39" s="228"/>
      <c r="C39" s="226">
        <f t="shared" ca="1" si="0"/>
        <v>0</v>
      </c>
      <c r="D39" s="226">
        <f t="shared" ca="1" si="1"/>
        <v>0</v>
      </c>
      <c r="E39" s="226">
        <f t="shared" ca="1" si="2"/>
        <v>0</v>
      </c>
      <c r="F39" s="390">
        <f t="shared" ca="1" si="3"/>
        <v>0</v>
      </c>
      <c r="G39" s="391"/>
      <c r="H39" s="390">
        <f t="shared" ca="1" si="4"/>
        <v>0</v>
      </c>
      <c r="I39" s="391"/>
      <c r="J39" s="390" t="e">
        <f t="shared" ca="1" si="5"/>
        <v>#N/A</v>
      </c>
      <c r="K39" s="391"/>
      <c r="L39" s="390" t="str">
        <f t="shared" ca="1" si="6"/>
        <v/>
      </c>
      <c r="M39" s="391"/>
    </row>
    <row r="40" spans="1:13" ht="15.75" thickBot="1" x14ac:dyDescent="0.3">
      <c r="A40" s="230" t="s">
        <v>24</v>
      </c>
      <c r="B40" s="231"/>
      <c r="C40" s="232">
        <f ca="1">SUM(C15:C39)</f>
        <v>0</v>
      </c>
      <c r="D40" s="232">
        <f ca="1">SUM(D14:D39)</f>
        <v>0</v>
      </c>
      <c r="E40" s="232">
        <f ca="1">SUM(E14:E39)</f>
        <v>0</v>
      </c>
      <c r="F40" s="403">
        <f ca="1">SUM(F14:G39)</f>
        <v>0</v>
      </c>
      <c r="G40" s="404"/>
      <c r="H40" s="403">
        <f ca="1">SUM(H14:H39)</f>
        <v>0</v>
      </c>
      <c r="I40" s="404"/>
      <c r="J40" s="405"/>
      <c r="K40" s="406"/>
      <c r="L40" s="407">
        <f ca="1">MAX(L15:L39)</f>
        <v>0</v>
      </c>
      <c r="M40" s="408"/>
    </row>
    <row r="41" spans="1:13" ht="24" customHeight="1" x14ac:dyDescent="0.25">
      <c r="A41" s="400" t="s">
        <v>27</v>
      </c>
      <c r="B41" s="401"/>
      <c r="C41" s="401"/>
      <c r="D41" s="401"/>
      <c r="E41" s="401"/>
      <c r="F41" s="401"/>
      <c r="G41" s="401"/>
      <c r="H41" s="401"/>
      <c r="I41" s="402"/>
      <c r="J41" s="409" t="str">
        <f ca="1">IF(CEILING(MAX(L14:M39)*0.95,1)=CEILING(MAX(L14:M39)*1.05,1),CEILING(MAX(L14:M39),1)&amp;" patients",TEXT(CEILING(MAX(L14:M39)*0.95,1),"#")&amp;" - "&amp;TEXT(CEILING(MAX(L14:M39)*1.05,1),"#")&amp;" patients")</f>
        <v>0 patients</v>
      </c>
      <c r="K41" s="410"/>
      <c r="L41" s="410"/>
      <c r="M41" s="410"/>
    </row>
  </sheetData>
  <sheetProtection algorithmName="SHA-512" hashValue="KIqm6my3BEMNktQoqGxH/+lLlPiNwuta6a7f9RDO/35H3y5Hmwfyxd4WlcjJseoF3ta7jwyjNqohpV2a7kUq5Q==" saltValue="IFcOGVTh6/qF+1gBpZTlnQ==" spinCount="100000" sheet="1" objects="1" scenarios="1"/>
  <mergeCells count="121">
    <mergeCell ref="F38:G38"/>
    <mergeCell ref="H38:I38"/>
    <mergeCell ref="J38:K38"/>
    <mergeCell ref="L38:M38"/>
    <mergeCell ref="A41:I41"/>
    <mergeCell ref="F39:G39"/>
    <mergeCell ref="H39:I39"/>
    <mergeCell ref="J39:K39"/>
    <mergeCell ref="L39:M39"/>
    <mergeCell ref="F40:G40"/>
    <mergeCell ref="H40:I40"/>
    <mergeCell ref="J40:K40"/>
    <mergeCell ref="L40:M40"/>
    <mergeCell ref="J41:M41"/>
    <mergeCell ref="F36:G36"/>
    <mergeCell ref="H36:I36"/>
    <mergeCell ref="J36:K36"/>
    <mergeCell ref="L36:M36"/>
    <mergeCell ref="F37:G37"/>
    <mergeCell ref="H37:I37"/>
    <mergeCell ref="J37:K37"/>
    <mergeCell ref="L37:M37"/>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F26:G26"/>
    <mergeCell ref="H26:I26"/>
    <mergeCell ref="J26:K26"/>
    <mergeCell ref="L26:M26"/>
    <mergeCell ref="F27:G27"/>
    <mergeCell ref="H27:I27"/>
    <mergeCell ref="J27:K27"/>
    <mergeCell ref="L27:M27"/>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6:G16"/>
    <mergeCell ref="H16:I16"/>
    <mergeCell ref="J16:K16"/>
    <mergeCell ref="L16:M16"/>
    <mergeCell ref="F17:G17"/>
    <mergeCell ref="H17:I17"/>
    <mergeCell ref="J17:K17"/>
    <mergeCell ref="L17:M17"/>
    <mergeCell ref="F14:G14"/>
    <mergeCell ref="H14:I14"/>
    <mergeCell ref="J14:K14"/>
    <mergeCell ref="L14:M14"/>
    <mergeCell ref="A5:M5"/>
    <mergeCell ref="A2:M2"/>
    <mergeCell ref="A3:M3"/>
    <mergeCell ref="G7:H8"/>
    <mergeCell ref="J7:L8"/>
    <mergeCell ref="G9:H9"/>
    <mergeCell ref="J9:L9"/>
    <mergeCell ref="F15:G15"/>
    <mergeCell ref="H15:I15"/>
    <mergeCell ref="J15:K15"/>
    <mergeCell ref="L15:M15"/>
    <mergeCell ref="F13:G13"/>
    <mergeCell ref="H13:I13"/>
    <mergeCell ref="J13:K13"/>
    <mergeCell ref="L13:M13"/>
  </mergeCells>
  <conditionalFormatting sqref="C15:M39">
    <cfRule type="cellIs" dxfId="3" priority="4" stopIfTrue="1" operator="equal">
      <formula>0</formula>
    </cfRule>
  </conditionalFormatting>
  <conditionalFormatting sqref="B14:L40">
    <cfRule type="containsErrors" dxfId="2" priority="3" stopIfTrue="1">
      <formula>ISERROR(B14)</formula>
    </cfRule>
  </conditionalFormatting>
  <conditionalFormatting sqref="J41">
    <cfRule type="containsErrors" dxfId="1" priority="2" stopIfTrue="1">
      <formula>ISERROR(J41)</formula>
    </cfRule>
  </conditionalFormatting>
  <conditionalFormatting sqref="D8:D11">
    <cfRule type="containsErrors" dxfId="0" priority="1" stopIfTrue="1">
      <formula>ISERROR(D8)</formula>
    </cfRule>
  </conditionalFormatting>
  <pageMargins left="0.39370078740157483" right="0.39370078740157483" top="0.98425196850393704" bottom="0.59055118110236227" header="0.39370078740157483" footer="0"/>
  <pageSetup paperSize="9" scale="68" fitToHeight="0" orientation="portrait" errors="blank" r:id="rId1"/>
  <headerFooter>
    <oddHeader>&amp;R&amp;G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showGridLines="0" showRowColHeaders="0" workbookViewId="0">
      <selection activeCell="P6" sqref="P6"/>
    </sheetView>
  </sheetViews>
  <sheetFormatPr defaultRowHeight="15" x14ac:dyDescent="0.25"/>
  <cols>
    <col min="1" max="1" width="27.28515625" style="203" customWidth="1"/>
    <col min="2" max="2" width="9.140625" style="203" customWidth="1"/>
    <col min="3" max="7" width="9.140625" style="203"/>
    <col min="8" max="8" width="6" style="203" customWidth="1"/>
    <col min="9" max="9" width="9.140625" style="203"/>
    <col min="10" max="10" width="12.42578125" style="203" customWidth="1"/>
    <col min="11" max="12" width="9.140625" style="203"/>
    <col min="13" max="13" width="2" style="203" customWidth="1"/>
    <col min="14" max="16384" width="9.140625" style="203"/>
  </cols>
  <sheetData>
    <row r="1" spans="1:13" ht="10.5" customHeight="1" x14ac:dyDescent="0.25">
      <c r="A1" s="28"/>
      <c r="B1" s="28"/>
      <c r="C1" s="28"/>
      <c r="D1" s="28"/>
      <c r="E1" s="28"/>
      <c r="F1" s="28"/>
      <c r="G1" s="28"/>
      <c r="H1" s="28"/>
      <c r="I1" s="28"/>
      <c r="J1" s="28"/>
      <c r="K1" s="28"/>
      <c r="L1" s="28"/>
      <c r="M1" s="28"/>
    </row>
    <row r="2" spans="1:13" ht="57.75" customHeight="1" x14ac:dyDescent="0.25">
      <c r="A2" s="324" t="str">
        <f>"Notes and Assumptions - "&amp;ModelName</f>
        <v>Notes and Assumptions - The NHS IMAS IST Cancer First Outpatients Demand &amp; Capacity Model</v>
      </c>
      <c r="B2" s="325"/>
      <c r="C2" s="325"/>
      <c r="D2" s="325"/>
      <c r="E2" s="325"/>
      <c r="F2" s="325"/>
      <c r="G2" s="325"/>
      <c r="H2" s="325"/>
      <c r="I2" s="242"/>
      <c r="J2" s="240"/>
      <c r="K2" s="240"/>
      <c r="L2" s="241"/>
      <c r="M2" s="233"/>
    </row>
    <row r="3" spans="1:13" ht="22.5" customHeight="1" x14ac:dyDescent="0.25">
      <c r="A3" s="414" t="s">
        <v>634</v>
      </c>
      <c r="B3" s="415"/>
      <c r="C3" s="415"/>
      <c r="D3" s="415"/>
      <c r="E3" s="415"/>
      <c r="F3" s="415"/>
      <c r="G3" s="415"/>
      <c r="H3" s="415"/>
      <c r="I3" s="415"/>
      <c r="J3" s="415"/>
      <c r="K3" s="415"/>
      <c r="L3" s="416"/>
      <c r="M3" s="28"/>
    </row>
    <row r="4" spans="1:13" x14ac:dyDescent="0.25">
      <c r="A4" s="27"/>
      <c r="B4" s="28"/>
      <c r="C4" s="28"/>
      <c r="D4" s="28"/>
      <c r="E4" s="28"/>
      <c r="F4" s="28"/>
      <c r="G4" s="28"/>
      <c r="H4" s="28"/>
      <c r="I4" s="28"/>
      <c r="J4" s="28"/>
      <c r="K4" s="28"/>
      <c r="L4" s="239"/>
      <c r="M4" s="28"/>
    </row>
    <row r="5" spans="1:13" ht="15" customHeight="1" x14ac:dyDescent="0.25">
      <c r="A5" s="417" t="s">
        <v>635</v>
      </c>
      <c r="B5" s="418"/>
      <c r="C5" s="418"/>
      <c r="D5" s="418"/>
      <c r="E5" s="418"/>
      <c r="F5" s="418"/>
      <c r="G5" s="418"/>
      <c r="H5" s="418"/>
      <c r="I5" s="418"/>
      <c r="J5" s="418"/>
      <c r="K5" s="418"/>
      <c r="L5" s="419"/>
      <c r="M5" s="28"/>
    </row>
    <row r="6" spans="1:13" x14ac:dyDescent="0.25">
      <c r="A6" s="417"/>
      <c r="B6" s="418"/>
      <c r="C6" s="418"/>
      <c r="D6" s="418"/>
      <c r="E6" s="418"/>
      <c r="F6" s="418"/>
      <c r="G6" s="418"/>
      <c r="H6" s="418"/>
      <c r="I6" s="418"/>
      <c r="J6" s="418"/>
      <c r="K6" s="418"/>
      <c r="L6" s="419"/>
      <c r="M6" s="28"/>
    </row>
    <row r="7" spans="1:13" x14ac:dyDescent="0.25">
      <c r="A7" s="417"/>
      <c r="B7" s="418"/>
      <c r="C7" s="418"/>
      <c r="D7" s="418"/>
      <c r="E7" s="418"/>
      <c r="F7" s="418"/>
      <c r="G7" s="418"/>
      <c r="H7" s="418"/>
      <c r="I7" s="418"/>
      <c r="J7" s="418"/>
      <c r="K7" s="418"/>
      <c r="L7" s="419"/>
      <c r="M7" s="28"/>
    </row>
    <row r="8" spans="1:13" x14ac:dyDescent="0.25">
      <c r="A8" s="27"/>
      <c r="B8" s="28"/>
      <c r="C8" s="28"/>
      <c r="D8" s="28"/>
      <c r="E8" s="28"/>
      <c r="F8" s="28"/>
      <c r="G8" s="28"/>
      <c r="H8" s="28"/>
      <c r="I8" s="28"/>
      <c r="J8" s="28"/>
      <c r="K8" s="28"/>
      <c r="L8" s="239"/>
      <c r="M8" s="28"/>
    </row>
    <row r="9" spans="1:13" ht="21" customHeight="1" x14ac:dyDescent="0.25">
      <c r="A9" s="420" t="s">
        <v>636</v>
      </c>
      <c r="B9" s="420" t="s">
        <v>637</v>
      </c>
      <c r="C9" s="420"/>
      <c r="D9" s="420"/>
      <c r="E9" s="420"/>
      <c r="F9" s="420"/>
      <c r="G9" s="420"/>
      <c r="H9" s="420"/>
      <c r="I9" s="420"/>
      <c r="J9" s="420"/>
      <c r="K9" s="420"/>
      <c r="L9" s="420"/>
      <c r="M9" s="28"/>
    </row>
    <row r="10" spans="1:13" ht="11.25" customHeight="1" x14ac:dyDescent="0.25">
      <c r="A10" s="420"/>
      <c r="B10" s="420"/>
      <c r="C10" s="420"/>
      <c r="D10" s="420"/>
      <c r="E10" s="420"/>
      <c r="F10" s="420"/>
      <c r="G10" s="420"/>
      <c r="H10" s="420"/>
      <c r="I10" s="420"/>
      <c r="J10" s="420"/>
      <c r="K10" s="420"/>
      <c r="L10" s="420"/>
      <c r="M10" s="28"/>
    </row>
    <row r="11" spans="1:13" ht="24.75" customHeight="1" x14ac:dyDescent="0.25">
      <c r="A11" s="243"/>
      <c r="B11" s="411"/>
      <c r="C11" s="412"/>
      <c r="D11" s="412"/>
      <c r="E11" s="412"/>
      <c r="F11" s="412"/>
      <c r="G11" s="412"/>
      <c r="H11" s="412"/>
      <c r="I11" s="412"/>
      <c r="J11" s="412"/>
      <c r="K11" s="412"/>
      <c r="L11" s="413"/>
      <c r="M11" s="28"/>
    </row>
    <row r="12" spans="1:13" ht="24.75" customHeight="1" x14ac:dyDescent="0.25">
      <c r="A12" s="243"/>
      <c r="B12" s="411"/>
      <c r="C12" s="412"/>
      <c r="D12" s="412"/>
      <c r="E12" s="412"/>
      <c r="F12" s="412"/>
      <c r="G12" s="412"/>
      <c r="H12" s="412"/>
      <c r="I12" s="412"/>
      <c r="J12" s="412"/>
      <c r="K12" s="412"/>
      <c r="L12" s="413"/>
      <c r="M12" s="28"/>
    </row>
    <row r="13" spans="1:13" ht="24.75" customHeight="1" x14ac:dyDescent="0.25">
      <c r="A13" s="243"/>
      <c r="B13" s="411"/>
      <c r="C13" s="412"/>
      <c r="D13" s="412"/>
      <c r="E13" s="412"/>
      <c r="F13" s="412"/>
      <c r="G13" s="412"/>
      <c r="H13" s="412"/>
      <c r="I13" s="412"/>
      <c r="J13" s="412"/>
      <c r="K13" s="412"/>
      <c r="L13" s="413"/>
      <c r="M13" s="28"/>
    </row>
    <row r="14" spans="1:13" ht="24.75" customHeight="1" x14ac:dyDescent="0.25">
      <c r="A14" s="243"/>
      <c r="B14" s="411"/>
      <c r="C14" s="412"/>
      <c r="D14" s="412"/>
      <c r="E14" s="412"/>
      <c r="F14" s="412"/>
      <c r="G14" s="412"/>
      <c r="H14" s="412"/>
      <c r="I14" s="412"/>
      <c r="J14" s="412"/>
      <c r="K14" s="412"/>
      <c r="L14" s="413"/>
      <c r="M14" s="28"/>
    </row>
    <row r="15" spans="1:13" ht="24.75" customHeight="1" x14ac:dyDescent="0.25">
      <c r="A15" s="243"/>
      <c r="B15" s="411"/>
      <c r="C15" s="412"/>
      <c r="D15" s="412"/>
      <c r="E15" s="412"/>
      <c r="F15" s="412"/>
      <c r="G15" s="412"/>
      <c r="H15" s="412"/>
      <c r="I15" s="412"/>
      <c r="J15" s="412"/>
      <c r="K15" s="412"/>
      <c r="L15" s="413"/>
      <c r="M15" s="28"/>
    </row>
    <row r="16" spans="1:13" ht="24.75" customHeight="1" x14ac:dyDescent="0.25">
      <c r="A16" s="243"/>
      <c r="B16" s="411"/>
      <c r="C16" s="412"/>
      <c r="D16" s="412"/>
      <c r="E16" s="412"/>
      <c r="F16" s="412"/>
      <c r="G16" s="412"/>
      <c r="H16" s="412"/>
      <c r="I16" s="412"/>
      <c r="J16" s="412"/>
      <c r="K16" s="412"/>
      <c r="L16" s="413"/>
      <c r="M16" s="28"/>
    </row>
    <row r="17" spans="1:13" ht="24.75" customHeight="1" x14ac:dyDescent="0.25">
      <c r="A17" s="243"/>
      <c r="B17" s="411"/>
      <c r="C17" s="412"/>
      <c r="D17" s="412"/>
      <c r="E17" s="412"/>
      <c r="F17" s="412"/>
      <c r="G17" s="412"/>
      <c r="H17" s="412"/>
      <c r="I17" s="412"/>
      <c r="J17" s="412"/>
      <c r="K17" s="412"/>
      <c r="L17" s="413"/>
      <c r="M17" s="28"/>
    </row>
    <row r="18" spans="1:13" ht="24.75" customHeight="1" x14ac:dyDescent="0.25">
      <c r="A18" s="243"/>
      <c r="B18" s="411"/>
      <c r="C18" s="412"/>
      <c r="D18" s="412"/>
      <c r="E18" s="412"/>
      <c r="F18" s="412"/>
      <c r="G18" s="412"/>
      <c r="H18" s="412"/>
      <c r="I18" s="412"/>
      <c r="J18" s="412"/>
      <c r="K18" s="412"/>
      <c r="L18" s="413"/>
      <c r="M18" s="28"/>
    </row>
    <row r="19" spans="1:13" ht="24.75" customHeight="1" x14ac:dyDescent="0.25">
      <c r="A19" s="243"/>
      <c r="B19" s="411"/>
      <c r="C19" s="412"/>
      <c r="D19" s="412"/>
      <c r="E19" s="412"/>
      <c r="F19" s="412"/>
      <c r="G19" s="412"/>
      <c r="H19" s="412"/>
      <c r="I19" s="412"/>
      <c r="J19" s="412"/>
      <c r="K19" s="412"/>
      <c r="L19" s="413"/>
      <c r="M19" s="28"/>
    </row>
    <row r="20" spans="1:13" ht="24.75" customHeight="1" x14ac:dyDescent="0.25">
      <c r="A20" s="243"/>
      <c r="B20" s="411"/>
      <c r="C20" s="412"/>
      <c r="D20" s="412"/>
      <c r="E20" s="412"/>
      <c r="F20" s="412"/>
      <c r="G20" s="412"/>
      <c r="H20" s="412"/>
      <c r="I20" s="412"/>
      <c r="J20" s="412"/>
      <c r="K20" s="412"/>
      <c r="L20" s="413"/>
      <c r="M20" s="28"/>
    </row>
    <row r="21" spans="1:13" ht="24.75" customHeight="1" x14ac:dyDescent="0.25">
      <c r="A21" s="243"/>
      <c r="B21" s="411"/>
      <c r="C21" s="412"/>
      <c r="D21" s="412"/>
      <c r="E21" s="412"/>
      <c r="F21" s="412"/>
      <c r="G21" s="412"/>
      <c r="H21" s="412"/>
      <c r="I21" s="412"/>
      <c r="J21" s="412"/>
      <c r="K21" s="412"/>
      <c r="L21" s="413"/>
      <c r="M21" s="28"/>
    </row>
    <row r="22" spans="1:13" ht="24.75" customHeight="1" x14ac:dyDescent="0.25">
      <c r="A22" s="243"/>
      <c r="B22" s="411"/>
      <c r="C22" s="412"/>
      <c r="D22" s="412"/>
      <c r="E22" s="412"/>
      <c r="F22" s="412"/>
      <c r="G22" s="412"/>
      <c r="H22" s="412"/>
      <c r="I22" s="412"/>
      <c r="J22" s="412"/>
      <c r="K22" s="412"/>
      <c r="L22" s="413"/>
      <c r="M22" s="28"/>
    </row>
    <row r="23" spans="1:13" ht="24.75" customHeight="1" x14ac:dyDescent="0.25">
      <c r="A23" s="243"/>
      <c r="B23" s="411"/>
      <c r="C23" s="412"/>
      <c r="D23" s="412"/>
      <c r="E23" s="412"/>
      <c r="F23" s="412"/>
      <c r="G23" s="412"/>
      <c r="H23" s="412"/>
      <c r="I23" s="412"/>
      <c r="J23" s="412"/>
      <c r="K23" s="412"/>
      <c r="L23" s="413"/>
      <c r="M23" s="28"/>
    </row>
    <row r="24" spans="1:13" ht="24.75" customHeight="1" x14ac:dyDescent="0.25">
      <c r="A24" s="243"/>
      <c r="B24" s="411"/>
      <c r="C24" s="412"/>
      <c r="D24" s="412"/>
      <c r="E24" s="412"/>
      <c r="F24" s="412"/>
      <c r="G24" s="412"/>
      <c r="H24" s="412"/>
      <c r="I24" s="412"/>
      <c r="J24" s="412"/>
      <c r="K24" s="412"/>
      <c r="L24" s="413"/>
      <c r="M24" s="28"/>
    </row>
    <row r="25" spans="1:13" ht="24.75" customHeight="1" x14ac:dyDescent="0.25">
      <c r="A25" s="243"/>
      <c r="B25" s="411"/>
      <c r="C25" s="412"/>
      <c r="D25" s="412"/>
      <c r="E25" s="412"/>
      <c r="F25" s="412"/>
      <c r="G25" s="412"/>
      <c r="H25" s="412"/>
      <c r="I25" s="412"/>
      <c r="J25" s="412"/>
      <c r="K25" s="412"/>
      <c r="L25" s="413"/>
      <c r="M25" s="28"/>
    </row>
    <row r="26" spans="1:13" ht="24.75" customHeight="1" x14ac:dyDescent="0.25">
      <c r="A26" s="243"/>
      <c r="B26" s="411"/>
      <c r="C26" s="412"/>
      <c r="D26" s="412"/>
      <c r="E26" s="412"/>
      <c r="F26" s="412"/>
      <c r="G26" s="412"/>
      <c r="H26" s="412"/>
      <c r="I26" s="412"/>
      <c r="J26" s="412"/>
      <c r="K26" s="412"/>
      <c r="L26" s="413"/>
      <c r="M26" s="28"/>
    </row>
    <row r="27" spans="1:13" ht="24.75" customHeight="1" x14ac:dyDescent="0.25">
      <c r="A27" s="243"/>
      <c r="B27" s="411"/>
      <c r="C27" s="412"/>
      <c r="D27" s="412"/>
      <c r="E27" s="412"/>
      <c r="F27" s="412"/>
      <c r="G27" s="412"/>
      <c r="H27" s="412"/>
      <c r="I27" s="412"/>
      <c r="J27" s="412"/>
      <c r="K27" s="412"/>
      <c r="L27" s="413"/>
      <c r="M27" s="28"/>
    </row>
    <row r="28" spans="1:13" ht="24.75" customHeight="1" x14ac:dyDescent="0.25">
      <c r="A28" s="243"/>
      <c r="B28" s="411"/>
      <c r="C28" s="412"/>
      <c r="D28" s="412"/>
      <c r="E28" s="412"/>
      <c r="F28" s="412"/>
      <c r="G28" s="412"/>
      <c r="H28" s="412"/>
      <c r="I28" s="412"/>
      <c r="J28" s="412"/>
      <c r="K28" s="412"/>
      <c r="L28" s="413"/>
      <c r="M28" s="28"/>
    </row>
    <row r="29" spans="1:13" ht="24.75" customHeight="1" x14ac:dyDescent="0.25">
      <c r="A29" s="243"/>
      <c r="B29" s="411"/>
      <c r="C29" s="412"/>
      <c r="D29" s="412"/>
      <c r="E29" s="412"/>
      <c r="F29" s="412"/>
      <c r="G29" s="412"/>
      <c r="H29" s="412"/>
      <c r="I29" s="412"/>
      <c r="J29" s="412"/>
      <c r="K29" s="412"/>
      <c r="L29" s="413"/>
      <c r="M29" s="28"/>
    </row>
    <row r="30" spans="1:13" ht="24.75" customHeight="1" x14ac:dyDescent="0.25">
      <c r="A30" s="243"/>
      <c r="B30" s="411"/>
      <c r="C30" s="412"/>
      <c r="D30" s="412"/>
      <c r="E30" s="412"/>
      <c r="F30" s="412"/>
      <c r="G30" s="412"/>
      <c r="H30" s="412"/>
      <c r="I30" s="412"/>
      <c r="J30" s="412"/>
      <c r="K30" s="412"/>
      <c r="L30" s="413"/>
      <c r="M30" s="28"/>
    </row>
    <row r="31" spans="1:13" ht="24.75" customHeight="1" x14ac:dyDescent="0.25">
      <c r="A31" s="243"/>
      <c r="B31" s="411"/>
      <c r="C31" s="412"/>
      <c r="D31" s="412"/>
      <c r="E31" s="412"/>
      <c r="F31" s="412"/>
      <c r="G31" s="412"/>
      <c r="H31" s="412"/>
      <c r="I31" s="412"/>
      <c r="J31" s="412"/>
      <c r="K31" s="412"/>
      <c r="L31" s="413"/>
      <c r="M31" s="28"/>
    </row>
    <row r="32" spans="1:13" ht="24.75" customHeight="1" x14ac:dyDescent="0.25">
      <c r="A32" s="243"/>
      <c r="B32" s="411"/>
      <c r="C32" s="412"/>
      <c r="D32" s="412"/>
      <c r="E32" s="412"/>
      <c r="F32" s="412"/>
      <c r="G32" s="412"/>
      <c r="H32" s="412"/>
      <c r="I32" s="412"/>
      <c r="J32" s="412"/>
      <c r="K32" s="412"/>
      <c r="L32" s="413"/>
    </row>
    <row r="33" spans="1:12" ht="24.75" customHeight="1" x14ac:dyDescent="0.25">
      <c r="A33" s="243"/>
      <c r="B33" s="411"/>
      <c r="C33" s="412"/>
      <c r="D33" s="412"/>
      <c r="E33" s="412"/>
      <c r="F33" s="412"/>
      <c r="G33" s="412"/>
      <c r="H33" s="412"/>
      <c r="I33" s="412"/>
      <c r="J33" s="412"/>
      <c r="K33" s="412"/>
      <c r="L33" s="413"/>
    </row>
    <row r="34" spans="1:12" ht="24.75" customHeight="1" x14ac:dyDescent="0.25">
      <c r="A34" s="243"/>
      <c r="B34" s="411"/>
      <c r="C34" s="412"/>
      <c r="D34" s="412"/>
      <c r="E34" s="412"/>
      <c r="F34" s="412"/>
      <c r="G34" s="412"/>
      <c r="H34" s="412"/>
      <c r="I34" s="412"/>
      <c r="J34" s="412"/>
      <c r="K34" s="412"/>
      <c r="L34" s="413"/>
    </row>
    <row r="35" spans="1:12" ht="24.75" customHeight="1" x14ac:dyDescent="0.25">
      <c r="A35" s="243"/>
      <c r="B35" s="411"/>
      <c r="C35" s="412"/>
      <c r="D35" s="412"/>
      <c r="E35" s="412"/>
      <c r="F35" s="412"/>
      <c r="G35" s="412"/>
      <c r="H35" s="412"/>
      <c r="I35" s="412"/>
      <c r="J35" s="412"/>
      <c r="K35" s="412"/>
      <c r="L35" s="413"/>
    </row>
    <row r="36" spans="1:12" ht="24.75" customHeight="1" x14ac:dyDescent="0.25">
      <c r="A36" s="243"/>
      <c r="B36" s="411"/>
      <c r="C36" s="412"/>
      <c r="D36" s="412"/>
      <c r="E36" s="412"/>
      <c r="F36" s="412"/>
      <c r="G36" s="412"/>
      <c r="H36" s="412"/>
      <c r="I36" s="412"/>
      <c r="J36" s="412"/>
      <c r="K36" s="412"/>
      <c r="L36" s="413"/>
    </row>
    <row r="37" spans="1:12" ht="24.75" customHeight="1" x14ac:dyDescent="0.25">
      <c r="A37" s="243"/>
      <c r="B37" s="411"/>
      <c r="C37" s="412"/>
      <c r="D37" s="412"/>
      <c r="E37" s="412"/>
      <c r="F37" s="412"/>
      <c r="G37" s="412"/>
      <c r="H37" s="412"/>
      <c r="I37" s="412"/>
      <c r="J37" s="412"/>
      <c r="K37" s="412"/>
      <c r="L37" s="413"/>
    </row>
    <row r="38" spans="1:12" ht="24.75" customHeight="1" x14ac:dyDescent="0.25">
      <c r="A38" s="243"/>
      <c r="B38" s="411"/>
      <c r="C38" s="412"/>
      <c r="D38" s="412"/>
      <c r="E38" s="412"/>
      <c r="F38" s="412"/>
      <c r="G38" s="412"/>
      <c r="H38" s="412"/>
      <c r="I38" s="412"/>
      <c r="J38" s="412"/>
      <c r="K38" s="412"/>
      <c r="L38" s="413"/>
    </row>
    <row r="39" spans="1:12" ht="24.75" customHeight="1" x14ac:dyDescent="0.25">
      <c r="A39" s="243"/>
      <c r="B39" s="411"/>
      <c r="C39" s="412"/>
      <c r="D39" s="412"/>
      <c r="E39" s="412"/>
      <c r="F39" s="412"/>
      <c r="G39" s="412"/>
      <c r="H39" s="412"/>
      <c r="I39" s="412"/>
      <c r="J39" s="412"/>
      <c r="K39" s="412"/>
      <c r="L39" s="413"/>
    </row>
    <row r="40" spans="1:12" ht="24.75" customHeight="1" x14ac:dyDescent="0.25">
      <c r="A40" s="243"/>
      <c r="B40" s="411"/>
      <c r="C40" s="412"/>
      <c r="D40" s="412"/>
      <c r="E40" s="412"/>
      <c r="F40" s="412"/>
      <c r="G40" s="412"/>
      <c r="H40" s="412"/>
      <c r="I40" s="412"/>
      <c r="J40" s="412"/>
      <c r="K40" s="412"/>
      <c r="L40" s="413"/>
    </row>
    <row r="41" spans="1:12" ht="24.75" customHeight="1" x14ac:dyDescent="0.25">
      <c r="A41" s="243"/>
      <c r="B41" s="411"/>
      <c r="C41" s="412"/>
      <c r="D41" s="412"/>
      <c r="E41" s="412"/>
      <c r="F41" s="412"/>
      <c r="G41" s="412"/>
      <c r="H41" s="412"/>
      <c r="I41" s="412"/>
      <c r="J41" s="412"/>
      <c r="K41" s="412"/>
      <c r="L41" s="413"/>
    </row>
    <row r="42" spans="1:12" ht="24.75" customHeight="1" x14ac:dyDescent="0.25">
      <c r="A42" s="243"/>
      <c r="B42" s="411"/>
      <c r="C42" s="412"/>
      <c r="D42" s="412"/>
      <c r="E42" s="412"/>
      <c r="F42" s="412"/>
      <c r="G42" s="412"/>
      <c r="H42" s="412"/>
      <c r="I42" s="412"/>
      <c r="J42" s="412"/>
      <c r="K42" s="412"/>
      <c r="L42" s="413"/>
    </row>
    <row r="43" spans="1:12" ht="24.75" customHeight="1" x14ac:dyDescent="0.25">
      <c r="A43" s="243"/>
      <c r="B43" s="411"/>
      <c r="C43" s="412"/>
      <c r="D43" s="412"/>
      <c r="E43" s="412"/>
      <c r="F43" s="412"/>
      <c r="G43" s="412"/>
      <c r="H43" s="412"/>
      <c r="I43" s="412"/>
      <c r="J43" s="412"/>
      <c r="K43" s="412"/>
      <c r="L43" s="413"/>
    </row>
    <row r="44" spans="1:12" ht="24.75" customHeight="1" x14ac:dyDescent="0.25">
      <c r="A44" s="243"/>
      <c r="B44" s="411"/>
      <c r="C44" s="412"/>
      <c r="D44" s="412"/>
      <c r="E44" s="412"/>
      <c r="F44" s="412"/>
      <c r="G44" s="412"/>
      <c r="H44" s="412"/>
      <c r="I44" s="412"/>
      <c r="J44" s="412"/>
      <c r="K44" s="412"/>
      <c r="L44" s="413"/>
    </row>
    <row r="45" spans="1:12" ht="24.75" customHeight="1" x14ac:dyDescent="0.25">
      <c r="A45" s="243"/>
      <c r="B45" s="411"/>
      <c r="C45" s="412"/>
      <c r="D45" s="412"/>
      <c r="E45" s="412"/>
      <c r="F45" s="412"/>
      <c r="G45" s="412"/>
      <c r="H45" s="412"/>
      <c r="I45" s="412"/>
      <c r="J45" s="412"/>
      <c r="K45" s="412"/>
      <c r="L45" s="413"/>
    </row>
    <row r="46" spans="1:12" ht="24.75" customHeight="1" x14ac:dyDescent="0.25">
      <c r="A46" s="243"/>
      <c r="B46" s="411"/>
      <c r="C46" s="412"/>
      <c r="D46" s="412"/>
      <c r="E46" s="412"/>
      <c r="F46" s="412"/>
      <c r="G46" s="412"/>
      <c r="H46" s="412"/>
      <c r="I46" s="412"/>
      <c r="J46" s="412"/>
      <c r="K46" s="412"/>
      <c r="L46" s="413"/>
    </row>
    <row r="47" spans="1:12" ht="24.75" customHeight="1" x14ac:dyDescent="0.25">
      <c r="A47" s="243"/>
      <c r="B47" s="411"/>
      <c r="C47" s="412"/>
      <c r="D47" s="412"/>
      <c r="E47" s="412"/>
      <c r="F47" s="412"/>
      <c r="G47" s="412"/>
      <c r="H47" s="412"/>
      <c r="I47" s="412"/>
      <c r="J47" s="412"/>
      <c r="K47" s="412"/>
      <c r="L47" s="413"/>
    </row>
    <row r="48" spans="1:12" ht="24.75" customHeight="1" x14ac:dyDescent="0.25">
      <c r="A48" s="243"/>
      <c r="B48" s="411"/>
      <c r="C48" s="412"/>
      <c r="D48" s="412"/>
      <c r="E48" s="412"/>
      <c r="F48" s="412"/>
      <c r="G48" s="412"/>
      <c r="H48" s="412"/>
      <c r="I48" s="412"/>
      <c r="J48" s="412"/>
      <c r="K48" s="412"/>
      <c r="L48" s="413"/>
    </row>
    <row r="49" spans="1:12" ht="24.75" customHeight="1" x14ac:dyDescent="0.25">
      <c r="A49" s="243"/>
      <c r="B49" s="411"/>
      <c r="C49" s="412"/>
      <c r="D49" s="412"/>
      <c r="E49" s="412"/>
      <c r="F49" s="412"/>
      <c r="G49" s="412"/>
      <c r="H49" s="412"/>
      <c r="I49" s="412"/>
      <c r="J49" s="412"/>
      <c r="K49" s="412"/>
      <c r="L49" s="413"/>
    </row>
    <row r="50" spans="1:12" ht="24.75" customHeight="1" x14ac:dyDescent="0.25">
      <c r="A50" s="243"/>
      <c r="B50" s="411"/>
      <c r="C50" s="412"/>
      <c r="D50" s="412"/>
      <c r="E50" s="412"/>
      <c r="F50" s="412"/>
      <c r="G50" s="412"/>
      <c r="H50" s="412"/>
      <c r="I50" s="412"/>
      <c r="J50" s="412"/>
      <c r="K50" s="412"/>
      <c r="L50" s="413"/>
    </row>
    <row r="51" spans="1:12" ht="24.75" customHeight="1" x14ac:dyDescent="0.25">
      <c r="A51" s="243"/>
      <c r="B51" s="411"/>
      <c r="C51" s="412"/>
      <c r="D51" s="412"/>
      <c r="E51" s="412"/>
      <c r="F51" s="412"/>
      <c r="G51" s="412"/>
      <c r="H51" s="412"/>
      <c r="I51" s="412"/>
      <c r="J51" s="412"/>
      <c r="K51" s="412"/>
      <c r="L51" s="413"/>
    </row>
    <row r="52" spans="1:12" ht="24.75" customHeight="1" x14ac:dyDescent="0.25">
      <c r="A52" s="243"/>
      <c r="B52" s="411"/>
      <c r="C52" s="412"/>
      <c r="D52" s="412"/>
      <c r="E52" s="412"/>
      <c r="F52" s="412"/>
      <c r="G52" s="412"/>
      <c r="H52" s="412"/>
      <c r="I52" s="412"/>
      <c r="J52" s="412"/>
      <c r="K52" s="412"/>
      <c r="L52" s="413"/>
    </row>
    <row r="53" spans="1:12" x14ac:dyDescent="0.25">
      <c r="A53" s="164"/>
      <c r="B53" s="164"/>
      <c r="C53" s="164"/>
      <c r="D53" s="164"/>
      <c r="E53" s="164"/>
      <c r="F53" s="164"/>
      <c r="G53" s="164"/>
      <c r="H53" s="164"/>
      <c r="I53" s="164"/>
      <c r="J53" s="164"/>
      <c r="K53" s="164"/>
      <c r="L53" s="164"/>
    </row>
    <row r="54" spans="1:12" x14ac:dyDescent="0.25">
      <c r="A54" s="164"/>
      <c r="B54" s="164"/>
      <c r="C54" s="164"/>
      <c r="D54" s="164"/>
      <c r="E54" s="164"/>
      <c r="F54" s="164"/>
      <c r="G54" s="164"/>
      <c r="H54" s="164"/>
      <c r="I54" s="164"/>
      <c r="J54" s="164"/>
      <c r="K54" s="164"/>
      <c r="L54" s="164"/>
    </row>
    <row r="55" spans="1:12" x14ac:dyDescent="0.25">
      <c r="A55" s="164"/>
      <c r="B55" s="164"/>
      <c r="C55" s="164"/>
      <c r="D55" s="164"/>
      <c r="E55" s="164"/>
      <c r="F55" s="164"/>
      <c r="G55" s="164"/>
      <c r="H55" s="164"/>
      <c r="I55" s="164"/>
      <c r="J55" s="164"/>
      <c r="K55" s="164"/>
      <c r="L55" s="164"/>
    </row>
    <row r="56" spans="1:12" x14ac:dyDescent="0.25">
      <c r="A56" s="164"/>
      <c r="B56" s="164"/>
      <c r="C56" s="164"/>
      <c r="D56" s="164"/>
      <c r="E56" s="164"/>
      <c r="F56" s="164"/>
      <c r="G56" s="164"/>
      <c r="H56" s="164"/>
      <c r="I56" s="164"/>
      <c r="J56" s="164"/>
      <c r="K56" s="164"/>
      <c r="L56" s="164"/>
    </row>
    <row r="57" spans="1:12" x14ac:dyDescent="0.25">
      <c r="A57" s="164"/>
      <c r="B57" s="164"/>
      <c r="C57" s="164"/>
      <c r="D57" s="164"/>
      <c r="E57" s="164"/>
      <c r="F57" s="164"/>
      <c r="G57" s="164"/>
      <c r="H57" s="164"/>
      <c r="I57" s="164"/>
      <c r="J57" s="164"/>
      <c r="K57" s="164"/>
      <c r="L57" s="164"/>
    </row>
    <row r="58" spans="1:12" x14ac:dyDescent="0.25">
      <c r="A58" s="164"/>
      <c r="B58" s="164"/>
      <c r="C58" s="164"/>
      <c r="D58" s="164"/>
      <c r="E58" s="164"/>
      <c r="F58" s="164"/>
      <c r="G58" s="164"/>
      <c r="H58" s="164"/>
      <c r="I58" s="164"/>
      <c r="J58" s="164"/>
      <c r="K58" s="164"/>
      <c r="L58" s="164"/>
    </row>
    <row r="59" spans="1:12" x14ac:dyDescent="0.25">
      <c r="A59" s="164"/>
      <c r="B59" s="164"/>
      <c r="C59" s="164"/>
      <c r="D59" s="164"/>
      <c r="E59" s="164"/>
      <c r="F59" s="164"/>
      <c r="G59" s="164"/>
      <c r="H59" s="164"/>
      <c r="I59" s="164"/>
      <c r="J59" s="164"/>
      <c r="K59" s="164"/>
      <c r="L59" s="164"/>
    </row>
    <row r="60" spans="1:12" x14ac:dyDescent="0.25">
      <c r="A60" s="164"/>
      <c r="B60" s="164"/>
      <c r="C60" s="164"/>
      <c r="D60" s="164"/>
      <c r="E60" s="164"/>
      <c r="F60" s="164"/>
      <c r="G60" s="164"/>
      <c r="H60" s="164"/>
      <c r="I60" s="164"/>
      <c r="J60" s="164"/>
      <c r="K60" s="164"/>
      <c r="L60" s="164"/>
    </row>
    <row r="61" spans="1:12" x14ac:dyDescent="0.25">
      <c r="A61" s="164"/>
      <c r="B61" s="164"/>
      <c r="C61" s="164"/>
      <c r="D61" s="164"/>
      <c r="E61" s="164"/>
      <c r="F61" s="164"/>
      <c r="G61" s="164"/>
      <c r="H61" s="164"/>
      <c r="I61" s="164"/>
      <c r="J61" s="164"/>
      <c r="K61" s="164"/>
      <c r="L61" s="164"/>
    </row>
    <row r="62" spans="1:12" x14ac:dyDescent="0.25">
      <c r="A62" s="164"/>
      <c r="B62" s="164"/>
      <c r="C62" s="164"/>
      <c r="D62" s="164"/>
      <c r="E62" s="164"/>
      <c r="F62" s="164"/>
      <c r="G62" s="164"/>
      <c r="H62" s="164"/>
      <c r="I62" s="164"/>
      <c r="J62" s="164"/>
      <c r="K62" s="164"/>
      <c r="L62" s="164"/>
    </row>
    <row r="63" spans="1:12" x14ac:dyDescent="0.25">
      <c r="A63" s="164"/>
      <c r="B63" s="164"/>
      <c r="C63" s="164"/>
      <c r="D63" s="164"/>
      <c r="E63" s="164"/>
      <c r="F63" s="164"/>
      <c r="G63" s="164"/>
      <c r="H63" s="164"/>
      <c r="I63" s="164"/>
      <c r="J63" s="164"/>
      <c r="K63" s="164"/>
      <c r="L63" s="164"/>
    </row>
    <row r="64" spans="1:12" x14ac:dyDescent="0.25">
      <c r="A64" s="164"/>
      <c r="B64" s="164"/>
      <c r="C64" s="164"/>
      <c r="D64" s="164"/>
      <c r="E64" s="164"/>
      <c r="F64" s="164"/>
      <c r="G64" s="164"/>
      <c r="H64" s="164"/>
      <c r="I64" s="164"/>
      <c r="J64" s="164"/>
      <c r="K64" s="164"/>
      <c r="L64" s="164"/>
    </row>
    <row r="65" spans="1:12" x14ac:dyDescent="0.25">
      <c r="A65" s="164"/>
      <c r="B65" s="164"/>
      <c r="C65" s="164"/>
      <c r="D65" s="164"/>
      <c r="E65" s="164"/>
      <c r="F65" s="164"/>
      <c r="G65" s="164"/>
      <c r="H65" s="164"/>
      <c r="I65" s="164"/>
      <c r="J65" s="164"/>
      <c r="K65" s="164"/>
      <c r="L65" s="164"/>
    </row>
    <row r="66" spans="1:12" x14ac:dyDescent="0.25">
      <c r="A66" s="164"/>
      <c r="B66" s="164"/>
      <c r="C66" s="164"/>
      <c r="D66" s="164"/>
      <c r="E66" s="164"/>
      <c r="F66" s="164"/>
      <c r="G66" s="164"/>
      <c r="H66" s="164"/>
      <c r="I66" s="164"/>
      <c r="J66" s="164"/>
      <c r="K66" s="164"/>
      <c r="L66" s="164"/>
    </row>
    <row r="67" spans="1:12" x14ac:dyDescent="0.25">
      <c r="A67" s="164"/>
      <c r="B67" s="164"/>
      <c r="C67" s="164"/>
      <c r="D67" s="164"/>
      <c r="E67" s="164"/>
      <c r="F67" s="164"/>
      <c r="G67" s="164"/>
      <c r="H67" s="164"/>
      <c r="I67" s="164"/>
      <c r="J67" s="164"/>
      <c r="K67" s="164"/>
      <c r="L67" s="164"/>
    </row>
    <row r="68" spans="1:12" x14ac:dyDescent="0.25">
      <c r="A68" s="164"/>
      <c r="B68" s="164"/>
      <c r="C68" s="164"/>
      <c r="D68" s="164"/>
      <c r="E68" s="164"/>
      <c r="F68" s="164"/>
      <c r="G68" s="164"/>
      <c r="H68" s="164"/>
      <c r="I68" s="164"/>
      <c r="J68" s="164"/>
      <c r="K68" s="164"/>
      <c r="L68" s="164"/>
    </row>
    <row r="69" spans="1:12" x14ac:dyDescent="0.25">
      <c r="A69" s="164"/>
      <c r="B69" s="164"/>
      <c r="C69" s="164"/>
      <c r="D69" s="164"/>
      <c r="E69" s="164"/>
      <c r="F69" s="164"/>
      <c r="G69" s="164"/>
      <c r="H69" s="164"/>
      <c r="I69" s="164"/>
      <c r="J69" s="164"/>
      <c r="K69" s="164"/>
      <c r="L69" s="164"/>
    </row>
    <row r="70" spans="1:12" x14ac:dyDescent="0.25">
      <c r="A70" s="164"/>
      <c r="B70" s="164"/>
      <c r="C70" s="164"/>
      <c r="D70" s="164"/>
      <c r="E70" s="164"/>
      <c r="F70" s="164"/>
      <c r="G70" s="164"/>
      <c r="H70" s="164"/>
      <c r="I70" s="164"/>
      <c r="J70" s="164"/>
      <c r="K70" s="164"/>
      <c r="L70" s="164"/>
    </row>
    <row r="71" spans="1:12" x14ac:dyDescent="0.25">
      <c r="A71" s="164"/>
      <c r="B71" s="164"/>
      <c r="C71" s="164"/>
      <c r="D71" s="164"/>
      <c r="E71" s="164"/>
      <c r="F71" s="164"/>
      <c r="G71" s="164"/>
      <c r="H71" s="164"/>
      <c r="I71" s="164"/>
      <c r="J71" s="164"/>
      <c r="K71" s="164"/>
      <c r="L71" s="164"/>
    </row>
    <row r="72" spans="1:12" x14ac:dyDescent="0.25">
      <c r="A72" s="164"/>
      <c r="B72" s="164"/>
      <c r="C72" s="164"/>
      <c r="D72" s="164"/>
      <c r="E72" s="164"/>
      <c r="F72" s="164"/>
      <c r="G72" s="164"/>
      <c r="H72" s="164"/>
      <c r="I72" s="164"/>
      <c r="J72" s="164"/>
      <c r="K72" s="164"/>
      <c r="L72" s="164"/>
    </row>
    <row r="73" spans="1:12" x14ac:dyDescent="0.25">
      <c r="A73" s="164"/>
      <c r="B73" s="164"/>
      <c r="C73" s="164"/>
      <c r="D73" s="164"/>
      <c r="E73" s="164"/>
      <c r="F73" s="164"/>
      <c r="G73" s="164"/>
      <c r="H73" s="164"/>
      <c r="I73" s="164"/>
      <c r="J73" s="164"/>
      <c r="K73" s="164"/>
      <c r="L73" s="164"/>
    </row>
    <row r="74" spans="1:12" x14ac:dyDescent="0.25">
      <c r="A74" s="164"/>
      <c r="B74" s="164"/>
      <c r="C74" s="164"/>
      <c r="D74" s="164"/>
      <c r="E74" s="164"/>
      <c r="F74" s="164"/>
      <c r="G74" s="164"/>
      <c r="H74" s="164"/>
      <c r="I74" s="164"/>
      <c r="J74" s="164"/>
      <c r="K74" s="164"/>
      <c r="L74" s="164"/>
    </row>
    <row r="75" spans="1:12" x14ac:dyDescent="0.25">
      <c r="A75" s="164"/>
      <c r="B75" s="164"/>
      <c r="C75" s="164"/>
      <c r="D75" s="164"/>
      <c r="E75" s="164"/>
      <c r="F75" s="164"/>
      <c r="G75" s="164"/>
      <c r="H75" s="164"/>
      <c r="I75" s="164"/>
      <c r="J75" s="164"/>
      <c r="K75" s="164"/>
      <c r="L75" s="164"/>
    </row>
    <row r="76" spans="1:12" x14ac:dyDescent="0.25">
      <c r="A76" s="164"/>
      <c r="B76" s="164"/>
      <c r="C76" s="164"/>
      <c r="D76" s="164"/>
      <c r="E76" s="164"/>
      <c r="F76" s="164"/>
      <c r="G76" s="164"/>
      <c r="H76" s="164"/>
      <c r="I76" s="164"/>
      <c r="J76" s="164"/>
      <c r="K76" s="164"/>
      <c r="L76" s="164"/>
    </row>
    <row r="77" spans="1:12" x14ac:dyDescent="0.25">
      <c r="A77" s="164"/>
      <c r="B77" s="164"/>
      <c r="C77" s="164"/>
      <c r="D77" s="164"/>
      <c r="E77" s="164"/>
      <c r="F77" s="164"/>
      <c r="G77" s="164"/>
      <c r="H77" s="164"/>
      <c r="I77" s="164"/>
      <c r="J77" s="164"/>
      <c r="K77" s="164"/>
      <c r="L77" s="164"/>
    </row>
    <row r="78" spans="1:12" x14ac:dyDescent="0.25">
      <c r="A78" s="164"/>
      <c r="B78" s="164"/>
      <c r="C78" s="164"/>
      <c r="D78" s="164"/>
      <c r="E78" s="164"/>
      <c r="F78" s="164"/>
      <c r="G78" s="164"/>
      <c r="H78" s="164"/>
      <c r="I78" s="164"/>
      <c r="J78" s="164"/>
      <c r="K78" s="164"/>
      <c r="L78" s="164"/>
    </row>
    <row r="79" spans="1:12" x14ac:dyDescent="0.25">
      <c r="A79" s="164"/>
      <c r="B79" s="164"/>
      <c r="C79" s="164"/>
      <c r="D79" s="164"/>
      <c r="E79" s="164"/>
      <c r="F79" s="164"/>
      <c r="G79" s="164"/>
      <c r="H79" s="164"/>
      <c r="I79" s="164"/>
      <c r="J79" s="164"/>
      <c r="K79" s="164"/>
      <c r="L79" s="164"/>
    </row>
    <row r="80" spans="1:12" x14ac:dyDescent="0.25">
      <c r="A80" s="164"/>
      <c r="B80" s="164"/>
      <c r="C80" s="164"/>
      <c r="D80" s="164"/>
      <c r="E80" s="164"/>
      <c r="F80" s="164"/>
      <c r="G80" s="164"/>
      <c r="H80" s="164"/>
      <c r="I80" s="164"/>
      <c r="J80" s="164"/>
      <c r="K80" s="164"/>
      <c r="L80" s="164"/>
    </row>
    <row r="81" spans="1:12" x14ac:dyDescent="0.25">
      <c r="A81" s="164"/>
      <c r="B81" s="164"/>
      <c r="C81" s="164"/>
      <c r="D81" s="164"/>
      <c r="E81" s="164"/>
      <c r="F81" s="164"/>
      <c r="G81" s="164"/>
      <c r="H81" s="164"/>
      <c r="I81" s="164"/>
      <c r="J81" s="164"/>
      <c r="K81" s="164"/>
      <c r="L81" s="164"/>
    </row>
    <row r="82" spans="1:12" x14ac:dyDescent="0.25">
      <c r="A82" s="164"/>
      <c r="B82" s="164"/>
      <c r="C82" s="164"/>
      <c r="D82" s="164"/>
      <c r="E82" s="164"/>
      <c r="F82" s="164"/>
      <c r="G82" s="164"/>
      <c r="H82" s="164"/>
      <c r="I82" s="164"/>
      <c r="J82" s="164"/>
      <c r="K82" s="164"/>
      <c r="L82" s="164"/>
    </row>
    <row r="83" spans="1:12" x14ac:dyDescent="0.25">
      <c r="A83" s="164"/>
      <c r="B83" s="164"/>
      <c r="C83" s="164"/>
      <c r="D83" s="164"/>
      <c r="E83" s="164"/>
      <c r="F83" s="164"/>
      <c r="G83" s="164"/>
      <c r="H83" s="164"/>
      <c r="I83" s="164"/>
      <c r="J83" s="164"/>
      <c r="K83" s="164"/>
      <c r="L83" s="164"/>
    </row>
    <row r="84" spans="1:12" x14ac:dyDescent="0.25">
      <c r="A84" s="164"/>
      <c r="B84" s="164"/>
      <c r="C84" s="164"/>
      <c r="D84" s="164"/>
      <c r="E84" s="164"/>
      <c r="F84" s="164"/>
      <c r="G84" s="164"/>
      <c r="H84" s="164"/>
      <c r="I84" s="164"/>
      <c r="J84" s="164"/>
      <c r="K84" s="164"/>
      <c r="L84" s="164"/>
    </row>
    <row r="85" spans="1:12" x14ac:dyDescent="0.25">
      <c r="A85" s="164"/>
      <c r="B85" s="164"/>
      <c r="C85" s="164"/>
      <c r="D85" s="164"/>
      <c r="E85" s="164"/>
      <c r="F85" s="164"/>
      <c r="G85" s="164"/>
      <c r="H85" s="164"/>
      <c r="I85" s="164"/>
      <c r="J85" s="164"/>
      <c r="K85" s="164"/>
      <c r="L85" s="164"/>
    </row>
    <row r="86" spans="1:12" x14ac:dyDescent="0.25">
      <c r="A86" s="164"/>
      <c r="B86" s="164"/>
      <c r="C86" s="164"/>
      <c r="D86" s="164"/>
      <c r="E86" s="164"/>
      <c r="F86" s="164"/>
      <c r="G86" s="164"/>
      <c r="H86" s="164"/>
      <c r="I86" s="164"/>
      <c r="J86" s="164"/>
      <c r="K86" s="164"/>
      <c r="L86" s="164"/>
    </row>
    <row r="87" spans="1:12" x14ac:dyDescent="0.25">
      <c r="A87" s="164"/>
      <c r="B87" s="164"/>
      <c r="C87" s="164"/>
      <c r="D87" s="164"/>
      <c r="E87" s="164"/>
      <c r="F87" s="164"/>
      <c r="G87" s="164"/>
      <c r="H87" s="164"/>
      <c r="I87" s="164"/>
      <c r="J87" s="164"/>
      <c r="K87" s="164"/>
      <c r="L87" s="164"/>
    </row>
    <row r="88" spans="1:12" x14ac:dyDescent="0.25">
      <c r="A88" s="164"/>
      <c r="B88" s="164"/>
      <c r="C88" s="164"/>
      <c r="D88" s="164"/>
      <c r="E88" s="164"/>
      <c r="F88" s="164"/>
      <c r="G88" s="164"/>
      <c r="H88" s="164"/>
      <c r="I88" s="164"/>
      <c r="J88" s="164"/>
      <c r="K88" s="164"/>
      <c r="L88" s="164"/>
    </row>
    <row r="89" spans="1:12" x14ac:dyDescent="0.25">
      <c r="A89" s="164"/>
      <c r="B89" s="164"/>
      <c r="C89" s="164"/>
      <c r="D89" s="164"/>
      <c r="E89" s="164"/>
      <c r="F89" s="164"/>
      <c r="G89" s="164"/>
      <c r="H89" s="164"/>
      <c r="I89" s="164"/>
      <c r="J89" s="164"/>
      <c r="K89" s="164"/>
      <c r="L89" s="164"/>
    </row>
    <row r="90" spans="1:12" x14ac:dyDescent="0.25">
      <c r="A90" s="164"/>
      <c r="B90" s="164"/>
      <c r="C90" s="164"/>
      <c r="D90" s="164"/>
      <c r="E90" s="164"/>
      <c r="F90" s="164"/>
      <c r="G90" s="164"/>
      <c r="H90" s="164"/>
      <c r="I90" s="164"/>
      <c r="J90" s="164"/>
      <c r="K90" s="164"/>
      <c r="L90" s="164"/>
    </row>
    <row r="91" spans="1:12" x14ac:dyDescent="0.25">
      <c r="A91" s="164"/>
      <c r="B91" s="164"/>
      <c r="C91" s="164"/>
      <c r="D91" s="164"/>
      <c r="E91" s="164"/>
      <c r="F91" s="164"/>
      <c r="G91" s="164"/>
      <c r="H91" s="164"/>
      <c r="I91" s="164"/>
      <c r="J91" s="164"/>
      <c r="K91" s="164"/>
      <c r="L91" s="164"/>
    </row>
    <row r="92" spans="1:12" x14ac:dyDescent="0.25">
      <c r="A92" s="164"/>
      <c r="B92" s="164"/>
      <c r="C92" s="164"/>
      <c r="D92" s="164"/>
      <c r="E92" s="164"/>
      <c r="F92" s="164"/>
      <c r="G92" s="164"/>
      <c r="H92" s="164"/>
      <c r="I92" s="164"/>
      <c r="J92" s="164"/>
      <c r="K92" s="164"/>
      <c r="L92" s="164"/>
    </row>
    <row r="93" spans="1:12" x14ac:dyDescent="0.25">
      <c r="A93" s="164"/>
      <c r="B93" s="164"/>
      <c r="C93" s="164"/>
      <c r="D93" s="164"/>
      <c r="E93" s="164"/>
      <c r="F93" s="164"/>
      <c r="G93" s="164"/>
      <c r="H93" s="164"/>
      <c r="I93" s="164"/>
      <c r="J93" s="164"/>
      <c r="K93" s="164"/>
      <c r="L93" s="164"/>
    </row>
    <row r="94" spans="1:12" x14ac:dyDescent="0.25">
      <c r="A94" s="164"/>
      <c r="B94" s="164"/>
      <c r="C94" s="164"/>
      <c r="D94" s="164"/>
      <c r="E94" s="164"/>
      <c r="F94" s="164"/>
      <c r="G94" s="164"/>
      <c r="H94" s="164"/>
      <c r="I94" s="164"/>
      <c r="J94" s="164"/>
      <c r="K94" s="164"/>
      <c r="L94" s="164"/>
    </row>
    <row r="95" spans="1:12" x14ac:dyDescent="0.25">
      <c r="A95" s="164"/>
      <c r="B95" s="164"/>
      <c r="C95" s="164"/>
      <c r="D95" s="164"/>
      <c r="E95" s="164"/>
      <c r="F95" s="164"/>
      <c r="G95" s="164"/>
      <c r="H95" s="164"/>
      <c r="I95" s="164"/>
      <c r="J95" s="164"/>
      <c r="K95" s="164"/>
      <c r="L95" s="164"/>
    </row>
    <row r="96" spans="1:12" x14ac:dyDescent="0.25">
      <c r="A96" s="164"/>
      <c r="B96" s="164"/>
      <c r="C96" s="164"/>
      <c r="D96" s="164"/>
      <c r="E96" s="164"/>
      <c r="F96" s="164"/>
      <c r="G96" s="164"/>
      <c r="H96" s="164"/>
      <c r="I96" s="164"/>
      <c r="J96" s="164"/>
      <c r="K96" s="164"/>
      <c r="L96" s="164"/>
    </row>
    <row r="97" spans="1:12" x14ac:dyDescent="0.25">
      <c r="A97" s="164"/>
      <c r="B97" s="164"/>
      <c r="C97" s="164"/>
      <c r="D97" s="164"/>
      <c r="E97" s="164"/>
      <c r="F97" s="164"/>
      <c r="G97" s="164"/>
      <c r="H97" s="164"/>
      <c r="I97" s="164"/>
      <c r="J97" s="164"/>
      <c r="K97" s="164"/>
      <c r="L97" s="164"/>
    </row>
    <row r="98" spans="1:12" x14ac:dyDescent="0.25">
      <c r="A98" s="164"/>
      <c r="B98" s="164"/>
      <c r="C98" s="164"/>
      <c r="D98" s="164"/>
      <c r="E98" s="164"/>
      <c r="F98" s="164"/>
      <c r="G98" s="164"/>
      <c r="H98" s="164"/>
      <c r="I98" s="164"/>
      <c r="J98" s="164"/>
      <c r="K98" s="164"/>
      <c r="L98" s="164"/>
    </row>
    <row r="99" spans="1:12" x14ac:dyDescent="0.25">
      <c r="A99" s="164"/>
      <c r="B99" s="164"/>
      <c r="C99" s="164"/>
      <c r="D99" s="164"/>
      <c r="E99" s="164"/>
      <c r="F99" s="164"/>
      <c r="G99" s="164"/>
      <c r="H99" s="164"/>
      <c r="I99" s="164"/>
      <c r="J99" s="164"/>
      <c r="K99" s="164"/>
      <c r="L99" s="164"/>
    </row>
    <row r="100" spans="1:12" x14ac:dyDescent="0.25">
      <c r="A100" s="164"/>
      <c r="B100" s="164"/>
      <c r="C100" s="164"/>
      <c r="D100" s="164"/>
      <c r="E100" s="164"/>
      <c r="F100" s="164"/>
      <c r="G100" s="164"/>
      <c r="H100" s="164"/>
      <c r="I100" s="164"/>
      <c r="J100" s="164"/>
      <c r="K100" s="164"/>
      <c r="L100" s="164"/>
    </row>
    <row r="101" spans="1:12" x14ac:dyDescent="0.25">
      <c r="A101" s="164"/>
      <c r="B101" s="164"/>
      <c r="C101" s="164"/>
      <c r="D101" s="164"/>
      <c r="E101" s="164"/>
      <c r="F101" s="164"/>
      <c r="G101" s="164"/>
      <c r="H101" s="164"/>
      <c r="I101" s="164"/>
      <c r="J101" s="164"/>
      <c r="K101" s="164"/>
      <c r="L101" s="164"/>
    </row>
    <row r="102" spans="1:12" x14ac:dyDescent="0.25">
      <c r="A102" s="164"/>
      <c r="B102" s="164"/>
      <c r="C102" s="164"/>
      <c r="D102" s="164"/>
      <c r="E102" s="164"/>
      <c r="F102" s="164"/>
      <c r="G102" s="164"/>
      <c r="H102" s="164"/>
      <c r="I102" s="164"/>
      <c r="J102" s="164"/>
      <c r="K102" s="164"/>
      <c r="L102" s="164"/>
    </row>
    <row r="103" spans="1:12" x14ac:dyDescent="0.25">
      <c r="A103" s="164"/>
      <c r="B103" s="164"/>
      <c r="C103" s="164"/>
      <c r="D103" s="164"/>
      <c r="E103" s="164"/>
      <c r="F103" s="164"/>
      <c r="G103" s="164"/>
      <c r="H103" s="164"/>
      <c r="I103" s="164"/>
      <c r="J103" s="164"/>
      <c r="K103" s="164"/>
      <c r="L103" s="164"/>
    </row>
    <row r="104" spans="1:12" x14ac:dyDescent="0.25">
      <c r="A104" s="164"/>
      <c r="B104" s="164"/>
      <c r="C104" s="164"/>
      <c r="D104" s="164"/>
      <c r="E104" s="164"/>
      <c r="F104" s="164"/>
      <c r="G104" s="164"/>
      <c r="H104" s="164"/>
      <c r="I104" s="164"/>
      <c r="J104" s="164"/>
      <c r="K104" s="164"/>
      <c r="L104" s="164"/>
    </row>
    <row r="105" spans="1:12" x14ac:dyDescent="0.25">
      <c r="A105" s="164"/>
      <c r="B105" s="164"/>
      <c r="C105" s="164"/>
      <c r="D105" s="164"/>
      <c r="E105" s="164"/>
      <c r="F105" s="164"/>
      <c r="G105" s="164"/>
      <c r="H105" s="164"/>
      <c r="I105" s="164"/>
      <c r="J105" s="164"/>
      <c r="K105" s="164"/>
      <c r="L105" s="164"/>
    </row>
    <row r="106" spans="1:12" x14ac:dyDescent="0.25">
      <c r="A106" s="164"/>
      <c r="B106" s="164"/>
      <c r="C106" s="164"/>
      <c r="D106" s="164"/>
      <c r="E106" s="164"/>
      <c r="F106" s="164"/>
      <c r="G106" s="164"/>
      <c r="H106" s="164"/>
      <c r="I106" s="164"/>
      <c r="J106" s="164"/>
      <c r="K106" s="164"/>
      <c r="L106" s="164"/>
    </row>
    <row r="107" spans="1:12" x14ac:dyDescent="0.25">
      <c r="A107" s="164"/>
      <c r="B107" s="164"/>
      <c r="C107" s="164"/>
      <c r="D107" s="164"/>
      <c r="E107" s="164"/>
      <c r="F107" s="164"/>
      <c r="G107" s="164"/>
      <c r="H107" s="164"/>
      <c r="I107" s="164"/>
      <c r="J107" s="164"/>
      <c r="K107" s="164"/>
      <c r="L107" s="164"/>
    </row>
    <row r="108" spans="1:12" x14ac:dyDescent="0.25">
      <c r="A108" s="164"/>
      <c r="B108" s="164"/>
      <c r="C108" s="164"/>
      <c r="D108" s="164"/>
      <c r="E108" s="164"/>
      <c r="F108" s="164"/>
      <c r="G108" s="164"/>
      <c r="H108" s="164"/>
      <c r="I108" s="164"/>
      <c r="J108" s="164"/>
      <c r="K108" s="164"/>
      <c r="L108" s="164"/>
    </row>
    <row r="109" spans="1:12" x14ac:dyDescent="0.25">
      <c r="A109" s="164"/>
      <c r="B109" s="164"/>
      <c r="C109" s="164"/>
      <c r="D109" s="164"/>
      <c r="E109" s="164"/>
      <c r="F109" s="164"/>
      <c r="G109" s="164"/>
      <c r="H109" s="164"/>
      <c r="I109" s="164"/>
      <c r="J109" s="164"/>
      <c r="K109" s="164"/>
      <c r="L109" s="164"/>
    </row>
    <row r="110" spans="1:12" x14ac:dyDescent="0.25">
      <c r="A110" s="164"/>
      <c r="B110" s="164"/>
      <c r="C110" s="164"/>
      <c r="D110" s="164"/>
      <c r="E110" s="164"/>
      <c r="F110" s="164"/>
      <c r="G110" s="164"/>
      <c r="H110" s="164"/>
      <c r="I110" s="164"/>
      <c r="J110" s="164"/>
      <c r="K110" s="164"/>
      <c r="L110" s="164"/>
    </row>
    <row r="111" spans="1:12" x14ac:dyDescent="0.25">
      <c r="A111" s="164"/>
      <c r="B111" s="164"/>
      <c r="C111" s="164"/>
      <c r="D111" s="164"/>
      <c r="E111" s="164"/>
      <c r="F111" s="164"/>
      <c r="G111" s="164"/>
      <c r="H111" s="164"/>
      <c r="I111" s="164"/>
      <c r="J111" s="164"/>
      <c r="K111" s="164"/>
      <c r="L111" s="164"/>
    </row>
    <row r="112" spans="1:12" x14ac:dyDescent="0.25">
      <c r="A112" s="164"/>
      <c r="B112" s="164"/>
      <c r="C112" s="164"/>
      <c r="D112" s="164"/>
      <c r="E112" s="164"/>
      <c r="F112" s="164"/>
      <c r="G112" s="164"/>
      <c r="H112" s="164"/>
      <c r="I112" s="164"/>
      <c r="J112" s="164"/>
      <c r="K112" s="164"/>
      <c r="L112" s="164"/>
    </row>
    <row r="113" spans="1:12" x14ac:dyDescent="0.25">
      <c r="A113" s="164"/>
      <c r="B113" s="164"/>
      <c r="C113" s="164"/>
      <c r="D113" s="164"/>
      <c r="E113" s="164"/>
      <c r="F113" s="164"/>
      <c r="G113" s="164"/>
      <c r="H113" s="164"/>
      <c r="I113" s="164"/>
      <c r="J113" s="164"/>
      <c r="K113" s="164"/>
      <c r="L113" s="164"/>
    </row>
    <row r="114" spans="1:12" x14ac:dyDescent="0.25">
      <c r="A114" s="164"/>
      <c r="B114" s="164"/>
      <c r="C114" s="164"/>
      <c r="D114" s="164"/>
      <c r="E114" s="164"/>
      <c r="F114" s="164"/>
      <c r="G114" s="164"/>
      <c r="H114" s="164"/>
      <c r="I114" s="164"/>
      <c r="J114" s="164"/>
      <c r="K114" s="164"/>
      <c r="L114" s="164"/>
    </row>
    <row r="115" spans="1:12" x14ac:dyDescent="0.25">
      <c r="A115" s="164"/>
      <c r="B115" s="164"/>
      <c r="C115" s="164"/>
      <c r="D115" s="164"/>
      <c r="E115" s="164"/>
      <c r="F115" s="164"/>
      <c r="G115" s="164"/>
      <c r="H115" s="164"/>
      <c r="I115" s="164"/>
      <c r="J115" s="164"/>
      <c r="K115" s="164"/>
      <c r="L115" s="164"/>
    </row>
    <row r="116" spans="1:12" x14ac:dyDescent="0.25">
      <c r="A116" s="164"/>
      <c r="B116" s="164"/>
      <c r="C116" s="164"/>
      <c r="D116" s="164"/>
      <c r="E116" s="164"/>
      <c r="F116" s="164"/>
      <c r="G116" s="164"/>
      <c r="H116" s="164"/>
      <c r="I116" s="164"/>
      <c r="J116" s="164"/>
      <c r="K116" s="164"/>
      <c r="L116" s="164"/>
    </row>
    <row r="117" spans="1:12" x14ac:dyDescent="0.25">
      <c r="A117" s="164"/>
      <c r="B117" s="164"/>
      <c r="C117" s="164"/>
      <c r="D117" s="164"/>
      <c r="E117" s="164"/>
      <c r="F117" s="164"/>
      <c r="G117" s="164"/>
      <c r="H117" s="164"/>
      <c r="I117" s="164"/>
      <c r="J117" s="164"/>
      <c r="K117" s="164"/>
      <c r="L117" s="164"/>
    </row>
    <row r="118" spans="1:12" x14ac:dyDescent="0.25">
      <c r="A118" s="164"/>
      <c r="B118" s="164"/>
      <c r="C118" s="164"/>
      <c r="D118" s="164"/>
      <c r="E118" s="164"/>
      <c r="F118" s="164"/>
      <c r="G118" s="164"/>
      <c r="H118" s="164"/>
      <c r="I118" s="164"/>
      <c r="J118" s="164"/>
      <c r="K118" s="164"/>
      <c r="L118" s="164"/>
    </row>
    <row r="119" spans="1:12" x14ac:dyDescent="0.25">
      <c r="A119" s="164"/>
      <c r="B119" s="164"/>
      <c r="C119" s="164"/>
      <c r="D119" s="164"/>
      <c r="E119" s="164"/>
      <c r="F119" s="164"/>
      <c r="G119" s="164"/>
      <c r="H119" s="164"/>
      <c r="I119" s="164"/>
      <c r="J119" s="164"/>
      <c r="K119" s="164"/>
      <c r="L119" s="164"/>
    </row>
    <row r="120" spans="1:12" x14ac:dyDescent="0.25">
      <c r="A120" s="164"/>
      <c r="B120" s="164"/>
      <c r="C120" s="164"/>
      <c r="D120" s="164"/>
      <c r="E120" s="164"/>
      <c r="F120" s="164"/>
      <c r="G120" s="164"/>
      <c r="H120" s="164"/>
      <c r="I120" s="164"/>
      <c r="J120" s="164"/>
      <c r="K120" s="164"/>
      <c r="L120" s="164"/>
    </row>
    <row r="121" spans="1:12" x14ac:dyDescent="0.25">
      <c r="A121" s="164"/>
      <c r="B121" s="164"/>
      <c r="C121" s="164"/>
      <c r="D121" s="164"/>
      <c r="E121" s="164"/>
      <c r="F121" s="164"/>
      <c r="G121" s="164"/>
      <c r="H121" s="164"/>
      <c r="I121" s="164"/>
      <c r="J121" s="164"/>
      <c r="K121" s="164"/>
      <c r="L121" s="164"/>
    </row>
    <row r="122" spans="1:12" x14ac:dyDescent="0.25">
      <c r="A122" s="164"/>
      <c r="B122" s="164"/>
      <c r="C122" s="164"/>
      <c r="D122" s="164"/>
      <c r="E122" s="164"/>
      <c r="F122" s="164"/>
      <c r="G122" s="164"/>
      <c r="H122" s="164"/>
      <c r="I122" s="164"/>
      <c r="J122" s="164"/>
      <c r="K122" s="164"/>
      <c r="L122" s="164"/>
    </row>
    <row r="123" spans="1:12" x14ac:dyDescent="0.25">
      <c r="A123" s="164"/>
      <c r="B123" s="164"/>
      <c r="C123" s="164"/>
      <c r="D123" s="164"/>
      <c r="E123" s="164"/>
      <c r="F123" s="164"/>
      <c r="G123" s="164"/>
      <c r="H123" s="164"/>
      <c r="I123" s="164"/>
      <c r="J123" s="164"/>
      <c r="K123" s="164"/>
      <c r="L123" s="164"/>
    </row>
    <row r="124" spans="1:12" x14ac:dyDescent="0.25">
      <c r="A124" s="164"/>
      <c r="B124" s="164"/>
      <c r="C124" s="164"/>
      <c r="D124" s="164"/>
      <c r="E124" s="164"/>
      <c r="F124" s="164"/>
      <c r="G124" s="164"/>
      <c r="H124" s="164"/>
      <c r="I124" s="164"/>
      <c r="J124" s="164"/>
      <c r="K124" s="164"/>
      <c r="L124" s="164"/>
    </row>
    <row r="125" spans="1:12" x14ac:dyDescent="0.25">
      <c r="A125" s="164"/>
      <c r="B125" s="164"/>
      <c r="C125" s="164"/>
      <c r="D125" s="164"/>
      <c r="E125" s="164"/>
      <c r="F125" s="164"/>
      <c r="G125" s="164"/>
      <c r="H125" s="164"/>
      <c r="I125" s="164"/>
      <c r="J125" s="164"/>
      <c r="K125" s="164"/>
      <c r="L125" s="164"/>
    </row>
    <row r="126" spans="1:12" x14ac:dyDescent="0.25">
      <c r="A126" s="164"/>
      <c r="B126" s="164"/>
      <c r="C126" s="164"/>
      <c r="D126" s="164"/>
      <c r="E126" s="164"/>
      <c r="F126" s="164"/>
      <c r="G126" s="164"/>
      <c r="H126" s="164"/>
      <c r="I126" s="164"/>
      <c r="J126" s="164"/>
      <c r="K126" s="164"/>
      <c r="L126" s="164"/>
    </row>
    <row r="127" spans="1:12" x14ac:dyDescent="0.25">
      <c r="A127" s="164"/>
      <c r="B127" s="164"/>
      <c r="C127" s="164"/>
      <c r="D127" s="164"/>
      <c r="E127" s="164"/>
      <c r="F127" s="164"/>
      <c r="G127" s="164"/>
      <c r="H127" s="164"/>
      <c r="I127" s="164"/>
      <c r="J127" s="164"/>
      <c r="K127" s="164"/>
      <c r="L127" s="164"/>
    </row>
    <row r="128" spans="1:12" x14ac:dyDescent="0.25">
      <c r="A128" s="164"/>
      <c r="B128" s="164"/>
      <c r="C128" s="164"/>
      <c r="D128" s="164"/>
      <c r="E128" s="164"/>
      <c r="F128" s="164"/>
      <c r="G128" s="164"/>
      <c r="H128" s="164"/>
      <c r="I128" s="164"/>
      <c r="J128" s="164"/>
      <c r="K128" s="164"/>
      <c r="L128" s="164"/>
    </row>
    <row r="129" spans="1:12" x14ac:dyDescent="0.25">
      <c r="A129" s="164"/>
      <c r="B129" s="164"/>
      <c r="C129" s="164"/>
      <c r="D129" s="164"/>
      <c r="E129" s="164"/>
      <c r="F129" s="164"/>
      <c r="G129" s="164"/>
      <c r="H129" s="164"/>
      <c r="I129" s="164"/>
      <c r="J129" s="164"/>
      <c r="K129" s="164"/>
      <c r="L129" s="164"/>
    </row>
    <row r="130" spans="1:12" x14ac:dyDescent="0.25">
      <c r="A130" s="164"/>
      <c r="B130" s="164"/>
      <c r="C130" s="164"/>
      <c r="D130" s="164"/>
      <c r="E130" s="164"/>
      <c r="F130" s="164"/>
      <c r="G130" s="164"/>
      <c r="H130" s="164"/>
      <c r="I130" s="164"/>
      <c r="J130" s="164"/>
      <c r="K130" s="164"/>
      <c r="L130" s="164"/>
    </row>
    <row r="131" spans="1:12" x14ac:dyDescent="0.25">
      <c r="A131" s="164"/>
      <c r="B131" s="164"/>
      <c r="C131" s="164"/>
      <c r="D131" s="164"/>
      <c r="E131" s="164"/>
      <c r="F131" s="164"/>
      <c r="G131" s="164"/>
      <c r="H131" s="164"/>
      <c r="I131" s="164"/>
      <c r="J131" s="164"/>
      <c r="K131" s="164"/>
      <c r="L131" s="164"/>
    </row>
    <row r="132" spans="1:12" x14ac:dyDescent="0.25">
      <c r="A132" s="164"/>
      <c r="B132" s="164"/>
      <c r="C132" s="164"/>
      <c r="D132" s="164"/>
      <c r="E132" s="164"/>
      <c r="F132" s="164"/>
      <c r="G132" s="164"/>
      <c r="H132" s="164"/>
      <c r="I132" s="164"/>
      <c r="J132" s="164"/>
      <c r="K132" s="164"/>
      <c r="L132" s="164"/>
    </row>
    <row r="133" spans="1:12" x14ac:dyDescent="0.25">
      <c r="A133" s="164"/>
      <c r="B133" s="164"/>
      <c r="C133" s="164"/>
      <c r="D133" s="164"/>
      <c r="E133" s="164"/>
      <c r="F133" s="164"/>
      <c r="G133" s="164"/>
      <c r="H133" s="164"/>
      <c r="I133" s="164"/>
      <c r="J133" s="164"/>
      <c r="K133" s="164"/>
      <c r="L133" s="164"/>
    </row>
    <row r="134" spans="1:12" x14ac:dyDescent="0.25">
      <c r="A134" s="164"/>
      <c r="B134" s="164"/>
      <c r="C134" s="164"/>
      <c r="D134" s="164"/>
      <c r="E134" s="164"/>
      <c r="F134" s="164"/>
      <c r="G134" s="164"/>
      <c r="H134" s="164"/>
      <c r="I134" s="164"/>
      <c r="J134" s="164"/>
      <c r="K134" s="164"/>
      <c r="L134" s="164"/>
    </row>
    <row r="135" spans="1:12" x14ac:dyDescent="0.25">
      <c r="A135" s="164"/>
      <c r="B135" s="164"/>
      <c r="C135" s="164"/>
      <c r="D135" s="164"/>
      <c r="E135" s="164"/>
      <c r="F135" s="164"/>
      <c r="G135" s="164"/>
      <c r="H135" s="164"/>
      <c r="I135" s="164"/>
      <c r="J135" s="164"/>
      <c r="K135" s="164"/>
      <c r="L135" s="164"/>
    </row>
    <row r="136" spans="1:12" x14ac:dyDescent="0.25">
      <c r="A136" s="164"/>
      <c r="B136" s="164"/>
      <c r="C136" s="164"/>
      <c r="D136" s="164"/>
      <c r="E136" s="164"/>
      <c r="F136" s="164"/>
      <c r="G136" s="164"/>
      <c r="H136" s="164"/>
      <c r="I136" s="164"/>
      <c r="J136" s="164"/>
      <c r="K136" s="164"/>
      <c r="L136" s="164"/>
    </row>
    <row r="137" spans="1:12" x14ac:dyDescent="0.25">
      <c r="A137" s="164"/>
      <c r="B137" s="164"/>
      <c r="C137" s="164"/>
      <c r="D137" s="164"/>
      <c r="E137" s="164"/>
      <c r="F137" s="164"/>
      <c r="G137" s="164"/>
      <c r="H137" s="164"/>
      <c r="I137" s="164"/>
      <c r="J137" s="164"/>
      <c r="K137" s="164"/>
      <c r="L137" s="164"/>
    </row>
    <row r="138" spans="1:12" x14ac:dyDescent="0.25">
      <c r="A138" s="164"/>
      <c r="B138" s="164"/>
      <c r="C138" s="164"/>
      <c r="D138" s="164"/>
      <c r="E138" s="164"/>
      <c r="F138" s="164"/>
      <c r="G138" s="164"/>
      <c r="H138" s="164"/>
      <c r="I138" s="164"/>
      <c r="J138" s="164"/>
      <c r="K138" s="164"/>
      <c r="L138" s="164"/>
    </row>
    <row r="139" spans="1:12" x14ac:dyDescent="0.25">
      <c r="A139" s="164"/>
      <c r="B139" s="164"/>
      <c r="C139" s="164"/>
      <c r="D139" s="164"/>
      <c r="E139" s="164"/>
      <c r="F139" s="164"/>
      <c r="G139" s="164"/>
      <c r="H139" s="164"/>
      <c r="I139" s="164"/>
      <c r="J139" s="164"/>
      <c r="K139" s="164"/>
      <c r="L139" s="164"/>
    </row>
    <row r="140" spans="1:12" x14ac:dyDescent="0.25">
      <c r="A140" s="164"/>
      <c r="B140" s="164"/>
      <c r="C140" s="164"/>
      <c r="D140" s="164"/>
      <c r="E140" s="164"/>
      <c r="F140" s="164"/>
      <c r="G140" s="164"/>
      <c r="H140" s="164"/>
      <c r="I140" s="164"/>
      <c r="J140" s="164"/>
      <c r="K140" s="164"/>
      <c r="L140" s="164"/>
    </row>
    <row r="141" spans="1:12" x14ac:dyDescent="0.25">
      <c r="A141" s="164"/>
      <c r="B141" s="164"/>
      <c r="C141" s="164"/>
      <c r="D141" s="164"/>
      <c r="E141" s="164"/>
      <c r="F141" s="164"/>
      <c r="G141" s="164"/>
      <c r="H141" s="164"/>
      <c r="I141" s="164"/>
      <c r="J141" s="164"/>
      <c r="K141" s="164"/>
      <c r="L141" s="164"/>
    </row>
    <row r="142" spans="1:12" x14ac:dyDescent="0.25">
      <c r="A142" s="164"/>
      <c r="B142" s="164"/>
      <c r="C142" s="164"/>
      <c r="D142" s="164"/>
      <c r="E142" s="164"/>
      <c r="F142" s="164"/>
      <c r="G142" s="164"/>
      <c r="H142" s="164"/>
      <c r="I142" s="164"/>
      <c r="J142" s="164"/>
      <c r="K142" s="164"/>
      <c r="L142" s="164"/>
    </row>
    <row r="143" spans="1:12" x14ac:dyDescent="0.25">
      <c r="A143" s="164"/>
      <c r="B143" s="164"/>
      <c r="C143" s="164"/>
      <c r="D143" s="164"/>
      <c r="E143" s="164"/>
      <c r="F143" s="164"/>
      <c r="G143" s="164"/>
      <c r="H143" s="164"/>
      <c r="I143" s="164"/>
      <c r="J143" s="164"/>
      <c r="K143" s="164"/>
      <c r="L143" s="164"/>
    </row>
    <row r="144" spans="1:12" x14ac:dyDescent="0.25">
      <c r="A144" s="164"/>
      <c r="B144" s="164"/>
      <c r="C144" s="164"/>
      <c r="D144" s="164"/>
      <c r="E144" s="164"/>
      <c r="F144" s="164"/>
      <c r="G144" s="164"/>
      <c r="H144" s="164"/>
      <c r="I144" s="164"/>
      <c r="J144" s="164"/>
      <c r="K144" s="164"/>
      <c r="L144" s="164"/>
    </row>
    <row r="145" spans="1:12" x14ac:dyDescent="0.25">
      <c r="A145" s="164"/>
      <c r="B145" s="164"/>
      <c r="C145" s="164"/>
      <c r="D145" s="164"/>
      <c r="E145" s="164"/>
      <c r="F145" s="164"/>
      <c r="G145" s="164"/>
      <c r="H145" s="164"/>
      <c r="I145" s="164"/>
      <c r="J145" s="164"/>
      <c r="K145" s="164"/>
      <c r="L145" s="164"/>
    </row>
    <row r="146" spans="1:12" x14ac:dyDescent="0.25">
      <c r="A146" s="164"/>
      <c r="B146" s="164"/>
      <c r="C146" s="164"/>
      <c r="D146" s="164"/>
      <c r="E146" s="164"/>
      <c r="F146" s="164"/>
      <c r="G146" s="164"/>
      <c r="H146" s="164"/>
      <c r="I146" s="164"/>
      <c r="J146" s="164"/>
      <c r="K146" s="164"/>
      <c r="L146" s="164"/>
    </row>
    <row r="147" spans="1:12" x14ac:dyDescent="0.25">
      <c r="A147" s="164"/>
      <c r="B147" s="164"/>
      <c r="C147" s="164"/>
      <c r="D147" s="164"/>
      <c r="E147" s="164"/>
      <c r="F147" s="164"/>
      <c r="G147" s="164"/>
      <c r="H147" s="164"/>
      <c r="I147" s="164"/>
      <c r="J147" s="164"/>
      <c r="K147" s="164"/>
      <c r="L147" s="164"/>
    </row>
    <row r="148" spans="1:12" x14ac:dyDescent="0.25">
      <c r="A148" s="164"/>
      <c r="B148" s="164"/>
      <c r="C148" s="164"/>
      <c r="D148" s="164"/>
      <c r="E148" s="164"/>
      <c r="F148" s="164"/>
      <c r="G148" s="164"/>
      <c r="H148" s="164"/>
      <c r="I148" s="164"/>
      <c r="J148" s="164"/>
      <c r="K148" s="164"/>
      <c r="L148" s="164"/>
    </row>
    <row r="149" spans="1:12" x14ac:dyDescent="0.25">
      <c r="A149" s="164"/>
      <c r="B149" s="164"/>
      <c r="C149" s="164"/>
      <c r="D149" s="164"/>
      <c r="E149" s="164"/>
      <c r="F149" s="164"/>
      <c r="G149" s="164"/>
      <c r="H149" s="164"/>
      <c r="I149" s="164"/>
      <c r="J149" s="164"/>
      <c r="K149" s="164"/>
      <c r="L149" s="164"/>
    </row>
    <row r="150" spans="1:12" x14ac:dyDescent="0.25">
      <c r="A150" s="164"/>
      <c r="B150" s="164"/>
      <c r="C150" s="164"/>
      <c r="D150" s="164"/>
      <c r="E150" s="164"/>
      <c r="F150" s="164"/>
      <c r="G150" s="164"/>
      <c r="H150" s="164"/>
      <c r="I150" s="164"/>
      <c r="J150" s="164"/>
      <c r="K150" s="164"/>
      <c r="L150" s="164"/>
    </row>
    <row r="151" spans="1:12" x14ac:dyDescent="0.25">
      <c r="A151" s="164"/>
      <c r="B151" s="164"/>
      <c r="C151" s="164"/>
      <c r="D151" s="164"/>
      <c r="E151" s="164"/>
      <c r="F151" s="164"/>
      <c r="G151" s="164"/>
      <c r="H151" s="164"/>
      <c r="I151" s="164"/>
      <c r="J151" s="164"/>
      <c r="K151" s="164"/>
      <c r="L151" s="164"/>
    </row>
    <row r="152" spans="1:12" x14ac:dyDescent="0.25">
      <c r="A152" s="164"/>
      <c r="B152" s="164"/>
      <c r="C152" s="164"/>
      <c r="D152" s="164"/>
      <c r="E152" s="164"/>
      <c r="F152" s="164"/>
      <c r="G152" s="164"/>
      <c r="H152" s="164"/>
      <c r="I152" s="164"/>
      <c r="J152" s="164"/>
      <c r="K152" s="164"/>
      <c r="L152" s="164"/>
    </row>
    <row r="153" spans="1:12" x14ac:dyDescent="0.25">
      <c r="A153" s="164"/>
      <c r="B153" s="164"/>
      <c r="C153" s="164"/>
      <c r="D153" s="164"/>
      <c r="E153" s="164"/>
      <c r="F153" s="164"/>
      <c r="G153" s="164"/>
      <c r="H153" s="164"/>
      <c r="I153" s="164"/>
      <c r="J153" s="164"/>
      <c r="K153" s="164"/>
      <c r="L153" s="164"/>
    </row>
    <row r="154" spans="1:12" x14ac:dyDescent="0.25">
      <c r="A154" s="164"/>
      <c r="B154" s="164"/>
      <c r="C154" s="164"/>
      <c r="D154" s="164"/>
      <c r="E154" s="164"/>
      <c r="F154" s="164"/>
      <c r="G154" s="164"/>
      <c r="H154" s="164"/>
      <c r="I154" s="164"/>
      <c r="J154" s="164"/>
      <c r="K154" s="164"/>
      <c r="L154" s="164"/>
    </row>
    <row r="155" spans="1:12" x14ac:dyDescent="0.25">
      <c r="A155" s="164"/>
      <c r="B155" s="164"/>
      <c r="C155" s="164"/>
      <c r="D155" s="164"/>
      <c r="E155" s="164"/>
      <c r="F155" s="164"/>
      <c r="G155" s="164"/>
      <c r="H155" s="164"/>
      <c r="I155" s="164"/>
      <c r="J155" s="164"/>
      <c r="K155" s="164"/>
      <c r="L155" s="164"/>
    </row>
    <row r="156" spans="1:12" x14ac:dyDescent="0.25">
      <c r="A156" s="164"/>
      <c r="B156" s="164"/>
      <c r="C156" s="164"/>
      <c r="D156" s="164"/>
      <c r="E156" s="164"/>
      <c r="F156" s="164"/>
      <c r="G156" s="164"/>
      <c r="H156" s="164"/>
      <c r="I156" s="164"/>
      <c r="J156" s="164"/>
      <c r="K156" s="164"/>
      <c r="L156" s="164"/>
    </row>
    <row r="157" spans="1:12" x14ac:dyDescent="0.25">
      <c r="A157" s="164"/>
      <c r="B157" s="164"/>
      <c r="C157" s="164"/>
      <c r="D157" s="164"/>
      <c r="E157" s="164"/>
      <c r="F157" s="164"/>
      <c r="G157" s="164"/>
      <c r="H157" s="164"/>
      <c r="I157" s="164"/>
      <c r="J157" s="164"/>
      <c r="K157" s="164"/>
      <c r="L157" s="164"/>
    </row>
    <row r="158" spans="1:12" x14ac:dyDescent="0.25">
      <c r="A158" s="164"/>
      <c r="B158" s="164"/>
      <c r="C158" s="164"/>
      <c r="D158" s="164"/>
      <c r="E158" s="164"/>
      <c r="F158" s="164"/>
      <c r="G158" s="164"/>
      <c r="H158" s="164"/>
      <c r="I158" s="164"/>
      <c r="J158" s="164"/>
      <c r="K158" s="164"/>
      <c r="L158" s="164"/>
    </row>
    <row r="159" spans="1:12" x14ac:dyDescent="0.25">
      <c r="A159" s="164"/>
      <c r="B159" s="164"/>
      <c r="C159" s="164"/>
      <c r="D159" s="164"/>
      <c r="E159" s="164"/>
      <c r="F159" s="164"/>
      <c r="G159" s="164"/>
      <c r="H159" s="164"/>
      <c r="I159" s="164"/>
      <c r="J159" s="164"/>
      <c r="K159" s="164"/>
      <c r="L159" s="164"/>
    </row>
    <row r="160" spans="1:12" x14ac:dyDescent="0.25">
      <c r="A160" s="164"/>
      <c r="B160" s="164"/>
      <c r="C160" s="164"/>
      <c r="D160" s="164"/>
      <c r="E160" s="164"/>
      <c r="F160" s="164"/>
      <c r="G160" s="164"/>
      <c r="H160" s="164"/>
      <c r="I160" s="164"/>
      <c r="J160" s="164"/>
      <c r="K160" s="164"/>
      <c r="L160" s="164"/>
    </row>
    <row r="161" spans="1:12" x14ac:dyDescent="0.25">
      <c r="A161" s="164"/>
      <c r="B161" s="164"/>
      <c r="C161" s="164"/>
      <c r="D161" s="164"/>
      <c r="E161" s="164"/>
      <c r="F161" s="164"/>
      <c r="G161" s="164"/>
      <c r="H161" s="164"/>
      <c r="I161" s="164"/>
      <c r="J161" s="164"/>
      <c r="K161" s="164"/>
      <c r="L161" s="164"/>
    </row>
    <row r="162" spans="1:12" x14ac:dyDescent="0.25">
      <c r="A162" s="164"/>
      <c r="B162" s="164"/>
      <c r="C162" s="164"/>
      <c r="D162" s="164"/>
      <c r="E162" s="164"/>
      <c r="F162" s="164"/>
      <c r="G162" s="164"/>
      <c r="H162" s="164"/>
      <c r="I162" s="164"/>
      <c r="J162" s="164"/>
      <c r="K162" s="164"/>
      <c r="L162" s="164"/>
    </row>
    <row r="163" spans="1:12" x14ac:dyDescent="0.25">
      <c r="A163" s="164"/>
      <c r="B163" s="164"/>
      <c r="C163" s="164"/>
      <c r="D163" s="164"/>
      <c r="E163" s="164"/>
      <c r="F163" s="164"/>
      <c r="G163" s="164"/>
      <c r="H163" s="164"/>
      <c r="I163" s="164"/>
      <c r="J163" s="164"/>
      <c r="K163" s="164"/>
      <c r="L163" s="164"/>
    </row>
    <row r="164" spans="1:12" x14ac:dyDescent="0.25">
      <c r="A164" s="164"/>
      <c r="B164" s="164"/>
      <c r="C164" s="164"/>
      <c r="D164" s="164"/>
      <c r="E164" s="164"/>
      <c r="F164" s="164"/>
      <c r="G164" s="164"/>
      <c r="H164" s="164"/>
      <c r="I164" s="164"/>
      <c r="J164" s="164"/>
      <c r="K164" s="164"/>
      <c r="L164" s="164"/>
    </row>
    <row r="165" spans="1:12" x14ac:dyDescent="0.25">
      <c r="A165" s="164"/>
      <c r="B165" s="164"/>
      <c r="C165" s="164"/>
      <c r="D165" s="164"/>
      <c r="E165" s="164"/>
      <c r="F165" s="164"/>
      <c r="G165" s="164"/>
      <c r="H165" s="164"/>
      <c r="I165" s="164"/>
      <c r="J165" s="164"/>
      <c r="K165" s="164"/>
      <c r="L165" s="164"/>
    </row>
    <row r="166" spans="1:12" x14ac:dyDescent="0.25">
      <c r="A166" s="164"/>
      <c r="B166" s="164"/>
      <c r="C166" s="164"/>
      <c r="D166" s="164"/>
      <c r="E166" s="164"/>
      <c r="F166" s="164"/>
      <c r="G166" s="164"/>
      <c r="H166" s="164"/>
      <c r="I166" s="164"/>
      <c r="J166" s="164"/>
      <c r="K166" s="164"/>
      <c r="L166" s="164"/>
    </row>
    <row r="167" spans="1:12" x14ac:dyDescent="0.25">
      <c r="A167" s="164"/>
      <c r="B167" s="164"/>
      <c r="C167" s="164"/>
      <c r="D167" s="164"/>
      <c r="E167" s="164"/>
      <c r="F167" s="164"/>
      <c r="G167" s="164"/>
      <c r="H167" s="164"/>
      <c r="I167" s="164"/>
      <c r="J167" s="164"/>
      <c r="K167" s="164"/>
      <c r="L167" s="164"/>
    </row>
    <row r="168" spans="1:12" x14ac:dyDescent="0.25">
      <c r="A168" s="164"/>
      <c r="B168" s="164"/>
      <c r="C168" s="164"/>
      <c r="D168" s="164"/>
      <c r="E168" s="164"/>
      <c r="F168" s="164"/>
      <c r="G168" s="164"/>
      <c r="H168" s="164"/>
      <c r="I168" s="164"/>
      <c r="J168" s="164"/>
      <c r="K168" s="164"/>
      <c r="L168" s="164"/>
    </row>
    <row r="169" spans="1:12" x14ac:dyDescent="0.25">
      <c r="A169" s="164"/>
      <c r="B169" s="164"/>
      <c r="C169" s="164"/>
      <c r="D169" s="164"/>
      <c r="E169" s="164"/>
      <c r="F169" s="164"/>
      <c r="G169" s="164"/>
      <c r="H169" s="164"/>
      <c r="I169" s="164"/>
      <c r="J169" s="164"/>
      <c r="K169" s="164"/>
      <c r="L169" s="164"/>
    </row>
    <row r="170" spans="1:12" x14ac:dyDescent="0.25">
      <c r="A170" s="164"/>
      <c r="B170" s="164"/>
      <c r="C170" s="164"/>
      <c r="D170" s="164"/>
      <c r="E170" s="164"/>
      <c r="F170" s="164"/>
      <c r="G170" s="164"/>
      <c r="H170" s="164"/>
      <c r="I170" s="164"/>
      <c r="J170" s="164"/>
      <c r="K170" s="164"/>
      <c r="L170" s="164"/>
    </row>
    <row r="171" spans="1:12" x14ac:dyDescent="0.25">
      <c r="A171" s="164"/>
      <c r="B171" s="164"/>
      <c r="C171" s="164"/>
      <c r="D171" s="164"/>
      <c r="E171" s="164"/>
      <c r="F171" s="164"/>
      <c r="G171" s="164"/>
      <c r="H171" s="164"/>
      <c r="I171" s="164"/>
      <c r="J171" s="164"/>
      <c r="K171" s="164"/>
      <c r="L171" s="164"/>
    </row>
    <row r="172" spans="1:12" x14ac:dyDescent="0.25">
      <c r="A172" s="164"/>
      <c r="B172" s="164"/>
      <c r="C172" s="164"/>
      <c r="D172" s="164"/>
      <c r="E172" s="164"/>
      <c r="F172" s="164"/>
      <c r="G172" s="164"/>
      <c r="H172" s="164"/>
      <c r="I172" s="164"/>
      <c r="J172" s="164"/>
      <c r="K172" s="164"/>
      <c r="L172" s="164"/>
    </row>
    <row r="173" spans="1:12" x14ac:dyDescent="0.25">
      <c r="A173" s="164"/>
      <c r="B173" s="164"/>
      <c r="C173" s="164"/>
      <c r="D173" s="164"/>
      <c r="E173" s="164"/>
      <c r="F173" s="164"/>
      <c r="G173" s="164"/>
      <c r="H173" s="164"/>
      <c r="I173" s="164"/>
      <c r="J173" s="164"/>
      <c r="K173" s="164"/>
      <c r="L173" s="164"/>
    </row>
    <row r="174" spans="1:12" x14ac:dyDescent="0.25">
      <c r="A174" s="164"/>
      <c r="B174" s="164"/>
      <c r="C174" s="164"/>
      <c r="D174" s="164"/>
      <c r="E174" s="164"/>
      <c r="F174" s="164"/>
      <c r="G174" s="164"/>
      <c r="H174" s="164"/>
      <c r="I174" s="164"/>
      <c r="J174" s="164"/>
      <c r="K174" s="164"/>
      <c r="L174" s="164"/>
    </row>
    <row r="175" spans="1:12" x14ac:dyDescent="0.25">
      <c r="A175" s="164"/>
      <c r="B175" s="164"/>
      <c r="C175" s="164"/>
      <c r="D175" s="164"/>
      <c r="E175" s="164"/>
      <c r="F175" s="164"/>
      <c r="G175" s="164"/>
      <c r="H175" s="164"/>
      <c r="I175" s="164"/>
      <c r="J175" s="164"/>
      <c r="K175" s="164"/>
      <c r="L175" s="164"/>
    </row>
    <row r="176" spans="1:12" x14ac:dyDescent="0.25">
      <c r="A176" s="164"/>
      <c r="B176" s="164"/>
      <c r="C176" s="164"/>
      <c r="D176" s="164"/>
      <c r="E176" s="164"/>
      <c r="F176" s="164"/>
      <c r="G176" s="164"/>
      <c r="H176" s="164"/>
      <c r="I176" s="164"/>
      <c r="J176" s="164"/>
      <c r="K176" s="164"/>
      <c r="L176" s="164"/>
    </row>
    <row r="177" spans="1:12" x14ac:dyDescent="0.25">
      <c r="A177" s="164"/>
      <c r="B177" s="164"/>
      <c r="C177" s="164"/>
      <c r="D177" s="164"/>
      <c r="E177" s="164"/>
      <c r="F177" s="164"/>
      <c r="G177" s="164"/>
      <c r="H177" s="164"/>
      <c r="I177" s="164"/>
      <c r="J177" s="164"/>
      <c r="K177" s="164"/>
      <c r="L177" s="164"/>
    </row>
    <row r="178" spans="1:12" x14ac:dyDescent="0.25">
      <c r="A178" s="164"/>
      <c r="B178" s="164"/>
      <c r="C178" s="164"/>
      <c r="D178" s="164"/>
      <c r="E178" s="164"/>
      <c r="F178" s="164"/>
      <c r="G178" s="164"/>
      <c r="H178" s="164"/>
      <c r="I178" s="164"/>
      <c r="J178" s="164"/>
      <c r="K178" s="164"/>
      <c r="L178" s="164"/>
    </row>
    <row r="179" spans="1:12" x14ac:dyDescent="0.25">
      <c r="A179" s="164"/>
      <c r="B179" s="164"/>
      <c r="C179" s="164"/>
      <c r="D179" s="164"/>
      <c r="E179" s="164"/>
      <c r="F179" s="164"/>
      <c r="G179" s="164"/>
      <c r="H179" s="164"/>
      <c r="I179" s="164"/>
      <c r="J179" s="164"/>
      <c r="K179" s="164"/>
      <c r="L179" s="164"/>
    </row>
    <row r="180" spans="1:12" x14ac:dyDescent="0.25">
      <c r="A180" s="164"/>
      <c r="B180" s="164"/>
      <c r="C180" s="164"/>
      <c r="D180" s="164"/>
      <c r="E180" s="164"/>
      <c r="F180" s="164"/>
      <c r="G180" s="164"/>
      <c r="H180" s="164"/>
      <c r="I180" s="164"/>
      <c r="J180" s="164"/>
      <c r="K180" s="164"/>
      <c r="L180" s="164"/>
    </row>
    <row r="181" spans="1:12" x14ac:dyDescent="0.25">
      <c r="A181" s="164"/>
      <c r="B181" s="164"/>
      <c r="C181" s="164"/>
      <c r="D181" s="164"/>
      <c r="E181" s="164"/>
      <c r="F181" s="164"/>
      <c r="G181" s="164"/>
      <c r="H181" s="164"/>
      <c r="I181" s="164"/>
      <c r="J181" s="164"/>
      <c r="K181" s="164"/>
      <c r="L181" s="164"/>
    </row>
    <row r="182" spans="1:12" x14ac:dyDescent="0.25">
      <c r="A182" s="164"/>
      <c r="B182" s="164"/>
      <c r="C182" s="164"/>
      <c r="D182" s="164"/>
      <c r="E182" s="164"/>
      <c r="F182" s="164"/>
      <c r="G182" s="164"/>
      <c r="H182" s="164"/>
      <c r="I182" s="164"/>
      <c r="J182" s="164"/>
      <c r="K182" s="164"/>
      <c r="L182" s="164"/>
    </row>
    <row r="183" spans="1:12" x14ac:dyDescent="0.25">
      <c r="A183" s="164"/>
      <c r="B183" s="164"/>
      <c r="C183" s="164"/>
      <c r="D183" s="164"/>
      <c r="E183" s="164"/>
      <c r="F183" s="164"/>
      <c r="G183" s="164"/>
      <c r="H183" s="164"/>
      <c r="I183" s="164"/>
      <c r="J183" s="164"/>
      <c r="K183" s="164"/>
      <c r="L183" s="164"/>
    </row>
    <row r="184" spans="1:12" x14ac:dyDescent="0.25">
      <c r="A184" s="164"/>
      <c r="B184" s="164"/>
      <c r="C184" s="164"/>
      <c r="D184" s="164"/>
      <c r="E184" s="164"/>
      <c r="F184" s="164"/>
      <c r="G184" s="164"/>
      <c r="H184" s="164"/>
      <c r="I184" s="164"/>
      <c r="J184" s="164"/>
      <c r="K184" s="164"/>
      <c r="L184" s="164"/>
    </row>
    <row r="185" spans="1:12" x14ac:dyDescent="0.25">
      <c r="A185" s="164"/>
      <c r="B185" s="164"/>
      <c r="C185" s="164"/>
      <c r="D185" s="164"/>
      <c r="E185" s="164"/>
      <c r="F185" s="164"/>
      <c r="G185" s="164"/>
      <c r="H185" s="164"/>
      <c r="I185" s="164"/>
      <c r="J185" s="164"/>
      <c r="K185" s="164"/>
      <c r="L185" s="164"/>
    </row>
    <row r="186" spans="1:12" x14ac:dyDescent="0.25">
      <c r="A186" s="164"/>
      <c r="B186" s="164"/>
      <c r="C186" s="164"/>
      <c r="D186" s="164"/>
      <c r="E186" s="164"/>
      <c r="F186" s="164"/>
      <c r="G186" s="164"/>
      <c r="H186" s="164"/>
      <c r="I186" s="164"/>
      <c r="J186" s="164"/>
      <c r="K186" s="164"/>
      <c r="L186" s="164"/>
    </row>
    <row r="187" spans="1:12" x14ac:dyDescent="0.25">
      <c r="A187" s="164"/>
      <c r="B187" s="164"/>
      <c r="C187" s="164"/>
      <c r="D187" s="164"/>
      <c r="E187" s="164"/>
      <c r="F187" s="164"/>
      <c r="G187" s="164"/>
      <c r="H187" s="164"/>
      <c r="I187" s="164"/>
      <c r="J187" s="164"/>
      <c r="K187" s="164"/>
      <c r="L187" s="164"/>
    </row>
    <row r="188" spans="1:12" x14ac:dyDescent="0.25">
      <c r="A188" s="164"/>
      <c r="B188" s="164"/>
      <c r="C188" s="164"/>
      <c r="D188" s="164"/>
      <c r="E188" s="164"/>
      <c r="F188" s="164"/>
      <c r="G188" s="164"/>
      <c r="H188" s="164"/>
      <c r="I188" s="164"/>
      <c r="J188" s="164"/>
      <c r="K188" s="164"/>
      <c r="L188" s="164"/>
    </row>
    <row r="189" spans="1:12" x14ac:dyDescent="0.25">
      <c r="A189" s="164"/>
      <c r="B189" s="164"/>
      <c r="C189" s="164"/>
      <c r="D189" s="164"/>
      <c r="E189" s="164"/>
      <c r="F189" s="164"/>
      <c r="G189" s="164"/>
      <c r="H189" s="164"/>
      <c r="I189" s="164"/>
      <c r="J189" s="164"/>
      <c r="K189" s="164"/>
      <c r="L189" s="164"/>
    </row>
    <row r="190" spans="1:12" x14ac:dyDescent="0.25">
      <c r="A190" s="164"/>
      <c r="B190" s="164"/>
      <c r="C190" s="164"/>
      <c r="D190" s="164"/>
      <c r="E190" s="164"/>
      <c r="F190" s="164"/>
      <c r="G190" s="164"/>
      <c r="H190" s="164"/>
      <c r="I190" s="164"/>
      <c r="J190" s="164"/>
      <c r="K190" s="164"/>
      <c r="L190" s="164"/>
    </row>
    <row r="191" spans="1:12" x14ac:dyDescent="0.25">
      <c r="A191" s="164"/>
      <c r="B191" s="164"/>
      <c r="C191" s="164"/>
      <c r="D191" s="164"/>
      <c r="E191" s="164"/>
      <c r="F191" s="164"/>
      <c r="G191" s="164"/>
      <c r="H191" s="164"/>
      <c r="I191" s="164"/>
      <c r="J191" s="164"/>
      <c r="K191" s="164"/>
      <c r="L191" s="164"/>
    </row>
    <row r="192" spans="1:12" x14ac:dyDescent="0.25">
      <c r="A192" s="164"/>
      <c r="B192" s="164"/>
      <c r="C192" s="164"/>
      <c r="D192" s="164"/>
      <c r="E192" s="164"/>
      <c r="F192" s="164"/>
      <c r="G192" s="164"/>
      <c r="H192" s="164"/>
      <c r="I192" s="164"/>
      <c r="J192" s="164"/>
      <c r="K192" s="164"/>
      <c r="L192" s="164"/>
    </row>
    <row r="193" spans="1:12" x14ac:dyDescent="0.25">
      <c r="A193" s="164"/>
      <c r="B193" s="164"/>
      <c r="C193" s="164"/>
      <c r="D193" s="164"/>
      <c r="E193" s="164"/>
      <c r="F193" s="164"/>
      <c r="G193" s="164"/>
      <c r="H193" s="164"/>
      <c r="I193" s="164"/>
      <c r="J193" s="164"/>
      <c r="K193" s="164"/>
      <c r="L193" s="164"/>
    </row>
    <row r="194" spans="1:12" x14ac:dyDescent="0.25">
      <c r="A194" s="164"/>
      <c r="B194" s="164"/>
      <c r="C194" s="164"/>
      <c r="D194" s="164"/>
      <c r="E194" s="164"/>
      <c r="F194" s="164"/>
      <c r="G194" s="164"/>
      <c r="H194" s="164"/>
      <c r="I194" s="164"/>
      <c r="J194" s="164"/>
      <c r="K194" s="164"/>
      <c r="L194" s="164"/>
    </row>
    <row r="195" spans="1:12" x14ac:dyDescent="0.25">
      <c r="A195" s="164"/>
      <c r="B195" s="164"/>
      <c r="C195" s="164"/>
      <c r="D195" s="164"/>
      <c r="E195" s="164"/>
      <c r="F195" s="164"/>
      <c r="G195" s="164"/>
      <c r="H195" s="164"/>
      <c r="I195" s="164"/>
      <c r="J195" s="164"/>
      <c r="K195" s="164"/>
      <c r="L195" s="164"/>
    </row>
    <row r="196" spans="1:12" x14ac:dyDescent="0.25">
      <c r="A196" s="164"/>
      <c r="B196" s="164"/>
      <c r="C196" s="164"/>
      <c r="D196" s="164"/>
      <c r="E196" s="164"/>
      <c r="F196" s="164"/>
      <c r="G196" s="164"/>
      <c r="H196" s="164"/>
      <c r="I196" s="164"/>
      <c r="J196" s="164"/>
      <c r="K196" s="164"/>
      <c r="L196" s="164"/>
    </row>
    <row r="197" spans="1:12" x14ac:dyDescent="0.25">
      <c r="A197" s="164"/>
      <c r="B197" s="164"/>
      <c r="C197" s="164"/>
      <c r="D197" s="164"/>
      <c r="E197" s="164"/>
      <c r="F197" s="164"/>
      <c r="G197" s="164"/>
      <c r="H197" s="164"/>
      <c r="I197" s="164"/>
      <c r="J197" s="164"/>
      <c r="K197" s="164"/>
      <c r="L197" s="164"/>
    </row>
    <row r="198" spans="1:12" x14ac:dyDescent="0.25">
      <c r="A198" s="164"/>
      <c r="B198" s="164"/>
      <c r="C198" s="164"/>
      <c r="D198" s="164"/>
      <c r="E198" s="164"/>
      <c r="F198" s="164"/>
      <c r="G198" s="164"/>
      <c r="H198" s="164"/>
      <c r="I198" s="164"/>
      <c r="J198" s="164"/>
      <c r="K198" s="164"/>
      <c r="L198" s="164"/>
    </row>
    <row r="199" spans="1:12" x14ac:dyDescent="0.25">
      <c r="A199" s="164"/>
      <c r="B199" s="164"/>
      <c r="C199" s="164"/>
      <c r="D199" s="164"/>
      <c r="E199" s="164"/>
      <c r="F199" s="164"/>
      <c r="G199" s="164"/>
      <c r="H199" s="164"/>
      <c r="I199" s="164"/>
      <c r="J199" s="164"/>
      <c r="K199" s="164"/>
      <c r="L199" s="164"/>
    </row>
    <row r="200" spans="1:12" x14ac:dyDescent="0.25">
      <c r="A200" s="164"/>
      <c r="B200" s="164"/>
      <c r="C200" s="164"/>
      <c r="D200" s="164"/>
      <c r="E200" s="164"/>
      <c r="F200" s="164"/>
      <c r="G200" s="164"/>
      <c r="H200" s="164"/>
      <c r="I200" s="164"/>
      <c r="J200" s="164"/>
      <c r="K200" s="164"/>
      <c r="L200" s="164"/>
    </row>
    <row r="201" spans="1:12" x14ac:dyDescent="0.25">
      <c r="A201" s="164"/>
      <c r="B201" s="164"/>
      <c r="C201" s="164"/>
      <c r="D201" s="164"/>
      <c r="E201" s="164"/>
      <c r="F201" s="164"/>
      <c r="G201" s="164"/>
      <c r="H201" s="164"/>
      <c r="I201" s="164"/>
      <c r="J201" s="164"/>
      <c r="K201" s="164"/>
      <c r="L201" s="164"/>
    </row>
    <row r="202" spans="1:12" x14ac:dyDescent="0.25">
      <c r="A202" s="164"/>
      <c r="B202" s="164"/>
      <c r="C202" s="164"/>
      <c r="D202" s="164"/>
      <c r="E202" s="164"/>
      <c r="F202" s="164"/>
      <c r="G202" s="164"/>
      <c r="H202" s="164"/>
      <c r="I202" s="164"/>
      <c r="J202" s="164"/>
      <c r="K202" s="164"/>
      <c r="L202" s="164"/>
    </row>
    <row r="203" spans="1:12" x14ac:dyDescent="0.25">
      <c r="A203" s="164"/>
      <c r="B203" s="164"/>
      <c r="C203" s="164"/>
      <c r="D203" s="164"/>
      <c r="E203" s="164"/>
      <c r="F203" s="164"/>
      <c r="G203" s="164"/>
      <c r="H203" s="164"/>
      <c r="I203" s="164"/>
      <c r="J203" s="164"/>
      <c r="K203" s="164"/>
      <c r="L203" s="164"/>
    </row>
    <row r="204" spans="1:12" x14ac:dyDescent="0.25">
      <c r="A204" s="164"/>
      <c r="B204" s="164"/>
      <c r="C204" s="164"/>
      <c r="D204" s="164"/>
      <c r="E204" s="164"/>
      <c r="F204" s="164"/>
      <c r="G204" s="164"/>
      <c r="H204" s="164"/>
      <c r="I204" s="164"/>
      <c r="J204" s="164"/>
      <c r="K204" s="164"/>
      <c r="L204" s="164"/>
    </row>
    <row r="205" spans="1:12" x14ac:dyDescent="0.25">
      <c r="A205" s="164"/>
      <c r="B205" s="164"/>
      <c r="C205" s="164"/>
      <c r="D205" s="164"/>
      <c r="E205" s="164"/>
      <c r="F205" s="164"/>
      <c r="G205" s="164"/>
      <c r="H205" s="164"/>
      <c r="I205" s="164"/>
      <c r="J205" s="164"/>
      <c r="K205" s="164"/>
      <c r="L205" s="164"/>
    </row>
    <row r="206" spans="1:12" x14ac:dyDescent="0.25">
      <c r="A206" s="164"/>
      <c r="B206" s="164"/>
      <c r="C206" s="164"/>
      <c r="D206" s="164"/>
      <c r="E206" s="164"/>
      <c r="F206" s="164"/>
      <c r="G206" s="164"/>
      <c r="H206" s="164"/>
      <c r="I206" s="164"/>
      <c r="J206" s="164"/>
      <c r="K206" s="164"/>
      <c r="L206" s="164"/>
    </row>
    <row r="207" spans="1:12" x14ac:dyDescent="0.25">
      <c r="A207" s="164"/>
      <c r="B207" s="164"/>
      <c r="C207" s="164"/>
      <c r="D207" s="164"/>
      <c r="E207" s="164"/>
      <c r="F207" s="164"/>
      <c r="G207" s="164"/>
      <c r="H207" s="164"/>
      <c r="I207" s="164"/>
      <c r="J207" s="164"/>
      <c r="K207" s="164"/>
      <c r="L207" s="164"/>
    </row>
    <row r="208" spans="1:12" x14ac:dyDescent="0.25">
      <c r="A208" s="164"/>
      <c r="B208" s="164"/>
      <c r="C208" s="164"/>
      <c r="D208" s="164"/>
      <c r="E208" s="164"/>
      <c r="F208" s="164"/>
      <c r="G208" s="164"/>
      <c r="H208" s="164"/>
      <c r="I208" s="164"/>
      <c r="J208" s="164"/>
      <c r="K208" s="164"/>
      <c r="L208" s="164"/>
    </row>
    <row r="209" spans="1:12" x14ac:dyDescent="0.25">
      <c r="A209" s="164"/>
      <c r="B209" s="164"/>
      <c r="C209" s="164"/>
      <c r="D209" s="164"/>
      <c r="E209" s="164"/>
      <c r="F209" s="164"/>
      <c r="G209" s="164"/>
      <c r="H209" s="164"/>
      <c r="I209" s="164"/>
      <c r="J209" s="164"/>
      <c r="K209" s="164"/>
      <c r="L209" s="164"/>
    </row>
    <row r="210" spans="1:12" x14ac:dyDescent="0.25">
      <c r="A210" s="164"/>
      <c r="B210" s="164"/>
      <c r="C210" s="164"/>
      <c r="D210" s="164"/>
      <c r="E210" s="164"/>
      <c r="F210" s="164"/>
      <c r="G210" s="164"/>
      <c r="H210" s="164"/>
      <c r="I210" s="164"/>
      <c r="J210" s="164"/>
      <c r="K210" s="164"/>
      <c r="L210" s="164"/>
    </row>
    <row r="211" spans="1:12" x14ac:dyDescent="0.25">
      <c r="A211" s="164"/>
      <c r="B211" s="164"/>
      <c r="C211" s="164"/>
      <c r="D211" s="164"/>
      <c r="E211" s="164"/>
      <c r="F211" s="164"/>
      <c r="G211" s="164"/>
      <c r="H211" s="164"/>
      <c r="I211" s="164"/>
      <c r="J211" s="164"/>
      <c r="K211" s="164"/>
      <c r="L211" s="164"/>
    </row>
    <row r="212" spans="1:12" x14ac:dyDescent="0.25">
      <c r="A212" s="164"/>
      <c r="B212" s="164"/>
      <c r="C212" s="164"/>
      <c r="D212" s="164"/>
      <c r="E212" s="164"/>
      <c r="F212" s="164"/>
      <c r="G212" s="164"/>
      <c r="H212" s="164"/>
      <c r="I212" s="164"/>
      <c r="J212" s="164"/>
      <c r="K212" s="164"/>
      <c r="L212" s="164"/>
    </row>
    <row r="213" spans="1:12" x14ac:dyDescent="0.25">
      <c r="A213" s="164"/>
      <c r="B213" s="164"/>
      <c r="C213" s="164"/>
      <c r="D213" s="164"/>
      <c r="E213" s="164"/>
      <c r="F213" s="164"/>
      <c r="G213" s="164"/>
      <c r="H213" s="164"/>
      <c r="I213" s="164"/>
      <c r="J213" s="164"/>
      <c r="K213" s="164"/>
      <c r="L213" s="164"/>
    </row>
    <row r="214" spans="1:12" x14ac:dyDescent="0.25">
      <c r="A214" s="164"/>
      <c r="B214" s="164"/>
      <c r="C214" s="164"/>
      <c r="D214" s="164"/>
      <c r="E214" s="164"/>
      <c r="F214" s="164"/>
      <c r="G214" s="164"/>
      <c r="H214" s="164"/>
      <c r="I214" s="164"/>
      <c r="J214" s="164"/>
      <c r="K214" s="164"/>
      <c r="L214" s="164"/>
    </row>
    <row r="215" spans="1:12" x14ac:dyDescent="0.25">
      <c r="A215" s="164"/>
      <c r="B215" s="164"/>
      <c r="C215" s="164"/>
      <c r="D215" s="164"/>
      <c r="E215" s="164"/>
      <c r="F215" s="164"/>
      <c r="G215" s="164"/>
      <c r="H215" s="164"/>
      <c r="I215" s="164"/>
      <c r="J215" s="164"/>
      <c r="K215" s="164"/>
      <c r="L215" s="164"/>
    </row>
    <row r="216" spans="1:12" x14ac:dyDescent="0.25">
      <c r="A216" s="164"/>
      <c r="B216" s="164"/>
      <c r="C216" s="164"/>
      <c r="D216" s="164"/>
      <c r="E216" s="164"/>
      <c r="F216" s="164"/>
      <c r="G216" s="164"/>
      <c r="H216" s="164"/>
      <c r="I216" s="164"/>
      <c r="J216" s="164"/>
      <c r="K216" s="164"/>
      <c r="L216" s="164"/>
    </row>
    <row r="217" spans="1:12" x14ac:dyDescent="0.25">
      <c r="A217" s="164"/>
      <c r="B217" s="164"/>
      <c r="C217" s="164"/>
      <c r="D217" s="164"/>
      <c r="E217" s="164"/>
      <c r="F217" s="164"/>
      <c r="G217" s="164"/>
      <c r="H217" s="164"/>
      <c r="I217" s="164"/>
      <c r="J217" s="164"/>
      <c r="K217" s="164"/>
      <c r="L217" s="164"/>
    </row>
    <row r="218" spans="1:12" x14ac:dyDescent="0.25">
      <c r="A218" s="164"/>
      <c r="B218" s="164"/>
      <c r="C218" s="164"/>
      <c r="D218" s="164"/>
      <c r="E218" s="164"/>
      <c r="F218" s="164"/>
      <c r="G218" s="164"/>
      <c r="H218" s="164"/>
      <c r="I218" s="164"/>
      <c r="J218" s="164"/>
      <c r="K218" s="164"/>
      <c r="L218" s="164"/>
    </row>
    <row r="219" spans="1:12" x14ac:dyDescent="0.25">
      <c r="A219" s="164"/>
      <c r="B219" s="164"/>
      <c r="C219" s="164"/>
      <c r="D219" s="164"/>
      <c r="E219" s="164"/>
      <c r="F219" s="164"/>
      <c r="G219" s="164"/>
      <c r="H219" s="164"/>
      <c r="I219" s="164"/>
      <c r="J219" s="164"/>
      <c r="K219" s="164"/>
      <c r="L219" s="164"/>
    </row>
    <row r="220" spans="1:12" x14ac:dyDescent="0.25">
      <c r="A220" s="164"/>
      <c r="B220" s="164"/>
      <c r="C220" s="164"/>
      <c r="D220" s="164"/>
      <c r="E220" s="164"/>
      <c r="F220" s="164"/>
      <c r="G220" s="164"/>
      <c r="H220" s="164"/>
      <c r="I220" s="164"/>
      <c r="J220" s="164"/>
      <c r="K220" s="164"/>
      <c r="L220" s="164"/>
    </row>
    <row r="221" spans="1:12" x14ac:dyDescent="0.25">
      <c r="A221" s="164"/>
      <c r="B221" s="164"/>
      <c r="C221" s="164"/>
      <c r="D221" s="164"/>
      <c r="E221" s="164"/>
      <c r="F221" s="164"/>
      <c r="G221" s="164"/>
      <c r="H221" s="164"/>
      <c r="I221" s="164"/>
      <c r="J221" s="164"/>
      <c r="K221" s="164"/>
      <c r="L221" s="164"/>
    </row>
    <row r="222" spans="1:12" x14ac:dyDescent="0.25">
      <c r="A222" s="164"/>
      <c r="B222" s="164"/>
      <c r="C222" s="164"/>
      <c r="D222" s="164"/>
      <c r="E222" s="164"/>
      <c r="F222" s="164"/>
      <c r="G222" s="164"/>
      <c r="H222" s="164"/>
      <c r="I222" s="164"/>
      <c r="J222" s="164"/>
      <c r="K222" s="164"/>
      <c r="L222" s="164"/>
    </row>
    <row r="223" spans="1:12" x14ac:dyDescent="0.25">
      <c r="A223" s="164"/>
      <c r="B223" s="164"/>
      <c r="C223" s="164"/>
      <c r="D223" s="164"/>
      <c r="E223" s="164"/>
      <c r="F223" s="164"/>
      <c r="G223" s="164"/>
      <c r="H223" s="164"/>
      <c r="I223" s="164"/>
      <c r="J223" s="164"/>
      <c r="K223" s="164"/>
      <c r="L223" s="164"/>
    </row>
    <row r="224" spans="1:12" x14ac:dyDescent="0.25">
      <c r="A224" s="164"/>
      <c r="B224" s="164"/>
      <c r="C224" s="164"/>
      <c r="D224" s="164"/>
      <c r="E224" s="164"/>
      <c r="F224" s="164"/>
      <c r="G224" s="164"/>
      <c r="H224" s="164"/>
      <c r="I224" s="164"/>
      <c r="J224" s="164"/>
      <c r="K224" s="164"/>
      <c r="L224" s="164"/>
    </row>
    <row r="225" spans="1:12" x14ac:dyDescent="0.25">
      <c r="A225" s="164"/>
      <c r="B225" s="164"/>
      <c r="C225" s="164"/>
      <c r="D225" s="164"/>
      <c r="E225" s="164"/>
      <c r="F225" s="164"/>
      <c r="G225" s="164"/>
      <c r="H225" s="164"/>
      <c r="I225" s="164"/>
      <c r="J225" s="164"/>
      <c r="K225" s="164"/>
      <c r="L225" s="164"/>
    </row>
    <row r="226" spans="1:12" x14ac:dyDescent="0.25">
      <c r="A226" s="164"/>
      <c r="B226" s="164"/>
      <c r="C226" s="164"/>
      <c r="D226" s="164"/>
      <c r="E226" s="164"/>
      <c r="F226" s="164"/>
      <c r="G226" s="164"/>
      <c r="H226" s="164"/>
      <c r="I226" s="164"/>
      <c r="J226" s="164"/>
      <c r="K226" s="164"/>
      <c r="L226" s="164"/>
    </row>
    <row r="227" spans="1:12" x14ac:dyDescent="0.25">
      <c r="A227" s="164"/>
      <c r="B227" s="164"/>
      <c r="C227" s="164"/>
      <c r="D227" s="164"/>
      <c r="E227" s="164"/>
      <c r="F227" s="164"/>
      <c r="G227" s="164"/>
      <c r="H227" s="164"/>
      <c r="I227" s="164"/>
      <c r="J227" s="164"/>
      <c r="K227" s="164"/>
      <c r="L227" s="164"/>
    </row>
    <row r="228" spans="1:12" x14ac:dyDescent="0.25">
      <c r="A228" s="164"/>
      <c r="B228" s="164"/>
      <c r="C228" s="164"/>
      <c r="D228" s="164"/>
      <c r="E228" s="164"/>
      <c r="F228" s="164"/>
      <c r="G228" s="164"/>
      <c r="H228" s="164"/>
      <c r="I228" s="164"/>
      <c r="J228" s="164"/>
      <c r="K228" s="164"/>
      <c r="L228" s="164"/>
    </row>
    <row r="229" spans="1:12" x14ac:dyDescent="0.25">
      <c r="A229" s="164"/>
      <c r="B229" s="164"/>
      <c r="C229" s="164"/>
      <c r="D229" s="164"/>
      <c r="E229" s="164"/>
      <c r="F229" s="164"/>
      <c r="G229" s="164"/>
      <c r="H229" s="164"/>
      <c r="I229" s="164"/>
      <c r="J229" s="164"/>
      <c r="K229" s="164"/>
      <c r="L229" s="164"/>
    </row>
    <row r="230" spans="1:12" x14ac:dyDescent="0.25">
      <c r="A230" s="164"/>
      <c r="B230" s="164"/>
      <c r="C230" s="164"/>
      <c r="D230" s="164"/>
      <c r="E230" s="164"/>
      <c r="F230" s="164"/>
      <c r="G230" s="164"/>
      <c r="H230" s="164"/>
      <c r="I230" s="164"/>
      <c r="J230" s="164"/>
      <c r="K230" s="164"/>
      <c r="L230" s="164"/>
    </row>
    <row r="231" spans="1:12" x14ac:dyDescent="0.25">
      <c r="A231" s="164"/>
      <c r="B231" s="164"/>
      <c r="C231" s="164"/>
      <c r="D231" s="164"/>
      <c r="E231" s="164"/>
      <c r="F231" s="164"/>
      <c r="G231" s="164"/>
      <c r="H231" s="164"/>
      <c r="I231" s="164"/>
      <c r="J231" s="164"/>
      <c r="K231" s="164"/>
      <c r="L231" s="164"/>
    </row>
    <row r="232" spans="1:12" x14ac:dyDescent="0.25">
      <c r="A232" s="164"/>
      <c r="B232" s="164"/>
      <c r="C232" s="164"/>
      <c r="D232" s="164"/>
      <c r="E232" s="164"/>
      <c r="F232" s="164"/>
      <c r="G232" s="164"/>
      <c r="H232" s="164"/>
      <c r="I232" s="164"/>
      <c r="J232" s="164"/>
      <c r="K232" s="164"/>
      <c r="L232" s="164"/>
    </row>
    <row r="233" spans="1:12" x14ac:dyDescent="0.25">
      <c r="A233" s="164"/>
      <c r="B233" s="164"/>
      <c r="C233" s="164"/>
      <c r="D233" s="164"/>
      <c r="E233" s="164"/>
      <c r="F233" s="164"/>
      <c r="G233" s="164"/>
      <c r="H233" s="164"/>
      <c r="I233" s="164"/>
      <c r="J233" s="164"/>
      <c r="K233" s="164"/>
      <c r="L233" s="164"/>
    </row>
    <row r="234" spans="1:12" x14ac:dyDescent="0.25">
      <c r="A234" s="164"/>
      <c r="B234" s="164"/>
      <c r="C234" s="164"/>
      <c r="D234" s="164"/>
      <c r="E234" s="164"/>
      <c r="F234" s="164"/>
      <c r="G234" s="164"/>
      <c r="H234" s="164"/>
      <c r="I234" s="164"/>
      <c r="J234" s="164"/>
      <c r="K234" s="164"/>
      <c r="L234" s="164"/>
    </row>
    <row r="235" spans="1:12" x14ac:dyDescent="0.25">
      <c r="A235" s="164"/>
      <c r="B235" s="164"/>
      <c r="C235" s="164"/>
      <c r="D235" s="164"/>
      <c r="E235" s="164"/>
      <c r="F235" s="164"/>
      <c r="G235" s="164"/>
      <c r="H235" s="164"/>
      <c r="I235" s="164"/>
      <c r="J235" s="164"/>
      <c r="K235" s="164"/>
      <c r="L235" s="164"/>
    </row>
    <row r="236" spans="1:12" x14ac:dyDescent="0.25">
      <c r="A236" s="164"/>
      <c r="B236" s="164"/>
      <c r="C236" s="164"/>
      <c r="D236" s="164"/>
      <c r="E236" s="164"/>
      <c r="F236" s="164"/>
      <c r="G236" s="164"/>
      <c r="H236" s="164"/>
      <c r="I236" s="164"/>
      <c r="J236" s="164"/>
      <c r="K236" s="164"/>
      <c r="L236" s="164"/>
    </row>
    <row r="237" spans="1:12" x14ac:dyDescent="0.25">
      <c r="A237" s="164"/>
      <c r="B237" s="164"/>
      <c r="C237" s="164"/>
      <c r="D237" s="164"/>
      <c r="E237" s="164"/>
      <c r="F237" s="164"/>
      <c r="G237" s="164"/>
      <c r="H237" s="164"/>
      <c r="I237" s="164"/>
      <c r="J237" s="164"/>
      <c r="K237" s="164"/>
      <c r="L237" s="164"/>
    </row>
    <row r="238" spans="1:12" x14ac:dyDescent="0.25">
      <c r="A238" s="164"/>
      <c r="B238" s="164"/>
      <c r="C238" s="164"/>
      <c r="D238" s="164"/>
      <c r="E238" s="164"/>
      <c r="F238" s="164"/>
      <c r="G238" s="164"/>
      <c r="H238" s="164"/>
      <c r="I238" s="164"/>
      <c r="J238" s="164"/>
      <c r="K238" s="164"/>
      <c r="L238" s="164"/>
    </row>
    <row r="239" spans="1:12" x14ac:dyDescent="0.25">
      <c r="A239" s="164"/>
      <c r="B239" s="164"/>
      <c r="C239" s="164"/>
      <c r="D239" s="164"/>
      <c r="E239" s="164"/>
      <c r="F239" s="164"/>
      <c r="G239" s="164"/>
      <c r="H239" s="164"/>
      <c r="I239" s="164"/>
      <c r="J239" s="164"/>
      <c r="K239" s="164"/>
      <c r="L239" s="164"/>
    </row>
    <row r="240" spans="1:12" x14ac:dyDescent="0.25">
      <c r="A240" s="164"/>
      <c r="B240" s="164"/>
      <c r="C240" s="164"/>
      <c r="D240" s="164"/>
      <c r="E240" s="164"/>
      <c r="F240" s="164"/>
      <c r="G240" s="164"/>
      <c r="H240" s="164"/>
      <c r="I240" s="164"/>
      <c r="J240" s="164"/>
      <c r="K240" s="164"/>
      <c r="L240" s="164"/>
    </row>
    <row r="241" spans="1:12" x14ac:dyDescent="0.25">
      <c r="A241" s="164"/>
      <c r="B241" s="164"/>
      <c r="C241" s="164"/>
      <c r="D241" s="164"/>
      <c r="E241" s="164"/>
      <c r="F241" s="164"/>
      <c r="G241" s="164"/>
      <c r="H241" s="164"/>
      <c r="I241" s="164"/>
      <c r="J241" s="164"/>
      <c r="K241" s="164"/>
      <c r="L241" s="164"/>
    </row>
    <row r="242" spans="1:12" x14ac:dyDescent="0.25">
      <c r="A242" s="164"/>
      <c r="B242" s="164"/>
      <c r="C242" s="164"/>
      <c r="D242" s="164"/>
      <c r="E242" s="164"/>
      <c r="F242" s="164"/>
      <c r="G242" s="164"/>
      <c r="H242" s="164"/>
      <c r="I242" s="164"/>
      <c r="J242" s="164"/>
      <c r="K242" s="164"/>
      <c r="L242" s="164"/>
    </row>
    <row r="243" spans="1:12" x14ac:dyDescent="0.25">
      <c r="A243" s="164"/>
      <c r="B243" s="164"/>
      <c r="C243" s="164"/>
      <c r="D243" s="164"/>
      <c r="E243" s="164"/>
      <c r="F243" s="164"/>
      <c r="G243" s="164"/>
      <c r="H243" s="164"/>
      <c r="I243" s="164"/>
      <c r="J243" s="164"/>
      <c r="K243" s="164"/>
      <c r="L243" s="164"/>
    </row>
    <row r="244" spans="1:12" x14ac:dyDescent="0.25">
      <c r="A244" s="164"/>
      <c r="B244" s="164"/>
      <c r="C244" s="164"/>
      <c r="D244" s="164"/>
      <c r="E244" s="164"/>
      <c r="F244" s="164"/>
      <c r="G244" s="164"/>
      <c r="H244" s="164"/>
      <c r="I244" s="164"/>
      <c r="J244" s="164"/>
      <c r="K244" s="164"/>
      <c r="L244" s="164"/>
    </row>
    <row r="245" spans="1:12" x14ac:dyDescent="0.25">
      <c r="A245" s="164"/>
      <c r="B245" s="164"/>
      <c r="C245" s="164"/>
      <c r="D245" s="164"/>
      <c r="E245" s="164"/>
      <c r="F245" s="164"/>
      <c r="G245" s="164"/>
      <c r="H245" s="164"/>
      <c r="I245" s="164"/>
      <c r="J245" s="164"/>
      <c r="K245" s="164"/>
      <c r="L245" s="164"/>
    </row>
    <row r="246" spans="1:12" x14ac:dyDescent="0.25">
      <c r="A246" s="164"/>
      <c r="B246" s="164"/>
      <c r="C246" s="164"/>
      <c r="D246" s="164"/>
      <c r="E246" s="164"/>
      <c r="F246" s="164"/>
      <c r="G246" s="164"/>
      <c r="H246" s="164"/>
      <c r="I246" s="164"/>
      <c r="J246" s="164"/>
      <c r="K246" s="164"/>
      <c r="L246" s="164"/>
    </row>
    <row r="247" spans="1:12" x14ac:dyDescent="0.25">
      <c r="A247" s="164"/>
      <c r="B247" s="164"/>
      <c r="C247" s="164"/>
      <c r="D247" s="164"/>
      <c r="E247" s="164"/>
      <c r="F247" s="164"/>
      <c r="G247" s="164"/>
      <c r="H247" s="164"/>
      <c r="I247" s="164"/>
      <c r="J247" s="164"/>
      <c r="K247" s="164"/>
      <c r="L247" s="164"/>
    </row>
    <row r="248" spans="1:12" x14ac:dyDescent="0.25">
      <c r="A248" s="164"/>
      <c r="B248" s="164"/>
      <c r="C248" s="164"/>
      <c r="D248" s="164"/>
      <c r="E248" s="164"/>
      <c r="F248" s="164"/>
      <c r="G248" s="164"/>
      <c r="H248" s="164"/>
      <c r="I248" s="164"/>
      <c r="J248" s="164"/>
      <c r="K248" s="164"/>
      <c r="L248" s="164"/>
    </row>
    <row r="249" spans="1:12" x14ac:dyDescent="0.25">
      <c r="A249" s="164"/>
      <c r="B249" s="164"/>
      <c r="C249" s="164"/>
      <c r="D249" s="164"/>
      <c r="E249" s="164"/>
      <c r="F249" s="164"/>
      <c r="G249" s="164"/>
      <c r="H249" s="164"/>
      <c r="I249" s="164"/>
      <c r="J249" s="164"/>
      <c r="K249" s="164"/>
      <c r="L249" s="164"/>
    </row>
    <row r="250" spans="1:12" x14ac:dyDescent="0.25">
      <c r="A250" s="164"/>
      <c r="B250" s="164"/>
      <c r="C250" s="164"/>
      <c r="D250" s="164"/>
      <c r="E250" s="164"/>
      <c r="F250" s="164"/>
      <c r="G250" s="164"/>
      <c r="H250" s="164"/>
      <c r="I250" s="164"/>
      <c r="J250" s="164"/>
      <c r="K250" s="164"/>
      <c r="L250" s="164"/>
    </row>
    <row r="251" spans="1:12" x14ac:dyDescent="0.25">
      <c r="A251" s="164"/>
      <c r="B251" s="164"/>
      <c r="C251" s="164"/>
      <c r="D251" s="164"/>
      <c r="E251" s="164"/>
      <c r="F251" s="164"/>
      <c r="G251" s="164"/>
      <c r="H251" s="164"/>
      <c r="I251" s="164"/>
      <c r="J251" s="164"/>
      <c r="K251" s="164"/>
      <c r="L251" s="164"/>
    </row>
    <row r="252" spans="1:12" x14ac:dyDescent="0.25">
      <c r="A252" s="164"/>
      <c r="B252" s="164"/>
      <c r="C252" s="164"/>
      <c r="D252" s="164"/>
      <c r="E252" s="164"/>
      <c r="F252" s="164"/>
      <c r="G252" s="164"/>
      <c r="H252" s="164"/>
      <c r="I252" s="164"/>
      <c r="J252" s="164"/>
      <c r="K252" s="164"/>
      <c r="L252" s="164"/>
    </row>
    <row r="253" spans="1:12" x14ac:dyDescent="0.25">
      <c r="A253" s="164"/>
      <c r="B253" s="164"/>
      <c r="C253" s="164"/>
      <c r="D253" s="164"/>
      <c r="E253" s="164"/>
      <c r="F253" s="164"/>
      <c r="G253" s="164"/>
      <c r="H253" s="164"/>
      <c r="I253" s="164"/>
      <c r="J253" s="164"/>
      <c r="K253" s="164"/>
      <c r="L253" s="164"/>
    </row>
    <row r="254" spans="1:12" x14ac:dyDescent="0.25">
      <c r="A254" s="164"/>
      <c r="B254" s="164"/>
      <c r="C254" s="164"/>
      <c r="D254" s="164"/>
      <c r="E254" s="164"/>
      <c r="F254" s="164"/>
      <c r="G254" s="164"/>
      <c r="H254" s="164"/>
      <c r="I254" s="164"/>
      <c r="J254" s="164"/>
      <c r="K254" s="164"/>
      <c r="L254" s="164"/>
    </row>
    <row r="255" spans="1:12" x14ac:dyDescent="0.25">
      <c r="A255" s="164"/>
      <c r="B255" s="164"/>
      <c r="C255" s="164"/>
      <c r="D255" s="164"/>
      <c r="E255" s="164"/>
      <c r="F255" s="164"/>
      <c r="G255" s="164"/>
      <c r="H255" s="164"/>
      <c r="I255" s="164"/>
      <c r="J255" s="164"/>
      <c r="K255" s="164"/>
      <c r="L255" s="164"/>
    </row>
    <row r="256" spans="1:12" x14ac:dyDescent="0.25">
      <c r="A256" s="164"/>
      <c r="B256" s="164"/>
      <c r="C256" s="164"/>
      <c r="D256" s="164"/>
      <c r="E256" s="164"/>
      <c r="F256" s="164"/>
      <c r="G256" s="164"/>
      <c r="H256" s="164"/>
      <c r="I256" s="164"/>
      <c r="J256" s="164"/>
      <c r="K256" s="164"/>
      <c r="L256" s="164"/>
    </row>
    <row r="257" spans="1:12" x14ac:dyDescent="0.25">
      <c r="A257" s="164"/>
      <c r="B257" s="164"/>
      <c r="C257" s="164"/>
      <c r="D257" s="164"/>
      <c r="E257" s="164"/>
      <c r="F257" s="164"/>
      <c r="G257" s="164"/>
      <c r="H257" s="164"/>
      <c r="I257" s="164"/>
      <c r="J257" s="164"/>
      <c r="K257" s="164"/>
      <c r="L257" s="164"/>
    </row>
    <row r="258" spans="1:12" x14ac:dyDescent="0.25">
      <c r="A258" s="164"/>
      <c r="B258" s="164"/>
      <c r="C258" s="164"/>
      <c r="D258" s="164"/>
      <c r="E258" s="164"/>
      <c r="F258" s="164"/>
      <c r="G258" s="164"/>
      <c r="H258" s="164"/>
      <c r="I258" s="164"/>
      <c r="J258" s="164"/>
      <c r="K258" s="164"/>
      <c r="L258" s="164"/>
    </row>
  </sheetData>
  <sheetProtection algorithmName="SHA-512" hashValue="X9CotjV6HmxuNbiL7xOThMu81vOKW37d4hQzE0sRy0fhuhRCIedcktDgokKbf66lqpfOHqzBBVyuHI7wd8wMOg==" saltValue="AT8pDODwbVx5XX6Wnhj3rw==" spinCount="100000" sheet="1" objects="1" scenarios="1"/>
  <mergeCells count="47">
    <mergeCell ref="B52:L52"/>
    <mergeCell ref="B41:L41"/>
    <mergeCell ref="B42:L42"/>
    <mergeCell ref="B43:L43"/>
    <mergeCell ref="B44:L44"/>
    <mergeCell ref="B45:L45"/>
    <mergeCell ref="B46:L46"/>
    <mergeCell ref="B47:L47"/>
    <mergeCell ref="B48:L48"/>
    <mergeCell ref="B49:L49"/>
    <mergeCell ref="B50:L50"/>
    <mergeCell ref="B51:L51"/>
    <mergeCell ref="B36:L36"/>
    <mergeCell ref="B37:L37"/>
    <mergeCell ref="B38:L38"/>
    <mergeCell ref="B39:L39"/>
    <mergeCell ref="B40:L40"/>
    <mergeCell ref="B31:L31"/>
    <mergeCell ref="B32:L32"/>
    <mergeCell ref="B33:L33"/>
    <mergeCell ref="B34:L34"/>
    <mergeCell ref="B35:L35"/>
    <mergeCell ref="A2:H2"/>
    <mergeCell ref="A3:L3"/>
    <mergeCell ref="A5:L7"/>
    <mergeCell ref="A9:A10"/>
    <mergeCell ref="B9:L10"/>
    <mergeCell ref="B11:L11"/>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B27:L27"/>
    <mergeCell ref="B28:L28"/>
    <mergeCell ref="B29:L29"/>
    <mergeCell ref="B30:L3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Welcome</vt:lpstr>
      <vt:lpstr>Demand</vt:lpstr>
      <vt:lpstr>SPC</vt:lpstr>
      <vt:lpstr>Capacity</vt:lpstr>
      <vt:lpstr>Parameters</vt:lpstr>
      <vt:lpstr>Summary</vt:lpstr>
      <vt:lpstr>Graphs</vt:lpstr>
      <vt:lpstr>Calculations</vt:lpstr>
      <vt:lpstr>Notes</vt:lpstr>
      <vt:lpstr>AdHocMeanSlots</vt:lpstr>
      <vt:lpstr>AdHocSlots</vt:lpstr>
      <vt:lpstr>ChooseAndBook</vt:lpstr>
      <vt:lpstr>DailyMaxWait</vt:lpstr>
      <vt:lpstr>DailyMinWait</vt:lpstr>
      <vt:lpstr>DNADischargeRate</vt:lpstr>
      <vt:lpstr>DNARate</vt:lpstr>
      <vt:lpstr>ModelName</vt:lpstr>
      <vt:lpstr>Calculations!Print_Area</vt:lpstr>
      <vt:lpstr>Capacity!Print_Area</vt:lpstr>
      <vt:lpstr>Demand!Print_Area</vt:lpstr>
      <vt:lpstr>Graphs!Print_Area</vt:lpstr>
      <vt:lpstr>Parameters!Print_Area</vt:lpstr>
      <vt:lpstr>SPC!Print_Area</vt:lpstr>
      <vt:lpstr>Summary!Print_Area</vt:lpstr>
      <vt:lpstr>Welcome!Print_Area</vt:lpstr>
      <vt:lpstr>Capacity!Print_Titles</vt:lpstr>
      <vt:lpstr>RearrangedRate</vt:lpstr>
      <vt:lpstr>RefsPerWeek</vt:lpstr>
      <vt:lpstr>RoutineMeanSlots</vt:lpstr>
      <vt:lpstr>RoutineSlots</vt:lpstr>
      <vt:lpstr>SplitRange</vt:lpstr>
      <vt:lpstr>WaitingList</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Cancer Outpatient Model</dc:title>
  <dc:subject>Cancer First Outpatient Waits</dc:subject>
  <dc:creator>Michael Watson</dc:creator>
  <cp:lastModifiedBy>Khunpha, Keith</cp:lastModifiedBy>
  <cp:lastPrinted>2011-12-06T11:56:06Z</cp:lastPrinted>
  <dcterms:created xsi:type="dcterms:W3CDTF">2011-03-01T13:40:03Z</dcterms:created>
  <dcterms:modified xsi:type="dcterms:W3CDTF">2018-11-02T12:51:18Z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