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360" yWindow="240" windowWidth="8205" windowHeight="6750" tabRatio="650"/>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Backlog Clearance" sheetId="29" r:id="rId9"/>
    <sheet name="Notes" sheetId="30" r:id="rId10"/>
  </sheets>
  <definedNames>
    <definedName name="_LCL1">Mean1-3*Sigma1</definedName>
    <definedName name="_LCL2">Mean2-3*Sigma2</definedName>
    <definedName name="_UCL1">Mean1+3*Sigma1</definedName>
    <definedName name="_UCL2">Mean2+3*Sigma2</definedName>
    <definedName name="AdditionalAdmissions">Capacity!$N$15</definedName>
    <definedName name="AdditionalCapacityRange">OFFSET(Capacity!$L$98:$L$149,0,0,ROWS(DTARange),1)</definedName>
    <definedName name="AdditionalMeanAdmissions">Capacity!$K$13</definedName>
    <definedName name="AdditionalNetChange">ROUNDDOWN(IF(MeanNetChange&lt;0,-AdditionalMeanAdmissions,IF(MeanNetChange&gt;=AdditionalMeanAdmissions,0,MeanNetChange-AdditionalMeanAdmissions)),0)</definedName>
    <definedName name="BookingPeriod">MaxWait-MinWait+1</definedName>
    <definedName name="CalculationRange">OFFSET(Demand!$C$13,IF(Split=0,0,Split-1),0,MaxWeeks-IF(Split=0,0,Split-1),1)</definedName>
    <definedName name="CoreCapacityRange">OFFSET(Capacity!$D$98:$D$149,0,0,ROWS(DTARange),1)</definedName>
    <definedName name="CoreNetChange">ROUNDDOWN(RefsPerWeek-DNADischarged-SlotsPerWeek,0)</definedName>
    <definedName name="Deviation">STDEV(CalculationRange)</definedName>
    <definedName name="DNADischarged">DNARate*(RefsPerWeek-RefsPerWeekUrgent)*DNADischargeRate</definedName>
    <definedName name="DNARebooked">DNARate*(RefsPerWeek-RefsPerWeekUrgent)*(1-DNADischargeRate)</definedName>
    <definedName name="DTARange">OFFSET(Demand!$C$13,0,0,MAX(Demand!$A$13:$A$64),1)</definedName>
    <definedName name="DTAsPerWeek">Parameters!$B$18</definedName>
    <definedName name="GraphAdditionalCapacityRange">IF(Capacity!$H$15=1,OFFSET(Graphs!$B$16,0,0,1,ROWS(DTARange)),OFFSET(Graphs!$B$18,0,0,1,ROWS(DTARange)))</definedName>
    <definedName name="GraphCoreCapacityRange">IF(Capacity!$H$15=1,OFFSET(Graphs!$B$15,0,0,1,ROWS(DTARange)),OFFSET(Graphs!$B$17,0,0,1,ROWS(DTARange)))</definedName>
    <definedName name="GraphDTARange">OFFSET(Graphs!$B$19,0,0,1,ROWS(DTARange))</definedName>
    <definedName name="GraphLowerRange">OFFSET(SPC!$O$2,0,0,MAX(Demand!$A$13:$A$64),1)</definedName>
    <definedName name="GraphMeanRange">OFFSET(SPC!$L$2,0,0,MAX(Demand!$A$13:$A$64),1)</definedName>
    <definedName name="GraphPercentile65Range">OFFSET(Graphs!$B$6,0,0,1,ROWS(DTARange))</definedName>
    <definedName name="GraphPercentile85Range">OFFSET(Graphs!$B$7,0,0,1,ROWS(DTARange))</definedName>
    <definedName name="GraphUpperRange">OFFSET(SPC!$I$2,0,0,MAX(Demand!$A$13:$A$64),1)</definedName>
    <definedName name="GraphVarianceRange">OFFSET(Graphs!$B$12,0,0,1,ROWS(DTARange))</definedName>
    <definedName name="GraphWeeksWaited">OFFSET(Demand!$Q$22,0,0,MAX(Demand!$S$22:$S$46),1)</definedName>
    <definedName name="InLastWeek">(COUNTIF(DaysWaitedRange,CONCATENATE("&gt;=",TEXT(([0]!MaxWait-1)*7,0)))-COUNTIF(DaysWaitedRange,CONCATENATE("&gt;",TEXT([0]!MaxWait*7,0))))/ROWS(DateSeenRange)</definedName>
    <definedName name="LCL">Mean-3*Sigma</definedName>
    <definedName name="LCLRange">OFFSET(SPC!$O$2,0,0,ROWS(DTARange),1)</definedName>
    <definedName name="MaxWait">Parameters!$J$22</definedName>
    <definedName name="MaxWaitingList">CEILING(MAX(Calculations!$K$16:$K$34),1)</definedName>
    <definedName name="MaxWaitingListRange">'Backlog Clearance'!$D$33:$AK$33</definedName>
    <definedName name="MaxWeeks">MAX(Demand!$A$13:$A$64)</definedName>
    <definedName name="Mean">IF(COUNT(DTARange)&gt;0,AVERAGE(DTARange),0)</definedName>
    <definedName name="Mean1">AVERAGE(OFFSET(Demand!$C$13,0,0,Split,1))</definedName>
    <definedName name="Mean2">IF(COUNT(CalculationRange)&gt;0,AVERAGE(CalculationRange),0)</definedName>
    <definedName name="MeanNetChange">ROUNDDOWN(DTAsPerWeek-RoutineMeanAdmissions-DTAsPerWeek*ROTTRate,0)</definedName>
    <definedName name="MeanRange">OFFSET(SPC!$L$2,0,0,ROWS(DTARange),1)</definedName>
    <definedName name="MeanWait">AVERAGE(WeeksWaitedRange)</definedName>
    <definedName name="MedianWait">PERCENTILE(WeeksWaitedRange,0.5)</definedName>
    <definedName name="MinWait">Parameters!$F$22</definedName>
    <definedName name="MinWaitingListRange">'Backlog Clearance'!$D$24:$AK$24</definedName>
    <definedName name="ModelName">Welcome!$B$1</definedName>
    <definedName name="Multiplier">IF(Parameters!$C$18=500,IF(Split=0,1,(Mean2/Mean)),(DTAsPerWeek/Parameters!$D$18))</definedName>
    <definedName name="NormDistProbRange">OFFSET(Demand!$O$13,IF(Split=0,0,Split-1),0,MaxWeeks-IF(Split=0,0,Split-1),1)</definedName>
    <definedName name="NormDistValueRange">OFFSET(Demand!$N$13,IF(Split=0,0,Split-1),0,MaxWeeks-IF(Split=0,0,Split-1),1)</definedName>
    <definedName name="OverMidPoint">COUNTIF(DaysWaitedRange,CONCATENATE("&gt;=",TEXT(ROUNDUP([0]!MinWait*7+([0]!MaxWait-[0]!MinWait)*7*0.5,0),"#.#")))/ROWS(DateSeenRange)</definedName>
    <definedName name="Percentile65">PERCENTILE(CalculationRange,0.65)</definedName>
    <definedName name="Percentile85">PERCENTILE(CalculationRange,0.85)</definedName>
    <definedName name="_xlnm.Print_Area" localSheetId="7">Calculations!$A$2:$K$36</definedName>
    <definedName name="_xlnm.Print_Area" localSheetId="3">Capacity!$A$2:$O$149</definedName>
    <definedName name="_xlnm.Print_Area" localSheetId="1">Demand!$A:$L</definedName>
    <definedName name="_xlnm.Print_Area" localSheetId="6">Graphs!$A$2:$O$74</definedName>
    <definedName name="_xlnm.Print_Area" localSheetId="4">Parameters!$A$2:$Q$25</definedName>
    <definedName name="_xlnm.Print_Area" localSheetId="2">SPC!$A$2:$AE$36</definedName>
    <definedName name="_xlnm.Print_Area" localSheetId="5">Summary!$A$1:$O$92</definedName>
    <definedName name="_xlnm.Print_Area" localSheetId="0">Welcome!$A$2:$O$43</definedName>
    <definedName name="_xlnm.Print_Titles" localSheetId="3">Capacity!$16:$16</definedName>
    <definedName name="ProportionUrgent">Parameters!$F$17</definedName>
    <definedName name="RefsPerWeekRoutine">RefsPerWeek*(1-[0]!ProportionUrgent)</definedName>
    <definedName name="RefsPerWeekUrgent">RefsPerWeek*[0]!ProportionUrgent</definedName>
    <definedName name="RemovalsRange">OFFSET(Capacity!$E$98:$E$149,0,0,ROWS(DTARange),1)</definedName>
    <definedName name="ROTTRange">OFFSET(Demand!$D$13,IF(Split=0,0,Split-1),0,MAX(Demand!$A$13:$A$64)-IF(Split=0,0,Split-1),1)</definedName>
    <definedName name="ROTTRate">Parameters!$B$23</definedName>
    <definedName name="RoutineAdmissions">Capacity!$F$15</definedName>
    <definedName name="RoutineDTAsPerWeek">DTAsPerWeek*(1-ProportionUrgent)</definedName>
    <definedName name="RoutineMeanAdmissions">Capacity!$B$13</definedName>
    <definedName name="SCV1Range">OFFSET(SPC!$B$2,0,0,ROWS(DTARange),1)</definedName>
    <definedName name="SCV2Range">OFFSET(SPC!$D$2,0,0,ROWS(DTARange),1)</definedName>
    <definedName name="SCV3Range">OFFSET(SPC!$F$2,0,0,ROWS(DTARange),1)</definedName>
    <definedName name="SCV4Range">OFFSET(SPC!$H$2,0,0,ROWS(DTARange),1)</definedName>
    <definedName name="Sigma">AVERAGE(SPC!$A$3:$A$53)/1.128</definedName>
    <definedName name="Sigma1">AVERAGE(OFFSET(SPC!$A$3,0,0,Split-1,1))/1.128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AVERAGE(OFFSET(SPC!$A$3,IF(Split=0,0,Split-1),0,MAX(Demand!$A$13:$A$64)-IF(Split=0,0,Split-1),1))/1.128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OFFSET(SPC!$M$2,0,0,ROWS(DTARange),1)</definedName>
    <definedName name="SigmaMinus2Range">OFFSET(SPC!$N$2,0,0,ROWS(DTARange),1)</definedName>
    <definedName name="SigmaPlus1Range">OFFSET(SPC!$K$2,0,0,ROWS(DTARange),1)</definedName>
    <definedName name="SigmaPlus2Range">OFFSET(SPC!$J$2,0,0,ROWS(DTARange),1)</definedName>
    <definedName name="Specialty">IF(Demand!$B$8="Other (Enter Below)",Demand!$E$9,Demand!$B$8)</definedName>
    <definedName name="Split">SPC!$S$31-1</definedName>
    <definedName name="SplitRange">OFFSET(SPC!$P$1,0,0,ROWS(DTARange)+1,1)</definedName>
    <definedName name="TargetUrgent">Parameters!$K$18</definedName>
    <definedName name="TotalNetChange">IF(MeanNetChange&gt;0,AdditionalNetChange,MeanNetChange+AdditionalNetChange)</definedName>
    <definedName name="Trust">Demand!$B$6</definedName>
    <definedName name="UCL">Mean+3*Sigma</definedName>
    <definedName name="UCLRange">OFFSET(SPC!$I$2,0,0,ROWS(DTARange),1)</definedName>
    <definedName name="UrgentDTAsPerWeek">DTAsPerWeek*ProportionUrgent</definedName>
    <definedName name="Variance">MAX(GraphVarianceRange)/DTAsPerWeek</definedName>
    <definedName name="WaitingList">Demand!$I$7</definedName>
    <definedName name="WaitingListActualRange">OFFSET('Backlog Clearance'!$D$43,0,0,1,COUNTA('Backlog Clearance'!$D$35:$AK$35)+1)</definedName>
    <definedName name="WaitingListPlanRange1">'Backlog Clearance'!$D$23:$AK$23</definedName>
    <definedName name="WaitingListPlanRange2">'Backlog Clearance'!$D$32:$AK$32</definedName>
    <definedName name="WeeklyROTT">ROTTRate*DTAsPerWeek</definedName>
    <definedName name="Weeks">OFFSET(Demand!$B$13,0,0,ROWS(DTARange),1)</definedName>
    <definedName name="WLGraphData">OFFSET(Calculations!$J$16,0,0,MaxWait+1,1)</definedName>
    <definedName name="WLGraphWeeks">OFFSET(Calculations!$A$16,0,0,MaxWait+1,1)</definedName>
    <definedName name="WLRange">OFFSET(Demand!$E$13,IF(Split=0,0,Split-1),0,MAX(Demand!$A$13:$A$64)-IF(Split=0,0,Split-1),1)</definedName>
  </definedNames>
  <calcPr calcId="145621"/>
</workbook>
</file>

<file path=xl/calcChain.xml><?xml version="1.0" encoding="utf-8"?>
<calcChain xmlns="http://schemas.openxmlformats.org/spreadsheetml/2006/main">
  <c r="K13" i="20" l="1"/>
  <c r="J12" i="20"/>
  <c r="A2" i="11" l="1"/>
  <c r="A75" i="12" l="1"/>
  <c r="A3" i="23" l="1"/>
  <c r="B7" i="12" l="1"/>
  <c r="P7" i="12"/>
  <c r="A28" i="12"/>
  <c r="A2" i="30" l="1"/>
  <c r="Q14" i="21" l="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13" i="21"/>
  <c r="B19" i="19" l="1" a="1"/>
  <c r="A5" i="19"/>
  <c r="I19" i="19" l="1"/>
  <c r="AZ19" i="19"/>
  <c r="AJ19" i="19"/>
  <c r="T19" i="19"/>
  <c r="D19" i="19"/>
  <c r="AG19" i="19"/>
  <c r="Q19" i="19"/>
  <c r="AU19" i="19"/>
  <c r="AE19" i="19"/>
  <c r="O19" i="19"/>
  <c r="AX19" i="19"/>
  <c r="AH19" i="19"/>
  <c r="R19" i="19"/>
  <c r="B19" i="19"/>
  <c r="AV19" i="19"/>
  <c r="AF19" i="19"/>
  <c r="P19" i="19"/>
  <c r="AW19" i="19"/>
  <c r="AC19" i="19"/>
  <c r="M19" i="19"/>
  <c r="AQ19" i="19"/>
  <c r="AA19" i="19"/>
  <c r="K19" i="19"/>
  <c r="AT19" i="19"/>
  <c r="AD19" i="19"/>
  <c r="N19" i="19"/>
  <c r="BA19" i="19"/>
  <c r="AY19" i="19"/>
  <c r="AL19" i="19"/>
  <c r="AR19" i="19"/>
  <c r="AB19" i="19"/>
  <c r="L19" i="19"/>
  <c r="AS19" i="19"/>
  <c r="Y19" i="19"/>
  <c r="E19" i="19"/>
  <c r="AM19" i="19"/>
  <c r="W19" i="19"/>
  <c r="G19" i="19"/>
  <c r="AP19" i="19"/>
  <c r="Z19" i="19"/>
  <c r="J19" i="19"/>
  <c r="AO19" i="19"/>
  <c r="AN19" i="19"/>
  <c r="X19" i="19"/>
  <c r="H19" i="19"/>
  <c r="AK19" i="19"/>
  <c r="U19" i="19"/>
  <c r="AI19" i="19"/>
  <c r="S19" i="19"/>
  <c r="C19" i="19"/>
  <c r="V19" i="19"/>
  <c r="F19" i="19"/>
  <c r="B15" i="18"/>
  <c r="K10" i="21" l="1"/>
  <c r="I7" i="21" l="1"/>
  <c r="D43" i="29" s="1"/>
  <c r="Q2" i="24" l="1"/>
  <c r="A2" i="29"/>
  <c r="A2" i="23"/>
  <c r="A2" i="19"/>
  <c r="A2" i="12"/>
  <c r="A2" i="18"/>
  <c r="A2" i="20"/>
  <c r="A2" i="21"/>
  <c r="N18" i="20" l="1"/>
  <c r="O18" i="20" s="1"/>
  <c r="N19" i="20"/>
  <c r="O19" i="20" s="1"/>
  <c r="N20" i="20"/>
  <c r="O20" i="20" s="1"/>
  <c r="N21" i="20"/>
  <c r="O21" i="20" s="1"/>
  <c r="N22" i="20"/>
  <c r="O22" i="20" s="1"/>
  <c r="N23" i="20"/>
  <c r="O23" i="20" s="1"/>
  <c r="N24" i="20"/>
  <c r="O24" i="20" s="1"/>
  <c r="N25" i="20"/>
  <c r="O25" i="20" s="1"/>
  <c r="N26" i="20"/>
  <c r="O26" i="20" s="1"/>
  <c r="N27" i="20"/>
  <c r="O27" i="20" s="1"/>
  <c r="N28" i="20"/>
  <c r="O28" i="20" s="1"/>
  <c r="N29" i="20"/>
  <c r="O29" i="20" s="1"/>
  <c r="N30" i="20"/>
  <c r="O30" i="20" s="1"/>
  <c r="N31" i="20"/>
  <c r="O31" i="20" s="1"/>
  <c r="N32" i="20"/>
  <c r="O32" i="20" s="1"/>
  <c r="N33" i="20"/>
  <c r="O33" i="20" s="1"/>
  <c r="N34" i="20"/>
  <c r="O34" i="20" s="1"/>
  <c r="N35" i="20"/>
  <c r="O35" i="20" s="1"/>
  <c r="N36" i="20"/>
  <c r="O36" i="20" s="1"/>
  <c r="N37" i="20"/>
  <c r="O37" i="20" s="1"/>
  <c r="N38" i="20"/>
  <c r="O38" i="20" s="1"/>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O60" i="20" s="1"/>
  <c r="N61" i="20"/>
  <c r="O61" i="20" s="1"/>
  <c r="N62" i="20"/>
  <c r="O62" i="20" s="1"/>
  <c r="N63" i="20"/>
  <c r="O63" i="20" s="1"/>
  <c r="N64" i="20"/>
  <c r="O64" i="20" s="1"/>
  <c r="N65" i="20"/>
  <c r="O65" i="20" s="1"/>
  <c r="N66" i="20"/>
  <c r="O66" i="20" s="1"/>
  <c r="N67" i="20"/>
  <c r="O67" i="20" s="1"/>
  <c r="N68" i="20"/>
  <c r="O68" i="20" s="1"/>
  <c r="N69" i="20"/>
  <c r="O69" i="20" s="1"/>
  <c r="N70" i="20"/>
  <c r="O70" i="20" s="1"/>
  <c r="N71" i="20"/>
  <c r="O71" i="20" s="1"/>
  <c r="N72" i="20"/>
  <c r="O72" i="20" s="1"/>
  <c r="N73" i="20"/>
  <c r="O73" i="20" s="1"/>
  <c r="N74" i="20"/>
  <c r="O74" i="20" s="1"/>
  <c r="N75" i="20"/>
  <c r="O75" i="20" s="1"/>
  <c r="N76" i="20"/>
  <c r="O76" i="20" s="1"/>
  <c r="N77" i="20"/>
  <c r="O77" i="20" s="1"/>
  <c r="N78" i="20"/>
  <c r="O78" i="20" s="1"/>
  <c r="N79" i="20"/>
  <c r="O79" i="20" s="1"/>
  <c r="N80" i="20"/>
  <c r="O80" i="20" s="1"/>
  <c r="N81" i="20"/>
  <c r="O81" i="20" s="1"/>
  <c r="N82" i="20"/>
  <c r="O82" i="20" s="1"/>
  <c r="N83" i="20"/>
  <c r="O83" i="20" s="1"/>
  <c r="N84" i="20"/>
  <c r="O84" i="20" s="1"/>
  <c r="N85" i="20"/>
  <c r="O85" i="20" s="1"/>
  <c r="N86" i="20"/>
  <c r="O86" i="20" s="1"/>
  <c r="N87" i="20"/>
  <c r="O87" i="20" s="1"/>
  <c r="N88" i="20"/>
  <c r="O88" i="20" s="1"/>
  <c r="N89" i="20"/>
  <c r="O89" i="20" s="1"/>
  <c r="N90" i="20"/>
  <c r="O90" i="20" s="1"/>
  <c r="N91" i="20"/>
  <c r="O91" i="20" s="1"/>
  <c r="G33" i="20"/>
  <c r="G34" i="20"/>
  <c r="G37" i="20"/>
  <c r="G38" i="20"/>
  <c r="G41" i="20"/>
  <c r="G42" i="20"/>
  <c r="G45" i="20"/>
  <c r="G46" i="20"/>
  <c r="G49" i="20"/>
  <c r="G50" i="20"/>
  <c r="G53" i="20"/>
  <c r="G54" i="20"/>
  <c r="G57" i="20"/>
  <c r="G58" i="20"/>
  <c r="G61" i="20"/>
  <c r="G62" i="20"/>
  <c r="G65" i="20"/>
  <c r="G66" i="20"/>
  <c r="G69" i="20"/>
  <c r="G70" i="20"/>
  <c r="G73" i="20"/>
  <c r="G74" i="20"/>
  <c r="G77" i="20"/>
  <c r="G78" i="20"/>
  <c r="G81" i="20"/>
  <c r="G82" i="20"/>
  <c r="G85" i="20"/>
  <c r="G86" i="20"/>
  <c r="G89" i="20"/>
  <c r="G90" i="20"/>
  <c r="F18" i="20"/>
  <c r="G18" i="20" s="1"/>
  <c r="F19" i="20"/>
  <c r="G19" i="20" s="1"/>
  <c r="F20" i="20"/>
  <c r="G20" i="20" s="1"/>
  <c r="F21" i="20"/>
  <c r="G21" i="20" s="1"/>
  <c r="F22" i="20"/>
  <c r="G22" i="20" s="1"/>
  <c r="F23" i="20"/>
  <c r="G23" i="20" s="1"/>
  <c r="F24" i="20"/>
  <c r="G24" i="20" s="1"/>
  <c r="F25" i="20"/>
  <c r="G25" i="20" s="1"/>
  <c r="F26" i="20"/>
  <c r="G26" i="20" s="1"/>
  <c r="F27" i="20"/>
  <c r="G27" i="20" s="1"/>
  <c r="F28" i="20"/>
  <c r="G28" i="20" s="1"/>
  <c r="F29" i="20"/>
  <c r="G29" i="20" s="1"/>
  <c r="F30" i="20"/>
  <c r="G30" i="20" s="1"/>
  <c r="F31" i="20"/>
  <c r="G31" i="20" s="1"/>
  <c r="F32" i="20"/>
  <c r="G32" i="20" s="1"/>
  <c r="F33" i="20"/>
  <c r="F34" i="20"/>
  <c r="F35" i="20"/>
  <c r="G35" i="20" s="1"/>
  <c r="F36" i="20"/>
  <c r="G36" i="20" s="1"/>
  <c r="F37" i="20"/>
  <c r="F38" i="20"/>
  <c r="F39" i="20"/>
  <c r="G39" i="20" s="1"/>
  <c r="F40" i="20"/>
  <c r="G40" i="20" s="1"/>
  <c r="F41" i="20"/>
  <c r="F42" i="20"/>
  <c r="F43" i="20"/>
  <c r="G43" i="20" s="1"/>
  <c r="F44" i="20"/>
  <c r="G44" i="20" s="1"/>
  <c r="F45" i="20"/>
  <c r="F46" i="20"/>
  <c r="F47" i="20"/>
  <c r="G47" i="20" s="1"/>
  <c r="F48" i="20"/>
  <c r="G48" i="20" s="1"/>
  <c r="F49" i="20"/>
  <c r="F50" i="20"/>
  <c r="F51" i="20"/>
  <c r="G51" i="20" s="1"/>
  <c r="F52" i="20"/>
  <c r="G52" i="20" s="1"/>
  <c r="F53" i="20"/>
  <c r="F54" i="20"/>
  <c r="F55" i="20"/>
  <c r="G55" i="20" s="1"/>
  <c r="F56" i="20"/>
  <c r="G56" i="20" s="1"/>
  <c r="F57" i="20"/>
  <c r="F58" i="20"/>
  <c r="F59" i="20"/>
  <c r="G59" i="20" s="1"/>
  <c r="F60" i="20"/>
  <c r="G60" i="20" s="1"/>
  <c r="F61" i="20"/>
  <c r="F62" i="20"/>
  <c r="F63" i="20"/>
  <c r="G63" i="20" s="1"/>
  <c r="F64" i="20"/>
  <c r="G64" i="20" s="1"/>
  <c r="F65" i="20"/>
  <c r="F66" i="20"/>
  <c r="F67" i="20"/>
  <c r="G67" i="20" s="1"/>
  <c r="F68" i="20"/>
  <c r="G68" i="20" s="1"/>
  <c r="F69" i="20"/>
  <c r="F70" i="20"/>
  <c r="F71" i="20"/>
  <c r="G71" i="20" s="1"/>
  <c r="F72" i="20"/>
  <c r="G72" i="20" s="1"/>
  <c r="F73" i="20"/>
  <c r="F74" i="20"/>
  <c r="F75" i="20"/>
  <c r="G75" i="20" s="1"/>
  <c r="F76" i="20"/>
  <c r="G76" i="20" s="1"/>
  <c r="F77" i="20"/>
  <c r="F78" i="20"/>
  <c r="F79" i="20"/>
  <c r="G79" i="20" s="1"/>
  <c r="F80" i="20"/>
  <c r="G80" i="20" s="1"/>
  <c r="F81" i="20"/>
  <c r="F82" i="20"/>
  <c r="F83" i="20"/>
  <c r="G83" i="20" s="1"/>
  <c r="F84" i="20"/>
  <c r="G84" i="20" s="1"/>
  <c r="F85" i="20"/>
  <c r="F86" i="20"/>
  <c r="F87" i="20"/>
  <c r="G87" i="20" s="1"/>
  <c r="F88" i="20"/>
  <c r="G88" i="20" s="1"/>
  <c r="F89" i="20"/>
  <c r="F90" i="20"/>
  <c r="F91" i="20"/>
  <c r="G91" i="20" s="1"/>
  <c r="N17" i="20" l="1"/>
  <c r="O17" i="20" s="1"/>
  <c r="F17" i="20"/>
  <c r="G17" i="20" s="1"/>
  <c r="A5" i="12"/>
  <c r="A5" i="18"/>
  <c r="A5" i="20"/>
  <c r="D16" i="29"/>
  <c r="A41" i="29"/>
  <c r="A43"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A32" i="29"/>
  <c r="A31" i="29"/>
  <c r="A23" i="29"/>
  <c r="A22" i="29"/>
  <c r="A5" i="29"/>
  <c r="E67" i="12"/>
  <c r="E9" i="23"/>
  <c r="A3" i="24" a="1"/>
  <c r="A3" i="24" s="1"/>
  <c r="A5" i="23"/>
  <c r="F17" i="18"/>
  <c r="J17" i="18"/>
  <c r="F22" i="18"/>
  <c r="I9" i="23" s="1"/>
  <c r="J22" i="18"/>
  <c r="E68" i="12" s="1"/>
  <c r="N15" i="20"/>
  <c r="O15" i="20" s="1"/>
  <c r="E65" i="12"/>
  <c r="P2" i="24" a="1"/>
  <c r="B98" i="20" a="1"/>
  <c r="A16" i="23" a="1"/>
  <c r="J98" i="20" a="1"/>
  <c r="B13" i="21" a="1"/>
  <c r="A19" i="24" l="1"/>
  <c r="A38" i="24"/>
  <c r="A48" i="24"/>
  <c r="A4" i="24"/>
  <c r="A47" i="24"/>
  <c r="A29" i="24"/>
  <c r="A22" i="24"/>
  <c r="E79" i="12"/>
  <c r="C8" i="29"/>
  <c r="I13" i="23"/>
  <c r="E13" i="23"/>
  <c r="F15" i="20"/>
  <c r="G15" i="20" s="1"/>
  <c r="A35" i="24"/>
  <c r="A6" i="24"/>
  <c r="A46" i="24"/>
  <c r="A30" i="24"/>
  <c r="A14" i="24"/>
  <c r="A45" i="24"/>
  <c r="A13" i="24"/>
  <c r="A15" i="24"/>
  <c r="A43" i="24"/>
  <c r="A27" i="24"/>
  <c r="A11" i="24"/>
  <c r="A5" i="24"/>
  <c r="A42" i="24"/>
  <c r="A34" i="24"/>
  <c r="A26" i="24"/>
  <c r="A18" i="24"/>
  <c r="A10" i="24"/>
  <c r="A53" i="24"/>
  <c r="A37" i="24"/>
  <c r="A21" i="24"/>
  <c r="A31" i="24"/>
  <c r="A51" i="24"/>
  <c r="A50" i="24"/>
  <c r="A44" i="24"/>
  <c r="A40" i="24"/>
  <c r="A36" i="24"/>
  <c r="A32" i="24"/>
  <c r="A28" i="24"/>
  <c r="A24" i="24"/>
  <c r="A20" i="24"/>
  <c r="A16" i="24"/>
  <c r="A12" i="24"/>
  <c r="A8" i="24"/>
  <c r="A49" i="24"/>
  <c r="A52" i="24"/>
  <c r="A41" i="24"/>
  <c r="A33" i="24"/>
  <c r="A25" i="24"/>
  <c r="A17" i="24"/>
  <c r="A9" i="24"/>
  <c r="A7" i="24"/>
  <c r="A23" i="24"/>
  <c r="A39" i="24"/>
  <c r="A28" i="23"/>
  <c r="A17" i="23"/>
  <c r="A19" i="23"/>
  <c r="A32" i="23"/>
  <c r="A27" i="23"/>
  <c r="A18" i="23"/>
  <c r="A31" i="23"/>
  <c r="A16" i="23"/>
  <c r="A33" i="23"/>
  <c r="A29" i="23"/>
  <c r="A20" i="23"/>
  <c r="A26" i="23"/>
  <c r="A30" i="23"/>
  <c r="A25" i="23"/>
  <c r="A24" i="23"/>
  <c r="A21" i="23"/>
  <c r="A23" i="23"/>
  <c r="A22" i="23"/>
  <c r="A34" i="23"/>
  <c r="P26" i="24"/>
  <c r="P44" i="24"/>
  <c r="P3" i="24"/>
  <c r="P4" i="24"/>
  <c r="P37" i="24"/>
  <c r="P19" i="24"/>
  <c r="P2" i="24"/>
  <c r="P42" i="24"/>
  <c r="P53" i="24"/>
  <c r="P18" i="24"/>
  <c r="P36" i="24"/>
  <c r="P52" i="24"/>
  <c r="P31" i="24"/>
  <c r="P47" i="24"/>
  <c r="P21" i="24"/>
  <c r="P9" i="24"/>
  <c r="P46" i="24"/>
  <c r="P29" i="24"/>
  <c r="P43" i="24"/>
  <c r="P15" i="24"/>
  <c r="P22" i="24"/>
  <c r="P32" i="24"/>
  <c r="P38" i="24"/>
  <c r="P28" i="24"/>
  <c r="P35" i="24"/>
  <c r="P7" i="24"/>
  <c r="P48" i="24"/>
  <c r="P5" i="24"/>
  <c r="P14" i="24"/>
  <c r="P8" i="24"/>
  <c r="P12" i="24"/>
  <c r="P25" i="24"/>
  <c r="P30" i="24"/>
  <c r="P20" i="24"/>
  <c r="P6" i="24"/>
  <c r="P17" i="24"/>
  <c r="P27" i="24"/>
  <c r="P40" i="24"/>
  <c r="P50" i="24"/>
  <c r="P49" i="24"/>
  <c r="P24" i="24"/>
  <c r="P23" i="24"/>
  <c r="P45" i="24"/>
  <c r="P11" i="24"/>
  <c r="P41" i="24"/>
  <c r="P16" i="24"/>
  <c r="P10" i="24"/>
  <c r="P34" i="24"/>
  <c r="P33" i="24"/>
  <c r="P51" i="24"/>
  <c r="P39" i="24"/>
  <c r="P13" i="24"/>
  <c r="B44" i="21"/>
  <c r="A44" i="21" s="1"/>
  <c r="B20" i="21"/>
  <c r="A20" i="21" s="1"/>
  <c r="B61" i="21"/>
  <c r="A61" i="21" s="1"/>
  <c r="B18" i="21"/>
  <c r="A18" i="21" s="1"/>
  <c r="B63" i="21"/>
  <c r="A63" i="21" s="1"/>
  <c r="B33" i="21"/>
  <c r="A33" i="21" s="1"/>
  <c r="B55" i="21"/>
  <c r="A55" i="21" s="1"/>
  <c r="B53" i="21"/>
  <c r="A53" i="21" s="1"/>
  <c r="B52" i="21"/>
  <c r="A52" i="21" s="1"/>
  <c r="B23" i="21"/>
  <c r="A23" i="21" s="1"/>
  <c r="B42" i="21"/>
  <c r="A42" i="21" s="1"/>
  <c r="B14" i="21"/>
  <c r="A14" i="21" s="1"/>
  <c r="B13" i="21"/>
  <c r="B38" i="21"/>
  <c r="A38" i="21" s="1"/>
  <c r="B64" i="21"/>
  <c r="A64" i="21" s="1"/>
  <c r="B34" i="21"/>
  <c r="A34" i="21" s="1"/>
  <c r="B46" i="21"/>
  <c r="A46" i="21" s="1"/>
  <c r="B27" i="21"/>
  <c r="A27" i="21" s="1"/>
  <c r="B37" i="21"/>
  <c r="A37" i="21" s="1"/>
  <c r="B32" i="21"/>
  <c r="A32" i="21" s="1"/>
  <c r="B40" i="21"/>
  <c r="A40" i="21" s="1"/>
  <c r="B49" i="21"/>
  <c r="A49" i="21" s="1"/>
  <c r="B29" i="21"/>
  <c r="A29" i="21" s="1"/>
  <c r="B59" i="21"/>
  <c r="A59" i="21" s="1"/>
  <c r="B17" i="21"/>
  <c r="A17" i="21" s="1"/>
  <c r="B43" i="21"/>
  <c r="A43" i="21" s="1"/>
  <c r="B26" i="21"/>
  <c r="A26" i="21" s="1"/>
  <c r="B51" i="21"/>
  <c r="A51" i="21" s="1"/>
  <c r="B56" i="21"/>
  <c r="A56" i="21" s="1"/>
  <c r="B62" i="21"/>
  <c r="A62" i="21" s="1"/>
  <c r="B21" i="21"/>
  <c r="A21" i="21" s="1"/>
  <c r="B50" i="21"/>
  <c r="A50" i="21" s="1"/>
  <c r="B58" i="21"/>
  <c r="A58" i="21" s="1"/>
  <c r="B36" i="21"/>
  <c r="A36" i="21" s="1"/>
  <c r="B45" i="21"/>
  <c r="A45" i="21" s="1"/>
  <c r="B15" i="21"/>
  <c r="A15" i="21" s="1"/>
  <c r="B35" i="21"/>
  <c r="A35" i="21" s="1"/>
  <c r="B16" i="21"/>
  <c r="A16" i="21" s="1"/>
  <c r="B48" i="21"/>
  <c r="A48" i="21" s="1"/>
  <c r="B47" i="21"/>
  <c r="A47" i="21" s="1"/>
  <c r="B25" i="21"/>
  <c r="A25" i="21" s="1"/>
  <c r="B41" i="21"/>
  <c r="A41" i="21" s="1"/>
  <c r="B22" i="21"/>
  <c r="A22" i="21" s="1"/>
  <c r="B19" i="21"/>
  <c r="A19" i="21" s="1"/>
  <c r="B39" i="21"/>
  <c r="A39" i="21" s="1"/>
  <c r="B31" i="21"/>
  <c r="A31" i="21" s="1"/>
  <c r="B57" i="21"/>
  <c r="A57" i="21" s="1"/>
  <c r="B30" i="21"/>
  <c r="A30" i="21" s="1"/>
  <c r="B24" i="21"/>
  <c r="A24" i="21" s="1"/>
  <c r="B28" i="21"/>
  <c r="A28" i="21" s="1"/>
  <c r="B54" i="21"/>
  <c r="A54" i="21" s="1"/>
  <c r="B60" i="21"/>
  <c r="A60" i="21" s="1"/>
  <c r="B135" i="20"/>
  <c r="B143" i="20"/>
  <c r="B129" i="20"/>
  <c r="B103" i="20"/>
  <c r="B112" i="20"/>
  <c r="B113" i="20"/>
  <c r="B109" i="20"/>
  <c r="B108" i="20"/>
  <c r="B149" i="20"/>
  <c r="B120" i="20"/>
  <c r="B99" i="20"/>
  <c r="B131" i="20"/>
  <c r="B140" i="20"/>
  <c r="B115" i="20"/>
  <c r="B128" i="20"/>
  <c r="B134" i="20"/>
  <c r="B119" i="20"/>
  <c r="B125" i="20"/>
  <c r="B133" i="20"/>
  <c r="B145" i="20"/>
  <c r="B122" i="20"/>
  <c r="B106" i="20"/>
  <c r="B104" i="20"/>
  <c r="B116" i="20"/>
  <c r="B132" i="20"/>
  <c r="B138" i="20"/>
  <c r="B124" i="20"/>
  <c r="B123" i="20"/>
  <c r="B136" i="20"/>
  <c r="B147" i="20"/>
  <c r="B144" i="20"/>
  <c r="B130" i="20"/>
  <c r="B137" i="20"/>
  <c r="B98" i="20"/>
  <c r="B121" i="20"/>
  <c r="B118" i="20"/>
  <c r="B100" i="20"/>
  <c r="B148" i="20"/>
  <c r="B101" i="20"/>
  <c r="B114" i="20"/>
  <c r="B105" i="20"/>
  <c r="B141" i="20"/>
  <c r="B107" i="20"/>
  <c r="B142" i="20"/>
  <c r="B126" i="20"/>
  <c r="B110" i="20"/>
  <c r="B146" i="20"/>
  <c r="B127" i="20"/>
  <c r="B102" i="20"/>
  <c r="B111" i="20"/>
  <c r="B117" i="20"/>
  <c r="B139" i="20"/>
  <c r="J124" i="20"/>
  <c r="J104" i="20"/>
  <c r="J121" i="20"/>
  <c r="J117" i="20"/>
  <c r="J125" i="20"/>
  <c r="J111" i="20"/>
  <c r="J147" i="20"/>
  <c r="J107" i="20"/>
  <c r="J108" i="20"/>
  <c r="J141" i="20"/>
  <c r="J100" i="20"/>
  <c r="J148" i="20"/>
  <c r="J114" i="20"/>
  <c r="J112" i="20"/>
  <c r="J119" i="20"/>
  <c r="J143" i="20"/>
  <c r="J99" i="20"/>
  <c r="J149" i="20"/>
  <c r="J127" i="20"/>
  <c r="J101" i="20"/>
  <c r="J131" i="20"/>
  <c r="J128" i="20"/>
  <c r="J126" i="20"/>
  <c r="J103" i="20"/>
  <c r="J132" i="20"/>
  <c r="J135" i="20"/>
  <c r="J120" i="20"/>
  <c r="J146" i="20"/>
  <c r="J109" i="20"/>
  <c r="J137" i="20"/>
  <c r="J113" i="20"/>
  <c r="J136" i="20"/>
  <c r="J142" i="20"/>
  <c r="J123" i="20"/>
  <c r="J98" i="20"/>
  <c r="J116" i="20"/>
  <c r="J138" i="20"/>
  <c r="J110" i="20"/>
  <c r="J130" i="20"/>
  <c r="J122" i="20"/>
  <c r="J144" i="20"/>
  <c r="J115" i="20"/>
  <c r="J118" i="20"/>
  <c r="J106" i="20"/>
  <c r="J102" i="20"/>
  <c r="J145" i="20"/>
  <c r="J139" i="20"/>
  <c r="J133" i="20"/>
  <c r="J105" i="20"/>
  <c r="J134" i="20"/>
  <c r="J129" i="20"/>
  <c r="J140" i="20"/>
  <c r="A13" i="21" l="1"/>
  <c r="D23" i="18" s="1"/>
  <c r="B16" i="19" a="1"/>
  <c r="D26" i="29" a="1"/>
  <c r="M98" i="20" a="1"/>
  <c r="B15" i="19" a="1"/>
  <c r="D17" i="29" a="1"/>
  <c r="E98" i="20" a="1"/>
  <c r="F34" i="23"/>
  <c r="F23" i="23"/>
  <c r="F24" i="23"/>
  <c r="F30" i="23"/>
  <c r="F20" i="23"/>
  <c r="F33" i="23"/>
  <c r="F31" i="23"/>
  <c r="F27" i="23"/>
  <c r="F28" i="23"/>
  <c r="F22" i="23"/>
  <c r="F21" i="23"/>
  <c r="F25" i="23"/>
  <c r="F26" i="23"/>
  <c r="F29" i="23"/>
  <c r="F32" i="23"/>
  <c r="B12" i="20" l="1"/>
  <c r="B13" i="20"/>
  <c r="V15" i="19" s="1"/>
  <c r="B7" i="19" a="1"/>
  <c r="F7" i="19" s="1"/>
  <c r="N69" i="21" a="1"/>
  <c r="N70" i="21" s="1"/>
  <c r="N65" i="21" a="1"/>
  <c r="N66" i="21" s="1"/>
  <c r="N67" i="21" a="1"/>
  <c r="N68" i="21" s="1"/>
  <c r="B6" i="19" a="1"/>
  <c r="F6" i="19" s="1"/>
  <c r="AO15" i="19"/>
  <c r="AJ15" i="19"/>
  <c r="I15" i="19"/>
  <c r="F15" i="19"/>
  <c r="M147" i="20"/>
  <c r="M140" i="20"/>
  <c r="F19" i="23"/>
  <c r="S26" i="29"/>
  <c r="S31" i="29" s="1"/>
  <c r="AE26" i="29"/>
  <c r="AE31" i="29" s="1"/>
  <c r="Q15" i="19"/>
  <c r="AZ15" i="19"/>
  <c r="AC15" i="19"/>
  <c r="E125" i="20"/>
  <c r="E120" i="20"/>
  <c r="E140" i="20"/>
  <c r="E114" i="20"/>
  <c r="E115" i="20"/>
  <c r="E138" i="20"/>
  <c r="E146" i="20"/>
  <c r="AA17" i="29"/>
  <c r="AA22" i="29" s="1"/>
  <c r="U17" i="29"/>
  <c r="U22" i="29" s="1"/>
  <c r="V17" i="29"/>
  <c r="V22" i="29" s="1"/>
  <c r="R17" i="29" l="1"/>
  <c r="R22" i="29" s="1"/>
  <c r="S17" i="29"/>
  <c r="S22" i="29" s="1"/>
  <c r="E112" i="20"/>
  <c r="E123" i="20"/>
  <c r="L15" i="19"/>
  <c r="I26" i="29"/>
  <c r="I31" i="29" s="1"/>
  <c r="M111" i="20"/>
  <c r="M125" i="20"/>
  <c r="M112" i="20"/>
  <c r="M118" i="20"/>
  <c r="AQ15" i="19"/>
  <c r="N15" i="19"/>
  <c r="M106" i="20"/>
  <c r="B15" i="19"/>
  <c r="AB15" i="19"/>
  <c r="W15" i="19"/>
  <c r="M101" i="20"/>
  <c r="M146" i="20"/>
  <c r="M105" i="20"/>
  <c r="G15" i="19"/>
  <c r="M149" i="20"/>
  <c r="M124" i="20"/>
  <c r="M103" i="20"/>
  <c r="M128" i="20"/>
  <c r="AH15" i="19"/>
  <c r="Z15" i="19"/>
  <c r="C15" i="19"/>
  <c r="E15" i="19"/>
  <c r="M129" i="20"/>
  <c r="M110" i="20"/>
  <c r="M99" i="20"/>
  <c r="M139" i="20"/>
  <c r="M136" i="20"/>
  <c r="M119" i="20"/>
  <c r="AM15" i="19"/>
  <c r="G26" i="29"/>
  <c r="G31" i="29" s="1"/>
  <c r="Q26" i="29"/>
  <c r="Q31" i="29" s="1"/>
  <c r="J26" i="29"/>
  <c r="J31" i="29" s="1"/>
  <c r="AC26" i="29"/>
  <c r="AC31" i="29" s="1"/>
  <c r="D26" i="29"/>
  <c r="D31" i="29" s="1"/>
  <c r="H26" i="29"/>
  <c r="H31" i="29" s="1"/>
  <c r="H15" i="19"/>
  <c r="R15" i="19"/>
  <c r="AI15" i="19"/>
  <c r="O15" i="19"/>
  <c r="BA15" i="19"/>
  <c r="P15" i="19"/>
  <c r="E127" i="20"/>
  <c r="E139" i="20"/>
  <c r="E110" i="20"/>
  <c r="E141" i="20"/>
  <c r="E145" i="20"/>
  <c r="E103" i="20"/>
  <c r="E134" i="20"/>
  <c r="E132" i="20"/>
  <c r="E144" i="20"/>
  <c r="E117" i="20"/>
  <c r="E111" i="20"/>
  <c r="E102" i="20"/>
  <c r="E99" i="20"/>
  <c r="AI17" i="29"/>
  <c r="AI22" i="29" s="1"/>
  <c r="I17" i="29"/>
  <c r="I22" i="29" s="1"/>
  <c r="M17" i="29"/>
  <c r="M22" i="29" s="1"/>
  <c r="AJ17" i="29"/>
  <c r="AJ22" i="29" s="1"/>
  <c r="N17" i="29"/>
  <c r="N22" i="29" s="1"/>
  <c r="P17" i="29"/>
  <c r="P22" i="29" s="1"/>
  <c r="M131" i="20"/>
  <c r="AE15" i="19"/>
  <c r="E8" i="12"/>
  <c r="M122" i="20"/>
  <c r="M132" i="20"/>
  <c r="M144" i="20"/>
  <c r="M121" i="20"/>
  <c r="M138" i="20"/>
  <c r="M126" i="20"/>
  <c r="E23" i="12"/>
  <c r="AA15" i="19"/>
  <c r="M15" i="19"/>
  <c r="AS15" i="19"/>
  <c r="K15" i="19"/>
  <c r="M141" i="20"/>
  <c r="M130" i="20"/>
  <c r="M116" i="20"/>
  <c r="M107" i="20"/>
  <c r="M102" i="20"/>
  <c r="M100" i="20"/>
  <c r="Y26" i="29"/>
  <c r="Y31" i="29" s="1"/>
  <c r="AG26" i="29"/>
  <c r="AG31" i="29" s="1"/>
  <c r="AB26" i="29"/>
  <c r="AB31" i="29" s="1"/>
  <c r="AK26" i="29"/>
  <c r="AK31" i="29" s="1"/>
  <c r="AD26" i="29"/>
  <c r="AD31" i="29" s="1"/>
  <c r="X26" i="29"/>
  <c r="X31" i="29" s="1"/>
  <c r="D15" i="19"/>
  <c r="AP15" i="19"/>
  <c r="X15" i="19"/>
  <c r="AR15" i="19"/>
  <c r="AX15" i="19"/>
  <c r="AL15" i="19"/>
  <c r="E121" i="20"/>
  <c r="AK17" i="29"/>
  <c r="AK22" i="29" s="1"/>
  <c r="W17" i="29"/>
  <c r="W22" i="29" s="1"/>
  <c r="E130" i="20"/>
  <c r="E101" i="20"/>
  <c r="E136" i="20"/>
  <c r="E149" i="20"/>
  <c r="S15" i="19"/>
  <c r="J15" i="19"/>
  <c r="M26" i="29"/>
  <c r="M31" i="29" s="1"/>
  <c r="M114" i="20"/>
  <c r="M133" i="20"/>
  <c r="AK15" i="19"/>
  <c r="M137" i="20"/>
  <c r="X17" i="29"/>
  <c r="X22" i="29" s="1"/>
  <c r="K17" i="29"/>
  <c r="K22" i="29" s="1"/>
  <c r="Q17" i="29"/>
  <c r="Q22" i="29" s="1"/>
  <c r="E122" i="20"/>
  <c r="E147" i="20"/>
  <c r="E128" i="20"/>
  <c r="E133" i="20"/>
  <c r="E116" i="20"/>
  <c r="E137" i="20"/>
  <c r="E119" i="20"/>
  <c r="E104" i="20"/>
  <c r="E113" i="20"/>
  <c r="E98" i="20"/>
  <c r="AY15" i="19"/>
  <c r="AT15" i="19"/>
  <c r="AD15" i="19"/>
  <c r="N26" i="29"/>
  <c r="N31" i="29" s="1"/>
  <c r="E26" i="29"/>
  <c r="E31" i="29" s="1"/>
  <c r="W26" i="29"/>
  <c r="W31" i="29" s="1"/>
  <c r="M115" i="20"/>
  <c r="M120" i="20"/>
  <c r="M145" i="20"/>
  <c r="M117" i="20"/>
  <c r="Y15" i="19"/>
  <c r="AF15" i="19"/>
  <c r="M109" i="20"/>
  <c r="M134" i="20"/>
  <c r="M127" i="20"/>
  <c r="J17" i="29"/>
  <c r="J22" i="29" s="1"/>
  <c r="F17" i="29"/>
  <c r="F22" i="29" s="1"/>
  <c r="D17" i="29"/>
  <c r="D22" i="29" s="1"/>
  <c r="E109" i="20"/>
  <c r="E108" i="20"/>
  <c r="E107" i="20"/>
  <c r="E129" i="20"/>
  <c r="E143" i="20"/>
  <c r="AN15" i="19"/>
  <c r="F26" i="29"/>
  <c r="F31" i="29" s="1"/>
  <c r="T26" i="29"/>
  <c r="T31" i="29" s="1"/>
  <c r="M98" i="20"/>
  <c r="U15" i="19"/>
  <c r="M142" i="20"/>
  <c r="M113" i="20"/>
  <c r="T17" i="29"/>
  <c r="T22" i="29" s="1"/>
  <c r="Z17" i="29"/>
  <c r="Z22" i="29" s="1"/>
  <c r="AF17" i="29"/>
  <c r="AF22" i="29" s="1"/>
  <c r="AB17" i="29"/>
  <c r="AB22" i="29" s="1"/>
  <c r="AC17" i="29"/>
  <c r="AC22" i="29" s="1"/>
  <c r="AG17" i="29"/>
  <c r="AG22" i="29" s="1"/>
  <c r="E142" i="20"/>
  <c r="E131" i="20"/>
  <c r="E105" i="20"/>
  <c r="E135" i="20"/>
  <c r="E126" i="20"/>
  <c r="E124" i="20"/>
  <c r="E148" i="20"/>
  <c r="E106" i="20"/>
  <c r="E118" i="20"/>
  <c r="E100" i="20"/>
  <c r="AV15" i="19"/>
  <c r="AU15" i="19"/>
  <c r="T15" i="19"/>
  <c r="K26" i="29"/>
  <c r="K31" i="29" s="1"/>
  <c r="Z26" i="29"/>
  <c r="Z31" i="29" s="1"/>
  <c r="AH26" i="29"/>
  <c r="AH31" i="29" s="1"/>
  <c r="M148" i="20"/>
  <c r="M123" i="20"/>
  <c r="M104" i="20"/>
  <c r="M143" i="20"/>
  <c r="AG15" i="19"/>
  <c r="AW15" i="19"/>
  <c r="M108" i="20"/>
  <c r="M135" i="20"/>
  <c r="AZ16" i="19"/>
  <c r="AK16" i="19"/>
  <c r="R16" i="19"/>
  <c r="O16" i="19"/>
  <c r="P16" i="19"/>
  <c r="AN16" i="19"/>
  <c r="G16" i="19"/>
  <c r="AD16" i="19"/>
  <c r="N16" i="19"/>
  <c r="AX16" i="19"/>
  <c r="AR16" i="19"/>
  <c r="M16" i="19"/>
  <c r="AA16" i="19"/>
  <c r="F16" i="19"/>
  <c r="AW16" i="19"/>
  <c r="X16" i="19"/>
  <c r="AO16" i="19"/>
  <c r="D16" i="19"/>
  <c r="Q16" i="19"/>
  <c r="H16" i="19"/>
  <c r="Y16" i="19"/>
  <c r="T16" i="19"/>
  <c r="B16" i="19"/>
  <c r="AI16" i="19"/>
  <c r="E16" i="19"/>
  <c r="E24" i="12"/>
  <c r="J16" i="19"/>
  <c r="AM16" i="19"/>
  <c r="W16" i="19"/>
  <c r="AP16" i="19"/>
  <c r="AT16" i="19"/>
  <c r="AE16" i="19"/>
  <c r="AL16" i="19"/>
  <c r="AJ16" i="19"/>
  <c r="L16" i="19"/>
  <c r="AG16" i="19"/>
  <c r="S16" i="19"/>
  <c r="AU16" i="19"/>
  <c r="AB16" i="19"/>
  <c r="U16" i="19"/>
  <c r="K16" i="19"/>
  <c r="V16" i="19"/>
  <c r="AV16" i="19"/>
  <c r="AY16" i="19"/>
  <c r="Z16" i="19"/>
  <c r="AS16" i="19"/>
  <c r="AH16" i="19"/>
  <c r="C16" i="19"/>
  <c r="I16" i="19"/>
  <c r="BA16" i="19"/>
  <c r="AC16" i="19"/>
  <c r="AF16" i="19"/>
  <c r="AH17" i="29"/>
  <c r="AH22" i="29" s="1"/>
  <c r="H17" i="29"/>
  <c r="H22" i="29" s="1"/>
  <c r="AD17" i="29"/>
  <c r="AD22" i="29" s="1"/>
  <c r="L17" i="29"/>
  <c r="L22" i="29" s="1"/>
  <c r="E17" i="29"/>
  <c r="E22" i="29" s="1"/>
  <c r="G17" i="29"/>
  <c r="G22" i="29" s="1"/>
  <c r="O17" i="29"/>
  <c r="O22" i="29" s="1"/>
  <c r="Y17" i="29"/>
  <c r="Y22" i="29" s="1"/>
  <c r="AE17" i="29"/>
  <c r="AE22" i="29" s="1"/>
  <c r="P26" i="29"/>
  <c r="P31" i="29" s="1"/>
  <c r="V26" i="29"/>
  <c r="V31" i="29" s="1"/>
  <c r="AI26" i="29"/>
  <c r="AI31" i="29" s="1"/>
  <c r="U26" i="29"/>
  <c r="U31" i="29" s="1"/>
  <c r="L26" i="29"/>
  <c r="L31" i="29" s="1"/>
  <c r="AA26" i="29"/>
  <c r="AA31" i="29" s="1"/>
  <c r="R26" i="29"/>
  <c r="R31" i="29" s="1"/>
  <c r="O26" i="29"/>
  <c r="O31" i="29" s="1"/>
  <c r="AF26" i="29"/>
  <c r="AF31" i="29" s="1"/>
  <c r="AJ26" i="29"/>
  <c r="AJ31" i="29" s="1"/>
  <c r="E25" i="12"/>
  <c r="AQ16" i="19"/>
  <c r="BA7" i="19"/>
  <c r="T7" i="19"/>
  <c r="AH7" i="19"/>
  <c r="AK7" i="19"/>
  <c r="D7" i="19"/>
  <c r="R7" i="19"/>
  <c r="AR7" i="19"/>
  <c r="K7" i="19"/>
  <c r="I7" i="19"/>
  <c r="AA7" i="19"/>
  <c r="AG7" i="19"/>
  <c r="AN7" i="19"/>
  <c r="AU7" i="19"/>
  <c r="G7" i="19"/>
  <c r="N7" i="19"/>
  <c r="Q7" i="19"/>
  <c r="X7" i="19"/>
  <c r="AE7" i="19"/>
  <c r="AP7" i="19"/>
  <c r="AW7" i="19"/>
  <c r="Y7" i="19"/>
  <c r="E7" i="19"/>
  <c r="AJ7" i="19"/>
  <c r="L7" i="19"/>
  <c r="AQ7" i="19"/>
  <c r="W7" i="19"/>
  <c r="AX7" i="19"/>
  <c r="AD7" i="19"/>
  <c r="J7" i="19"/>
  <c r="AO7" i="19"/>
  <c r="U7" i="19"/>
  <c r="AZ7" i="19"/>
  <c r="AB7" i="19"/>
  <c r="H7" i="19"/>
  <c r="AM7" i="19"/>
  <c r="O7" i="19"/>
  <c r="AT7" i="19"/>
  <c r="Z7" i="19"/>
  <c r="B7" i="19"/>
  <c r="AS7" i="19"/>
  <c r="AC7" i="19"/>
  <c r="M7" i="19"/>
  <c r="AV7" i="19"/>
  <c r="AF7" i="19"/>
  <c r="P7" i="19"/>
  <c r="AY7" i="19"/>
  <c r="AI7" i="19"/>
  <c r="S7" i="19"/>
  <c r="C7" i="19"/>
  <c r="AL7" i="19"/>
  <c r="V7" i="19"/>
  <c r="N69" i="21"/>
  <c r="O69" i="21" s="1"/>
  <c r="N67" i="21"/>
  <c r="O67" i="21" s="1"/>
  <c r="N65" i="21"/>
  <c r="O65" i="21" s="1"/>
  <c r="BA6" i="19"/>
  <c r="AK6" i="19"/>
  <c r="U6" i="19"/>
  <c r="E6" i="19"/>
  <c r="AN6" i="19"/>
  <c r="X6" i="19"/>
  <c r="H6" i="19"/>
  <c r="AQ6" i="19"/>
  <c r="AA6" i="19"/>
  <c r="K6" i="19"/>
  <c r="AT6" i="19"/>
  <c r="AD6" i="19"/>
  <c r="N6" i="19"/>
  <c r="AO6" i="19"/>
  <c r="Y6" i="19"/>
  <c r="I6" i="19"/>
  <c r="AR6" i="19"/>
  <c r="AB6" i="19"/>
  <c r="L6" i="19"/>
  <c r="AU6" i="19"/>
  <c r="AE6" i="19"/>
  <c r="O6" i="19"/>
  <c r="AX6" i="19"/>
  <c r="AH6" i="19"/>
  <c r="R6" i="19"/>
  <c r="B6" i="19"/>
  <c r="AW6" i="19"/>
  <c r="AG6" i="19"/>
  <c r="Q6" i="19"/>
  <c r="AZ6" i="19"/>
  <c r="AJ6" i="19"/>
  <c r="T6" i="19"/>
  <c r="D6" i="19"/>
  <c r="AM6" i="19"/>
  <c r="W6" i="19"/>
  <c r="G6" i="19"/>
  <c r="AP6" i="19"/>
  <c r="Z6" i="19"/>
  <c r="J6" i="19"/>
  <c r="AS6" i="19"/>
  <c r="AC6" i="19"/>
  <c r="M6" i="19"/>
  <c r="AV6" i="19"/>
  <c r="AF6" i="19"/>
  <c r="P6" i="19"/>
  <c r="AY6" i="19"/>
  <c r="AI6" i="19"/>
  <c r="S6" i="19"/>
  <c r="C6" i="19"/>
  <c r="AL6" i="19"/>
  <c r="V6" i="19"/>
  <c r="B13" i="19" l="1" a="1"/>
  <c r="E13" i="19" s="1"/>
  <c r="H48" i="24"/>
  <c r="H51" i="24"/>
  <c r="H53" i="24"/>
  <c r="B11" i="24"/>
  <c r="B50" i="24"/>
  <c r="M2" i="24" a="1"/>
  <c r="M17" i="24" s="1"/>
  <c r="B21" i="24"/>
  <c r="B38" i="24"/>
  <c r="J2" i="24" a="1"/>
  <c r="J34" i="24" s="1"/>
  <c r="B13" i="24"/>
  <c r="B4" i="24"/>
  <c r="B47" i="24"/>
  <c r="B43" i="24"/>
  <c r="B49" i="24"/>
  <c r="K2" i="24" a="1"/>
  <c r="K8" i="24" s="1"/>
  <c r="B26" i="24"/>
  <c r="B53" i="24"/>
  <c r="B15" i="24"/>
  <c r="B45" i="24"/>
  <c r="L2" i="24" a="1"/>
  <c r="L16" i="24" s="1"/>
  <c r="H47" i="24"/>
  <c r="B51" i="24"/>
  <c r="B33" i="24"/>
  <c r="B19" i="24"/>
  <c r="B23" i="24"/>
  <c r="B8" i="24"/>
  <c r="B41" i="24"/>
  <c r="B7" i="24"/>
  <c r="B48" i="24"/>
  <c r="B25" i="24"/>
  <c r="B39" i="24"/>
  <c r="B22" i="24"/>
  <c r="B14" i="24"/>
  <c r="B24" i="24"/>
  <c r="L96" i="20"/>
  <c r="H52" i="24"/>
  <c r="B32" i="24"/>
  <c r="H50" i="24"/>
  <c r="N2" i="24" a="1"/>
  <c r="N14" i="24" s="1"/>
  <c r="B28" i="24"/>
  <c r="B20" i="24"/>
  <c r="B2" i="24"/>
  <c r="B30" i="24"/>
  <c r="B52" i="24"/>
  <c r="B6" i="24"/>
  <c r="B46" i="24"/>
  <c r="B27" i="24"/>
  <c r="B36" i="24"/>
  <c r="B44" i="24"/>
  <c r="B9" i="24"/>
  <c r="B35" i="24"/>
  <c r="B5" i="24"/>
  <c r="B40" i="24"/>
  <c r="B16" i="24"/>
  <c r="G2" i="24"/>
  <c r="G3" i="24" s="1"/>
  <c r="G4" i="24" s="1"/>
  <c r="G5" i="24" s="1"/>
  <c r="G6" i="24" s="1"/>
  <c r="G7" i="24" s="1"/>
  <c r="G8" i="24" s="1"/>
  <c r="G9" i="24" s="1"/>
  <c r="G10" i="24" s="1"/>
  <c r="H2" i="24" s="1"/>
  <c r="H46" i="24"/>
  <c r="H49" i="24"/>
  <c r="B42" i="24"/>
  <c r="B17" i="24"/>
  <c r="B37" i="24"/>
  <c r="B34" i="24"/>
  <c r="B12" i="24"/>
  <c r="B10" i="24"/>
  <c r="I2" i="24" a="1"/>
  <c r="I8" i="24" s="1"/>
  <c r="B31" i="24"/>
  <c r="B29" i="24"/>
  <c r="B3" i="24"/>
  <c r="O2" i="24" a="1"/>
  <c r="O34" i="24" s="1"/>
  <c r="B18" i="24"/>
  <c r="C98" i="20" a="1"/>
  <c r="C129" i="20" s="1"/>
  <c r="K98" i="20" a="1"/>
  <c r="K128" i="20" s="1"/>
  <c r="D96" i="20"/>
  <c r="B17" i="19" a="1"/>
  <c r="D17" i="19" s="1"/>
  <c r="B18" i="19" a="1"/>
  <c r="R18" i="19" s="1"/>
  <c r="E42" i="24"/>
  <c r="C48" i="24"/>
  <c r="C25" i="24"/>
  <c r="E3" i="24"/>
  <c r="E15" i="24"/>
  <c r="E39" i="24"/>
  <c r="E10" i="24"/>
  <c r="E16" i="24"/>
  <c r="E31" i="24"/>
  <c r="C11" i="24"/>
  <c r="E44" i="24"/>
  <c r="E13" i="24"/>
  <c r="C40" i="24"/>
  <c r="E6" i="24"/>
  <c r="C49" i="24"/>
  <c r="E27" i="24"/>
  <c r="E9" i="24"/>
  <c r="E32" i="24"/>
  <c r="C3" i="24"/>
  <c r="E14" i="24"/>
  <c r="E34" i="24"/>
  <c r="E48" i="24"/>
  <c r="E43" i="24"/>
  <c r="C47" i="24"/>
  <c r="E46" i="24"/>
  <c r="E17" i="24"/>
  <c r="E52" i="24"/>
  <c r="C10" i="24"/>
  <c r="E19" i="24"/>
  <c r="C37" i="24"/>
  <c r="C29" i="24"/>
  <c r="E30" i="24"/>
  <c r="C21" i="24"/>
  <c r="C7" i="24"/>
  <c r="E40" i="24"/>
  <c r="C27" i="24"/>
  <c r="E5" i="24"/>
  <c r="C20" i="24"/>
  <c r="C43" i="24"/>
  <c r="E29" i="24"/>
  <c r="C44" i="24"/>
  <c r="C14" i="24"/>
  <c r="E24" i="24"/>
  <c r="E18" i="24"/>
  <c r="C22" i="24"/>
  <c r="C50" i="24"/>
  <c r="E11" i="24"/>
  <c r="C30" i="24"/>
  <c r="C6" i="24"/>
  <c r="C9" i="24"/>
  <c r="C26" i="24"/>
  <c r="C36" i="24"/>
  <c r="E26" i="24"/>
  <c r="C28" i="24"/>
  <c r="C2" i="24"/>
  <c r="C13" i="24"/>
  <c r="C4" i="24"/>
  <c r="C33" i="24"/>
  <c r="C17" i="24"/>
  <c r="C8" i="24"/>
  <c r="E22" i="24"/>
  <c r="E41" i="24"/>
  <c r="C23" i="24"/>
  <c r="E51" i="24"/>
  <c r="E20" i="24"/>
  <c r="E45" i="24"/>
  <c r="E36" i="24"/>
  <c r="C16" i="24"/>
  <c r="C51" i="24"/>
  <c r="C32" i="24"/>
  <c r="C5" i="24"/>
  <c r="C19" i="24"/>
  <c r="E33" i="24"/>
  <c r="E47" i="24"/>
  <c r="E2" i="24"/>
  <c r="E50" i="24"/>
  <c r="E28" i="24"/>
  <c r="E21" i="24"/>
  <c r="E4" i="24"/>
  <c r="E23" i="24"/>
  <c r="E35" i="24"/>
  <c r="E49" i="24"/>
  <c r="C39" i="24"/>
  <c r="C34" i="24"/>
  <c r="C12" i="24"/>
  <c r="C24" i="24"/>
  <c r="E7" i="24"/>
  <c r="C45" i="24"/>
  <c r="E37" i="24"/>
  <c r="C41" i="24"/>
  <c r="E12" i="24"/>
  <c r="E8" i="24"/>
  <c r="C42" i="24"/>
  <c r="C38" i="24"/>
  <c r="E25" i="24"/>
  <c r="E38" i="24"/>
  <c r="C15" i="24"/>
  <c r="C18" i="24"/>
  <c r="C31" i="24"/>
  <c r="C46" i="24"/>
  <c r="E53" i="24"/>
  <c r="C52" i="24"/>
  <c r="C53" i="24"/>
  <c r="D53" i="24" s="1"/>
  <c r="D18" i="18"/>
  <c r="B18" i="18" s="1"/>
  <c r="G11" i="21" s="1"/>
  <c r="C35" i="24"/>
  <c r="G10" i="21" l="1"/>
  <c r="O13" i="19"/>
  <c r="AE13" i="19"/>
  <c r="AS13" i="19"/>
  <c r="J13" i="19"/>
  <c r="AT13" i="19"/>
  <c r="Q13" i="19"/>
  <c r="AQ13" i="19"/>
  <c r="AC13" i="19"/>
  <c r="AF13" i="19"/>
  <c r="AB13" i="19"/>
  <c r="X13" i="19"/>
  <c r="AK13" i="19"/>
  <c r="U13" i="19"/>
  <c r="AM13" i="19"/>
  <c r="W13" i="19"/>
  <c r="Y13" i="19"/>
  <c r="S13" i="19"/>
  <c r="AP13" i="19"/>
  <c r="N13" i="19"/>
  <c r="AO13" i="19"/>
  <c r="AI13" i="19"/>
  <c r="AW13" i="19"/>
  <c r="R13" i="19"/>
  <c r="AG13" i="19"/>
  <c r="AA13" i="19"/>
  <c r="AL13" i="19"/>
  <c r="K13" i="19"/>
  <c r="M13" i="19"/>
  <c r="AH13" i="19"/>
  <c r="T13" i="19"/>
  <c r="AR13" i="19"/>
  <c r="AD13" i="19"/>
  <c r="P13" i="19"/>
  <c r="AN13" i="19"/>
  <c r="Z13" i="19"/>
  <c r="L13" i="19"/>
  <c r="AJ13" i="19"/>
  <c r="V13" i="19"/>
  <c r="H13" i="19"/>
  <c r="G13" i="19"/>
  <c r="F13" i="19"/>
  <c r="I13" i="19"/>
  <c r="D13" i="19"/>
  <c r="C13" i="19"/>
  <c r="B13" i="19"/>
  <c r="AZ13" i="19"/>
  <c r="AY13" i="19"/>
  <c r="AX13" i="19"/>
  <c r="BA13" i="19"/>
  <c r="AV13" i="19"/>
  <c r="AU13" i="19"/>
  <c r="B17" i="18"/>
  <c r="D9" i="24"/>
  <c r="D8" i="24"/>
  <c r="D46" i="24"/>
  <c r="F12" i="24"/>
  <c r="D12" i="24"/>
  <c r="D24" i="24"/>
  <c r="D35" i="24"/>
  <c r="F28" i="24"/>
  <c r="D5" i="24"/>
  <c r="F50" i="24"/>
  <c r="D31" i="24"/>
  <c r="D18" i="24"/>
  <c r="F38" i="24"/>
  <c r="D38" i="24"/>
  <c r="D15" i="24"/>
  <c r="D42" i="24"/>
  <c r="D19" i="24"/>
  <c r="D28" i="24"/>
  <c r="F25" i="24"/>
  <c r="D47" i="24"/>
  <c r="K110" i="20"/>
  <c r="K102" i="20"/>
  <c r="K135" i="20"/>
  <c r="K100" i="20"/>
  <c r="F8" i="24"/>
  <c r="D41" i="24"/>
  <c r="D45" i="24"/>
  <c r="K139" i="20"/>
  <c r="K127" i="20"/>
  <c r="K112" i="20"/>
  <c r="D34" i="24"/>
  <c r="F49" i="24"/>
  <c r="F23" i="24"/>
  <c r="F21" i="24"/>
  <c r="K136" i="20"/>
  <c r="K106" i="20"/>
  <c r="K115" i="20"/>
  <c r="K121" i="20"/>
  <c r="K116" i="20"/>
  <c r="K108" i="20"/>
  <c r="L41" i="24"/>
  <c r="L20" i="24"/>
  <c r="L26" i="24"/>
  <c r="L33" i="24"/>
  <c r="L42" i="24"/>
  <c r="L7" i="24"/>
  <c r="L17" i="24"/>
  <c r="L49" i="24"/>
  <c r="L37" i="24"/>
  <c r="L9" i="24"/>
  <c r="L46" i="24"/>
  <c r="L4" i="24"/>
  <c r="L24" i="24"/>
  <c r="D52" i="24"/>
  <c r="G11" i="24"/>
  <c r="G12" i="24" s="1"/>
  <c r="H4" i="24" s="1"/>
  <c r="F37" i="24"/>
  <c r="F7" i="24"/>
  <c r="D39" i="24"/>
  <c r="F35" i="24"/>
  <c r="F4" i="24"/>
  <c r="L14" i="24"/>
  <c r="L13" i="24"/>
  <c r="L15" i="24"/>
  <c r="L44" i="24"/>
  <c r="L2" i="24"/>
  <c r="L21" i="24"/>
  <c r="L25" i="24"/>
  <c r="L39" i="24"/>
  <c r="L8" i="24"/>
  <c r="L53" i="24"/>
  <c r="L32" i="24"/>
  <c r="L12" i="24"/>
  <c r="L11" i="24"/>
  <c r="B22" i="18"/>
  <c r="F53" i="24"/>
  <c r="F47" i="24"/>
  <c r="D32" i="24"/>
  <c r="D16" i="24"/>
  <c r="F45" i="24"/>
  <c r="F51" i="24"/>
  <c r="F41" i="24"/>
  <c r="D33" i="24"/>
  <c r="D13" i="24"/>
  <c r="D36" i="24"/>
  <c r="F11" i="24"/>
  <c r="D22" i="24"/>
  <c r="F24" i="24"/>
  <c r="D44" i="24"/>
  <c r="D43" i="24"/>
  <c r="F5" i="24"/>
  <c r="F40" i="24"/>
  <c r="D21" i="24"/>
  <c r="D29" i="24"/>
  <c r="F19" i="24"/>
  <c r="F52" i="24"/>
  <c r="F46" i="24"/>
  <c r="F43" i="24"/>
  <c r="F34" i="24"/>
  <c r="D3" i="24"/>
  <c r="F9" i="24"/>
  <c r="D49" i="24"/>
  <c r="D40" i="24"/>
  <c r="F44" i="24"/>
  <c r="F31" i="24"/>
  <c r="F10" i="24"/>
  <c r="F15" i="24"/>
  <c r="D25" i="24"/>
  <c r="F42" i="24"/>
  <c r="F2" i="24"/>
  <c r="F33" i="24"/>
  <c r="D51" i="24"/>
  <c r="F36" i="24"/>
  <c r="F20" i="24"/>
  <c r="D23" i="24"/>
  <c r="F22" i="24"/>
  <c r="D17" i="24"/>
  <c r="D4" i="24"/>
  <c r="D2" i="24"/>
  <c r="F26" i="24"/>
  <c r="D26" i="24"/>
  <c r="D6" i="24"/>
  <c r="D30" i="24"/>
  <c r="D50" i="24"/>
  <c r="F18" i="24"/>
  <c r="D14" i="24"/>
  <c r="F29" i="24"/>
  <c r="D20" i="24"/>
  <c r="D27" i="24"/>
  <c r="D7" i="24"/>
  <c r="F30" i="24"/>
  <c r="D37" i="24"/>
  <c r="D10" i="24"/>
  <c r="F17" i="24"/>
  <c r="F48" i="24"/>
  <c r="F14" i="24"/>
  <c r="F32" i="24"/>
  <c r="F27" i="24"/>
  <c r="F6" i="24"/>
  <c r="F13" i="24"/>
  <c r="D11" i="24"/>
  <c r="F16" i="24"/>
  <c r="F39" i="24"/>
  <c r="F3" i="24"/>
  <c r="D48" i="24"/>
  <c r="Q18" i="19"/>
  <c r="AU18" i="19"/>
  <c r="E18" i="19"/>
  <c r="AB18" i="19"/>
  <c r="AK18" i="19"/>
  <c r="AJ18" i="19"/>
  <c r="AE18" i="19"/>
  <c r="AT18" i="19"/>
  <c r="AV18" i="19"/>
  <c r="AH18" i="19"/>
  <c r="B18" i="19"/>
  <c r="V18" i="19"/>
  <c r="T18" i="19"/>
  <c r="AS18" i="19"/>
  <c r="F18" i="19"/>
  <c r="AN18" i="19"/>
  <c r="D18" i="19"/>
  <c r="O18" i="19"/>
  <c r="AZ18" i="19"/>
  <c r="I18" i="19"/>
  <c r="AO18" i="19"/>
  <c r="AX18" i="19"/>
  <c r="AW18" i="19"/>
  <c r="G18" i="19"/>
  <c r="AM18" i="19"/>
  <c r="AY18" i="19"/>
  <c r="AK17" i="19"/>
  <c r="P17" i="19"/>
  <c r="N17" i="19"/>
  <c r="AD17" i="19"/>
  <c r="AZ17" i="19"/>
  <c r="AG17" i="19"/>
  <c r="H17" i="19"/>
  <c r="Y17" i="19"/>
  <c r="AL17" i="19"/>
  <c r="AV17" i="19"/>
  <c r="AH17" i="19"/>
  <c r="O17" i="19"/>
  <c r="W17" i="19"/>
  <c r="M17" i="19"/>
  <c r="AS17" i="19"/>
  <c r="AY17" i="19"/>
  <c r="V17" i="19"/>
  <c r="AR17" i="19"/>
  <c r="R17" i="19"/>
  <c r="U17" i="19"/>
  <c r="AO17" i="19"/>
  <c r="AB17" i="19"/>
  <c r="AF17" i="19"/>
  <c r="AQ17" i="19"/>
  <c r="F17" i="19"/>
  <c r="B17" i="19"/>
  <c r="K148" i="20"/>
  <c r="K137" i="20"/>
  <c r="K133" i="20"/>
  <c r="K119" i="20"/>
  <c r="K120" i="20"/>
  <c r="K141" i="20"/>
  <c r="K118" i="20"/>
  <c r="K111" i="20"/>
  <c r="K122" i="20"/>
  <c r="K143" i="20"/>
  <c r="K145" i="20"/>
  <c r="K138" i="20"/>
  <c r="K123" i="20"/>
  <c r="C135" i="20"/>
  <c r="C114" i="20"/>
  <c r="C110" i="20"/>
  <c r="C119" i="20"/>
  <c r="C138" i="20"/>
  <c r="C125" i="20"/>
  <c r="C98" i="20"/>
  <c r="C126" i="20"/>
  <c r="C112" i="20"/>
  <c r="C123" i="20"/>
  <c r="C122" i="20"/>
  <c r="C145" i="20"/>
  <c r="C107" i="20"/>
  <c r="C121" i="20"/>
  <c r="C106" i="20"/>
  <c r="C101" i="20"/>
  <c r="C116" i="20"/>
  <c r="C115" i="20"/>
  <c r="C139" i="20"/>
  <c r="C147" i="20"/>
  <c r="C134" i="20"/>
  <c r="C111" i="20"/>
  <c r="C146" i="20"/>
  <c r="C140" i="20"/>
  <c r="C142" i="20"/>
  <c r="C113" i="20"/>
  <c r="O19" i="24"/>
  <c r="O22" i="24"/>
  <c r="O2" i="24"/>
  <c r="O26" i="24"/>
  <c r="O37" i="24"/>
  <c r="O51" i="24"/>
  <c r="O3" i="24"/>
  <c r="O25" i="24"/>
  <c r="O14" i="24"/>
  <c r="O33" i="24"/>
  <c r="O13" i="24"/>
  <c r="O23" i="24"/>
  <c r="O39" i="24"/>
  <c r="O46" i="24"/>
  <c r="O50" i="24"/>
  <c r="O40" i="24"/>
  <c r="O35" i="24"/>
  <c r="O47" i="24"/>
  <c r="O44" i="24"/>
  <c r="O16" i="24"/>
  <c r="O29" i="24"/>
  <c r="O52" i="24"/>
  <c r="O11" i="24"/>
  <c r="O18" i="24"/>
  <c r="O48" i="24"/>
  <c r="O10" i="24"/>
  <c r="I52" i="24"/>
  <c r="I43" i="24"/>
  <c r="I20" i="24"/>
  <c r="I12" i="24"/>
  <c r="I22" i="24"/>
  <c r="I27" i="24"/>
  <c r="I26" i="24"/>
  <c r="I16" i="24"/>
  <c r="I48" i="24"/>
  <c r="I42" i="24"/>
  <c r="I45" i="24"/>
  <c r="I33" i="24"/>
  <c r="I35" i="24"/>
  <c r="I24" i="24"/>
  <c r="I36" i="24"/>
  <c r="I6" i="24"/>
  <c r="I37" i="24"/>
  <c r="I29" i="24"/>
  <c r="I32" i="24"/>
  <c r="I30" i="24"/>
  <c r="I28" i="24"/>
  <c r="I23" i="24"/>
  <c r="I10" i="24"/>
  <c r="I14" i="24"/>
  <c r="I17" i="24"/>
  <c r="I3" i="24"/>
  <c r="N16" i="24"/>
  <c r="N45" i="24"/>
  <c r="N37" i="24"/>
  <c r="N33" i="24"/>
  <c r="N31" i="24"/>
  <c r="N43" i="24"/>
  <c r="N41" i="24"/>
  <c r="N26" i="24"/>
  <c r="N29" i="24"/>
  <c r="N18" i="24"/>
  <c r="N52" i="24"/>
  <c r="N20" i="24"/>
  <c r="N12" i="24"/>
  <c r="N53" i="24"/>
  <c r="N35" i="24"/>
  <c r="N23" i="24"/>
  <c r="N42" i="24"/>
  <c r="N11" i="24"/>
  <c r="N9" i="24"/>
  <c r="N34" i="24"/>
  <c r="N30" i="24"/>
  <c r="N47" i="24"/>
  <c r="N48" i="24"/>
  <c r="N4" i="24"/>
  <c r="N38" i="24"/>
  <c r="N2" i="24"/>
  <c r="AR18" i="19"/>
  <c r="U18" i="19"/>
  <c r="AL18" i="19"/>
  <c r="X18" i="19"/>
  <c r="S18" i="19"/>
  <c r="AI18" i="19"/>
  <c r="AP18" i="19"/>
  <c r="M18" i="19"/>
  <c r="AC18" i="19"/>
  <c r="N18" i="19"/>
  <c r="C18" i="19"/>
  <c r="K18" i="19"/>
  <c r="AG18" i="19"/>
  <c r="BA18" i="19"/>
  <c r="H18" i="19"/>
  <c r="P18" i="19"/>
  <c r="AA18" i="19"/>
  <c r="Y18" i="19"/>
  <c r="L18" i="19"/>
  <c r="AF18" i="19"/>
  <c r="AQ18" i="19"/>
  <c r="AD18" i="19"/>
  <c r="J18" i="19"/>
  <c r="W18" i="19"/>
  <c r="Z18" i="19"/>
  <c r="T17" i="19"/>
  <c r="AN17" i="19"/>
  <c r="BA17" i="19"/>
  <c r="AT17" i="19"/>
  <c r="AI17" i="19"/>
  <c r="AX17" i="19"/>
  <c r="AU17" i="19"/>
  <c r="C17" i="19"/>
  <c r="E17" i="19"/>
  <c r="Q17" i="19"/>
  <c r="S17" i="19"/>
  <c r="X17" i="19"/>
  <c r="AE17" i="19"/>
  <c r="AM17" i="19"/>
  <c r="I17" i="19"/>
  <c r="G17" i="19"/>
  <c r="L17" i="19"/>
  <c r="K17" i="19"/>
  <c r="AA17" i="19"/>
  <c r="AP17" i="19"/>
  <c r="J17" i="19"/>
  <c r="AC17" i="19"/>
  <c r="AJ17" i="19"/>
  <c r="Z17" i="19"/>
  <c r="AW17" i="19"/>
  <c r="K130" i="20"/>
  <c r="K107" i="20"/>
  <c r="K124" i="20"/>
  <c r="K146" i="20"/>
  <c r="K134" i="20"/>
  <c r="K142" i="20"/>
  <c r="K125" i="20"/>
  <c r="K113" i="20"/>
  <c r="K144" i="20"/>
  <c r="K101" i="20"/>
  <c r="K149" i="20"/>
  <c r="K114" i="20"/>
  <c r="K147" i="20"/>
  <c r="K109" i="20"/>
  <c r="K105" i="20"/>
  <c r="K117" i="20"/>
  <c r="K132" i="20"/>
  <c r="K99" i="20"/>
  <c r="K98" i="20"/>
  <c r="K104" i="20"/>
  <c r="K131" i="20"/>
  <c r="K126" i="20"/>
  <c r="K140" i="20"/>
  <c r="K103" i="20"/>
  <c r="K129" i="20"/>
  <c r="C149" i="20"/>
  <c r="C118" i="20"/>
  <c r="C117" i="20"/>
  <c r="C144" i="20"/>
  <c r="C130" i="20"/>
  <c r="C108" i="20"/>
  <c r="C136" i="20"/>
  <c r="C143" i="20"/>
  <c r="C124" i="20"/>
  <c r="C131" i="20"/>
  <c r="C148" i="20"/>
  <c r="C109" i="20"/>
  <c r="C105" i="20"/>
  <c r="C120" i="20"/>
  <c r="C100" i="20"/>
  <c r="C141" i="20"/>
  <c r="C127" i="20"/>
  <c r="C137" i="20"/>
  <c r="C104" i="20"/>
  <c r="C103" i="20"/>
  <c r="C133" i="20"/>
  <c r="C102" i="20"/>
  <c r="C128" i="20"/>
  <c r="C99" i="20"/>
  <c r="C132" i="20"/>
  <c r="O24" i="24"/>
  <c r="O21" i="24"/>
  <c r="O4" i="24"/>
  <c r="O38" i="24"/>
  <c r="O30" i="24"/>
  <c r="O43" i="24"/>
  <c r="O31" i="24"/>
  <c r="O20" i="24"/>
  <c r="O5" i="24"/>
  <c r="O41" i="24"/>
  <c r="O45" i="24"/>
  <c r="O27" i="24"/>
  <c r="O17" i="24"/>
  <c r="O9" i="24"/>
  <c r="O15" i="24"/>
  <c r="O53" i="24"/>
  <c r="O6" i="24"/>
  <c r="O32" i="24"/>
  <c r="O7" i="24"/>
  <c r="O8" i="24"/>
  <c r="O28" i="24"/>
  <c r="O42" i="24"/>
  <c r="O36" i="24"/>
  <c r="O49" i="24"/>
  <c r="O12" i="24"/>
  <c r="I50" i="24"/>
  <c r="I34" i="24"/>
  <c r="I13" i="24"/>
  <c r="I41" i="24"/>
  <c r="I38" i="24"/>
  <c r="I51" i="24"/>
  <c r="I5" i="24"/>
  <c r="I46" i="24"/>
  <c r="I21" i="24"/>
  <c r="I53" i="24"/>
  <c r="I19" i="24"/>
  <c r="I31" i="24"/>
  <c r="I25" i="24"/>
  <c r="I39" i="24"/>
  <c r="I49" i="24"/>
  <c r="I40" i="24"/>
  <c r="I11" i="24"/>
  <c r="I47" i="24"/>
  <c r="I7" i="24"/>
  <c r="I9" i="24"/>
  <c r="I4" i="24"/>
  <c r="I44" i="24"/>
  <c r="I18" i="24"/>
  <c r="I15" i="24"/>
  <c r="I2" i="24"/>
  <c r="N19" i="24"/>
  <c r="N13" i="24"/>
  <c r="N21" i="24"/>
  <c r="N49" i="24"/>
  <c r="N7" i="24"/>
  <c r="N32" i="24"/>
  <c r="N3" i="24"/>
  <c r="N27" i="24"/>
  <c r="N6" i="24"/>
  <c r="N46" i="24"/>
  <c r="N17" i="24"/>
  <c r="N50" i="24"/>
  <c r="N28" i="24"/>
  <c r="N8" i="24"/>
  <c r="N44" i="24"/>
  <c r="N39" i="24"/>
  <c r="N5" i="24"/>
  <c r="N22" i="24"/>
  <c r="N51" i="24"/>
  <c r="N36" i="24"/>
  <c r="N10" i="24"/>
  <c r="N40" i="24"/>
  <c r="N15" i="24"/>
  <c r="N24" i="24"/>
  <c r="N25" i="24"/>
  <c r="K11" i="24"/>
  <c r="K52" i="24"/>
  <c r="K49" i="24"/>
  <c r="K40" i="24"/>
  <c r="K20" i="24"/>
  <c r="K22" i="24"/>
  <c r="K13" i="24"/>
  <c r="K4" i="24"/>
  <c r="K43" i="24"/>
  <c r="K6" i="24"/>
  <c r="K3" i="24"/>
  <c r="K48" i="24"/>
  <c r="K2" i="24"/>
  <c r="K28" i="24"/>
  <c r="K37" i="24"/>
  <c r="K50" i="24"/>
  <c r="K17" i="24"/>
  <c r="K18" i="24"/>
  <c r="K15" i="24"/>
  <c r="K23" i="24"/>
  <c r="K36" i="24"/>
  <c r="K14" i="24"/>
  <c r="K29" i="24"/>
  <c r="K21" i="24"/>
  <c r="K47" i="24"/>
  <c r="K26" i="24"/>
  <c r="J4" i="24"/>
  <c r="J27" i="24"/>
  <c r="J49" i="24"/>
  <c r="J26" i="24"/>
  <c r="J40" i="24"/>
  <c r="J24" i="24"/>
  <c r="J53" i="24"/>
  <c r="J5" i="24"/>
  <c r="J38" i="24"/>
  <c r="J7" i="24"/>
  <c r="J21" i="24"/>
  <c r="J15" i="24"/>
  <c r="J33" i="24"/>
  <c r="J36" i="24"/>
  <c r="J30" i="24"/>
  <c r="J6" i="24"/>
  <c r="J25" i="24"/>
  <c r="J32" i="24"/>
  <c r="J11" i="24"/>
  <c r="J52" i="24"/>
  <c r="J22" i="24"/>
  <c r="J20" i="24"/>
  <c r="J2" i="24"/>
  <c r="J12" i="24"/>
  <c r="J16" i="24"/>
  <c r="J51" i="24"/>
  <c r="M34" i="24"/>
  <c r="M9" i="24"/>
  <c r="M38" i="24"/>
  <c r="M8" i="24"/>
  <c r="M30" i="24"/>
  <c r="M20" i="24"/>
  <c r="M48" i="24"/>
  <c r="M41" i="24"/>
  <c r="M53" i="24"/>
  <c r="M12" i="24"/>
  <c r="M39" i="24"/>
  <c r="M23" i="24"/>
  <c r="M4" i="24"/>
  <c r="M3" i="24"/>
  <c r="M28" i="24"/>
  <c r="L3" i="24"/>
  <c r="L36" i="24"/>
  <c r="L27" i="24"/>
  <c r="L28" i="24"/>
  <c r="L47" i="24"/>
  <c r="L18" i="24"/>
  <c r="L34" i="24"/>
  <c r="L51" i="24"/>
  <c r="L52" i="24"/>
  <c r="L29" i="24"/>
  <c r="L48" i="24"/>
  <c r="L43" i="24"/>
  <c r="L22" i="24"/>
  <c r="L35" i="24"/>
  <c r="L50" i="24"/>
  <c r="L30" i="24"/>
  <c r="L31" i="24"/>
  <c r="L45" i="24"/>
  <c r="L23" i="24"/>
  <c r="L5" i="24"/>
  <c r="L10" i="24"/>
  <c r="L19" i="24"/>
  <c r="L6" i="24"/>
  <c r="L40" i="24"/>
  <c r="L38" i="24"/>
  <c r="K44" i="24"/>
  <c r="K12" i="24"/>
  <c r="K31" i="24"/>
  <c r="K30" i="24"/>
  <c r="K5" i="24"/>
  <c r="K34" i="24"/>
  <c r="K7" i="24"/>
  <c r="K19" i="24"/>
  <c r="K27" i="24"/>
  <c r="K33" i="24"/>
  <c r="K38" i="24"/>
  <c r="K51" i="24"/>
  <c r="K32" i="24"/>
  <c r="K25" i="24"/>
  <c r="K53" i="24"/>
  <c r="K42" i="24"/>
  <c r="K45" i="24"/>
  <c r="K46" i="24"/>
  <c r="K24" i="24"/>
  <c r="K39" i="24"/>
  <c r="K10" i="24"/>
  <c r="K41" i="24"/>
  <c r="K16" i="24"/>
  <c r="K35" i="24"/>
  <c r="K9" i="24"/>
  <c r="J29" i="24"/>
  <c r="J44" i="24"/>
  <c r="J23" i="24"/>
  <c r="J18" i="24"/>
  <c r="J8" i="24"/>
  <c r="J35" i="24"/>
  <c r="J46" i="24"/>
  <c r="J14" i="24"/>
  <c r="J41" i="24"/>
  <c r="J45" i="24"/>
  <c r="J39" i="24"/>
  <c r="J10" i="24"/>
  <c r="J9" i="24"/>
  <c r="J50" i="24"/>
  <c r="J43" i="24"/>
  <c r="J13" i="24"/>
  <c r="J28" i="24"/>
  <c r="J42" i="24"/>
  <c r="J3" i="24"/>
  <c r="J31" i="24"/>
  <c r="J48" i="24"/>
  <c r="J47" i="24"/>
  <c r="J37" i="24"/>
  <c r="J19" i="24"/>
  <c r="J17" i="24"/>
  <c r="M5" i="24"/>
  <c r="M24" i="24"/>
  <c r="M36" i="24"/>
  <c r="M27" i="24"/>
  <c r="M51" i="24"/>
  <c r="M50" i="24"/>
  <c r="M44" i="24"/>
  <c r="M21" i="24"/>
  <c r="M26" i="24"/>
  <c r="M16" i="24"/>
  <c r="M15" i="24"/>
  <c r="M2" i="24"/>
  <c r="M29" i="24"/>
  <c r="M19" i="24"/>
  <c r="M10" i="24"/>
  <c r="M43" i="24"/>
  <c r="M52" i="24"/>
  <c r="M42" i="24"/>
  <c r="M45" i="24"/>
  <c r="M31" i="24"/>
  <c r="M49" i="24"/>
  <c r="M35" i="24"/>
  <c r="M47" i="24"/>
  <c r="M14" i="24"/>
  <c r="M18" i="24"/>
  <c r="M32" i="24"/>
  <c r="M22" i="24"/>
  <c r="M40" i="24"/>
  <c r="M25" i="24"/>
  <c r="M37" i="24"/>
  <c r="M6" i="24"/>
  <c r="M33" i="24"/>
  <c r="M13" i="24"/>
  <c r="M46" i="24"/>
  <c r="M11" i="24"/>
  <c r="M7" i="24"/>
  <c r="B23" i="18" l="1"/>
  <c r="B10" i="19" a="1"/>
  <c r="B8" i="19" a="1"/>
  <c r="N8" i="19" s="1"/>
  <c r="B9" i="19" a="1"/>
  <c r="E9" i="12"/>
  <c r="C10" i="23"/>
  <c r="D34" i="23"/>
  <c r="D32" i="23"/>
  <c r="D31" i="23"/>
  <c r="D33" i="23"/>
  <c r="C32" i="23"/>
  <c r="C33" i="23"/>
  <c r="C34" i="23"/>
  <c r="C31" i="23"/>
  <c r="D27" i="23"/>
  <c r="D28" i="23"/>
  <c r="D30" i="23"/>
  <c r="D29" i="23"/>
  <c r="E10" i="12"/>
  <c r="C30" i="23"/>
  <c r="C28" i="23"/>
  <c r="C29" i="23"/>
  <c r="C9" i="23"/>
  <c r="C27" i="23"/>
  <c r="D26" i="23"/>
  <c r="D25" i="23"/>
  <c r="C25" i="23"/>
  <c r="C26" i="23"/>
  <c r="B16" i="23"/>
  <c r="J16" i="23" s="1"/>
  <c r="K16" i="23" s="1"/>
  <c r="C17" i="23"/>
  <c r="E11" i="12"/>
  <c r="C8" i="23"/>
  <c r="H3" i="24"/>
  <c r="G13" i="24"/>
  <c r="H5" i="24" s="1"/>
  <c r="C18" i="23"/>
  <c r="C19" i="23"/>
  <c r="E14" i="12" l="1"/>
  <c r="E15" i="12"/>
  <c r="D32" i="29"/>
  <c r="H29" i="23"/>
  <c r="B11" i="19" a="1"/>
  <c r="M11" i="19" s="1"/>
  <c r="D23" i="29"/>
  <c r="C20" i="23"/>
  <c r="C11" i="23"/>
  <c r="D23" i="23"/>
  <c r="E12" i="12"/>
  <c r="E33" i="12"/>
  <c r="D21" i="23"/>
  <c r="C22" i="23"/>
  <c r="F32" i="12"/>
  <c r="D17" i="23"/>
  <c r="D19" i="23"/>
  <c r="H19" i="23" s="1"/>
  <c r="D18" i="23"/>
  <c r="C23" i="23"/>
  <c r="D24" i="23"/>
  <c r="E83" i="12"/>
  <c r="E34" i="12"/>
  <c r="F34" i="12"/>
  <c r="D20" i="23"/>
  <c r="D22" i="23"/>
  <c r="C24" i="23"/>
  <c r="E81" i="12"/>
  <c r="E31" i="12"/>
  <c r="F33" i="12"/>
  <c r="F17" i="23"/>
  <c r="C21" i="23"/>
  <c r="F18" i="23"/>
  <c r="E13" i="12"/>
  <c r="E82" i="12"/>
  <c r="E32" i="12"/>
  <c r="L8" i="19"/>
  <c r="M8" i="19"/>
  <c r="AE8" i="19"/>
  <c r="AS8" i="19"/>
  <c r="C8" i="19"/>
  <c r="AJ8" i="19"/>
  <c r="Z8" i="19"/>
  <c r="AG8" i="19"/>
  <c r="I8" i="19"/>
  <c r="AF8" i="19"/>
  <c r="AY8" i="19"/>
  <c r="W8" i="19"/>
  <c r="AX8" i="19"/>
  <c r="R8" i="19"/>
  <c r="AC8" i="19"/>
  <c r="AZ8" i="19"/>
  <c r="T8" i="19"/>
  <c r="AU8" i="19"/>
  <c r="S8" i="19"/>
  <c r="AL8" i="19"/>
  <c r="J8" i="19"/>
  <c r="AW8" i="19"/>
  <c r="Y8" i="19"/>
  <c r="AR8" i="19"/>
  <c r="P8" i="19"/>
  <c r="AM8" i="19"/>
  <c r="G8" i="19"/>
  <c r="AH8" i="19"/>
  <c r="F8" i="19"/>
  <c r="AO8" i="19"/>
  <c r="Q8" i="19"/>
  <c r="AV8" i="19"/>
  <c r="AB8" i="19"/>
  <c r="D8" i="19"/>
  <c r="AI8" i="19"/>
  <c r="O8" i="19"/>
  <c r="AP8" i="19"/>
  <c r="V8" i="19"/>
  <c r="B8" i="19"/>
  <c r="D10" i="19"/>
  <c r="H10" i="19"/>
  <c r="L10" i="19"/>
  <c r="P10" i="19"/>
  <c r="T10" i="19"/>
  <c r="X10" i="19"/>
  <c r="AB10" i="19"/>
  <c r="AF10" i="19"/>
  <c r="AJ10" i="19"/>
  <c r="AN10" i="19"/>
  <c r="AR10" i="19"/>
  <c r="AV10" i="19"/>
  <c r="AZ10" i="19"/>
  <c r="B10" i="19"/>
  <c r="J10" i="19"/>
  <c r="R10" i="19"/>
  <c r="Z10" i="19"/>
  <c r="AH10" i="19"/>
  <c r="AT10" i="19"/>
  <c r="G10" i="19"/>
  <c r="O10" i="19"/>
  <c r="W10" i="19"/>
  <c r="AE10" i="19"/>
  <c r="AM10" i="19"/>
  <c r="AU10" i="19"/>
  <c r="E10" i="19"/>
  <c r="I10" i="19"/>
  <c r="M10" i="19"/>
  <c r="Q10" i="19"/>
  <c r="U10" i="19"/>
  <c r="Y10" i="19"/>
  <c r="AC10" i="19"/>
  <c r="AG10" i="19"/>
  <c r="AK10" i="19"/>
  <c r="AO10" i="19"/>
  <c r="AS10" i="19"/>
  <c r="AW10" i="19"/>
  <c r="BA10" i="19"/>
  <c r="F10" i="19"/>
  <c r="N10" i="19"/>
  <c r="V10" i="19"/>
  <c r="AD10" i="19"/>
  <c r="AL10" i="19"/>
  <c r="AP10" i="19"/>
  <c r="AX10" i="19"/>
  <c r="C10" i="19"/>
  <c r="K10" i="19"/>
  <c r="S10" i="19"/>
  <c r="AA10" i="19"/>
  <c r="AI10" i="19"/>
  <c r="AQ10" i="19"/>
  <c r="AY10" i="19"/>
  <c r="BA8" i="19"/>
  <c r="AK8" i="19"/>
  <c r="U8" i="19"/>
  <c r="E8" i="19"/>
  <c r="AN8" i="19"/>
  <c r="X8" i="19"/>
  <c r="H8" i="19"/>
  <c r="AQ8" i="19"/>
  <c r="AA8" i="19"/>
  <c r="K8" i="19"/>
  <c r="AT8" i="19"/>
  <c r="AD8" i="19"/>
  <c r="B9" i="19"/>
  <c r="F9" i="19"/>
  <c r="J9" i="19"/>
  <c r="N9" i="19"/>
  <c r="R9" i="19"/>
  <c r="V9" i="19"/>
  <c r="Z9" i="19"/>
  <c r="AD9" i="19"/>
  <c r="AH9" i="19"/>
  <c r="AL9" i="19"/>
  <c r="AP9" i="19"/>
  <c r="AT9" i="19"/>
  <c r="AX9" i="19"/>
  <c r="C9" i="19"/>
  <c r="G9" i="19"/>
  <c r="K9" i="19"/>
  <c r="O9" i="19"/>
  <c r="S9" i="19"/>
  <c r="W9" i="19"/>
  <c r="AA9" i="19"/>
  <c r="AE9" i="19"/>
  <c r="AI9" i="19"/>
  <c r="AM9" i="19"/>
  <c r="AQ9" i="19"/>
  <c r="AU9" i="19"/>
  <c r="AY9" i="19"/>
  <c r="D9" i="19"/>
  <c r="H9" i="19"/>
  <c r="L9" i="19"/>
  <c r="P9" i="19"/>
  <c r="T9" i="19"/>
  <c r="X9" i="19"/>
  <c r="AB9" i="19"/>
  <c r="AF9" i="19"/>
  <c r="AJ9" i="19"/>
  <c r="AN9" i="19"/>
  <c r="AR9" i="19"/>
  <c r="AV9" i="19"/>
  <c r="AZ9" i="19"/>
  <c r="E9" i="19"/>
  <c r="I9" i="19"/>
  <c r="M9" i="19"/>
  <c r="Q9" i="19"/>
  <c r="U9" i="19"/>
  <c r="Y9" i="19"/>
  <c r="AC9" i="19"/>
  <c r="AG9" i="19"/>
  <c r="AK9" i="19"/>
  <c r="AO9" i="19"/>
  <c r="AS9" i="19"/>
  <c r="AW9" i="19"/>
  <c r="BA9" i="19"/>
  <c r="H25" i="23"/>
  <c r="H34" i="23"/>
  <c r="G14" i="24"/>
  <c r="H6" i="24" s="1"/>
  <c r="H33" i="23"/>
  <c r="H26" i="23"/>
  <c r="H28" i="23"/>
  <c r="H32" i="23"/>
  <c r="H27" i="23"/>
  <c r="H30" i="23"/>
  <c r="H31" i="23"/>
  <c r="B11" i="19" l="1"/>
  <c r="B12" i="19" s="1"/>
  <c r="Y11" i="19"/>
  <c r="O11" i="19"/>
  <c r="AY11" i="19"/>
  <c r="AH11" i="19"/>
  <c r="AM11" i="19"/>
  <c r="AF11" i="19"/>
  <c r="AX11" i="19"/>
  <c r="AB11" i="19"/>
  <c r="I11" i="19"/>
  <c r="AE11" i="19"/>
  <c r="R11" i="19"/>
  <c r="AO11" i="19"/>
  <c r="AA11" i="19"/>
  <c r="U11" i="19"/>
  <c r="AV11" i="19"/>
  <c r="P11" i="19"/>
  <c r="AQ11" i="19"/>
  <c r="W11" i="19"/>
  <c r="G11" i="19"/>
  <c r="AP11" i="19"/>
  <c r="Z11" i="19"/>
  <c r="J11" i="19"/>
  <c r="AR11" i="19"/>
  <c r="L11" i="19"/>
  <c r="AW11" i="19"/>
  <c r="AG11" i="19"/>
  <c r="Q11" i="19"/>
  <c r="X11" i="19"/>
  <c r="AU11" i="19"/>
  <c r="K11" i="19"/>
  <c r="AT11" i="19"/>
  <c r="AD11" i="19"/>
  <c r="N11" i="19"/>
  <c r="AZ11" i="19"/>
  <c r="T11" i="19"/>
  <c r="BA11" i="19"/>
  <c r="AK11" i="19"/>
  <c r="E11" i="19"/>
  <c r="AN11" i="19"/>
  <c r="H11" i="19"/>
  <c r="AI11" i="19"/>
  <c r="S11" i="19"/>
  <c r="C11" i="19"/>
  <c r="AL11" i="19"/>
  <c r="V11" i="19"/>
  <c r="F11" i="19"/>
  <c r="AJ11" i="19"/>
  <c r="D11" i="19"/>
  <c r="AS11" i="19"/>
  <c r="AC11" i="19"/>
  <c r="H20" i="23"/>
  <c r="H21" i="23"/>
  <c r="H17" i="23"/>
  <c r="J17" i="23" s="1"/>
  <c r="H24" i="23"/>
  <c r="D35" i="23"/>
  <c r="H22" i="23"/>
  <c r="H18" i="23"/>
  <c r="C35" i="23"/>
  <c r="H23" i="23"/>
  <c r="F35" i="23"/>
  <c r="G15" i="24"/>
  <c r="H7" i="24" s="1"/>
  <c r="B14" i="19" l="1" a="1"/>
  <c r="O14" i="19" s="1"/>
  <c r="H35" i="23"/>
  <c r="G16" i="24"/>
  <c r="H8" i="24" s="1"/>
  <c r="K17" i="23"/>
  <c r="J18" i="23"/>
  <c r="J19" i="23" s="1"/>
  <c r="J20" i="23" s="1"/>
  <c r="J21" i="23" s="1"/>
  <c r="J22" i="23" s="1"/>
  <c r="J23" i="23" s="1"/>
  <c r="J24" i="23" s="1"/>
  <c r="J25" i="23" s="1"/>
  <c r="J26" i="23" s="1"/>
  <c r="J27" i="23" s="1"/>
  <c r="J28" i="23" s="1"/>
  <c r="J29" i="23" s="1"/>
  <c r="J30" i="23" s="1"/>
  <c r="J31" i="23" s="1"/>
  <c r="J32" i="23" s="1"/>
  <c r="J33" i="23" s="1"/>
  <c r="J34" i="23" s="1"/>
  <c r="AN14" i="19" l="1"/>
  <c r="U14" i="19"/>
  <c r="AE14" i="19"/>
  <c r="AZ14" i="19"/>
  <c r="AM14" i="19"/>
  <c r="Z14" i="19"/>
  <c r="T14" i="19"/>
  <c r="N14" i="19"/>
  <c r="Y14" i="19"/>
  <c r="P14" i="19"/>
  <c r="G14" i="19"/>
  <c r="AT14" i="19"/>
  <c r="E14" i="19"/>
  <c r="AH14" i="19"/>
  <c r="AF14" i="19"/>
  <c r="AA14" i="19"/>
  <c r="D14" i="19"/>
  <c r="AB14" i="19"/>
  <c r="AP14" i="19"/>
  <c r="L14" i="19"/>
  <c r="AI14" i="19"/>
  <c r="AX14" i="19"/>
  <c r="C14" i="19"/>
  <c r="AR14" i="19"/>
  <c r="X14" i="19"/>
  <c r="R14" i="19"/>
  <c r="W14" i="19"/>
  <c r="AW14" i="19"/>
  <c r="AJ14" i="19"/>
  <c r="Q14" i="19"/>
  <c r="V14" i="19"/>
  <c r="AL14" i="19"/>
  <c r="B14" i="19"/>
  <c r="K14" i="19"/>
  <c r="I14" i="19"/>
  <c r="AY14" i="19"/>
  <c r="AK14" i="19"/>
  <c r="H14" i="19"/>
  <c r="AU14" i="19"/>
  <c r="M14" i="19"/>
  <c r="AD14" i="19"/>
  <c r="J14" i="19"/>
  <c r="AC14" i="19"/>
  <c r="AG14" i="19"/>
  <c r="AQ14" i="19"/>
  <c r="AS14" i="19"/>
  <c r="S14" i="19"/>
  <c r="BA14" i="19"/>
  <c r="AV14" i="19"/>
  <c r="F14" i="19"/>
  <c r="AO14" i="19"/>
  <c r="G17" i="24"/>
  <c r="G18" i="24" s="1"/>
  <c r="K18" i="23"/>
  <c r="K19" i="23" s="1"/>
  <c r="K20" i="23" s="1"/>
  <c r="K21" i="23" s="1"/>
  <c r="K22" i="23" s="1"/>
  <c r="K23" i="23" s="1"/>
  <c r="K24" i="23" s="1"/>
  <c r="K25" i="23" s="1"/>
  <c r="K26" i="23" s="1"/>
  <c r="K27" i="23" s="1"/>
  <c r="K28" i="23" s="1"/>
  <c r="K29" i="23" s="1"/>
  <c r="K30" i="23" s="1"/>
  <c r="K31" i="23" s="1"/>
  <c r="K32" i="23" s="1"/>
  <c r="K33" i="23" s="1"/>
  <c r="K34" i="23" s="1"/>
  <c r="E84" i="12" s="1"/>
  <c r="J36" i="23" l="1"/>
  <c r="H9" i="24"/>
  <c r="C9" i="29"/>
  <c r="E78" i="12"/>
  <c r="D33" i="29" a="1"/>
  <c r="D24" i="29" a="1"/>
  <c r="G19" i="24"/>
  <c r="H10" i="24"/>
  <c r="K35" i="23"/>
  <c r="C10" i="29" a="1"/>
  <c r="C10" i="29" s="1"/>
  <c r="E80" i="12"/>
  <c r="AJ24" i="29" l="1"/>
  <c r="U24" i="29"/>
  <c r="X24" i="29"/>
  <c r="F24" i="29"/>
  <c r="N24" i="29"/>
  <c r="AI24" i="29"/>
  <c r="Y24" i="29"/>
  <c r="AF24" i="29"/>
  <c r="AA24" i="29"/>
  <c r="T24" i="29"/>
  <c r="M24" i="29"/>
  <c r="K24" i="29"/>
  <c r="AK24" i="29"/>
  <c r="J24" i="29"/>
  <c r="W24" i="29"/>
  <c r="AC24" i="29"/>
  <c r="S24" i="29"/>
  <c r="E24" i="29"/>
  <c r="P24" i="29"/>
  <c r="AD24" i="29"/>
  <c r="AE24" i="29"/>
  <c r="L24" i="29"/>
  <c r="D24" i="29"/>
  <c r="R24" i="29"/>
  <c r="AH24" i="29"/>
  <c r="G24" i="29"/>
  <c r="Q24" i="29"/>
  <c r="V24" i="29"/>
  <c r="H24" i="29"/>
  <c r="O24" i="29"/>
  <c r="AB24" i="29"/>
  <c r="I24" i="29"/>
  <c r="Z24" i="29"/>
  <c r="AG24" i="29"/>
  <c r="H11" i="24"/>
  <c r="G20" i="24"/>
  <c r="P33" i="29"/>
  <c r="V33" i="29"/>
  <c r="O33" i="29"/>
  <c r="F33" i="29"/>
  <c r="AC33" i="29"/>
  <c r="AJ33" i="29"/>
  <c r="W33" i="29"/>
  <c r="K33" i="29"/>
  <c r="G33" i="29"/>
  <c r="AH33" i="29"/>
  <c r="I33" i="29"/>
  <c r="Z33" i="29"/>
  <c r="H33" i="29"/>
  <c r="Y33" i="29"/>
  <c r="AG33" i="29"/>
  <c r="D33" i="29"/>
  <c r="L33" i="29"/>
  <c r="AI33" i="29"/>
  <c r="S33" i="29"/>
  <c r="AE33" i="29"/>
  <c r="T33" i="29"/>
  <c r="AA33" i="29"/>
  <c r="X33" i="29"/>
  <c r="AF33" i="29"/>
  <c r="Q33" i="29"/>
  <c r="U33" i="29"/>
  <c r="AD33" i="29"/>
  <c r="E33" i="29"/>
  <c r="N33" i="29"/>
  <c r="R33" i="29"/>
  <c r="AK33" i="29"/>
  <c r="J33" i="29"/>
  <c r="M33" i="29"/>
  <c r="AB33" i="29"/>
  <c r="G21" i="24" l="1"/>
  <c r="H12" i="24"/>
  <c r="H13" i="24" l="1"/>
  <c r="G22" i="24"/>
  <c r="H14" i="24" l="1"/>
  <c r="G23" i="24"/>
  <c r="H15" i="24" l="1"/>
  <c r="G24" i="24"/>
  <c r="G25" i="24" l="1"/>
  <c r="H16" i="24"/>
  <c r="H17" i="24" l="1"/>
  <c r="G26" i="24"/>
  <c r="G27" i="24" l="1"/>
  <c r="H18" i="24"/>
  <c r="G28" i="24" l="1"/>
  <c r="H19" i="24"/>
  <c r="H20" i="24" l="1"/>
  <c r="G29" i="24"/>
  <c r="H21" i="24" l="1"/>
  <c r="G30" i="24"/>
  <c r="H22" i="24" l="1"/>
  <c r="G31" i="24"/>
  <c r="G32" i="24" l="1"/>
  <c r="H23" i="24"/>
  <c r="G33" i="24" l="1"/>
  <c r="H24" i="24"/>
  <c r="H25" i="24" l="1"/>
  <c r="G34" i="24"/>
  <c r="H26" i="24" l="1"/>
  <c r="G35" i="24"/>
  <c r="G36" i="24" l="1"/>
  <c r="H27" i="24"/>
  <c r="H28" i="24" l="1"/>
  <c r="G37" i="24"/>
  <c r="G38" i="24" l="1"/>
  <c r="H29" i="24"/>
  <c r="H30" i="24" l="1"/>
  <c r="G39" i="24"/>
  <c r="G40" i="24" l="1"/>
  <c r="H31" i="24"/>
  <c r="H32" i="24" l="1"/>
  <c r="G41" i="24"/>
  <c r="H33" i="24" l="1"/>
  <c r="G42" i="24"/>
  <c r="G43" i="24" l="1"/>
  <c r="H34" i="24"/>
  <c r="H35" i="24" l="1"/>
  <c r="G44" i="24"/>
  <c r="H36" i="24" l="1"/>
  <c r="G45" i="24"/>
  <c r="H37" i="24" l="1"/>
  <c r="G46" i="24"/>
  <c r="H38" i="24" l="1"/>
  <c r="G47" i="24"/>
  <c r="H39" i="24" l="1"/>
  <c r="G48" i="24"/>
  <c r="G49" i="24" l="1"/>
  <c r="H40" i="24"/>
  <c r="G50" i="24" l="1"/>
  <c r="H41" i="24"/>
  <c r="G51" i="24" l="1"/>
  <c r="H42" i="24"/>
  <c r="G52" i="24" l="1"/>
  <c r="H43" i="24"/>
  <c r="H44" i="24" l="1"/>
  <c r="G53" i="24"/>
  <c r="H45" i="24" s="1"/>
  <c r="C12" i="19" a="1"/>
  <c r="C12" i="19"/>
  <c r="D12" i="19" s="1"/>
  <c r="E12" i="19" s="1"/>
  <c r="F12" i="19" s="1"/>
  <c r="G12" i="19" s="1"/>
  <c r="H12" i="19" s="1"/>
  <c r="I12" i="19" s="1"/>
  <c r="J12" i="19" s="1"/>
  <c r="K12" i="19" s="1"/>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AQ12" i="19" s="1"/>
  <c r="AR12" i="19" s="1"/>
  <c r="AS12" i="19" s="1"/>
  <c r="AT12" i="19" s="1"/>
  <c r="AU12" i="19" s="1"/>
  <c r="AV12" i="19" s="1"/>
  <c r="AW12" i="19" s="1"/>
  <c r="AX12" i="19" s="1"/>
  <c r="AY12" i="19" s="1"/>
  <c r="AZ12" i="19" s="1"/>
  <c r="BA12" i="19" s="1"/>
  <c r="E43" i="29" a="1"/>
  <c r="E43" i="29"/>
  <c r="F43" i="29" s="1"/>
  <c r="G43" i="29" s="1"/>
  <c r="H43" i="29" s="1"/>
  <c r="I43" i="29" s="1"/>
  <c r="J43" i="29" s="1"/>
  <c r="K43" i="29" s="1"/>
  <c r="L43" i="29" s="1"/>
  <c r="M43" i="29" s="1"/>
  <c r="N43" i="29" s="1"/>
  <c r="O43" i="29" s="1"/>
  <c r="P43" i="29" s="1"/>
  <c r="Q43" i="29" s="1"/>
  <c r="R43" i="29" s="1"/>
  <c r="S43" i="29" s="1"/>
  <c r="T43" i="29" s="1"/>
  <c r="U43" i="29" s="1"/>
  <c r="V43" i="29" s="1"/>
  <c r="W43" i="29" s="1"/>
  <c r="X43" i="29" s="1"/>
  <c r="Y43" i="29" s="1"/>
  <c r="Z43" i="29" s="1"/>
  <c r="AA43" i="29" s="1"/>
  <c r="AB43" i="29" s="1"/>
  <c r="AC43" i="29" s="1"/>
  <c r="AD43" i="29" s="1"/>
  <c r="AE43" i="29" s="1"/>
  <c r="AF43" i="29" s="1"/>
  <c r="AG43" i="29" s="1"/>
  <c r="AH43" i="29" s="1"/>
  <c r="AI43" i="29" s="1"/>
  <c r="AJ43" i="29" s="1"/>
  <c r="AK43" i="29" s="1"/>
  <c r="D25" i="29" a="1"/>
  <c r="E16" i="29" a="1"/>
  <c r="E16" i="29"/>
  <c r="F16" i="29"/>
  <c r="G16" i="29"/>
  <c r="H16" i="29"/>
  <c r="I16" i="29"/>
  <c r="I25" i="29"/>
  <c r="J16" i="29"/>
  <c r="K16" i="29"/>
  <c r="L16" i="29"/>
  <c r="M16" i="29"/>
  <c r="N16" i="29"/>
  <c r="O16" i="29"/>
  <c r="P16" i="29"/>
  <c r="Q16" i="29"/>
  <c r="Q25" i="29"/>
  <c r="R16" i="29"/>
  <c r="S16" i="29"/>
  <c r="T16" i="29"/>
  <c r="U16" i="29"/>
  <c r="V16" i="29"/>
  <c r="W16" i="29"/>
  <c r="X16" i="29"/>
  <c r="Y16" i="29"/>
  <c r="Z16" i="29"/>
  <c r="AA16" i="29"/>
  <c r="AB16" i="29"/>
  <c r="AC16" i="29"/>
  <c r="AC25" i="29"/>
  <c r="AB25" i="29"/>
  <c r="G25" i="29"/>
  <c r="P25" i="29"/>
  <c r="AA25" i="29"/>
  <c r="Z25" i="29"/>
  <c r="K25" i="29"/>
  <c r="S25" i="29"/>
  <c r="AD16" i="29"/>
  <c r="AE16" i="29"/>
  <c r="AF16" i="29"/>
  <c r="AG16" i="29"/>
  <c r="AG25" i="29"/>
  <c r="AF25" i="29"/>
  <c r="J25" i="29"/>
  <c r="R25" i="29"/>
  <c r="AE25" i="29"/>
  <c r="AD25" i="29"/>
  <c r="H25" i="29"/>
  <c r="M25" i="29"/>
  <c r="U25" i="29"/>
  <c r="AH16" i="29"/>
  <c r="AI16" i="29"/>
  <c r="AJ16" i="29"/>
  <c r="AK16" i="29"/>
  <c r="AK25" i="29"/>
  <c r="AJ25" i="29"/>
  <c r="L25" i="29"/>
  <c r="T25" i="29"/>
  <c r="AI25" i="29"/>
  <c r="AH25" i="29"/>
  <c r="X25" i="29"/>
  <c r="V25" i="29"/>
  <c r="Y25" i="29"/>
  <c r="F25" i="29"/>
  <c r="E25" i="29"/>
  <c r="D25" i="29"/>
  <c r="O25" i="29"/>
  <c r="N25" i="29"/>
  <c r="W25" i="29"/>
  <c r="D34" i="29" a="1"/>
  <c r="G34" i="29"/>
  <c r="W34" i="29"/>
  <c r="H34" i="29"/>
  <c r="E34" i="29"/>
  <c r="F34" i="29"/>
  <c r="U34" i="29"/>
  <c r="AK34" i="29"/>
  <c r="AJ34" i="29"/>
  <c r="AH34" i="29"/>
  <c r="K34" i="29"/>
  <c r="AA34" i="29"/>
  <c r="P34" i="29"/>
  <c r="N34" i="29"/>
  <c r="I34" i="29"/>
  <c r="Y34" i="29"/>
  <c r="L34" i="29"/>
  <c r="J34" i="29"/>
  <c r="D34" i="29"/>
  <c r="O34" i="29"/>
  <c r="AE34" i="29"/>
  <c r="X34" i="29"/>
  <c r="V34" i="29"/>
  <c r="M34" i="29"/>
  <c r="AC34" i="29"/>
  <c r="T34" i="29"/>
  <c r="R34" i="29"/>
  <c r="AD34" i="29"/>
  <c r="Z34" i="29"/>
  <c r="AF34" i="29"/>
  <c r="S34" i="29"/>
  <c r="Q34" i="29"/>
  <c r="AI34" i="29"/>
  <c r="AG34" i="29"/>
  <c r="AB34" i="29"/>
  <c r="E23" i="29" l="1" a="1"/>
  <c r="E23" i="29"/>
  <c r="F23" i="29" s="1"/>
  <c r="G23" i="29" s="1"/>
  <c r="H23" i="29" s="1"/>
  <c r="I23" i="29" s="1"/>
  <c r="J23" i="29" s="1"/>
  <c r="K23" i="29" s="1"/>
  <c r="L23" i="29" s="1"/>
  <c r="M23" i="29" s="1"/>
  <c r="N23" i="29" s="1"/>
  <c r="O23" i="29" s="1"/>
  <c r="P23" i="29" s="1"/>
  <c r="Q23" i="29" s="1"/>
  <c r="R23" i="29" s="1"/>
  <c r="S23" i="29" s="1"/>
  <c r="T23" i="29" s="1"/>
  <c r="U23" i="29" s="1"/>
  <c r="V23" i="29" s="1"/>
  <c r="W23" i="29" s="1"/>
  <c r="X23" i="29" s="1"/>
  <c r="Y23" i="29" s="1"/>
  <c r="Z23" i="29" s="1"/>
  <c r="AA23" i="29" s="1"/>
  <c r="AB23" i="29" s="1"/>
  <c r="AC23" i="29" s="1"/>
  <c r="AD23" i="29" s="1"/>
  <c r="AE23" i="29" s="1"/>
  <c r="AF23" i="29" s="1"/>
  <c r="AG23" i="29" s="1"/>
  <c r="AH23" i="29" s="1"/>
  <c r="AI23" i="29" s="1"/>
  <c r="AJ23" i="29" s="1"/>
  <c r="AK23" i="29" s="1"/>
  <c r="E32" i="29" a="1"/>
  <c r="E32" i="29"/>
  <c r="F32" i="29" s="1"/>
  <c r="G32" i="29" s="1"/>
  <c r="H32" i="29" s="1"/>
  <c r="I32" i="29" s="1"/>
  <c r="J32" i="29" s="1"/>
  <c r="K32" i="29" s="1"/>
  <c r="L32" i="29" s="1"/>
  <c r="M32" i="29" s="1"/>
  <c r="N32" i="29" s="1"/>
  <c r="O32" i="29" s="1"/>
  <c r="P32" i="29" s="1"/>
  <c r="Q32" i="29" s="1"/>
  <c r="R32" i="29" s="1"/>
  <c r="S32" i="29" s="1"/>
  <c r="T32" i="29" s="1"/>
  <c r="U32" i="29" s="1"/>
  <c r="V32" i="29" s="1"/>
  <c r="W32" i="29" s="1"/>
  <c r="X32" i="29" s="1"/>
  <c r="Y32" i="29" s="1"/>
  <c r="Z32" i="29" s="1"/>
  <c r="AA32" i="29" s="1"/>
  <c r="AB32" i="29" s="1"/>
  <c r="AC32" i="29" s="1"/>
  <c r="AD32" i="29" s="1"/>
  <c r="AE32" i="29" s="1"/>
  <c r="AF32" i="29" s="1"/>
  <c r="AG32" i="29" s="1"/>
  <c r="AH32" i="29" s="1"/>
  <c r="AI32" i="29" s="1"/>
  <c r="AJ32" i="29" s="1"/>
  <c r="AK32" i="29" s="1"/>
  <c r="M13" i="21" a="1"/>
  <c r="M13" i="21"/>
  <c r="M14" i="21" s="1"/>
  <c r="M15" i="21" l="1"/>
  <c r="M16" i="21" s="1"/>
  <c r="M17" i="21" s="1"/>
  <c r="M18" i="21" s="1"/>
  <c r="M19" i="21" s="1"/>
  <c r="M20" i="21" s="1"/>
  <c r="M21" i="21" s="1"/>
  <c r="M22" i="21" s="1"/>
  <c r="M23" i="21" s="1"/>
  <c r="M24" i="21" s="1"/>
  <c r="M25" i="21" s="1"/>
  <c r="M26" i="21" s="1"/>
  <c r="M27" i="21" s="1"/>
  <c r="M28" i="21" s="1"/>
  <c r="M29" i="21" s="1"/>
  <c r="M30" i="21" s="1"/>
  <c r="M31" i="21" s="1"/>
  <c r="M32" i="21" s="1"/>
  <c r="M33" i="21" s="1"/>
  <c r="M34" i="21" s="1"/>
  <c r="M35" i="21" s="1"/>
  <c r="M36" i="21" s="1"/>
  <c r="M37" i="21" s="1"/>
  <c r="M38" i="21" s="1"/>
  <c r="M39" i="21" s="1"/>
  <c r="M40" i="21" s="1"/>
  <c r="M41" i="21" s="1"/>
  <c r="M42" i="21" s="1"/>
  <c r="M43" i="21" s="1"/>
  <c r="M44" i="21" s="1"/>
  <c r="M45" i="21" s="1"/>
  <c r="M46" i="21" s="1"/>
  <c r="M47" i="21" s="1"/>
  <c r="M48" i="21" s="1"/>
  <c r="M49" i="21" s="1"/>
  <c r="M50" i="21" s="1"/>
  <c r="M51" i="21" s="1"/>
  <c r="M52" i="21" s="1"/>
  <c r="M53" i="21" s="1"/>
  <c r="M54" i="21" s="1"/>
  <c r="M55" i="21" s="1"/>
  <c r="M56" i="21" s="1"/>
  <c r="M57" i="21" s="1"/>
  <c r="M58" i="21" s="1"/>
  <c r="M59" i="21" s="1"/>
  <c r="M60" i="21" s="1"/>
  <c r="M61" i="21" s="1"/>
  <c r="M62" i="21" s="1"/>
  <c r="M63" i="21" s="1"/>
  <c r="M64" i="21" s="1"/>
  <c r="N13" i="21" l="1" a="1"/>
  <c r="N15" i="21" l="1"/>
  <c r="N16" i="21"/>
  <c r="N36" i="21"/>
  <c r="N51" i="21"/>
  <c r="N48" i="21"/>
  <c r="N28" i="21"/>
  <c r="N45" i="21"/>
  <c r="N63" i="21"/>
  <c r="N13" i="21"/>
  <c r="N56" i="21"/>
  <c r="N23" i="21"/>
  <c r="N27" i="21"/>
  <c r="N14" i="21"/>
  <c r="N17" i="21"/>
  <c r="N21" i="21"/>
  <c r="N44" i="21"/>
  <c r="N59" i="21"/>
  <c r="N34" i="21"/>
  <c r="N58" i="21"/>
  <c r="N43" i="21"/>
  <c r="N38" i="21"/>
  <c r="N64" i="21"/>
  <c r="N54" i="21"/>
  <c r="N52" i="21"/>
  <c r="N57" i="21"/>
  <c r="N37" i="21"/>
  <c r="N50" i="21"/>
  <c r="N53" i="21"/>
  <c r="N30" i="21"/>
  <c r="N39" i="21"/>
  <c r="N19" i="21"/>
  <c r="N26" i="21"/>
  <c r="N40" i="21"/>
  <c r="N18" i="21"/>
  <c r="N41" i="21"/>
  <c r="N60" i="21"/>
  <c r="N55" i="21"/>
  <c r="N29" i="21"/>
  <c r="N42" i="21"/>
  <c r="N33" i="21"/>
  <c r="N49" i="21"/>
  <c r="N32" i="21"/>
  <c r="N61" i="21"/>
  <c r="N62" i="21"/>
  <c r="N22" i="21"/>
  <c r="N31" i="21"/>
  <c r="N20" i="21"/>
  <c r="N25" i="21"/>
  <c r="N47" i="21"/>
  <c r="N24" i="21"/>
  <c r="N35" i="21"/>
  <c r="N46" i="21"/>
  <c r="O13" i="21" l="1" a="1"/>
  <c r="O13" i="21" s="1"/>
  <c r="O59" i="21" l="1"/>
  <c r="O26" i="21"/>
  <c r="O39" i="21"/>
  <c r="O25" i="21"/>
  <c r="O56" i="21"/>
  <c r="O28" i="21"/>
  <c r="O51" i="21"/>
  <c r="O23" i="21"/>
  <c r="O54" i="21"/>
  <c r="O38" i="21"/>
  <c r="O22" i="21"/>
  <c r="O52" i="21"/>
  <c r="O63" i="21"/>
  <c r="O31" i="21"/>
  <c r="O53" i="21"/>
  <c r="O37" i="21"/>
  <c r="O21" i="21"/>
  <c r="O64" i="21"/>
  <c r="O58" i="21"/>
  <c r="O60" i="21"/>
  <c r="O57" i="21"/>
  <c r="O48" i="21"/>
  <c r="O24" i="21"/>
  <c r="O43" i="21"/>
  <c r="O15" i="21"/>
  <c r="O50" i="21"/>
  <c r="O34" i="21"/>
  <c r="O18" i="21"/>
  <c r="O44" i="21"/>
  <c r="O55" i="21"/>
  <c r="O19" i="21"/>
  <c r="O49" i="21"/>
  <c r="O33" i="21"/>
  <c r="O17" i="21"/>
  <c r="O36" i="21"/>
  <c r="O27" i="21"/>
  <c r="O42" i="21"/>
  <c r="O20" i="21"/>
  <c r="O41" i="21"/>
  <c r="O40" i="21"/>
  <c r="O16" i="21"/>
  <c r="O35" i="21"/>
  <c r="O62" i="21"/>
  <c r="O46" i="21"/>
  <c r="O30" i="21"/>
  <c r="O14" i="21"/>
  <c r="O32" i="21"/>
  <c r="O47" i="21"/>
  <c r="O61" i="21"/>
  <c r="O45" i="21"/>
  <c r="O29" i="21"/>
</calcChain>
</file>

<file path=xl/sharedStrings.xml><?xml version="1.0" encoding="utf-8"?>
<sst xmlns="http://schemas.openxmlformats.org/spreadsheetml/2006/main" count="851" uniqueCount="818">
  <si>
    <t>Planned Activity - Scenario 1</t>
  </si>
  <si>
    <t>Planned Activity - Scenario 2</t>
  </si>
  <si>
    <t>Actual Activity:
Monitor Progress Against Plan</t>
  </si>
  <si>
    <t>Actual Number of Admissions</t>
  </si>
  <si>
    <t>Actual ROTT</t>
  </si>
  <si>
    <t>Actual Additional Admissions 1</t>
  </si>
  <si>
    <t>Actual Additional Admissions 2</t>
  </si>
  <si>
    <t>Actual Additional Admissions 3</t>
  </si>
  <si>
    <t>Actual Additional Admissions 4</t>
  </si>
  <si>
    <t>A&amp;E</t>
  </si>
  <si>
    <t>Obstetrics And Gynae</t>
  </si>
  <si>
    <t>Oral &amp; Max-Fax Surgery</t>
  </si>
  <si>
    <t>T&amp;O</t>
  </si>
  <si>
    <t>Of Which Routine</t>
  </si>
  <si>
    <t>Mean ROTT (All Urgencies)</t>
  </si>
  <si>
    <t>Mean Net Change on Waiting List</t>
  </si>
  <si>
    <t>Mean Additional Capacity</t>
  </si>
  <si>
    <t>Of Which Core Activity</t>
  </si>
  <si>
    <t>Of Which Additional Activity</t>
  </si>
  <si>
    <t>Net Reduction of Backlog</t>
  </si>
  <si>
    <t>To Clear Backlog At This Rate</t>
  </si>
  <si>
    <t>Urgent</t>
  </si>
  <si>
    <t>Target Waiting Time</t>
  </si>
  <si>
    <t>85th</t>
  </si>
  <si>
    <t>65th DTA</t>
  </si>
  <si>
    <t>85th DTA</t>
  </si>
  <si>
    <t>-2sd DTA</t>
  </si>
  <si>
    <t>+2sd DTA</t>
  </si>
  <si>
    <t>Mean DTA</t>
  </si>
  <si>
    <t>Variation</t>
  </si>
  <si>
    <t>+3sd</t>
  </si>
  <si>
    <t>Removals</t>
  </si>
  <si>
    <t>Core Capacity</t>
  </si>
  <si>
    <t>Mean per week</t>
  </si>
  <si>
    <t>Enter below any additional capacity currently in place; principally weekend working, but include any other where this represents a significant amount (e.g. a list per week for a month).</t>
  </si>
  <si>
    <t>This is where you enter your decisions to admit and admissions here.  The model will not work if this sheet is not fully completed.</t>
  </si>
  <si>
    <t>Enables you to set values for your capacity, either by inputting operating list-by-operating list or directly choosing a value.</t>
  </si>
  <si>
    <t>This sheet summarises your current data as well as allowing you to edit information about your patients ROTT rates, % of urgent patients etc.</t>
  </si>
  <si>
    <t>Current waiting list size</t>
  </si>
  <si>
    <t>Required reduction in backlog</t>
  </si>
  <si>
    <r>
      <t xml:space="preserve">Those services with a high level of urgent or cancer surgical cases need to respond quickly to peaks in demand. Ideally the core capacity should have sufficient capacity necessary to manage the variation in demand; in other words have sufficient 'head-room' to deal with variation.
For other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surgical capacity, without significant administrative work-arounds and/or management input
Ultimately, to maintain a sustainable position as outlined above will require a mindset change from both managers and clinicians. Not all operating slots will be required every week.</t>
    </r>
  </si>
  <si>
    <t>Week admissions commence</t>
  </si>
  <si>
    <t>The chart on the right shows how the decisions to admit on one day are appointed over the course of the period you have selected.  This is based on the figures you have entered for the Week Routine Admissions Commence and Maximum Routine Waiting Time.  The earlier you admit your first patients the more can be seen in week one, the lower your mean and median waiting time and the more flexibility you have around cancellations.</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</si>
  <si>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Theatre utilisation (theatre capacity vs. actual activity)</t>
  </si>
  <si>
    <t xml:space="preserve">The sliders below shown are for you to input some key data items about your Trust.  There may be exceptions but use typical values.
The Mean DTAs and ROTT Rate sliders show figures calculated from your data.  If you position the slider on the absolute right this value from your data is displayed.  If you wish to experiment with different paremeters you can adjust these sliders accordingly.
A typical maximum waiting time for cancer (and other urgent) admissions would be in the order of 2-5 weeks.
The target maximum waiting time for admission in order to achieve overall RTT of 18 weeks and would be in the order of 6-11 weeks.
</t>
  </si>
  <si>
    <t>Routine Admissions Commence (Week)</t>
  </si>
  <si>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</si>
  <si>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</si>
  <si>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</si>
  <si>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</si>
  <si>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</si>
  <si>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</si>
  <si>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</si>
  <si>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</si>
  <si>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</si>
  <si>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</si>
  <si>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</si>
  <si>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Weeks Per Year</t>
  </si>
  <si>
    <t>Week</t>
  </si>
  <si>
    <t>Total removals</t>
  </si>
  <si>
    <t>Patients remaining</t>
  </si>
  <si>
    <t>Cumulative</t>
  </si>
  <si>
    <t>Total</t>
  </si>
  <si>
    <t>Maximum waiting list size to deliver the desired waiting time:</t>
  </si>
  <si>
    <t>Calculations</t>
  </si>
  <si>
    <t>Description of Tabs</t>
  </si>
  <si>
    <t>Mean core capacity</t>
  </si>
  <si>
    <t>Indicator</t>
  </si>
  <si>
    <t>Current Capacity</t>
  </si>
  <si>
    <t>Sustainable Waiting List</t>
  </si>
  <si>
    <t>Details of Your Service</t>
  </si>
  <si>
    <t>A summary of your service and the conclusions of the model: your demand, capacity, any surplus/shortfall and what you need for a sustainable service.</t>
  </si>
  <si>
    <t>This model is aimed primarily at operational managers as users, with the summary and conclusions intended for a mixed audience of managers and clinicians.</t>
  </si>
  <si>
    <t>Per Week</t>
  </si>
  <si>
    <t>Week Number</t>
  </si>
  <si>
    <t xml:space="preserve"> Per Week</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</si>
  <si>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</si>
  <si>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</si>
  <si>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</si>
  <si>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</si>
  <si>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</si>
  <si>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</si>
  <si>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</si>
  <si>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</si>
  <si>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</si>
  <si>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</si>
  <si>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</si>
  <si>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</si>
  <si>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</si>
  <si>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</si>
  <si>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</si>
  <si>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</si>
  <si>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</si>
  <si>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</si>
  <si>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</si>
  <si>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</si>
  <si>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</si>
  <si>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</si>
  <si>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</si>
  <si>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</si>
  <si>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</si>
  <si>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</si>
  <si>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</si>
  <si>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</si>
  <si>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</si>
  <si>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</si>
  <si>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</si>
  <si>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</si>
  <si>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</si>
  <si>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</si>
  <si>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</si>
  <si>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</si>
  <si>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</si>
  <si>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</si>
  <si>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</si>
  <si>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</si>
  <si>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</si>
  <si>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</si>
  <si>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</si>
  <si>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</si>
  <si>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</si>
  <si>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</si>
  <si>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</si>
  <si>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</si>
  <si>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</si>
  <si>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</si>
  <si>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</si>
  <si>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</si>
  <si>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</si>
  <si>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</si>
  <si>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</si>
  <si>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</si>
  <si>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</si>
  <si>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</si>
  <si>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</si>
  <si>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</si>
  <si>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</si>
  <si>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</si>
  <si>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</si>
  <si>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</si>
  <si>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</si>
  <si>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</si>
  <si>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</si>
  <si>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</si>
  <si>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</si>
  <si>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</si>
  <si>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</si>
  <si>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</si>
  <si>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</si>
  <si>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</si>
  <si>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</si>
  <si>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</si>
  <si>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</si>
  <si>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</si>
  <si>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</si>
  <si>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</si>
  <si>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</si>
  <si>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</si>
  <si>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</si>
  <si>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</si>
  <si>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</si>
  <si>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</si>
  <si>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</si>
  <si>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</si>
  <si>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</si>
  <si>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</si>
  <si>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</si>
  <si>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</si>
  <si>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</si>
  <si>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</si>
  <si>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</si>
  <si>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</si>
  <si>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</si>
  <si>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</si>
  <si>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</si>
  <si>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</si>
  <si>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</si>
  <si>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</si>
  <si>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</si>
  <si>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</si>
  <si>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</si>
  <si>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</si>
  <si>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</si>
  <si>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</si>
  <si>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</si>
  <si>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</si>
  <si>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</si>
  <si>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</si>
  <si>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</si>
  <si>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</si>
  <si>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</si>
  <si>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</si>
  <si>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</si>
  <si>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</si>
  <si>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</si>
  <si>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</si>
  <si>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</si>
  <si>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</si>
  <si>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</si>
  <si>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</si>
  <si>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</si>
  <si>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</si>
  <si>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</si>
  <si>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</si>
  <si>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</si>
  <si>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</si>
  <si>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</si>
  <si>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</si>
  <si>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</si>
  <si>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</si>
  <si>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</si>
  <si>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</si>
  <si>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</si>
  <si>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</si>
  <si>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</si>
  <si>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</si>
  <si>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</si>
  <si>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</si>
  <si>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</si>
  <si>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</si>
  <si>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</si>
  <si>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</si>
  <si>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</si>
  <si>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</si>
  <si>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</si>
  <si>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</si>
  <si>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</si>
  <si>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</si>
  <si>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</si>
  <si>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</si>
  <si>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</si>
  <si>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</si>
  <si>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</si>
  <si>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</si>
  <si>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</si>
  <si>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</si>
  <si>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</si>
  <si>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</si>
  <si>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</si>
  <si>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</si>
  <si>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</si>
  <si>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</si>
  <si>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</si>
  <si>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</si>
  <si>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</si>
  <si>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</si>
  <si>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</si>
  <si>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</si>
  <si>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</si>
  <si>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</si>
  <si>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</si>
  <si>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</si>
  <si>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</si>
  <si>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</si>
  <si>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</si>
  <si>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</si>
  <si>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</si>
  <si>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</si>
  <si>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</si>
  <si>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</si>
  <si>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</si>
  <si>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</si>
  <si>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</si>
  <si>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</si>
  <si>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</si>
  <si>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</si>
  <si>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</si>
  <si>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</si>
  <si>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</si>
  <si>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</si>
  <si>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</si>
  <si>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</si>
  <si>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</si>
  <si>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</si>
  <si>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</si>
  <si>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</si>
  <si>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</si>
  <si>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</si>
  <si>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</si>
  <si>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</si>
  <si>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</si>
  <si>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</si>
  <si>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Urology</t>
  </si>
  <si>
    <t>Haematology</t>
  </si>
  <si>
    <t>Gynaecology</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</si>
  <si>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</si>
  <si>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</si>
  <si>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</si>
  <si>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</si>
  <si>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</si>
  <si>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</si>
  <si>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</si>
  <si>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</si>
  <si>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</si>
  <si>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</si>
  <si>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</si>
  <si>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</si>
  <si>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</si>
  <si>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</si>
  <si>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</si>
  <si>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</si>
  <si>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</si>
  <si>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</si>
  <si>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</si>
  <si>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</si>
  <si>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</si>
  <si>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</si>
  <si>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</si>
  <si>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</si>
  <si>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</si>
  <si>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</si>
  <si>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</si>
  <si>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</si>
  <si>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</si>
  <si>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</si>
  <si>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</si>
  <si>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</si>
  <si>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</si>
  <si>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</si>
  <si>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</si>
  <si>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</si>
  <si>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</si>
  <si>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</si>
  <si>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</si>
  <si>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</si>
  <si>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</si>
  <si>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</si>
  <si>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</si>
  <si>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</si>
  <si>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</si>
  <si>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</si>
  <si>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</si>
  <si>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</si>
  <si>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</si>
  <si>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</si>
  <si>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</si>
  <si>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</si>
  <si>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</si>
  <si>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</si>
  <si>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</si>
  <si>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</si>
  <si>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</si>
  <si>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</si>
  <si>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</si>
  <si>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</si>
  <si>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</si>
  <si>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</si>
  <si>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</si>
  <si>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</si>
  <si>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</si>
  <si>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</si>
  <si>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</si>
  <si>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</si>
  <si>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</si>
  <si>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</si>
  <si>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</si>
  <si>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</si>
  <si>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</si>
  <si>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Occupational Medicine</t>
  </si>
  <si>
    <t>Old Age Psychiatry</t>
  </si>
  <si>
    <t>Ophthalmology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</si>
  <si>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</si>
  <si>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</si>
  <si>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</si>
  <si>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</si>
  <si>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</si>
  <si>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</si>
  <si>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</si>
  <si>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</si>
  <si>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</si>
  <si>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</si>
  <si>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</si>
  <si>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</si>
  <si>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</si>
  <si>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</si>
  <si>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</si>
  <si>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</si>
  <si>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</si>
  <si>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</si>
  <si>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</si>
  <si>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</si>
  <si>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</si>
  <si>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</si>
  <si>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Tropical Medicine</t>
  </si>
  <si>
    <t>Specialty:</t>
  </si>
  <si>
    <t>Statistical Process Control (SPC) Analysis of Your Data</t>
  </si>
  <si>
    <t>East Sussex Healthcare NHS Trust</t>
  </si>
  <si>
    <t>Target Routine Waiting Time (Weeks)</t>
  </si>
  <si>
    <t>Week Routine Admissions Commence</t>
  </si>
  <si>
    <t>Mean DTAs</t>
  </si>
  <si>
    <t>Routine</t>
  </si>
  <si>
    <t>ROTT</t>
  </si>
  <si>
    <t>ROTT Rate</t>
  </si>
  <si>
    <t>DTAs</t>
  </si>
  <si>
    <t>Cancer Admissions</t>
  </si>
  <si>
    <t>Enter Your Historical Waiting List Data</t>
  </si>
  <si>
    <t>Planning Your Future Waiting List Week By Week</t>
  </si>
  <si>
    <t>Current Waiting List</t>
  </si>
  <si>
    <t>Target Waiting List</t>
  </si>
  <si>
    <t>Required Reduction</t>
  </si>
  <si>
    <t>Additional Capacity 1</t>
  </si>
  <si>
    <t>Additional Capacity 2</t>
  </si>
  <si>
    <t>Additional Capacity 3</t>
  </si>
  <si>
    <t>Additional Capacity 4</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</si>
  <si>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</si>
  <si>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</si>
  <si>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Waiting List Data</t>
  </si>
  <si>
    <r>
      <t xml:space="preserve">This model helps you to understand how many patients are added to your waiting list (your </t>
    </r>
    <r>
      <rPr>
        <b/>
        <sz val="10"/>
        <color indexed="8"/>
        <rFont val="Arial"/>
        <family val="2"/>
      </rPr>
      <t>demand</t>
    </r>
    <r>
      <rPr>
        <sz val="10"/>
        <color indexed="8"/>
        <rFont val="Arial"/>
        <family val="2"/>
      </rPr>
      <t xml:space="preserve">), how this changes from week to week (the </t>
    </r>
    <r>
      <rPr>
        <b/>
        <sz val="10"/>
        <color indexed="8"/>
        <rFont val="Arial"/>
        <family val="2"/>
      </rPr>
      <t>variation</t>
    </r>
    <r>
      <rPr>
        <sz val="10"/>
        <color indexed="8"/>
        <rFont val="Arial"/>
        <family val="2"/>
      </rPr>
      <t>).</t>
    </r>
  </si>
  <si>
    <t>It is then intended to help you to:</t>
  </si>
  <si>
    <r>
      <t xml:space="preserve">• understand your current activity plus other removals (your </t>
    </r>
    <r>
      <rPr>
        <b/>
        <sz val="10"/>
        <color indexed="8"/>
        <rFont val="Arial"/>
        <family val="2"/>
      </rPr>
      <t>capacity</t>
    </r>
    <r>
      <rPr>
        <sz val="10"/>
        <color indexed="8"/>
        <rFont val="Arial"/>
        <family val="2"/>
      </rPr>
      <t>) and how much you might need to meet your demand;</t>
    </r>
  </si>
  <si>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</si>
  <si>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</si>
  <si>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</si>
  <si>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is intended for use in Trusts providing an inpatient and/or daycase service to patients.</t>
  </si>
  <si>
    <t>This model assumes no growth in activity, i.e. that the same number will be added to the waiting list in the coming year as were over the past year.</t>
  </si>
  <si>
    <t>Decisions to Admit</t>
  </si>
  <si>
    <t>Additional Capacity</t>
  </si>
  <si>
    <t>Patients Waiting</t>
  </si>
  <si>
    <t>Other WL Removals</t>
  </si>
  <si>
    <t>Current Waiting List Size
(Dated and Undated)</t>
  </si>
  <si>
    <t>List Description 1
e.g. consultant name</t>
  </si>
  <si>
    <t>Mean Additional Capacity Per Week*</t>
  </si>
  <si>
    <t>Normal Capacity</t>
  </si>
  <si>
    <t>Total:</t>
  </si>
  <si>
    <t>Totals:</t>
  </si>
  <si>
    <t>Mean Normal Capacity Per Week*</t>
  </si>
  <si>
    <t>Proportion of Cancer/
Urgent Admissions</t>
  </si>
  <si>
    <t>Target Cancer/Urgent
Waiting Time (Weeks)</t>
  </si>
  <si>
    <t>Calculate Your Capacity</t>
  </si>
  <si>
    <t>Cancer/Urgent</t>
  </si>
  <si>
    <t>Routine Admissions</t>
  </si>
  <si>
    <t>Period for Admissions (Weeks)</t>
  </si>
  <si>
    <r>
      <rPr>
        <sz val="10"/>
        <color indexed="8"/>
        <rFont val="Arial"/>
        <family val="2"/>
      </rP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admit all patients added to the waiting list around 65%-85% of the time."</t>
    </r>
  </si>
  <si>
    <t>Mean Decisions to Admit</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</si>
  <si>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The very short waiting standard for urgent or cancer cases
- High variation in demand
- High variation in operting list capacity e.g. no absence cover, bank holidays
- 'Carve-out' e.g. different hospital sites 
- High levels of cancellations on the day of surgery 
- Not offering patient choice</t>
    </r>
  </si>
  <si>
    <r>
      <t>Factors which might reduce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admissions (low median waiting time)
- Pooling of patients/surgical cases and the size of the speciality
- The ease with which you can flex capacity, for example:
         - Flex the timing of operating lists (annual contract)
         - If additional operating lists can be provided quickly and easily 
           e.g.ad hoc operating lists</t>
    </r>
  </si>
  <si>
    <t>Of Which Urgent</t>
  </si>
  <si>
    <t>Actual Decisions to Admit</t>
  </si>
  <si>
    <t>The graph to the right shows an approximation of the variation, the spread of the numbers from week to week, in your decisions to admit (DTA) demand (using what is called a Normal or Gaussian Distribution).  With capacity set at the mean level of DTAs you would be able to admit all your patients over the course of a year with no wastage; there would be no guarantee of a maximum waiting time, though.  You would expect a number of DTAs above or below the range shown here around once per year.</t>
  </si>
  <si>
    <t>Admits Per List</t>
  </si>
  <si>
    <t>Total Admits</t>
  </si>
  <si>
    <t>This tool enables you to see how the addition of extra capacity will affect your PTL.</t>
  </si>
  <si>
    <t>This helps you to judge whether your historical data is statistically stable and, therefore, suitable for future predictions.  Understanding of SPC is required.</t>
  </si>
  <si>
    <t>SPC</t>
  </si>
  <si>
    <t>Enter Plan Start Date Here:</t>
  </si>
  <si>
    <t>*Move sliders to the absolute right to accept the calculated value from:</t>
  </si>
  <si>
    <t>Other (Enter Below)</t>
  </si>
  <si>
    <t>Mean core</t>
  </si>
  <si>
    <t>Mean additional</t>
  </si>
  <si>
    <t>Old core</t>
  </si>
  <si>
    <t>Old add.</t>
  </si>
  <si>
    <t>The spreadsheet does not explicitly address RTT waits. Users are advised that they first need to estimate the maximum inpatient wait that is commensurate with RTT waiting time delivery according to their own locally agreed pathway before using this model.</t>
  </si>
  <si>
    <t>Addit-ional Capacity</t>
  </si>
  <si>
    <t>WL consistent with RTT delivery</t>
  </si>
  <si>
    <t>IMPORTANT NOTE ABOUT PASTING DATA</t>
  </si>
  <si>
    <t>Mean Capacity</t>
  </si>
  <si>
    <r>
      <t xml:space="preserve">The waiting list is the number of patients waiting for their admisison at any given time (with or without a date). There is a maximum (not target) waiting list size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</si>
  <si>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</si>
  <si>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</si>
  <si>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</si>
  <si>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</si>
  <si>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</si>
  <si>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</si>
  <si>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</si>
  <si>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</si>
  <si>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</si>
  <si>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</si>
  <si>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</si>
  <si>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</si>
  <si>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</si>
  <si>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</si>
  <si>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</si>
  <si>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</si>
  <si>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</si>
  <si>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</si>
  <si>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</si>
  <si>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</si>
  <si>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r>
      <t>65</t>
    </r>
    <r>
      <rPr>
        <vertAlign val="superscript"/>
        <sz val="9"/>
        <rFont val="Arial"/>
        <family val="2"/>
      </rPr>
      <t>th</t>
    </r>
    <r>
      <rPr>
        <sz val="9"/>
        <rFont val="Arial"/>
        <family val="2"/>
      </rPr>
      <t xml:space="preserve"> Percentile of DTAs - ROTT</t>
    </r>
  </si>
  <si>
    <r>
      <t>85</t>
    </r>
    <r>
      <rPr>
        <vertAlign val="superscript"/>
        <sz val="9"/>
        <rFont val="Arial"/>
        <family val="2"/>
      </rPr>
      <t>th</t>
    </r>
    <r>
      <rPr>
        <sz val="9"/>
        <rFont val="Arial"/>
        <family val="2"/>
      </rPr>
      <t xml:space="preserve"> Percentile of DTAs - ROTT</t>
    </r>
  </si>
  <si>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</si>
  <si>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</si>
  <si>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</si>
  <si>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</si>
  <si>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</si>
  <si>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</si>
  <si>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</si>
  <si>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</si>
  <si>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</si>
  <si>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</si>
  <si>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</si>
  <si>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</si>
  <si>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</si>
  <si>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</si>
  <si>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Guy's And St Thomas'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</si>
  <si>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</si>
  <si>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</si>
  <si>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</si>
  <si>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</si>
  <si>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</si>
  <si>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</si>
  <si>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</si>
  <si>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</si>
  <si>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</si>
  <si>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</si>
  <si>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</si>
  <si>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</si>
  <si>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</si>
  <si>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</si>
  <si>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</si>
  <si>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</si>
  <si>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</si>
  <si>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</si>
  <si>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</si>
  <si>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</si>
  <si>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</si>
  <si>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</si>
  <si>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</si>
  <si>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</si>
  <si>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</si>
  <si>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</si>
  <si>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</si>
  <si>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</si>
  <si>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</si>
  <si>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</si>
  <si>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</si>
  <si>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</si>
  <si>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</si>
  <si>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</si>
  <si>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</si>
  <si>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</si>
  <si>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</si>
  <si>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</si>
  <si>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</si>
  <si>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</si>
  <si>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</si>
  <si>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</si>
  <si>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</si>
  <si>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</si>
  <si>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</si>
  <si>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</si>
  <si>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</si>
  <si>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</si>
  <si>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</si>
  <si>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</si>
  <si>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</si>
  <si>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</si>
  <si>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</si>
  <si>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</si>
  <si>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</si>
  <si>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</si>
  <si>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</si>
  <si>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</si>
  <si>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</si>
  <si>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</si>
  <si>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</si>
  <si>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</si>
  <si>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</si>
  <si>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</si>
  <si>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</si>
  <si>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</si>
  <si>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</si>
  <si>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</si>
  <si>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</si>
  <si>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</si>
  <si>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</si>
  <si>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</si>
  <si>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</si>
  <si>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</si>
  <si>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</si>
  <si>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</si>
  <si>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</si>
  <si>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</si>
  <si>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</si>
  <si>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</si>
  <si>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</si>
  <si>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</si>
  <si>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</si>
  <si>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</si>
  <si>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</si>
  <si>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</si>
  <si>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</si>
  <si>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</si>
  <si>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</si>
  <si>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</si>
  <si>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</si>
  <si>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</si>
  <si>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</si>
  <si>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</si>
  <si>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</si>
  <si>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</si>
  <si>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</si>
  <si>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</si>
  <si>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</si>
  <si>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</si>
  <si>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</si>
  <si>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</si>
  <si>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</si>
  <si>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</si>
  <si>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</si>
  <si>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</si>
  <si>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</si>
  <si>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</si>
  <si>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</si>
  <si>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</si>
  <si>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</si>
  <si>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</si>
  <si>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</si>
  <si>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</si>
  <si>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</si>
  <si>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</si>
  <si>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</si>
  <si>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</si>
  <si>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</si>
  <si>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</si>
  <si>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</si>
  <si>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</si>
  <si>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</si>
  <si>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</si>
  <si>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</si>
  <si>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</si>
  <si>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</si>
  <si>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</si>
  <si>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</si>
  <si>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</si>
  <si>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</si>
  <si>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</si>
  <si>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</si>
  <si>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</si>
  <si>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</si>
  <si>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</si>
  <si>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</si>
  <si>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</si>
  <si>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</si>
  <si>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</si>
  <si>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</si>
  <si>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</si>
  <si>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</si>
  <si>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</si>
  <si>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</si>
  <si>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</si>
  <si>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</si>
  <si>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</si>
  <si>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</si>
  <si>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</si>
  <si>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</si>
  <si>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</si>
  <si>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</si>
  <si>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</si>
  <si>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</si>
  <si>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</si>
  <si>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</si>
  <si>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</si>
  <si>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</si>
  <si>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</si>
  <si>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</si>
  <si>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</si>
  <si>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</si>
  <si>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</si>
  <si>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</si>
  <si>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</si>
  <si>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</si>
  <si>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</si>
  <si>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</si>
  <si>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</si>
  <si>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</si>
  <si>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</si>
  <si>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</si>
  <si>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</si>
  <si>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</si>
  <si>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</si>
  <si>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</si>
  <si>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</si>
  <si>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</si>
  <si>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</si>
  <si>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</si>
  <si>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</si>
  <si>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</si>
  <si>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</si>
  <si>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</si>
  <si>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</si>
  <si>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</si>
  <si>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</si>
  <si>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</si>
  <si>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</si>
  <si>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</si>
  <si>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Ambulance Service NHS Foundation Trust</t>
  </si>
  <si>
    <t>North East Hampshire</t>
  </si>
  <si>
    <t>North Liverpool GP Commissioning Consortium</t>
  </si>
  <si>
    <t>Oxford University Hospitals NHS Trust</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</si>
  <si>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</si>
  <si>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</si>
  <si>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</si>
  <si>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</si>
  <si>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</si>
  <si>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</si>
  <si>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</si>
  <si>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</si>
  <si>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</si>
  <si>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</si>
  <si>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</si>
  <si>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</si>
  <si>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</si>
  <si>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</si>
  <si>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</si>
  <si>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</si>
  <si>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</si>
  <si>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</si>
  <si>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</si>
  <si>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</si>
  <si>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</si>
  <si>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</si>
  <si>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</si>
  <si>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University Hospital Southampton NHS Foundation Trust</t>
  </si>
  <si>
    <t>Welland</t>
  </si>
  <si>
    <t>West Kent And Weald</t>
  </si>
  <si>
    <t>West Suffolk NHS Foundation Trust</t>
  </si>
  <si>
    <t>West Wiltshire, Yatton Keynall &amp; Devizes Clinical Commissioning Group</t>
  </si>
  <si>
    <t>Wirral GP Commissioning Consortium</t>
  </si>
  <si>
    <t>Wirral Health Commissioning Consortium</t>
  </si>
  <si>
    <t>Wirral NHS Alliance</t>
  </si>
  <si>
    <t>Wolverhampton Primary Care Consortium</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</si>
  <si>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</si>
  <si>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</si>
  <si>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</si>
  <si>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</si>
  <si>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</si>
  <si>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</si>
  <si>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</si>
  <si>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</si>
  <si>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</si>
  <si>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</si>
  <si>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</si>
  <si>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</si>
  <si>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</si>
  <si>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</si>
  <si>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</si>
  <si>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</si>
  <si>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</si>
  <si>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</si>
  <si>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</si>
  <si>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</si>
  <si>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</si>
  <si>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</si>
  <si>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</si>
  <si>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</si>
  <si>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</si>
  <si>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</si>
  <si>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</si>
  <si>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</si>
  <si>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</si>
  <si>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</si>
  <si>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</si>
  <si>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</si>
  <si>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</si>
  <si>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</si>
  <si>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</si>
  <si>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</si>
  <si>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</si>
  <si>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</si>
  <si>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</si>
  <si>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</si>
  <si>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</si>
  <si>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</si>
  <si>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</si>
  <si>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</si>
  <si>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</si>
  <si>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</si>
  <si>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</si>
  <si>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</si>
  <si>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</si>
  <si>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</si>
  <si>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</si>
  <si>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</si>
  <si>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</si>
  <si>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</si>
  <si>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</si>
  <si>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</si>
  <si>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</si>
  <si>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</si>
  <si>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</si>
  <si>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</si>
  <si>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</si>
  <si>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</si>
  <si>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</si>
  <si>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</si>
  <si>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</si>
  <si>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</si>
  <si>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</si>
  <si>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A. N. Other NHS Foundation Trust</t>
  </si>
  <si>
    <t>A Specialty</t>
  </si>
  <si>
    <t>The NHS IMAS IST Admitted Care Demand and Capacity (D&amp;C) Model</t>
  </si>
  <si>
    <t>Enter below your activity achieved through core capacity over the past 52 weeks.  Exclude weekend activity where it is only normally used for waiting list initiatives and other additional weekday waiting list sessions if these are significant.</t>
  </si>
  <si>
    <t>Enter below your activity achieved through additional capacity over the past 52 weeks; principally weekend working, but include any other where this represents a significant amount (e.g. a waiting list session per week for a month).</t>
  </si>
  <si>
    <t>* this figure +/- 5% is used to estimate a sustainable range in the summary sheet</t>
  </si>
  <si>
    <t>Approximate Sustainable Range</t>
  </si>
  <si>
    <t>65th Percentile (minus ROTT)</t>
  </si>
  <si>
    <t>85th Percentile (minus ROTT)</t>
  </si>
  <si>
    <t>• 12 months' most recent Decision To Admit (DTA) data</t>
  </si>
  <si>
    <t>• An understanding of the number of patients removed from your admitted waiting list for Reasons Other Than Treatment (ROTT)</t>
  </si>
  <si>
    <t>• Current and historic waiting list information covering the same period as the DTA data</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</si>
  <si>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</si>
  <si>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</si>
  <si>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</si>
  <si>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</si>
  <si>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</si>
  <si>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t>Demand</t>
  </si>
  <si>
    <t>Please do not paste using Ctrl+V or clicking the Paste button; rather, please right-click where you wish to paste (Excel 2007/2010) or go to the Edit menu (Excel 2003), choose 'Paste Special...' and then select 'Values'.</t>
  </si>
  <si>
    <t>Graph DTA</t>
  </si>
  <si>
    <t>Go to 'Historic Activity'</t>
  </si>
  <si>
    <t>Go back to the top</t>
  </si>
  <si>
    <t>You also need an understanding of your capacity in terms of the number and size of theatre lists that you currently run.</t>
  </si>
  <si>
    <r>
      <t xml:space="preserve">This model uses </t>
    </r>
    <r>
      <rPr>
        <b/>
        <sz val="10"/>
        <color indexed="8"/>
        <rFont val="Arial"/>
        <family val="2"/>
      </rPr>
      <t>mean</t>
    </r>
    <r>
      <rPr>
        <sz val="10"/>
        <color indexed="8"/>
        <rFont val="Arial"/>
        <family val="2"/>
      </rPr>
      <t xml:space="preserve"> waiting list additions per week as a proxy for your demand to produce estimates of sustainable waiting list size.</t>
    </r>
  </si>
  <si>
    <t>Enter your normal capacity below.  Exclude weekend activity where it is only normally used for waiting list initiatives and other additional weekday waiting list sessions if these are significant. Exclude any capacity required for planned patients</t>
  </si>
  <si>
    <t>Usual Capacity for Admissions</t>
  </si>
  <si>
    <t>This sheet can be used to assess the impact of additional capacity on reducing waiting list size to sustainable levels.  The sheet assumes average demand and will provide indicative timescales for improvement that can be monitored using the final section.</t>
  </si>
  <si>
    <t>Enter your elective capacity in the yellow rows below.  You can, optionally, enter a second scenario.  Then enter your actual data each week at the bottom in order to compare your plan(s) with your actual DTAs and the capacity you are able to put on.</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</si>
  <si>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sz val="10"/>
        <color indexed="8"/>
        <rFont val="Arial"/>
        <family val="2"/>
      </rPr>
      <t xml:space="preserve"> to </t>
    </r>
    <r>
      <rPr>
        <b/>
        <sz val="10"/>
        <color indexed="8"/>
        <rFont val="Arial"/>
        <family val="2"/>
      </rPr>
      <t>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decisions to admit.</t>
    </r>
  </si>
  <si>
    <t>Enter how many Decisions to Admit were made at your Trust each week over the past (or most recent available) 52 weeks.  This should include all inpatient, daycase, and diagnostic patients but exclude planned patients.
Use actual decisions to admit and admissions where at all possible, but use an average for removals if actual data is not readily available.
Other WL Removals should include any of the above patients Removed for reasons Other Than Treatment (ROTT).
Current Waiting List Size should include all inpatient, daycase, and diagnostic patients waiting for elective admission.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</si>
</sst>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Verdan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0"/>
      <color indexed="30"/>
      <name val="Verdana"/>
      <family val="2"/>
    </font>
    <font>
      <b/>
      <sz val="12"/>
      <color indexed="8"/>
      <name val="Arial"/>
      <family val="2"/>
    </font>
    <font>
      <b/>
      <sz val="9"/>
      <color indexed="9"/>
      <name val="Verdana"/>
      <family val="2"/>
    </font>
    <font>
      <b/>
      <sz val="10"/>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vertAlign val="superscript"/>
      <sz val="9"/>
      <name val="Arial"/>
      <family val="2"/>
    </font>
    <font>
      <sz val="8"/>
      <color rgb="FF000000"/>
      <name val="Tahoma"/>
      <family val="2"/>
    </font>
    <font>
      <sz val="9"/>
      <color theme="1"/>
      <name val="Arial"/>
      <family val="2"/>
    </font>
    <font>
      <b/>
      <sz val="10"/>
      <color rgb="FF0091C9"/>
      <name val="Verdana"/>
      <family val="2"/>
    </font>
    <font>
      <b/>
      <sz val="8"/>
      <color theme="0"/>
      <name val="Verdana"/>
      <family val="2"/>
    </font>
    <font>
      <b/>
      <sz val="10"/>
      <color rgb="FF0091C9"/>
      <name val="Arial"/>
      <family val="2"/>
    </font>
    <font>
      <b/>
      <sz val="14"/>
      <color rgb="FF0091C9"/>
      <name val="Arial"/>
      <family val="2"/>
    </font>
    <font>
      <b/>
      <sz val="8"/>
      <color rgb="FF0091C9"/>
      <name val="Verdana"/>
      <family val="2"/>
    </font>
    <font>
      <sz val="10"/>
      <color theme="0"/>
      <name val="Garamond"/>
      <family val="1"/>
    </font>
    <font>
      <sz val="11"/>
      <color rgb="FF0091C9"/>
      <name val="Calibri"/>
      <family val="2"/>
      <scheme val="minor"/>
    </font>
    <font>
      <sz val="10"/>
      <color rgb="FF0091C9"/>
      <name val="Arial"/>
      <family val="2"/>
    </font>
    <font>
      <sz val="11"/>
      <color rgb="FF0091C9"/>
      <name val="Calibri"/>
      <family val="2"/>
    </font>
    <font>
      <sz val="11"/>
      <name val="Calibri"/>
      <family val="2"/>
      <scheme val="minor"/>
    </font>
    <font>
      <u/>
      <sz val="8"/>
      <color theme="10"/>
      <name val="Calibri"/>
      <family val="2"/>
    </font>
  </fonts>
  <fills count="6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theme="0"/>
        <bgColor indexed="64"/>
      </patternFill>
    </fill>
    <fill>
      <patternFill patternType="solid">
        <fgColor rgb="FF0091C9"/>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top/>
      <bottom style="thin">
        <color indexed="30"/>
      </bottom>
      <diagonal/>
    </border>
    <border>
      <left/>
      <right style="thin">
        <color indexed="30"/>
      </right>
      <top/>
      <bottom style="thin">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thin">
        <color rgb="FF0091C9"/>
      </left>
      <right/>
      <top/>
      <bottom/>
      <diagonal/>
    </border>
    <border>
      <left/>
      <right style="thin">
        <color rgb="FF0091C9"/>
      </right>
      <top/>
      <bottom/>
      <diagonal/>
    </border>
    <border>
      <left style="thin">
        <color rgb="FF0091C9"/>
      </left>
      <right style="thin">
        <color rgb="FF0091C9"/>
      </right>
      <top style="thin">
        <color rgb="FF0091C9"/>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style="medium">
        <color rgb="FF0091C9"/>
      </right>
      <top/>
      <bottom style="medium">
        <color rgb="FF0091C9"/>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right/>
      <top style="medium">
        <color rgb="FF0091C9"/>
      </top>
      <bottom/>
      <diagonal/>
    </border>
    <border>
      <left/>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thin">
        <color rgb="FF0091C9"/>
      </left>
      <right style="medium">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top style="medium">
        <color rgb="FF0091C9"/>
      </top>
      <bottom/>
      <diagonal/>
    </border>
    <border>
      <left style="thin">
        <color rgb="FF0091C9"/>
      </left>
      <right/>
      <top/>
      <bottom style="medium">
        <color rgb="FF0091C9"/>
      </bottom>
      <diagonal/>
    </border>
    <border>
      <left style="thin">
        <color rgb="FF0091C9"/>
      </left>
      <right/>
      <top style="medium">
        <color rgb="FF0091C9"/>
      </top>
      <bottom style="medium">
        <color rgb="FF0091C9"/>
      </bottom>
      <diagonal/>
    </border>
    <border>
      <left style="thin">
        <color indexed="30"/>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thin">
        <color indexed="30"/>
      </left>
      <right style="thin">
        <color rgb="FF0091C9"/>
      </right>
      <top style="hair">
        <color indexed="30"/>
      </top>
      <bottom style="hair">
        <color indexed="30"/>
      </bottom>
      <diagonal/>
    </border>
    <border>
      <left style="thin">
        <color indexed="30"/>
      </left>
      <right style="thin">
        <color rgb="FF0091C9"/>
      </right>
      <top style="hair">
        <color indexed="30"/>
      </top>
      <bottom style="medium">
        <color rgb="FF0091C9"/>
      </bottom>
      <diagonal/>
    </border>
    <border>
      <left/>
      <right style="thin">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thin">
        <color indexed="30"/>
      </left>
      <right style="thin">
        <color rgb="FF0091C9"/>
      </right>
      <top/>
      <bottom style="hair">
        <color indexed="30"/>
      </bottom>
      <diagonal/>
    </border>
    <border>
      <left style="medium">
        <color rgb="FF0091C9"/>
      </left>
      <right style="medium">
        <color rgb="FF0091C9"/>
      </right>
      <top style="medium">
        <color rgb="FF0091C9"/>
      </top>
      <bottom/>
      <diagonal/>
    </border>
    <border>
      <left style="medium">
        <color rgb="FF0091C9"/>
      </left>
      <right style="thin">
        <color rgb="FF0091C9"/>
      </right>
      <top style="medium">
        <color rgb="FF0091C9"/>
      </top>
      <bottom style="hair">
        <color indexed="30"/>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thin">
        <color rgb="FF0091C9"/>
      </left>
      <right/>
      <top style="hair">
        <color indexed="30"/>
      </top>
      <bottom style="hair">
        <color indexed="30"/>
      </bottom>
      <diagonal/>
    </border>
    <border>
      <left style="thin">
        <color rgb="FF0091C9"/>
      </left>
      <right style="thin">
        <color rgb="FF0091C9"/>
      </right>
      <top style="thin">
        <color rgb="FF0091C9"/>
      </top>
      <bottom/>
      <diagonal/>
    </border>
    <border>
      <left style="thin">
        <color rgb="FF0091C9"/>
      </left>
      <right style="thin">
        <color rgb="FF0091C9"/>
      </right>
      <top style="hair">
        <color indexed="30"/>
      </top>
      <bottom style="thin">
        <color rgb="FF0091C9"/>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right style="thin">
        <color rgb="FF0091C9"/>
      </right>
      <top style="hair">
        <color indexed="30"/>
      </top>
      <bottom style="hair">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thin">
        <color indexed="30"/>
      </top>
      <bottom style="hair">
        <color indexed="30"/>
      </bottom>
      <diagonal/>
    </border>
    <border>
      <left style="medium">
        <color rgb="FF0091C9"/>
      </left>
      <right style="thin">
        <color rgb="FF0091C9"/>
      </right>
      <top style="thin">
        <color indexed="30"/>
      </top>
      <bottom style="hair">
        <color indexed="30"/>
      </bottom>
      <diagonal/>
    </border>
    <border>
      <left style="thin">
        <color rgb="FF0091C9"/>
      </left>
      <right style="thin">
        <color rgb="FF0091C9"/>
      </right>
      <top style="hair">
        <color indexed="30"/>
      </top>
      <bottom style="medium">
        <color indexed="30"/>
      </bottom>
      <diagonal/>
    </border>
    <border>
      <left style="thin">
        <color rgb="FF0091C9"/>
      </left>
      <right style="medium">
        <color rgb="FF0091C9"/>
      </right>
      <top style="hair">
        <color indexed="30"/>
      </top>
      <bottom style="medium">
        <color indexed="30"/>
      </bottom>
      <diagonal/>
    </border>
    <border>
      <left style="medium">
        <color rgb="FF0091C9"/>
      </left>
      <right style="thin">
        <color rgb="FF0091C9"/>
      </right>
      <top style="medium">
        <color indexed="30"/>
      </top>
      <bottom style="medium">
        <color rgb="FF0091C9"/>
      </bottom>
      <diagonal/>
    </border>
    <border>
      <left style="thin">
        <color rgb="FF0091C9"/>
      </left>
      <right style="thin">
        <color rgb="FF0091C9"/>
      </right>
      <top style="medium">
        <color indexed="30"/>
      </top>
      <bottom style="medium">
        <color rgb="FF0091C9"/>
      </bottom>
      <diagonal/>
    </border>
    <border>
      <left style="thin">
        <color rgb="FF0091C9"/>
      </left>
      <right style="medium">
        <color rgb="FF0091C9"/>
      </right>
      <top style="medium">
        <color indexed="30"/>
      </top>
      <bottom style="medium">
        <color rgb="FF0091C9"/>
      </bottom>
      <diagonal/>
    </border>
    <border>
      <left style="thin">
        <color rgb="FF0091C9"/>
      </left>
      <right style="thin">
        <color rgb="FF0091C9"/>
      </right>
      <top style="hair">
        <color indexed="30"/>
      </top>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style="hair">
        <color indexed="30"/>
      </top>
      <bottom style="medium">
        <color rgb="FF0091C9"/>
      </bottom>
      <diagonal/>
    </border>
  </borders>
  <cellStyleXfs count="93">
    <xf numFmtId="0" fontId="0" fillId="0" borderId="0"/>
    <xf numFmtId="0" fontId="50" fillId="26" borderId="0" applyNumberFormat="0" applyBorder="0" applyAlignment="0" applyProtection="0"/>
    <xf numFmtId="0" fontId="1" fillId="2" borderId="0" applyNumberFormat="0" applyBorder="0" applyAlignment="0" applyProtection="0"/>
    <xf numFmtId="0" fontId="50" fillId="27" borderId="0" applyNumberFormat="0" applyBorder="0" applyAlignment="0" applyProtection="0"/>
    <xf numFmtId="0" fontId="1" fillId="4" borderId="0" applyNumberFormat="0" applyBorder="0" applyAlignment="0" applyProtection="0"/>
    <xf numFmtId="0" fontId="50" fillId="28" borderId="0" applyNumberFormat="0" applyBorder="0" applyAlignment="0" applyProtection="0"/>
    <xf numFmtId="0" fontId="1" fillId="6" borderId="0" applyNumberFormat="0" applyBorder="0" applyAlignment="0" applyProtection="0"/>
    <xf numFmtId="0" fontId="50" fillId="29" borderId="0" applyNumberFormat="0" applyBorder="0" applyAlignment="0" applyProtection="0"/>
    <xf numFmtId="0" fontId="1" fillId="7" borderId="0" applyNumberFormat="0" applyBorder="0" applyAlignment="0" applyProtection="0"/>
    <xf numFmtId="0" fontId="50" fillId="30" borderId="0" applyNumberFormat="0" applyBorder="0" applyAlignment="0" applyProtection="0"/>
    <xf numFmtId="0" fontId="1" fillId="8" borderId="0" applyNumberFormat="0" applyBorder="0" applyAlignment="0" applyProtection="0"/>
    <xf numFmtId="0" fontId="50" fillId="31" borderId="0" applyNumberFormat="0" applyBorder="0" applyAlignment="0" applyProtection="0"/>
    <xf numFmtId="0" fontId="1" fillId="3" borderId="0" applyNumberFormat="0" applyBorder="0" applyAlignment="0" applyProtection="0"/>
    <xf numFmtId="0" fontId="50" fillId="32" borderId="0" applyNumberFormat="0" applyBorder="0" applyAlignment="0" applyProtection="0"/>
    <xf numFmtId="0" fontId="1" fillId="10" borderId="0" applyNumberFormat="0" applyBorder="0" applyAlignment="0" applyProtection="0"/>
    <xf numFmtId="0" fontId="50" fillId="33" borderId="0" applyNumberFormat="0" applyBorder="0" applyAlignment="0" applyProtection="0"/>
    <xf numFmtId="0" fontId="1" fillId="11" borderId="0" applyNumberFormat="0" applyBorder="0" applyAlignment="0" applyProtection="0"/>
    <xf numFmtId="0" fontId="50" fillId="34" borderId="0" applyNumberFormat="0" applyBorder="0" applyAlignment="0" applyProtection="0"/>
    <xf numFmtId="0" fontId="1" fillId="13" borderId="0" applyNumberFormat="0" applyBorder="0" applyAlignment="0" applyProtection="0"/>
    <xf numFmtId="0" fontId="50" fillId="35" borderId="0" applyNumberFormat="0" applyBorder="0" applyAlignment="0" applyProtection="0"/>
    <xf numFmtId="0" fontId="1" fillId="7"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50" fillId="37" borderId="0" applyNumberFormat="0" applyBorder="0" applyAlignment="0" applyProtection="0"/>
    <xf numFmtId="0" fontId="1" fillId="14" borderId="0" applyNumberFormat="0" applyBorder="0" applyAlignment="0" applyProtection="0"/>
    <xf numFmtId="0" fontId="51" fillId="38" borderId="0" applyNumberFormat="0" applyBorder="0" applyAlignment="0" applyProtection="0"/>
    <xf numFmtId="0" fontId="14" fillId="15" borderId="0" applyNumberFormat="0" applyBorder="0" applyAlignment="0" applyProtection="0"/>
    <xf numFmtId="0" fontId="51" fillId="39" borderId="0" applyNumberFormat="0" applyBorder="0" applyAlignment="0" applyProtection="0"/>
    <xf numFmtId="0" fontId="14" fillId="11" borderId="0" applyNumberFormat="0" applyBorder="0" applyAlignment="0" applyProtection="0"/>
    <xf numFmtId="0" fontId="51" fillId="40" borderId="0" applyNumberFormat="0" applyBorder="0" applyAlignment="0" applyProtection="0"/>
    <xf numFmtId="0" fontId="14" fillId="13" borderId="0" applyNumberFormat="0" applyBorder="0" applyAlignment="0" applyProtection="0"/>
    <xf numFmtId="0" fontId="51" fillId="41" borderId="0" applyNumberFormat="0" applyBorder="0" applyAlignment="0" applyProtection="0"/>
    <xf numFmtId="0" fontId="14" fillId="17" borderId="0" applyNumberFormat="0" applyBorder="0" applyAlignment="0" applyProtection="0"/>
    <xf numFmtId="0" fontId="51" fillId="42" borderId="0" applyNumberFormat="0" applyBorder="0" applyAlignment="0" applyProtection="0"/>
    <xf numFmtId="0" fontId="14" fillId="18" borderId="0" applyNumberFormat="0" applyBorder="0" applyAlignment="0" applyProtection="0"/>
    <xf numFmtId="0" fontId="51" fillId="43" borderId="0" applyNumberFormat="0" applyBorder="0" applyAlignment="0" applyProtection="0"/>
    <xf numFmtId="0" fontId="14" fillId="19" borderId="0" applyNumberFormat="0" applyBorder="0" applyAlignment="0" applyProtection="0"/>
    <xf numFmtId="0" fontId="51" fillId="44" borderId="0" applyNumberFormat="0" applyBorder="0" applyAlignment="0" applyProtection="0"/>
    <xf numFmtId="0" fontId="14" fillId="20" borderId="0" applyNumberFormat="0" applyBorder="0" applyAlignment="0" applyProtection="0"/>
    <xf numFmtId="0" fontId="51" fillId="45" borderId="0" applyNumberFormat="0" applyBorder="0" applyAlignment="0" applyProtection="0"/>
    <xf numFmtId="0" fontId="14" fillId="21" borderId="0" applyNumberFormat="0" applyBorder="0" applyAlignment="0" applyProtection="0"/>
    <xf numFmtId="0" fontId="51" fillId="46" borderId="0" applyNumberFormat="0" applyBorder="0" applyAlignment="0" applyProtection="0"/>
    <xf numFmtId="0" fontId="14" fillId="16" borderId="0" applyNumberFormat="0" applyBorder="0" applyAlignment="0" applyProtection="0"/>
    <xf numFmtId="0" fontId="51" fillId="47" borderId="0" applyNumberFormat="0" applyBorder="0" applyAlignment="0" applyProtection="0"/>
    <xf numFmtId="0" fontId="14" fillId="17" borderId="0" applyNumberFormat="0" applyBorder="0" applyAlignment="0" applyProtection="0"/>
    <xf numFmtId="0" fontId="51" fillId="48" borderId="0" applyNumberFormat="0" applyBorder="0" applyAlignment="0" applyProtection="0"/>
    <xf numFmtId="0" fontId="14" fillId="18" borderId="0" applyNumberFormat="0" applyBorder="0" applyAlignment="0" applyProtection="0"/>
    <xf numFmtId="0" fontId="51" fillId="49" borderId="0" applyNumberFormat="0" applyBorder="0" applyAlignment="0" applyProtection="0"/>
    <xf numFmtId="0" fontId="14" fillId="22" borderId="0" applyNumberFormat="0" applyBorder="0" applyAlignment="0" applyProtection="0"/>
    <xf numFmtId="0" fontId="52" fillId="50" borderId="0" applyNumberFormat="0" applyBorder="0" applyAlignment="0" applyProtection="0"/>
    <xf numFmtId="0" fontId="25" fillId="4" borderId="0" applyNumberFormat="0" applyBorder="0" applyAlignment="0" applyProtection="0"/>
    <xf numFmtId="0" fontId="53" fillId="51" borderId="23" applyNumberFormat="0" applyAlignment="0" applyProtection="0"/>
    <xf numFmtId="0" fontId="15" fillId="9" borderId="1" applyNumberFormat="0" applyAlignment="0" applyProtection="0"/>
    <xf numFmtId="0" fontId="54" fillId="52" borderId="24" applyNumberFormat="0" applyAlignment="0" applyProtection="0"/>
    <xf numFmtId="0" fontId="16" fillId="23" borderId="2" applyNumberFormat="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56" fillId="53" borderId="0" applyNumberFormat="0" applyBorder="0" applyAlignment="0" applyProtection="0"/>
    <xf numFmtId="0" fontId="18" fillId="6" borderId="0" applyNumberFormat="0" applyBorder="0" applyAlignment="0" applyProtection="0"/>
    <xf numFmtId="0" fontId="57" fillId="0" borderId="25" applyNumberFormat="0" applyFill="0" applyAlignment="0" applyProtection="0"/>
    <xf numFmtId="0" fontId="26" fillId="0" borderId="3" applyNumberFormat="0" applyFill="0" applyAlignment="0" applyProtection="0"/>
    <xf numFmtId="0" fontId="58" fillId="0" borderId="26" applyNumberFormat="0" applyFill="0" applyAlignment="0" applyProtection="0"/>
    <xf numFmtId="0" fontId="27" fillId="0" borderId="4" applyNumberFormat="0" applyFill="0" applyAlignment="0" applyProtection="0"/>
    <xf numFmtId="0" fontId="59" fillId="0" borderId="27" applyNumberFormat="0" applyFill="0" applyAlignment="0" applyProtection="0"/>
    <xf numFmtId="0" fontId="28" fillId="0" borderId="5" applyNumberFormat="0" applyFill="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6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1" fillId="54" borderId="23" applyNumberFormat="0" applyAlignment="0" applyProtection="0"/>
    <xf numFmtId="0" fontId="19" fillId="3" borderId="1" applyNumberFormat="0" applyAlignment="0" applyProtection="0"/>
    <xf numFmtId="0" fontId="62" fillId="0" borderId="28" applyNumberFormat="0" applyFill="0" applyAlignment="0" applyProtection="0"/>
    <xf numFmtId="0" fontId="20" fillId="0" borderId="6" applyNumberFormat="0" applyFill="0" applyAlignment="0" applyProtection="0"/>
    <xf numFmtId="0" fontId="63" fillId="55" borderId="0" applyNumberFormat="0" applyBorder="0" applyAlignment="0" applyProtection="0"/>
    <xf numFmtId="0" fontId="21" fillId="12" borderId="0" applyNumberFormat="0" applyBorder="0" applyAlignment="0" applyProtection="0"/>
    <xf numFmtId="0" fontId="2" fillId="0" borderId="0"/>
    <xf numFmtId="0" fontId="64" fillId="0" borderId="0"/>
    <xf numFmtId="0" fontId="32" fillId="56" borderId="29" applyNumberFormat="0" applyFont="0" applyAlignment="0" applyProtection="0"/>
    <xf numFmtId="0" fontId="2" fillId="5" borderId="7" applyNumberFormat="0" applyFont="0" applyAlignment="0" applyProtection="0"/>
    <xf numFmtId="0" fontId="1" fillId="56" borderId="29" applyNumberFormat="0" applyFont="0" applyAlignment="0" applyProtection="0"/>
    <xf numFmtId="0" fontId="65" fillId="51" borderId="30" applyNumberFormat="0" applyAlignment="0" applyProtection="0"/>
    <xf numFmtId="0" fontId="22" fillId="9" borderId="8" applyNumberFormat="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67" fillId="0" borderId="31" applyNumberFormat="0" applyFill="0" applyAlignment="0" applyProtection="0"/>
    <xf numFmtId="0" fontId="23" fillId="0" borderId="9" applyNumberFormat="0" applyFill="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 fillId="0" borderId="0"/>
    <xf numFmtId="0" fontId="2" fillId="0" borderId="0"/>
    <xf numFmtId="0" fontId="64" fillId="0" borderId="0"/>
    <xf numFmtId="0" fontId="64" fillId="0" borderId="0"/>
    <xf numFmtId="0" fontId="64" fillId="0" borderId="0"/>
  </cellStyleXfs>
  <cellXfs count="493">
    <xf numFmtId="0" fontId="0" fillId="0" borderId="0" xfId="0"/>
    <xf numFmtId="49" fontId="0" fillId="0" borderId="0" xfId="0" applyNumberFormat="1" applyAlignment="1">
      <alignment vertical="top" wrapText="1"/>
    </xf>
    <xf numFmtId="0" fontId="0" fillId="0" borderId="0" xfId="0" applyAlignment="1"/>
    <xf numFmtId="49" fontId="34" fillId="0" borderId="10" xfId="0" applyNumberFormat="1" applyFont="1" applyBorder="1" applyAlignment="1">
      <alignment vertical="top" wrapText="1"/>
    </xf>
    <xf numFmtId="0" fontId="34" fillId="0" borderId="0" xfId="0" applyFont="1"/>
    <xf numFmtId="0" fontId="0" fillId="0" borderId="0" xfId="0" applyBorder="1"/>
    <xf numFmtId="0" fontId="34" fillId="0" borderId="0" xfId="0" applyFont="1" applyBorder="1"/>
    <xf numFmtId="0" fontId="0" fillId="0" borderId="0" xfId="0" applyAlignment="1">
      <alignment vertical="center"/>
    </xf>
    <xf numFmtId="0" fontId="6" fillId="0" borderId="0" xfId="75" applyFont="1" applyFill="1" applyAlignment="1">
      <alignment vertical="center"/>
    </xf>
    <xf numFmtId="0" fontId="36" fillId="0" borderId="0" xfId="0" applyFont="1"/>
    <xf numFmtId="0" fontId="33" fillId="0" borderId="0" xfId="0" applyFont="1" applyFill="1"/>
    <xf numFmtId="0" fontId="33" fillId="0" borderId="0" xfId="0" applyFont="1"/>
    <xf numFmtId="1" fontId="33" fillId="0" borderId="0" xfId="0" applyNumberFormat="1" applyFont="1"/>
    <xf numFmtId="166" fontId="6" fillId="25" borderId="0" xfId="0" applyNumberFormat="1" applyFont="1" applyFill="1" applyBorder="1" applyAlignment="1">
      <alignment horizontal="center" vertical="center"/>
    </xf>
    <xf numFmtId="0" fontId="0" fillId="0" borderId="0" xfId="0" applyProtection="1">
      <protection locked="0"/>
    </xf>
    <xf numFmtId="0" fontId="34" fillId="0" borderId="0" xfId="0" applyFont="1" applyAlignment="1">
      <alignment vertical="top" wrapText="1"/>
    </xf>
    <xf numFmtId="49" fontId="34" fillId="0" borderId="0" xfId="0" applyNumberFormat="1" applyFont="1" applyBorder="1" applyAlignment="1">
      <alignment vertical="top" wrapText="1"/>
    </xf>
    <xf numFmtId="1" fontId="12" fillId="0" borderId="0" xfId="75" applyNumberFormat="1" applyFont="1" applyFill="1" applyBorder="1" applyAlignment="1" applyProtection="1">
      <alignment horizontal="center" vertical="center" wrapText="1"/>
    </xf>
    <xf numFmtId="0" fontId="0" fillId="0" borderId="0" xfId="0" applyProtection="1"/>
    <xf numFmtId="3" fontId="39" fillId="25" borderId="0" xfId="0" applyNumberFormat="1" applyFont="1" applyFill="1" applyBorder="1" applyAlignment="1" applyProtection="1">
      <alignment horizontal="center" vertical="center"/>
      <protection locked="0"/>
    </xf>
    <xf numFmtId="0" fontId="0" fillId="25" borderId="0" xfId="0" applyFill="1" applyBorder="1"/>
    <xf numFmtId="1" fontId="40" fillId="25" borderId="0" xfId="0" applyNumberFormat="1" applyFont="1" applyFill="1" applyBorder="1" applyAlignment="1" applyProtection="1">
      <alignment vertical="top"/>
      <protection locked="0"/>
    </xf>
    <xf numFmtId="0" fontId="42" fillId="0" borderId="0" xfId="0" applyFont="1" applyAlignment="1"/>
    <xf numFmtId="0" fontId="0" fillId="0" borderId="0" xfId="0" applyProtection="1">
      <protection hidden="1"/>
    </xf>
    <xf numFmtId="0" fontId="36" fillId="0" borderId="0" xfId="0" applyFont="1" applyProtection="1">
      <protection hidden="1"/>
    </xf>
    <xf numFmtId="0" fontId="33" fillId="0" borderId="0" xfId="0" applyFont="1" applyAlignment="1"/>
    <xf numFmtId="0" fontId="43" fillId="0" borderId="0" xfId="0" applyFont="1"/>
    <xf numFmtId="49" fontId="36" fillId="0" borderId="0" xfId="0" applyNumberFormat="1" applyFont="1" applyAlignment="1"/>
    <xf numFmtId="3" fontId="4" fillId="0" borderId="0" xfId="75" applyNumberFormat="1" applyFont="1" applyFill="1" applyBorder="1" applyProtection="1">
      <protection locked="0"/>
    </xf>
    <xf numFmtId="3" fontId="33"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6" fillId="0" borderId="0" xfId="0" applyNumberFormat="1" applyFont="1" applyAlignment="1">
      <alignment vertical="top"/>
    </xf>
    <xf numFmtId="1" fontId="36" fillId="0" borderId="0" xfId="0" applyNumberFormat="1" applyFont="1"/>
    <xf numFmtId="0" fontId="36" fillId="0" borderId="0" xfId="0" applyFont="1" applyAlignment="1"/>
    <xf numFmtId="0" fontId="30" fillId="0" borderId="0" xfId="0" applyFont="1" applyBorder="1" applyAlignment="1">
      <alignment vertical="center"/>
    </xf>
    <xf numFmtId="3" fontId="4" fillId="0" borderId="0" xfId="75" applyNumberFormat="1" applyFont="1" applyFill="1" applyBorder="1" applyProtection="1"/>
    <xf numFmtId="0" fontId="47" fillId="0" borderId="0" xfId="0" applyFont="1" applyBorder="1" applyAlignment="1" applyProtection="1">
      <alignment vertical="center"/>
      <protection hidden="1"/>
    </xf>
    <xf numFmtId="0" fontId="33" fillId="0" borderId="0" xfId="0" applyFont="1" applyAlignment="1" applyProtection="1">
      <protection hidden="1"/>
    </xf>
    <xf numFmtId="0" fontId="33" fillId="0" borderId="0" xfId="0" applyFont="1" applyProtection="1">
      <protection hidden="1"/>
    </xf>
    <xf numFmtId="0" fontId="6" fillId="0" borderId="0" xfId="75" applyFont="1" applyFill="1" applyAlignment="1">
      <alignment horizontal="left" vertical="center"/>
    </xf>
    <xf numFmtId="0" fontId="0" fillId="0" borderId="0" xfId="0"/>
    <xf numFmtId="165" fontId="4" fillId="0" borderId="0" xfId="75" applyNumberFormat="1" applyFont="1" applyFill="1" applyBorder="1" applyProtection="1"/>
    <xf numFmtId="0" fontId="14" fillId="0" borderId="0" xfId="0" applyFont="1"/>
    <xf numFmtId="0" fontId="36"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9" fillId="0" borderId="0" xfId="0" applyFont="1" applyAlignment="1" applyProtection="1">
      <alignment vertical="top"/>
    </xf>
    <xf numFmtId="0" fontId="0" fillId="0" borderId="0" xfId="0" applyProtection="1"/>
    <xf numFmtId="0" fontId="4" fillId="0" borderId="0" xfId="75" applyFont="1" applyFill="1" applyBorder="1" applyProtection="1"/>
    <xf numFmtId="0" fontId="51" fillId="0" borderId="0" xfId="0" applyFont="1" applyProtection="1">
      <protection locked="0"/>
    </xf>
    <xf numFmtId="0" fontId="0" fillId="0" borderId="0" xfId="0" applyProtection="1"/>
    <xf numFmtId="0" fontId="0" fillId="0" borderId="0" xfId="0"/>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1" fontId="70" fillId="0" borderId="0" xfId="0" applyNumberFormat="1" applyFont="1"/>
    <xf numFmtId="0" fontId="70" fillId="0" borderId="0" xfId="0" applyFont="1"/>
    <xf numFmtId="0" fontId="51" fillId="0" borderId="0" xfId="0" applyFont="1" applyProtection="1"/>
    <xf numFmtId="0" fontId="51" fillId="0" borderId="0" xfId="0" applyFont="1"/>
    <xf numFmtId="0" fontId="0" fillId="0" borderId="0" xfId="0"/>
    <xf numFmtId="0" fontId="51" fillId="0" borderId="0" xfId="0" applyFont="1" applyProtection="1">
      <protection hidden="1"/>
    </xf>
    <xf numFmtId="0" fontId="0" fillId="0" borderId="0" xfId="0" applyAlignment="1" applyProtection="1">
      <protection hidden="1"/>
    </xf>
    <xf numFmtId="0" fontId="6" fillId="0" borderId="0" xfId="0" applyFont="1" applyFill="1" applyBorder="1" applyAlignment="1" applyProtection="1">
      <alignment horizontal="left" vertical="center" indent="1"/>
      <protection hidden="1"/>
    </xf>
    <xf numFmtId="1" fontId="6" fillId="25" borderId="0" xfId="0" applyNumberFormat="1" applyFont="1" applyFill="1" applyBorder="1" applyAlignment="1" applyProtection="1">
      <alignment horizontal="center" vertical="center"/>
      <protection hidden="1"/>
    </xf>
    <xf numFmtId="0" fontId="34" fillId="0" borderId="0" xfId="0" applyFont="1" applyAlignment="1" applyProtection="1">
      <alignment wrapText="1"/>
      <protection hidden="1"/>
    </xf>
    <xf numFmtId="0" fontId="6" fillId="0" borderId="0" xfId="0" applyFont="1" applyFill="1" applyBorder="1" applyAlignment="1" applyProtection="1">
      <alignment horizontal="center" vertical="center"/>
      <protection hidden="1"/>
    </xf>
    <xf numFmtId="0" fontId="34" fillId="0" borderId="0" xfId="0" applyFont="1" applyBorder="1" applyAlignment="1" applyProtection="1">
      <alignment vertical="top" wrapText="1"/>
      <protection hidden="1"/>
    </xf>
    <xf numFmtId="168" fontId="0" fillId="0" borderId="0" xfId="0" applyNumberFormat="1" applyProtection="1">
      <protection hidden="1"/>
    </xf>
    <xf numFmtId="0" fontId="2" fillId="0" borderId="0" xfId="0" applyFont="1" applyBorder="1" applyProtection="1">
      <protection hidden="1"/>
    </xf>
    <xf numFmtId="0" fontId="34" fillId="0" borderId="10" xfId="0" applyFont="1" applyBorder="1" applyProtection="1">
      <protection hidden="1"/>
    </xf>
    <xf numFmtId="1" fontId="34" fillId="0" borderId="0" xfId="0" applyNumberFormat="1" applyFont="1" applyBorder="1" applyProtection="1">
      <protection hidden="1"/>
    </xf>
    <xf numFmtId="0" fontId="34" fillId="0" borderId="0" xfId="0" applyFont="1" applyBorder="1" applyProtection="1">
      <protection hidden="1"/>
    </xf>
    <xf numFmtId="0" fontId="34" fillId="0" borderId="0" xfId="0" applyFont="1" applyAlignment="1" applyProtection="1">
      <alignment vertical="top" wrapText="1"/>
      <protection hidden="1"/>
    </xf>
    <xf numFmtId="0" fontId="41" fillId="0" borderId="0" xfId="0" applyFont="1" applyAlignment="1" applyProtection="1">
      <alignment vertical="top" wrapText="1" readingOrder="1"/>
      <protection hidden="1"/>
    </xf>
    <xf numFmtId="0" fontId="0" fillId="0" borderId="0" xfId="0"/>
    <xf numFmtId="0" fontId="0" fillId="0" borderId="0" xfId="0" applyProtection="1">
      <protection hidden="1"/>
    </xf>
    <xf numFmtId="0" fontId="0" fillId="0" borderId="0" xfId="0" applyProtection="1">
      <protection hidden="1"/>
    </xf>
    <xf numFmtId="0" fontId="34" fillId="58" borderId="0" xfId="0" applyFont="1" applyFill="1" applyBorder="1"/>
    <xf numFmtId="0" fontId="37" fillId="58" borderId="0" xfId="0" applyFont="1" applyFill="1" applyBorder="1" applyProtection="1">
      <protection locked="0"/>
    </xf>
    <xf numFmtId="165" fontId="37" fillId="58" borderId="0" xfId="0" applyNumberFormat="1" applyFont="1" applyFill="1" applyBorder="1"/>
    <xf numFmtId="0" fontId="46" fillId="58" borderId="0" xfId="0" applyFont="1" applyFill="1" applyBorder="1" applyAlignment="1">
      <alignment vertical="center" wrapText="1"/>
    </xf>
    <xf numFmtId="0" fontId="64" fillId="0" borderId="0" xfId="0" applyFont="1" applyBorder="1" applyAlignment="1" applyProtection="1">
      <alignment horizontal="left" vertical="top" wrapText="1"/>
    </xf>
    <xf numFmtId="0" fontId="73" fillId="0" borderId="0" xfId="0" applyFont="1" applyAlignment="1">
      <alignment horizontal="right"/>
    </xf>
    <xf numFmtId="0" fontId="0" fillId="0" borderId="0" xfId="0"/>
    <xf numFmtId="0" fontId="8" fillId="0" borderId="0" xfId="0" applyFont="1" applyAlignment="1">
      <alignment vertical="top" wrapText="1"/>
    </xf>
    <xf numFmtId="0" fontId="0" fillId="0" borderId="0" xfId="0" applyProtection="1">
      <protection hidden="1"/>
    </xf>
    <xf numFmtId="1" fontId="6" fillId="0" borderId="0" xfId="0" applyNumberFormat="1" applyFont="1" applyBorder="1" applyProtection="1">
      <protection hidden="1"/>
    </xf>
    <xf numFmtId="0" fontId="74" fillId="0" borderId="33" xfId="0" applyFont="1" applyBorder="1" applyAlignment="1">
      <alignment vertical="center" wrapText="1"/>
    </xf>
    <xf numFmtId="0" fontId="74" fillId="0" borderId="33" xfId="0" applyFont="1" applyBorder="1" applyAlignment="1">
      <alignment vertical="center"/>
    </xf>
    <xf numFmtId="0" fontId="74" fillId="0" borderId="34" xfId="0" applyFont="1" applyBorder="1" applyAlignment="1">
      <alignment vertical="center"/>
    </xf>
    <xf numFmtId="0" fontId="74" fillId="0" borderId="0" xfId="0" applyFont="1" applyBorder="1" applyAlignment="1">
      <alignment vertical="center"/>
    </xf>
    <xf numFmtId="0" fontId="0" fillId="0" borderId="38" xfId="0" applyBorder="1"/>
    <xf numFmtId="0" fontId="0" fillId="0" borderId="39" xfId="0" applyBorder="1"/>
    <xf numFmtId="0" fontId="34" fillId="59" borderId="46" xfId="0" applyFont="1" applyFill="1" applyBorder="1"/>
    <xf numFmtId="0" fontId="37" fillId="59" borderId="47" xfId="0" applyFont="1" applyFill="1" applyBorder="1" applyProtection="1">
      <protection locked="0"/>
    </xf>
    <xf numFmtId="0" fontId="2" fillId="0" borderId="0" xfId="75" applyBorder="1"/>
    <xf numFmtId="1" fontId="5" fillId="0" borderId="0" xfId="75" applyNumberFormat="1" applyFont="1" applyFill="1" applyBorder="1" applyAlignment="1" applyProtection="1">
      <alignment horizontal="center" vertical="center" wrapText="1"/>
    </xf>
    <xf numFmtId="0" fontId="4" fillId="0" borderId="58" xfId="75" applyFont="1" applyFill="1" applyBorder="1" applyAlignment="1" applyProtection="1">
      <alignment horizontal="right" indent="1"/>
    </xf>
    <xf numFmtId="3" fontId="4" fillId="0" borderId="59" xfId="75" applyNumberFormat="1" applyFont="1" applyFill="1" applyBorder="1" applyAlignment="1" applyProtection="1">
      <protection locked="0"/>
    </xf>
    <xf numFmtId="3" fontId="4" fillId="0" borderId="60" xfId="75" applyNumberFormat="1" applyFont="1" applyFill="1" applyBorder="1" applyProtection="1">
      <protection locked="0"/>
    </xf>
    <xf numFmtId="0" fontId="4" fillId="0" borderId="61" xfId="75" applyFont="1" applyFill="1" applyBorder="1" applyAlignment="1" applyProtection="1">
      <alignment horizontal="right" indent="1"/>
    </xf>
    <xf numFmtId="3" fontId="4" fillId="0" borderId="62" xfId="75" applyNumberFormat="1" applyFont="1" applyFill="1" applyBorder="1" applyAlignment="1" applyProtection="1">
      <protection locked="0"/>
    </xf>
    <xf numFmtId="3" fontId="4" fillId="0" borderId="63" xfId="75" applyNumberFormat="1" applyFont="1" applyFill="1" applyBorder="1" applyProtection="1">
      <protection locked="0"/>
    </xf>
    <xf numFmtId="0" fontId="4" fillId="0" borderId="64" xfId="75" applyFont="1" applyFill="1" applyBorder="1" applyAlignment="1" applyProtection="1">
      <alignment horizontal="right" indent="1"/>
    </xf>
    <xf numFmtId="3" fontId="4" fillId="0" borderId="65" xfId="75" applyNumberFormat="1" applyFont="1" applyFill="1" applyBorder="1" applyAlignment="1" applyProtection="1">
      <protection locked="0"/>
    </xf>
    <xf numFmtId="3" fontId="4" fillId="0" borderId="66" xfId="75" applyNumberFormat="1" applyFont="1" applyFill="1" applyBorder="1" applyProtection="1">
      <protection locked="0"/>
    </xf>
    <xf numFmtId="0" fontId="36" fillId="0" borderId="0" xfId="0" applyFont="1" applyBorder="1" applyProtection="1">
      <protection hidden="1"/>
    </xf>
    <xf numFmtId="0" fontId="0" fillId="0" borderId="32" xfId="0" applyBorder="1"/>
    <xf numFmtId="0" fontId="0" fillId="0" borderId="33" xfId="0" applyBorder="1"/>
    <xf numFmtId="0" fontId="0" fillId="0" borderId="34" xfId="0" applyBorder="1"/>
    <xf numFmtId="0" fontId="0" fillId="0" borderId="38" xfId="0" applyBorder="1" applyProtection="1">
      <protection hidden="1"/>
    </xf>
    <xf numFmtId="0" fontId="0" fillId="0" borderId="0" xfId="0" applyBorder="1" applyProtection="1">
      <protection hidden="1"/>
    </xf>
    <xf numFmtId="0" fontId="0" fillId="0" borderId="39" xfId="0" applyBorder="1" applyProtection="1">
      <protection hidden="1"/>
    </xf>
    <xf numFmtId="0" fontId="34" fillId="0" borderId="38" xfId="0" applyFont="1" applyBorder="1" applyProtection="1">
      <protection hidden="1"/>
    </xf>
    <xf numFmtId="0" fontId="0" fillId="0" borderId="0" xfId="0" applyBorder="1" applyAlignment="1" applyProtection="1">
      <alignment horizontal="left"/>
      <protection locked="0" hidden="1"/>
    </xf>
    <xf numFmtId="0" fontId="13" fillId="0" borderId="0" xfId="76" applyFont="1" applyBorder="1" applyProtection="1">
      <protection hidden="1"/>
    </xf>
    <xf numFmtId="0" fontId="2" fillId="0" borderId="0" xfId="76" quotePrefix="1" applyFont="1"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45" fillId="0" borderId="67" xfId="0" applyFont="1" applyBorder="1" applyAlignment="1">
      <alignment vertical="center" wrapText="1"/>
    </xf>
    <xf numFmtId="0" fontId="45" fillId="0" borderId="68" xfId="0" applyFont="1" applyBorder="1" applyAlignment="1">
      <alignment vertical="center" wrapText="1"/>
    </xf>
    <xf numFmtId="0" fontId="45" fillId="0" borderId="69" xfId="0" applyFont="1" applyBorder="1" applyAlignment="1">
      <alignment vertical="center" wrapText="1"/>
    </xf>
    <xf numFmtId="0" fontId="34" fillId="24" borderId="46" xfId="0" applyFont="1" applyFill="1" applyBorder="1"/>
    <xf numFmtId="0" fontId="37" fillId="24" borderId="47" xfId="0" applyFont="1" applyFill="1" applyBorder="1" applyProtection="1">
      <protection locked="0"/>
    </xf>
    <xf numFmtId="3" fontId="37" fillId="24" borderId="47" xfId="0" applyNumberFormat="1" applyFont="1" applyFill="1" applyBorder="1" applyProtection="1"/>
    <xf numFmtId="0" fontId="33" fillId="0" borderId="33" xfId="0" applyFont="1" applyBorder="1"/>
    <xf numFmtId="1" fontId="5" fillId="59" borderId="48" xfId="75" applyNumberFormat="1" applyFont="1" applyFill="1" applyBorder="1" applyAlignment="1" applyProtection="1">
      <alignment horizontal="right" vertical="center" wrapText="1"/>
    </xf>
    <xf numFmtId="1" fontId="5" fillId="59" borderId="70" xfId="75" applyNumberFormat="1" applyFont="1" applyFill="1" applyBorder="1" applyAlignment="1" applyProtection="1">
      <alignment horizontal="center" vertical="center" wrapText="1"/>
    </xf>
    <xf numFmtId="1" fontId="5" fillId="59" borderId="49" xfId="75" applyNumberFormat="1" applyFont="1" applyFill="1" applyBorder="1" applyAlignment="1" applyProtection="1">
      <alignment horizontal="center" vertical="center" wrapText="1"/>
    </xf>
    <xf numFmtId="0" fontId="37" fillId="24" borderId="73" xfId="0" applyFont="1" applyFill="1" applyBorder="1" applyProtection="1">
      <protection locked="0"/>
    </xf>
    <xf numFmtId="49" fontId="35" fillId="59" borderId="70" xfId="0" applyNumberFormat="1" applyFont="1" applyFill="1" applyBorder="1" applyAlignment="1">
      <alignment horizontal="center" vertical="center" wrapText="1"/>
    </xf>
    <xf numFmtId="0" fontId="4" fillId="0" borderId="76" xfId="75" applyFont="1" applyFill="1" applyBorder="1" applyProtection="1">
      <protection locked="0"/>
    </xf>
    <xf numFmtId="3" fontId="4" fillId="0" borderId="76" xfId="75" applyNumberFormat="1" applyFont="1" applyFill="1" applyBorder="1" applyProtection="1">
      <protection locked="0"/>
    </xf>
    <xf numFmtId="3" fontId="4" fillId="0" borderId="76" xfId="75" applyNumberFormat="1" applyFont="1" applyFill="1" applyBorder="1" applyProtection="1"/>
    <xf numFmtId="165" fontId="4" fillId="0" borderId="77" xfId="75" applyNumberFormat="1" applyFont="1" applyFill="1" applyBorder="1" applyProtection="1"/>
    <xf numFmtId="0" fontId="4" fillId="0" borderId="62" xfId="75" applyFont="1" applyFill="1" applyBorder="1" applyProtection="1">
      <protection locked="0"/>
    </xf>
    <xf numFmtId="3" fontId="4" fillId="0" borderId="62" xfId="75" applyNumberFormat="1" applyFont="1" applyFill="1" applyBorder="1" applyProtection="1">
      <protection locked="0"/>
    </xf>
    <xf numFmtId="3" fontId="4" fillId="0" borderId="62" xfId="75" applyNumberFormat="1" applyFont="1" applyFill="1" applyBorder="1" applyProtection="1"/>
    <xf numFmtId="165" fontId="4" fillId="0" borderId="63" xfId="75" applyNumberFormat="1" applyFont="1" applyFill="1" applyBorder="1" applyProtection="1"/>
    <xf numFmtId="0" fontId="4" fillId="0" borderId="65" xfId="75" applyFont="1" applyFill="1" applyBorder="1" applyProtection="1">
      <protection locked="0"/>
    </xf>
    <xf numFmtId="3" fontId="4" fillId="0" borderId="65" xfId="75" applyNumberFormat="1" applyFont="1" applyFill="1" applyBorder="1" applyProtection="1">
      <protection locked="0"/>
    </xf>
    <xf numFmtId="3" fontId="4" fillId="0" borderId="65" xfId="75" applyNumberFormat="1" applyFont="1" applyFill="1" applyBorder="1" applyProtection="1"/>
    <xf numFmtId="165" fontId="4" fillId="0" borderId="66" xfId="75" applyNumberFormat="1" applyFont="1" applyFill="1" applyBorder="1" applyProtection="1"/>
    <xf numFmtId="49" fontId="35" fillId="59" borderId="81" xfId="0" applyNumberFormat="1" applyFont="1" applyFill="1" applyBorder="1" applyAlignment="1">
      <alignment horizontal="center" vertical="center" wrapText="1"/>
    </xf>
    <xf numFmtId="49" fontId="5" fillId="59" borderId="81" xfId="0" applyNumberFormat="1" applyFont="1" applyFill="1" applyBorder="1" applyAlignment="1">
      <alignment horizontal="center" vertical="center" wrapText="1"/>
    </xf>
    <xf numFmtId="49" fontId="35" fillId="59" borderId="71" xfId="0" applyNumberFormat="1" applyFont="1" applyFill="1" applyBorder="1" applyAlignment="1">
      <alignment horizontal="center" vertical="center" wrapText="1"/>
    </xf>
    <xf numFmtId="0" fontId="4" fillId="0" borderId="59" xfId="75" applyFont="1" applyFill="1" applyBorder="1" applyProtection="1">
      <protection locked="0"/>
    </xf>
    <xf numFmtId="3" fontId="4" fillId="0" borderId="59" xfId="75" applyNumberFormat="1" applyFont="1" applyFill="1" applyBorder="1" applyProtection="1">
      <protection locked="0"/>
    </xf>
    <xf numFmtId="3" fontId="4" fillId="0" borderId="59" xfId="75" applyNumberFormat="1" applyFont="1" applyFill="1" applyBorder="1" applyProtection="1"/>
    <xf numFmtId="165" fontId="4" fillId="0" borderId="60" xfId="75" applyNumberFormat="1" applyFont="1" applyFill="1" applyBorder="1" applyProtection="1"/>
    <xf numFmtId="49" fontId="5" fillId="59" borderId="70" xfId="0" applyNumberFormat="1" applyFont="1" applyFill="1" applyBorder="1" applyAlignment="1">
      <alignment horizontal="center" vertical="center" wrapText="1"/>
    </xf>
    <xf numFmtId="49" fontId="35" fillId="59" borderId="49" xfId="0" applyNumberFormat="1" applyFont="1" applyFill="1" applyBorder="1" applyAlignment="1">
      <alignment horizontal="center" vertical="center" wrapText="1"/>
    </xf>
    <xf numFmtId="0" fontId="35" fillId="59" borderId="83" xfId="0" applyFont="1" applyFill="1" applyBorder="1" applyAlignment="1">
      <alignment horizontal="right"/>
    </xf>
    <xf numFmtId="0" fontId="35" fillId="59" borderId="83" xfId="0" applyFont="1" applyFill="1" applyBorder="1" applyAlignment="1">
      <alignment horizontal="center"/>
    </xf>
    <xf numFmtId="49" fontId="35" fillId="59" borderId="52" xfId="0" applyNumberFormat="1" applyFont="1" applyFill="1" applyBorder="1" applyAlignment="1">
      <alignment horizontal="center" vertical="center" wrapText="1"/>
    </xf>
    <xf numFmtId="3" fontId="4" fillId="0" borderId="62" xfId="75" applyNumberFormat="1" applyFont="1" applyFill="1" applyBorder="1" applyAlignment="1" applyProtection="1">
      <alignment horizontal="right" indent="1"/>
    </xf>
    <xf numFmtId="3" fontId="4" fillId="0" borderId="63" xfId="75" applyNumberFormat="1" applyFont="1" applyFill="1" applyBorder="1" applyAlignment="1" applyProtection="1">
      <alignment horizontal="right" indent="1"/>
      <protection locked="0"/>
    </xf>
    <xf numFmtId="3" fontId="4" fillId="0" borderId="65" xfId="75" applyNumberFormat="1" applyFont="1" applyFill="1" applyBorder="1" applyAlignment="1" applyProtection="1">
      <alignment horizontal="right" indent="1"/>
    </xf>
    <xf numFmtId="3" fontId="4" fillId="0" borderId="57" xfId="75" applyNumberFormat="1" applyFont="1" applyFill="1" applyBorder="1" applyAlignment="1" applyProtection="1">
      <alignment horizontal="right" indent="1"/>
      <protection locked="0"/>
    </xf>
    <xf numFmtId="3" fontId="4" fillId="0" borderId="66" xfId="75" applyNumberFormat="1" applyFont="1" applyFill="1" applyBorder="1" applyAlignment="1" applyProtection="1">
      <alignment horizontal="right" indent="1"/>
      <protection locked="0"/>
    </xf>
    <xf numFmtId="49" fontId="35" fillId="59" borderId="53" xfId="0" applyNumberFormat="1" applyFont="1" applyFill="1" applyBorder="1" applyAlignment="1">
      <alignment horizontal="center" vertical="center" wrapText="1"/>
    </xf>
    <xf numFmtId="49" fontId="5" fillId="59" borderId="54" xfId="0" applyNumberFormat="1" applyFont="1" applyFill="1" applyBorder="1" applyAlignment="1">
      <alignment horizontal="center" vertical="center" wrapText="1"/>
    </xf>
    <xf numFmtId="49" fontId="35" fillId="59" borderId="54" xfId="0" applyNumberFormat="1" applyFont="1" applyFill="1" applyBorder="1" applyAlignment="1">
      <alignment vertical="center" wrapText="1"/>
    </xf>
    <xf numFmtId="0" fontId="4" fillId="0" borderId="84" xfId="75" applyFont="1" applyFill="1" applyBorder="1" applyAlignment="1" applyProtection="1">
      <alignment horizontal="right" indent="1"/>
    </xf>
    <xf numFmtId="3" fontId="4" fillId="0" borderId="76" xfId="75" applyNumberFormat="1" applyFont="1" applyFill="1" applyBorder="1" applyAlignment="1" applyProtection="1">
      <alignment horizontal="right" indent="1"/>
    </xf>
    <xf numFmtId="3" fontId="4" fillId="0" borderId="54" xfId="75" applyNumberFormat="1" applyFont="1" applyFill="1" applyBorder="1" applyAlignment="1" applyProtection="1">
      <alignment horizontal="right" indent="1"/>
      <protection locked="0"/>
    </xf>
    <xf numFmtId="3" fontId="4" fillId="0" borderId="77" xfId="75" applyNumberFormat="1" applyFont="1" applyFill="1" applyBorder="1" applyAlignment="1" applyProtection="1">
      <alignment horizontal="right" indent="1"/>
      <protection locked="0"/>
    </xf>
    <xf numFmtId="0" fontId="34" fillId="59" borderId="46" xfId="0" applyFont="1" applyFill="1" applyBorder="1" applyProtection="1"/>
    <xf numFmtId="0" fontId="37" fillId="59" borderId="51" xfId="0" applyFont="1" applyFill="1" applyBorder="1" applyProtection="1">
      <protection locked="0"/>
    </xf>
    <xf numFmtId="3" fontId="37" fillId="59" borderId="47" xfId="0" applyNumberFormat="1" applyFont="1" applyFill="1" applyBorder="1" applyProtection="1"/>
    <xf numFmtId="3" fontId="39" fillId="59" borderId="46" xfId="0" applyNumberFormat="1" applyFont="1" applyFill="1" applyBorder="1" applyAlignment="1">
      <alignment horizontal="center" vertical="center"/>
    </xf>
    <xf numFmtId="3" fontId="39" fillId="59" borderId="51" xfId="0" applyNumberFormat="1" applyFont="1" applyFill="1" applyBorder="1" applyAlignment="1" applyProtection="1">
      <alignment horizontal="center" vertical="center"/>
      <protection locked="0"/>
    </xf>
    <xf numFmtId="3" fontId="39" fillId="59" borderId="47" xfId="0" applyNumberFormat="1" applyFont="1" applyFill="1" applyBorder="1" applyAlignment="1" applyProtection="1">
      <alignment horizontal="center" vertical="center"/>
      <protection locked="0"/>
    </xf>
    <xf numFmtId="1" fontId="40" fillId="59" borderId="46" xfId="0" applyNumberFormat="1" applyFont="1" applyFill="1" applyBorder="1" applyAlignment="1" applyProtection="1">
      <alignment vertical="top"/>
    </xf>
    <xf numFmtId="1" fontId="40" fillId="59" borderId="51" xfId="0" applyNumberFormat="1" applyFont="1" applyFill="1" applyBorder="1" applyAlignment="1" applyProtection="1">
      <alignment vertical="top"/>
      <protection locked="0"/>
    </xf>
    <xf numFmtId="1" fontId="40" fillId="59" borderId="47" xfId="0" applyNumberFormat="1" applyFont="1" applyFill="1" applyBorder="1" applyAlignment="1">
      <alignment vertical="top"/>
    </xf>
    <xf numFmtId="14" fontId="37" fillId="59" borderId="47" xfId="0" applyNumberFormat="1" applyFont="1" applyFill="1" applyBorder="1"/>
    <xf numFmtId="0" fontId="34" fillId="0" borderId="39" xfId="0" applyFont="1" applyBorder="1"/>
    <xf numFmtId="0" fontId="42" fillId="0" borderId="0" xfId="0" applyFont="1" applyBorder="1" applyAlignment="1">
      <alignment horizontal="center"/>
    </xf>
    <xf numFmtId="0" fontId="0" fillId="0" borderId="0" xfId="0" applyBorder="1" applyAlignment="1"/>
    <xf numFmtId="0" fontId="34" fillId="0" borderId="35" xfId="0" applyFont="1" applyBorder="1"/>
    <xf numFmtId="0" fontId="34" fillId="0" borderId="36" xfId="0" applyFont="1" applyBorder="1"/>
    <xf numFmtId="0" fontId="34" fillId="0" borderId="37" xfId="0" applyFont="1" applyBorder="1"/>
    <xf numFmtId="0" fontId="35" fillId="59" borderId="85" xfId="0" applyFont="1" applyFill="1" applyBorder="1" applyAlignment="1" applyProtection="1">
      <alignment horizontal="left" vertical="center" indent="1"/>
      <protection hidden="1"/>
    </xf>
    <xf numFmtId="0" fontId="35" fillId="59" borderId="86" xfId="0" applyFont="1" applyFill="1" applyBorder="1" applyAlignment="1" applyProtection="1">
      <alignment horizontal="left" vertical="center" indent="1"/>
      <protection hidden="1"/>
    </xf>
    <xf numFmtId="0" fontId="35" fillId="59" borderId="87" xfId="0" applyFont="1" applyFill="1" applyBorder="1" applyAlignment="1" applyProtection="1">
      <alignment horizontal="left" vertical="center" indent="1"/>
      <protection hidden="1"/>
    </xf>
    <xf numFmtId="1" fontId="6" fillId="25" borderId="62" xfId="0" applyNumberFormat="1" applyFont="1" applyFill="1" applyBorder="1" applyAlignment="1" applyProtection="1">
      <alignment horizontal="center" vertical="center"/>
      <protection hidden="1"/>
    </xf>
    <xf numFmtId="1" fontId="6" fillId="25" borderId="90" xfId="0" applyNumberFormat="1" applyFont="1" applyFill="1" applyBorder="1" applyAlignment="1" applyProtection="1">
      <alignment horizontal="center" vertical="center"/>
      <protection hidden="1"/>
    </xf>
    <xf numFmtId="0" fontId="35" fillId="59" borderId="97"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left" vertical="center" indent="1"/>
      <protection hidden="1"/>
    </xf>
    <xf numFmtId="0" fontId="35" fillId="59" borderId="89" xfId="0" applyFont="1" applyFill="1" applyBorder="1" applyAlignment="1" applyProtection="1">
      <alignment horizontal="center" vertical="center" wrapText="1"/>
      <protection hidden="1"/>
    </xf>
    <xf numFmtId="0" fontId="6" fillId="0" borderId="59" xfId="0" applyFont="1" applyFill="1" applyBorder="1" applyAlignment="1" applyProtection="1">
      <alignment horizontal="left" vertical="center" indent="1"/>
      <protection hidden="1"/>
    </xf>
    <xf numFmtId="0" fontId="74" fillId="0" borderId="32" xfId="0" applyFont="1" applyBorder="1" applyAlignment="1">
      <alignment vertical="center"/>
    </xf>
    <xf numFmtId="0" fontId="44" fillId="0" borderId="33" xfId="0" applyFont="1" applyBorder="1" applyAlignment="1">
      <alignment vertical="center"/>
    </xf>
    <xf numFmtId="0" fontId="44" fillId="0" borderId="34" xfId="0" applyFont="1" applyBorder="1" applyAlignment="1">
      <alignment vertical="center"/>
    </xf>
    <xf numFmtId="0" fontId="35" fillId="59" borderId="35" xfId="0" applyFont="1" applyFill="1" applyBorder="1" applyAlignment="1">
      <alignment horizontal="left" vertical="center" indent="1"/>
    </xf>
    <xf numFmtId="0" fontId="35" fillId="59" borderId="36" xfId="0" applyFont="1" applyFill="1" applyBorder="1" applyAlignment="1">
      <alignment vertical="center"/>
    </xf>
    <xf numFmtId="0" fontId="35" fillId="59" borderId="37" xfId="0" applyFont="1" applyFill="1" applyBorder="1" applyAlignment="1">
      <alignment vertical="center"/>
    </xf>
    <xf numFmtId="166" fontId="6" fillId="25" borderId="61" xfId="0" applyNumberFormat="1" applyFont="1" applyFill="1" applyBorder="1" applyAlignment="1">
      <alignment horizontal="left" vertical="center" indent="1"/>
    </xf>
    <xf numFmtId="166" fontId="6" fillId="25" borderId="63" xfId="0" applyNumberFormat="1" applyFont="1" applyFill="1" applyBorder="1" applyAlignment="1">
      <alignment horizontal="center" vertical="center"/>
    </xf>
    <xf numFmtId="166" fontId="6" fillId="25" borderId="61" xfId="0" applyNumberFormat="1" applyFont="1" applyFill="1" applyBorder="1" applyAlignment="1">
      <alignment horizontal="left" vertical="center" indent="2"/>
    </xf>
    <xf numFmtId="166" fontId="6" fillId="25" borderId="64" xfId="0" applyNumberFormat="1" applyFont="1" applyFill="1" applyBorder="1" applyAlignment="1">
      <alignment horizontal="left" vertical="center" indent="1"/>
    </xf>
    <xf numFmtId="166" fontId="6" fillId="25" borderId="66" xfId="0" applyNumberFormat="1" applyFont="1" applyFill="1" applyBorder="1" applyAlignment="1">
      <alignment horizontal="center" vertical="center"/>
    </xf>
    <xf numFmtId="0" fontId="35" fillId="59" borderId="52" xfId="0" applyFont="1" applyFill="1" applyBorder="1" applyAlignment="1">
      <alignment horizontal="center" vertical="center" wrapText="1"/>
    </xf>
    <xf numFmtId="0" fontId="35" fillId="59" borderId="54" xfId="0" applyFont="1" applyFill="1" applyBorder="1" applyAlignment="1">
      <alignment horizontal="center" vertical="center" wrapText="1"/>
    </xf>
    <xf numFmtId="0" fontId="35" fillId="59" borderId="53" xfId="0" applyFont="1" applyFill="1" applyBorder="1" applyAlignment="1">
      <alignment horizontal="center" vertical="center" wrapText="1"/>
    </xf>
    <xf numFmtId="0" fontId="6" fillId="0" borderId="99" xfId="0" applyFont="1" applyFill="1" applyBorder="1" applyAlignment="1">
      <alignment horizontal="center" vertical="center"/>
    </xf>
    <xf numFmtId="165" fontId="6" fillId="25" borderId="98" xfId="0" applyNumberFormat="1" applyFont="1" applyFill="1" applyBorder="1" applyAlignment="1">
      <alignment horizontal="center" vertical="center"/>
    </xf>
    <xf numFmtId="166" fontId="6" fillId="25" borderId="62" xfId="0" applyNumberFormat="1" applyFont="1" applyFill="1" applyBorder="1" applyAlignment="1">
      <alignment horizontal="center" vertical="center"/>
    </xf>
    <xf numFmtId="166" fontId="6" fillId="25" borderId="59" xfId="0" applyNumberFormat="1" applyFont="1" applyFill="1" applyBorder="1" applyAlignment="1">
      <alignment horizontal="center" vertical="center"/>
    </xf>
    <xf numFmtId="165" fontId="6" fillId="25" borderId="60" xfId="0" applyNumberFormat="1" applyFont="1" applyFill="1" applyBorder="1" applyAlignment="1">
      <alignment horizontal="center" vertical="center"/>
    </xf>
    <xf numFmtId="0" fontId="6" fillId="0" borderId="61" xfId="0" applyFont="1" applyFill="1" applyBorder="1" applyAlignment="1">
      <alignment horizontal="center" vertical="center"/>
    </xf>
    <xf numFmtId="1" fontId="6" fillId="25" borderId="62" xfId="0" applyNumberFormat="1" applyFont="1" applyFill="1" applyBorder="1" applyAlignment="1">
      <alignment vertical="center"/>
    </xf>
    <xf numFmtId="1" fontId="6" fillId="0" borderId="61" xfId="0" applyNumberFormat="1" applyFont="1" applyFill="1" applyBorder="1" applyAlignment="1">
      <alignment horizontal="center" vertical="center"/>
    </xf>
    <xf numFmtId="0" fontId="7" fillId="0" borderId="61" xfId="0" applyFont="1" applyFill="1" applyBorder="1" applyAlignment="1">
      <alignment vertical="center"/>
    </xf>
    <xf numFmtId="1" fontId="7" fillId="0" borderId="62" xfId="0" applyNumberFormat="1" applyFont="1" applyFill="1" applyBorder="1" applyAlignment="1">
      <alignment vertical="center"/>
    </xf>
    <xf numFmtId="166" fontId="7" fillId="25" borderId="62" xfId="0" applyNumberFormat="1" applyFont="1" applyFill="1" applyBorder="1" applyAlignment="1">
      <alignment horizontal="center" vertical="center"/>
    </xf>
    <xf numFmtId="165" fontId="7" fillId="0" borderId="100" xfId="0" applyNumberFormat="1" applyFont="1" applyFill="1" applyBorder="1" applyAlignment="1">
      <alignment horizontal="center" vertical="center"/>
    </xf>
    <xf numFmtId="165" fontId="7" fillId="25" borderId="101" xfId="0" applyNumberFormat="1" applyFont="1" applyFill="1" applyBorder="1" applyAlignment="1">
      <alignment horizontal="center" vertical="center"/>
    </xf>
    <xf numFmtId="3" fontId="35" fillId="59" borderId="103" xfId="0" applyNumberFormat="1" applyFont="1" applyFill="1" applyBorder="1" applyAlignment="1">
      <alignment horizontal="left" vertical="center" wrapText="1"/>
    </xf>
    <xf numFmtId="3" fontId="35" fillId="59" borderId="104" xfId="0" applyNumberFormat="1" applyFont="1" applyFill="1" applyBorder="1" applyAlignment="1">
      <alignment horizontal="left" vertical="center" wrapText="1"/>
    </xf>
    <xf numFmtId="1" fontId="6" fillId="57" borderId="62" xfId="0" applyNumberFormat="1" applyFont="1" applyFill="1" applyBorder="1" applyAlignment="1" applyProtection="1">
      <alignment horizontal="center" vertical="center"/>
      <protection locked="0"/>
    </xf>
    <xf numFmtId="1" fontId="6" fillId="57" borderId="63" xfId="0" applyNumberFormat="1" applyFont="1" applyFill="1" applyBorder="1" applyAlignment="1" applyProtection="1">
      <alignment horizontal="center" vertical="center"/>
      <protection locked="0"/>
    </xf>
    <xf numFmtId="1" fontId="6" fillId="25" borderId="58" xfId="0" applyNumberFormat="1" applyFont="1" applyFill="1" applyBorder="1" applyAlignment="1">
      <alignment horizontal="left" vertical="center" indent="1"/>
    </xf>
    <xf numFmtId="1" fontId="6" fillId="25" borderId="59" xfId="0" applyNumberFormat="1" applyFont="1" applyFill="1" applyBorder="1" applyAlignment="1">
      <alignment horizontal="left" vertical="center" indent="1"/>
    </xf>
    <xf numFmtId="1" fontId="6" fillId="25" borderId="62" xfId="0" applyNumberFormat="1" applyFont="1" applyFill="1" applyBorder="1" applyAlignment="1">
      <alignment horizontal="center" vertical="center"/>
    </xf>
    <xf numFmtId="1" fontId="6" fillId="25" borderId="63" xfId="0" applyNumberFormat="1" applyFont="1" applyFill="1" applyBorder="1" applyAlignment="1" applyProtection="1">
      <alignment horizontal="center" vertical="center"/>
    </xf>
    <xf numFmtId="1" fontId="6" fillId="57" borderId="105" xfId="0" applyNumberFormat="1" applyFont="1" applyFill="1" applyBorder="1" applyAlignment="1">
      <alignment horizontal="center" vertical="center"/>
    </xf>
    <xf numFmtId="1" fontId="6" fillId="57" borderId="105" xfId="0" applyNumberFormat="1" applyFont="1" applyFill="1" applyBorder="1" applyAlignment="1" applyProtection="1">
      <alignment horizontal="center" vertical="center"/>
      <protection locked="0"/>
    </xf>
    <xf numFmtId="1" fontId="6" fillId="25" borderId="65" xfId="0" applyNumberFormat="1" applyFont="1" applyFill="1" applyBorder="1" applyAlignment="1">
      <alignment horizontal="center" vertical="center"/>
    </xf>
    <xf numFmtId="1" fontId="6" fillId="25" borderId="66" xfId="0" applyNumberFormat="1" applyFont="1" applyFill="1" applyBorder="1" applyAlignment="1">
      <alignment horizontal="center" vertical="center"/>
    </xf>
    <xf numFmtId="1" fontId="6" fillId="25" borderId="63" xfId="0" applyNumberFormat="1" applyFont="1" applyFill="1" applyBorder="1" applyAlignment="1">
      <alignment horizontal="center" vertical="center"/>
    </xf>
    <xf numFmtId="169" fontId="78" fillId="59" borderId="76" xfId="0" applyNumberFormat="1" applyFont="1" applyFill="1" applyBorder="1" applyAlignment="1">
      <alignment horizontal="center" vertical="center" wrapText="1"/>
    </xf>
    <xf numFmtId="169" fontId="78" fillId="59" borderId="77" xfId="0" applyNumberFormat="1" applyFont="1" applyFill="1" applyBorder="1" applyAlignment="1">
      <alignment horizontal="center" vertical="center" wrapText="1"/>
    </xf>
    <xf numFmtId="169" fontId="0" fillId="0" borderId="41" xfId="0" applyNumberFormat="1" applyBorder="1" applyAlignment="1" applyProtection="1">
      <protection locked="0"/>
    </xf>
    <xf numFmtId="0" fontId="9" fillId="0" borderId="0" xfId="0" applyFont="1" applyBorder="1" applyAlignment="1" applyProtection="1">
      <alignment vertical="top"/>
    </xf>
    <xf numFmtId="0" fontId="5" fillId="59" borderId="83" xfId="0" applyFont="1" applyFill="1" applyBorder="1" applyAlignment="1">
      <alignment horizontal="center" vertical="center" wrapText="1"/>
    </xf>
    <xf numFmtId="3" fontId="6" fillId="25" borderId="106" xfId="0" applyNumberFormat="1" applyFont="1" applyFill="1" applyBorder="1" applyAlignment="1">
      <alignment horizontal="center" vertical="center"/>
    </xf>
    <xf numFmtId="3" fontId="6" fillId="25" borderId="107" xfId="0" applyNumberFormat="1" applyFont="1" applyFill="1" applyBorder="1" applyAlignment="1">
      <alignment horizontal="center" vertical="center"/>
    </xf>
    <xf numFmtId="0" fontId="67" fillId="0" borderId="0" xfId="0" applyFont="1"/>
    <xf numFmtId="0" fontId="79" fillId="0" borderId="0" xfId="75" applyFont="1" applyFill="1" applyBorder="1" applyProtection="1"/>
    <xf numFmtId="0" fontId="69" fillId="0" borderId="0" xfId="0" applyNumberFormat="1" applyFont="1"/>
    <xf numFmtId="0" fontId="80" fillId="0" borderId="0" xfId="0" applyFont="1"/>
    <xf numFmtId="0" fontId="81" fillId="0" borderId="0" xfId="0" applyFont="1" applyAlignment="1">
      <alignment vertical="top" wrapText="1"/>
    </xf>
    <xf numFmtId="1" fontId="82" fillId="0" borderId="0" xfId="0" applyNumberFormat="1" applyFont="1"/>
    <xf numFmtId="0" fontId="82" fillId="0" borderId="0" xfId="0" applyFont="1" applyProtection="1">
      <protection hidden="1"/>
    </xf>
    <xf numFmtId="0" fontId="82" fillId="0" borderId="0" xfId="0" applyFont="1"/>
    <xf numFmtId="0" fontId="9" fillId="0" borderId="0" xfId="0" applyFont="1" applyAlignment="1">
      <alignment vertical="top" wrapText="1"/>
    </xf>
    <xf numFmtId="171" fontId="79" fillId="0" borderId="0" xfId="75" applyNumberFormat="1" applyFont="1" applyFill="1" applyBorder="1" applyProtection="1">
      <protection hidden="1"/>
    </xf>
    <xf numFmtId="167" fontId="79" fillId="0" borderId="0" xfId="75" applyNumberFormat="1" applyFont="1" applyFill="1" applyBorder="1" applyProtection="1">
      <protection hidden="1"/>
    </xf>
    <xf numFmtId="3" fontId="70" fillId="0" borderId="0" xfId="0" applyNumberFormat="1" applyFont="1"/>
    <xf numFmtId="0" fontId="83" fillId="0" borderId="0" xfId="0" applyFont="1"/>
    <xf numFmtId="0" fontId="13" fillId="0" borderId="0" xfId="0" applyFont="1" applyAlignment="1">
      <alignment vertical="top" wrapText="1"/>
    </xf>
    <xf numFmtId="0" fontId="0" fillId="0" borderId="40" xfId="0" applyBorder="1" applyAlignment="1" applyProtection="1">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49" fontId="34" fillId="0" borderId="10" xfId="0" applyNumberFormat="1" applyFont="1" applyBorder="1" applyAlignment="1" applyProtection="1">
      <alignment vertical="top" wrapText="1"/>
      <protection hidden="1"/>
    </xf>
    <xf numFmtId="49" fontId="0" fillId="0" borderId="10"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11"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11" xfId="0" applyNumberFormat="1" applyBorder="1" applyAlignment="1" applyProtection="1">
      <alignment vertical="top" wrapText="1"/>
      <protection hidden="1"/>
    </xf>
    <xf numFmtId="49" fontId="64" fillId="0" borderId="10" xfId="0" applyNumberFormat="1" applyFont="1" applyBorder="1" applyAlignment="1" applyProtection="1">
      <alignment vertical="top"/>
      <protection hidden="1"/>
    </xf>
    <xf numFmtId="49" fontId="38" fillId="0" borderId="10" xfId="67" applyNumberFormat="1" applyFont="1" applyBorder="1" applyAlignment="1" applyProtection="1">
      <alignment vertical="top"/>
      <protection locked="0" hidden="1"/>
    </xf>
    <xf numFmtId="49" fontId="31" fillId="0" borderId="10" xfId="67" applyNumberFormat="1" applyFont="1" applyBorder="1" applyAlignment="1" applyProtection="1">
      <alignment vertical="top"/>
      <protection locked="0" hidden="1"/>
    </xf>
    <xf numFmtId="49" fontId="31" fillId="0" borderId="12" xfId="67" applyNumberFormat="1" applyFont="1" applyBorder="1" applyAlignment="1" applyProtection="1">
      <alignment vertical="top"/>
      <protection locked="0" hidden="1"/>
    </xf>
    <xf numFmtId="49" fontId="34" fillId="0" borderId="10" xfId="0" applyNumberFormat="1" applyFont="1" applyBorder="1" applyAlignment="1">
      <alignment vertical="top" wrapText="1"/>
    </xf>
    <xf numFmtId="49" fontId="34" fillId="0" borderId="0" xfId="0" applyNumberFormat="1" applyFont="1" applyBorder="1" applyAlignment="1">
      <alignment vertical="top" wrapText="1"/>
    </xf>
    <xf numFmtId="49" fontId="34" fillId="0" borderId="11" xfId="0" applyNumberFormat="1" applyFont="1" applyBorder="1" applyAlignment="1">
      <alignment vertical="top" wrapText="1"/>
    </xf>
    <xf numFmtId="49" fontId="34" fillId="0" borderId="0" xfId="0" applyNumberFormat="1" applyFont="1" applyBorder="1" applyAlignment="1" applyProtection="1">
      <alignment vertical="top" wrapText="1"/>
      <protection hidden="1"/>
    </xf>
    <xf numFmtId="49" fontId="34" fillId="0" borderId="11" xfId="0" applyNumberFormat="1" applyFont="1" applyBorder="1" applyAlignment="1" applyProtection="1">
      <alignment vertical="top" wrapText="1"/>
      <protection hidden="1"/>
    </xf>
    <xf numFmtId="49" fontId="34" fillId="0" borderId="10" xfId="0" applyNumberFormat="1" applyFont="1" applyBorder="1" applyAlignment="1" applyProtection="1">
      <alignment vertical="top" wrapText="1"/>
      <protection hidden="1"/>
    </xf>
    <xf numFmtId="49" fontId="8" fillId="0" borderId="10" xfId="0" applyNumberFormat="1" applyFont="1" applyBorder="1" applyAlignment="1" applyProtection="1">
      <alignment vertical="top" wrapText="1"/>
      <protection hidden="1"/>
    </xf>
    <xf numFmtId="49" fontId="8" fillId="0" borderId="13" xfId="0" applyNumberFormat="1" applyFont="1" applyBorder="1" applyAlignment="1" applyProtection="1">
      <alignment vertical="top" wrapText="1"/>
      <protection hidden="1"/>
    </xf>
    <xf numFmtId="49" fontId="8" fillId="0" borderId="14" xfId="0" applyNumberFormat="1" applyFont="1" applyBorder="1" applyAlignment="1" applyProtection="1">
      <alignment vertical="top" wrapText="1"/>
      <protection hidden="1"/>
    </xf>
    <xf numFmtId="0" fontId="35" fillId="59" borderId="10" xfId="0" applyFont="1" applyFill="1" applyBorder="1" applyAlignment="1" applyProtection="1">
      <alignment horizontal="left" vertical="center" indent="1"/>
      <protection hidden="1"/>
    </xf>
    <xf numFmtId="0" fontId="35" fillId="59" borderId="0" xfId="0" applyFont="1" applyFill="1" applyBorder="1" applyAlignment="1" applyProtection="1">
      <alignment horizontal="left" vertical="center" indent="1"/>
      <protection hidden="1"/>
    </xf>
    <xf numFmtId="0" fontId="35" fillId="59" borderId="11" xfId="0" applyFont="1" applyFill="1" applyBorder="1" applyAlignment="1" applyProtection="1">
      <alignment horizontal="left" vertical="center" indent="1"/>
      <protection hidden="1"/>
    </xf>
    <xf numFmtId="0" fontId="76" fillId="0" borderId="15" xfId="0" applyFont="1" applyBorder="1" applyAlignment="1" applyProtection="1">
      <alignment vertical="center" wrapText="1"/>
      <protection hidden="1"/>
    </xf>
    <xf numFmtId="0" fontId="74" fillId="0" borderId="16" xfId="0" applyFont="1" applyBorder="1" applyAlignment="1" applyProtection="1">
      <alignment vertical="center"/>
      <protection hidden="1"/>
    </xf>
    <xf numFmtId="0" fontId="74" fillId="0" borderId="17" xfId="0" applyFont="1" applyBorder="1" applyAlignment="1" applyProtection="1">
      <alignment vertical="center"/>
      <protection hidden="1"/>
    </xf>
    <xf numFmtId="49" fontId="8" fillId="0" borderId="0" xfId="0" applyNumberFormat="1" applyFont="1" applyBorder="1" applyAlignment="1" applyProtection="1">
      <alignment vertical="top" wrapText="1"/>
      <protection hidden="1"/>
    </xf>
    <xf numFmtId="49" fontId="8" fillId="0" borderId="11" xfId="0" applyNumberFormat="1" applyFont="1" applyBorder="1" applyAlignment="1" applyProtection="1">
      <alignment vertical="top" wrapText="1"/>
      <protection hidden="1"/>
    </xf>
    <xf numFmtId="49" fontId="8" fillId="0" borderId="0" xfId="0" applyNumberFormat="1" applyFont="1" applyBorder="1" applyAlignment="1" applyProtection="1">
      <alignment vertical="top"/>
      <protection hidden="1"/>
    </xf>
    <xf numFmtId="0" fontId="0" fillId="0" borderId="0" xfId="0" applyProtection="1">
      <protection hidden="1"/>
    </xf>
    <xf numFmtId="0" fontId="0" fillId="0" borderId="11" xfId="0" applyBorder="1" applyProtection="1">
      <protection hidden="1"/>
    </xf>
    <xf numFmtId="49" fontId="64" fillId="0" borderId="10" xfId="0" applyNumberFormat="1" applyFont="1" applyBorder="1" applyAlignment="1" applyProtection="1">
      <alignment horizontal="left" vertical="top"/>
      <protection hidden="1"/>
    </xf>
    <xf numFmtId="49" fontId="64" fillId="0" borderId="0" xfId="0" applyNumberFormat="1" applyFont="1" applyBorder="1" applyAlignment="1" applyProtection="1">
      <alignment horizontal="left" vertical="top"/>
      <protection hidden="1"/>
    </xf>
    <xf numFmtId="49" fontId="64" fillId="0" borderId="11" xfId="0" applyNumberFormat="1" applyFont="1" applyBorder="1" applyAlignment="1" applyProtection="1">
      <alignment horizontal="left" vertical="top"/>
      <protection hidden="1"/>
    </xf>
    <xf numFmtId="0" fontId="74" fillId="0" borderId="15" xfId="0" applyFont="1" applyBorder="1" applyAlignment="1">
      <alignment vertical="center"/>
    </xf>
    <xf numFmtId="0" fontId="74" fillId="0" borderId="16" xfId="0" applyFont="1" applyBorder="1" applyAlignment="1">
      <alignment vertical="center"/>
    </xf>
    <xf numFmtId="0" fontId="74" fillId="0" borderId="17" xfId="0" applyFont="1" applyBorder="1" applyAlignment="1">
      <alignment vertical="center"/>
    </xf>
    <xf numFmtId="0" fontId="43" fillId="0" borderId="0" xfId="0" applyFont="1" applyBorder="1" applyAlignment="1">
      <alignment vertical="top" wrapText="1"/>
    </xf>
    <xf numFmtId="0" fontId="43" fillId="0" borderId="0" xfId="0" applyFont="1" applyAlignment="1">
      <alignment vertical="top" wrapText="1"/>
    </xf>
    <xf numFmtId="3" fontId="46" fillId="59" borderId="44" xfId="0" applyNumberFormat="1" applyFont="1" applyFill="1" applyBorder="1" applyAlignment="1">
      <alignment horizontal="center" vertical="top"/>
    </xf>
    <xf numFmtId="3" fontId="46" fillId="59" borderId="45" xfId="0" applyNumberFormat="1" applyFont="1" applyFill="1" applyBorder="1" applyAlignment="1">
      <alignment horizontal="center" vertical="top"/>
    </xf>
    <xf numFmtId="0" fontId="46" fillId="59" borderId="42" xfId="0" applyFont="1" applyFill="1" applyBorder="1" applyAlignment="1">
      <alignment horizontal="center" vertical="center" wrapText="1"/>
    </xf>
    <xf numFmtId="0" fontId="46" fillId="59" borderId="43" xfId="0" applyFont="1" applyFill="1" applyBorder="1" applyAlignment="1">
      <alignment horizontal="center" vertical="center" wrapText="1"/>
    </xf>
    <xf numFmtId="0" fontId="46" fillId="59" borderId="44" xfId="0" applyFont="1" applyFill="1" applyBorder="1" applyAlignment="1">
      <alignment horizontal="center" vertical="center" wrapText="1"/>
    </xf>
    <xf numFmtId="0" fontId="46" fillId="59" borderId="45" xfId="0" applyFont="1" applyFill="1" applyBorder="1" applyAlignment="1">
      <alignment horizontal="center" vertical="center" wrapText="1"/>
    </xf>
    <xf numFmtId="0" fontId="35" fillId="59" borderId="10" xfId="0" applyFont="1" applyFill="1" applyBorder="1" applyAlignment="1">
      <alignment horizontal="left" vertical="center" indent="1"/>
    </xf>
    <xf numFmtId="0" fontId="35" fillId="59" borderId="0" xfId="0" applyFont="1" applyFill="1" applyBorder="1" applyAlignment="1">
      <alignment horizontal="left" vertical="center" indent="1"/>
    </xf>
    <xf numFmtId="0" fontId="35" fillId="59" borderId="42" xfId="0" applyFont="1" applyFill="1" applyBorder="1"/>
    <xf numFmtId="0" fontId="35" fillId="59" borderId="43" xfId="0" applyFont="1" applyFill="1" applyBorder="1"/>
    <xf numFmtId="0" fontId="8" fillId="0" borderId="18"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8" fillId="0" borderId="20" xfId="0" applyFont="1" applyBorder="1" applyAlignment="1" applyProtection="1">
      <alignment vertical="top" wrapText="1"/>
      <protection locked="0"/>
    </xf>
    <xf numFmtId="0" fontId="34" fillId="0" borderId="19" xfId="0" applyFont="1" applyBorder="1" applyAlignment="1" applyProtection="1">
      <alignment vertical="top" wrapText="1"/>
      <protection locked="0"/>
    </xf>
    <xf numFmtId="0" fontId="34" fillId="0" borderId="20" xfId="0" applyFont="1" applyBorder="1" applyAlignment="1" applyProtection="1">
      <alignment vertical="top" wrapText="1"/>
      <protection locked="0"/>
    </xf>
    <xf numFmtId="49" fontId="35" fillId="59" borderId="53" xfId="0" applyNumberFormat="1" applyFont="1" applyFill="1" applyBorder="1" applyAlignment="1">
      <alignment horizontal="center" vertical="center" wrapText="1"/>
    </xf>
    <xf numFmtId="49" fontId="35" fillId="59" borderId="56" xfId="0" applyNumberFormat="1" applyFont="1" applyFill="1" applyBorder="1" applyAlignment="1">
      <alignment horizontal="center" vertical="center" wrapText="1"/>
    </xf>
    <xf numFmtId="0" fontId="69" fillId="0" borderId="16" xfId="0" applyFont="1" applyBorder="1" applyAlignment="1" applyProtection="1">
      <alignment vertical="top" wrapText="1"/>
      <protection locked="0"/>
    </xf>
    <xf numFmtId="49" fontId="35" fillId="59" borderId="52" xfId="0" applyNumberFormat="1" applyFont="1" applyFill="1" applyBorder="1" applyAlignment="1">
      <alignment horizontal="center" vertical="center" wrapText="1"/>
    </xf>
    <xf numFmtId="49" fontId="35" fillId="59" borderId="55" xfId="0" applyNumberFormat="1" applyFont="1" applyFill="1" applyBorder="1" applyAlignment="1">
      <alignment horizontal="center" vertical="center" wrapText="1"/>
    </xf>
    <xf numFmtId="171" fontId="79" fillId="0" borderId="0" xfId="75" quotePrefix="1" applyNumberFormat="1" applyFont="1" applyFill="1" applyBorder="1" applyAlignment="1" applyProtection="1">
      <alignment horizontal="right" vertical="center"/>
      <protection hidden="1"/>
    </xf>
    <xf numFmtId="171" fontId="79" fillId="0" borderId="0" xfId="75" applyNumberFormat="1" applyFont="1" applyFill="1" applyBorder="1" applyAlignment="1" applyProtection="1">
      <alignment horizontal="right" vertical="center"/>
      <protection hidden="1"/>
    </xf>
    <xf numFmtId="49" fontId="35" fillId="59" borderId="54" xfId="0" applyNumberFormat="1" applyFont="1" applyFill="1" applyBorder="1" applyAlignment="1">
      <alignment horizontal="center" vertical="center" wrapText="1"/>
    </xf>
    <xf numFmtId="49" fontId="35" fillId="59" borderId="57" xfId="0" applyNumberFormat="1" applyFont="1" applyFill="1" applyBorder="1" applyAlignment="1">
      <alignment horizontal="center" vertical="center" wrapText="1"/>
    </xf>
    <xf numFmtId="0" fontId="9" fillId="0" borderId="42" xfId="0" applyFont="1" applyBorder="1" applyAlignment="1">
      <alignment horizontal="center" vertical="top" wrapText="1"/>
    </xf>
    <xf numFmtId="0" fontId="9" fillId="0" borderId="50" xfId="0" applyFont="1" applyBorder="1" applyAlignment="1">
      <alignment horizontal="center" vertical="top" wrapTex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9" fillId="0" borderId="0" xfId="0" applyFont="1" applyBorder="1" applyAlignment="1">
      <alignment horizontal="center" vertical="top" wrapText="1"/>
    </xf>
    <xf numFmtId="0" fontId="9" fillId="0" borderId="45" xfId="0" applyFont="1" applyBorder="1" applyAlignment="1">
      <alignment horizontal="center" vertical="top" wrapText="1"/>
    </xf>
    <xf numFmtId="0" fontId="9" fillId="0" borderId="46" xfId="0" applyFont="1" applyBorder="1" applyAlignment="1">
      <alignment horizontal="center" vertical="top" wrapText="1"/>
    </xf>
    <xf numFmtId="0" fontId="9" fillId="0" borderId="51" xfId="0" applyFont="1" applyBorder="1" applyAlignment="1">
      <alignment horizontal="center" vertical="top" wrapText="1"/>
    </xf>
    <xf numFmtId="0" fontId="9" fillId="0" borderId="47" xfId="0" applyFont="1" applyBorder="1" applyAlignment="1">
      <alignment horizontal="center" vertical="top" wrapText="1"/>
    </xf>
    <xf numFmtId="0" fontId="8" fillId="0" borderId="42" xfId="0" applyFont="1" applyBorder="1" applyAlignment="1">
      <alignment horizontal="center" vertical="top" wrapText="1"/>
    </xf>
    <xf numFmtId="0" fontId="8" fillId="0" borderId="50" xfId="0" applyFont="1" applyBorder="1" applyAlignment="1">
      <alignment horizontal="center" vertical="top" wrapText="1"/>
    </xf>
    <xf numFmtId="0" fontId="8" fillId="0" borderId="43" xfId="0" applyFont="1" applyBorder="1" applyAlignment="1">
      <alignment horizontal="center" vertical="top" wrapText="1"/>
    </xf>
    <xf numFmtId="0" fontId="8" fillId="0" borderId="44" xfId="0" applyFont="1" applyBorder="1" applyAlignment="1">
      <alignment horizontal="center" vertical="top" wrapText="1"/>
    </xf>
    <xf numFmtId="0" fontId="8" fillId="0" borderId="0" xfId="0" applyFont="1" applyBorder="1" applyAlignment="1">
      <alignment horizontal="center" vertical="top" wrapText="1"/>
    </xf>
    <xf numFmtId="0" fontId="8" fillId="0" borderId="45" xfId="0" applyFont="1" applyBorder="1" applyAlignment="1">
      <alignment horizontal="center" vertical="top" wrapText="1"/>
    </xf>
    <xf numFmtId="0" fontId="8" fillId="0" borderId="46" xfId="0" applyFont="1" applyBorder="1" applyAlignment="1">
      <alignment horizontal="center" vertical="top" wrapText="1"/>
    </xf>
    <xf numFmtId="0" fontId="8" fillId="0" borderId="51" xfId="0" applyFont="1" applyBorder="1" applyAlignment="1">
      <alignment horizontal="center" vertical="top" wrapText="1"/>
    </xf>
    <xf numFmtId="0" fontId="8" fillId="0" borderId="47" xfId="0" applyFont="1" applyBorder="1" applyAlignment="1">
      <alignment horizontal="center" vertical="top" wrapText="1"/>
    </xf>
    <xf numFmtId="0" fontId="74" fillId="0" borderId="32" xfId="0" applyFont="1" applyBorder="1" applyAlignment="1">
      <alignment vertical="center"/>
    </xf>
    <xf numFmtId="0" fontId="74" fillId="0" borderId="33" xfId="0" applyFont="1" applyBorder="1" applyAlignment="1">
      <alignment vertical="center"/>
    </xf>
    <xf numFmtId="0" fontId="74" fillId="0" borderId="34" xfId="0" applyFont="1" applyBorder="1" applyAlignment="1">
      <alignment vertical="center"/>
    </xf>
    <xf numFmtId="0" fontId="35" fillId="59" borderId="38" xfId="0" applyFont="1" applyFill="1" applyBorder="1" applyAlignment="1">
      <alignment horizontal="left" vertical="center" indent="1"/>
    </xf>
    <xf numFmtId="0" fontId="35" fillId="59" borderId="39" xfId="0" applyFont="1" applyFill="1" applyBorder="1" applyAlignment="1">
      <alignment horizontal="left" vertical="center" indent="1"/>
    </xf>
    <xf numFmtId="0" fontId="84" fillId="0" borderId="0" xfId="67" applyFont="1" applyAlignment="1" applyProtection="1">
      <alignment horizontal="center"/>
      <protection locked="0"/>
    </xf>
    <xf numFmtId="0" fontId="4" fillId="0" borderId="78" xfId="75" applyFont="1" applyFill="1" applyBorder="1" applyProtection="1">
      <protection locked="0"/>
    </xf>
    <xf numFmtId="0" fontId="4" fillId="0" borderId="62" xfId="75" applyFont="1" applyFill="1" applyBorder="1" applyProtection="1">
      <protection locked="0"/>
    </xf>
    <xf numFmtId="0" fontId="4" fillId="0" borderId="79" xfId="75" applyFont="1" applyFill="1" applyBorder="1" applyProtection="1">
      <protection locked="0"/>
    </xf>
    <xf numFmtId="0" fontId="4" fillId="0" borderId="65" xfId="75" applyFont="1" applyFill="1" applyBorder="1" applyProtection="1">
      <protection locked="0"/>
    </xf>
    <xf numFmtId="0" fontId="8" fillId="0" borderId="0" xfId="0" applyFont="1" applyAlignment="1" applyProtection="1">
      <alignment vertical="top" wrapText="1"/>
    </xf>
    <xf numFmtId="0" fontId="34" fillId="0" borderId="0" xfId="0" applyFont="1" applyAlignment="1" applyProtection="1">
      <alignment vertical="top" wrapText="1"/>
    </xf>
    <xf numFmtId="49" fontId="35" fillId="59" borderId="70" xfId="0" applyNumberFormat="1" applyFont="1" applyFill="1" applyBorder="1" applyAlignment="1">
      <alignment horizontal="center" vertical="center" wrapText="1"/>
    </xf>
    <xf numFmtId="0" fontId="4" fillId="0" borderId="75" xfId="75" applyFont="1" applyFill="1" applyBorder="1" applyProtection="1">
      <protection locked="0"/>
    </xf>
    <xf numFmtId="0" fontId="4" fillId="0" borderId="76" xfId="75" applyFont="1" applyFill="1" applyBorder="1" applyProtection="1">
      <protection locked="0"/>
    </xf>
    <xf numFmtId="0" fontId="46" fillId="59" borderId="72" xfId="0" applyFont="1" applyFill="1" applyBorder="1" applyAlignment="1">
      <alignment horizontal="center" vertical="center" wrapText="1"/>
    </xf>
    <xf numFmtId="0" fontId="46" fillId="59" borderId="38" xfId="0" applyFont="1" applyFill="1" applyBorder="1" applyAlignment="1">
      <alignment horizontal="center" vertical="center" wrapText="1"/>
    </xf>
    <xf numFmtId="0" fontId="74" fillId="0" borderId="38" xfId="0" applyFont="1" applyBorder="1" applyAlignment="1">
      <alignment vertical="center"/>
    </xf>
    <xf numFmtId="0" fontId="74" fillId="0" borderId="0" xfId="0" applyFont="1" applyBorder="1" applyAlignment="1">
      <alignment vertical="center"/>
    </xf>
    <xf numFmtId="0" fontId="74" fillId="0" borderId="39" xfId="0" applyFont="1" applyBorder="1" applyAlignment="1">
      <alignment vertical="center"/>
    </xf>
    <xf numFmtId="0" fontId="35" fillId="59" borderId="35" xfId="0" applyFont="1" applyFill="1" applyBorder="1" applyAlignment="1">
      <alignment horizontal="left" vertical="center" indent="1"/>
    </xf>
    <xf numFmtId="0" fontId="35" fillId="59" borderId="36" xfId="0" applyFont="1" applyFill="1" applyBorder="1" applyAlignment="1">
      <alignment horizontal="left" vertical="center" indent="1"/>
    </xf>
    <xf numFmtId="0" fontId="35" fillId="59" borderId="37" xfId="0" applyFont="1" applyFill="1" applyBorder="1" applyAlignment="1">
      <alignment horizontal="left" vertical="center" indent="1"/>
    </xf>
    <xf numFmtId="0" fontId="8" fillId="0" borderId="0" xfId="0" applyFont="1" applyAlignment="1">
      <alignment vertical="top" wrapText="1"/>
    </xf>
    <xf numFmtId="0" fontId="34" fillId="0" borderId="0" xfId="0" applyFont="1" applyAlignment="1">
      <alignment vertical="top" wrapText="1"/>
    </xf>
    <xf numFmtId="0" fontId="77" fillId="0" borderId="0" xfId="0" applyFont="1" applyAlignment="1">
      <alignment horizontal="center" vertical="center"/>
    </xf>
    <xf numFmtId="0" fontId="49" fillId="0" borderId="0" xfId="0" applyFont="1" applyAlignment="1">
      <alignment horizontal="center" vertical="center" wrapText="1"/>
    </xf>
    <xf numFmtId="1" fontId="46" fillId="59" borderId="44" xfId="0" applyNumberFormat="1" applyFont="1" applyFill="1" applyBorder="1" applyAlignment="1">
      <alignment horizontal="center" vertical="top"/>
    </xf>
    <xf numFmtId="1" fontId="46" fillId="59" borderId="45" xfId="0" applyNumberFormat="1" applyFont="1" applyFill="1" applyBorder="1" applyAlignment="1">
      <alignment horizontal="center" vertical="top"/>
    </xf>
    <xf numFmtId="1" fontId="46" fillId="59" borderId="38" xfId="0" applyNumberFormat="1" applyFont="1" applyFill="1" applyBorder="1" applyAlignment="1">
      <alignment horizontal="center" vertical="top"/>
    </xf>
    <xf numFmtId="49" fontId="35" fillId="59" borderId="74" xfId="0" applyNumberFormat="1" applyFont="1" applyFill="1" applyBorder="1" applyAlignment="1">
      <alignment horizontal="left" vertical="center" wrapText="1"/>
    </xf>
    <xf numFmtId="49" fontId="35" fillId="59" borderId="49" xfId="0" applyNumberFormat="1" applyFont="1" applyFill="1" applyBorder="1" applyAlignment="1">
      <alignment horizontal="left" vertical="center" wrapText="1"/>
    </xf>
    <xf numFmtId="49" fontId="35" fillId="59" borderId="48" xfId="0" applyNumberFormat="1" applyFont="1" applyFill="1" applyBorder="1" applyAlignment="1">
      <alignment horizontal="left" vertical="center" wrapText="1"/>
    </xf>
    <xf numFmtId="49" fontId="35" fillId="59" borderId="80" xfId="0" applyNumberFormat="1" applyFont="1" applyFill="1" applyBorder="1" applyAlignment="1">
      <alignment horizontal="center" vertical="center" wrapText="1"/>
    </xf>
    <xf numFmtId="49" fontId="35" fillId="59" borderId="81" xfId="0" applyNumberFormat="1" applyFont="1" applyFill="1" applyBorder="1" applyAlignment="1">
      <alignment horizontal="center" vertical="center" wrapText="1"/>
    </xf>
    <xf numFmtId="0" fontId="4" fillId="0" borderId="82" xfId="75" applyFont="1" applyFill="1" applyBorder="1" applyProtection="1">
      <protection locked="0"/>
    </xf>
    <xf numFmtId="0" fontId="4" fillId="0" borderId="59" xfId="75" applyFont="1" applyFill="1" applyBorder="1" applyProtection="1">
      <protection locked="0"/>
    </xf>
    <xf numFmtId="9" fontId="46" fillId="59" borderId="44" xfId="0" applyNumberFormat="1" applyFont="1" applyFill="1" applyBorder="1" applyAlignment="1">
      <alignment horizontal="center" vertical="top"/>
    </xf>
    <xf numFmtId="9" fontId="46" fillId="59" borderId="0" xfId="0" applyNumberFormat="1" applyFont="1" applyFill="1" applyBorder="1" applyAlignment="1">
      <alignment horizontal="center" vertical="top"/>
    </xf>
    <xf numFmtId="9" fontId="46" fillId="59" borderId="45" xfId="0" applyNumberFormat="1" applyFont="1" applyFill="1" applyBorder="1" applyAlignment="1">
      <alignment horizontal="center" vertical="top"/>
    </xf>
    <xf numFmtId="1" fontId="46" fillId="59" borderId="0" xfId="0" applyNumberFormat="1" applyFont="1" applyFill="1" applyBorder="1" applyAlignment="1">
      <alignment horizontal="center" vertical="top"/>
    </xf>
    <xf numFmtId="164" fontId="46" fillId="59" borderId="44" xfId="0" applyNumberFormat="1" applyFont="1" applyFill="1" applyBorder="1" applyAlignment="1">
      <alignment horizontal="center" vertical="top"/>
    </xf>
    <xf numFmtId="164" fontId="46" fillId="59" borderId="0" xfId="0" applyNumberFormat="1" applyFont="1" applyFill="1" applyBorder="1" applyAlignment="1">
      <alignment horizontal="center" vertical="top"/>
    </xf>
    <xf numFmtId="164" fontId="46" fillId="59" borderId="45" xfId="0" applyNumberFormat="1" applyFont="1" applyFill="1" applyBorder="1" applyAlignment="1">
      <alignment horizontal="center" vertical="top"/>
    </xf>
    <xf numFmtId="0" fontId="46" fillId="59" borderId="50" xfId="0" applyFont="1" applyFill="1" applyBorder="1" applyAlignment="1">
      <alignment horizontal="center" vertical="center" wrapText="1"/>
    </xf>
    <xf numFmtId="0" fontId="46" fillId="59" borderId="0" xfId="0" applyFont="1" applyFill="1" applyBorder="1" applyAlignment="1">
      <alignment horizontal="center" vertical="center" wrapText="1"/>
    </xf>
    <xf numFmtId="0" fontId="35" fillId="59" borderId="85" xfId="0" applyFont="1" applyFill="1" applyBorder="1" applyAlignment="1">
      <alignment horizontal="left" vertical="center" indent="1"/>
    </xf>
    <xf numFmtId="0" fontId="35" fillId="59" borderId="86" xfId="0" applyFont="1" applyFill="1" applyBorder="1" applyAlignment="1">
      <alignment horizontal="left" vertical="center" indent="1"/>
    </xf>
    <xf numFmtId="0" fontId="35" fillId="59" borderId="87" xfId="0" applyFont="1" applyFill="1" applyBorder="1" applyAlignment="1">
      <alignment horizontal="left" vertical="center" indent="1"/>
    </xf>
    <xf numFmtId="0" fontId="46" fillId="59" borderId="42" xfId="0" applyFont="1" applyFill="1" applyBorder="1" applyAlignment="1" applyProtection="1">
      <alignment horizontal="center" vertical="center" wrapText="1"/>
    </xf>
    <xf numFmtId="0" fontId="46" fillId="59" borderId="50" xfId="0" applyFont="1" applyFill="1" applyBorder="1" applyAlignment="1" applyProtection="1">
      <alignment horizontal="center" vertical="center" wrapText="1"/>
    </xf>
    <xf numFmtId="0" fontId="46" fillId="59" borderId="43" xfId="0" applyFont="1" applyFill="1" applyBorder="1" applyAlignment="1" applyProtection="1">
      <alignment horizontal="center" vertical="center" wrapText="1"/>
    </xf>
    <xf numFmtId="0" fontId="46" fillId="59" borderId="44" xfId="0" applyFont="1" applyFill="1" applyBorder="1" applyAlignment="1" applyProtection="1">
      <alignment horizontal="center" vertical="center" wrapText="1"/>
    </xf>
    <xf numFmtId="0" fontId="46" fillId="59" borderId="0" xfId="0" applyFont="1" applyFill="1" applyBorder="1" applyAlignment="1" applyProtection="1">
      <alignment horizontal="center" vertical="center" wrapText="1"/>
    </xf>
    <xf numFmtId="0" fontId="46" fillId="59" borderId="45" xfId="0" applyFont="1" applyFill="1" applyBorder="1" applyAlignment="1" applyProtection="1">
      <alignment horizontal="center" vertical="center" wrapText="1"/>
    </xf>
    <xf numFmtId="1" fontId="46" fillId="59" borderId="44" xfId="0" applyNumberFormat="1" applyFont="1" applyFill="1" applyBorder="1" applyAlignment="1" applyProtection="1">
      <alignment horizontal="center" vertical="top"/>
    </xf>
    <xf numFmtId="1" fontId="46" fillId="59" borderId="0" xfId="0" applyNumberFormat="1" applyFont="1" applyFill="1" applyBorder="1" applyAlignment="1" applyProtection="1">
      <alignment horizontal="center" vertical="top"/>
    </xf>
    <xf numFmtId="1" fontId="46" fillId="59" borderId="45" xfId="0" applyNumberFormat="1" applyFont="1" applyFill="1" applyBorder="1" applyAlignment="1" applyProtection="1">
      <alignment horizontal="center" vertical="top"/>
    </xf>
    <xf numFmtId="3" fontId="46" fillId="58" borderId="0" xfId="0" applyNumberFormat="1" applyFont="1" applyFill="1" applyBorder="1" applyAlignment="1">
      <alignment horizontal="center" vertical="top"/>
    </xf>
    <xf numFmtId="0" fontId="2" fillId="0" borderId="0" xfId="0" applyFont="1" applyBorder="1" applyAlignment="1">
      <alignment horizontal="left" vertical="top" wrapText="1"/>
    </xf>
    <xf numFmtId="0" fontId="77" fillId="0" borderId="38" xfId="0" applyFont="1" applyBorder="1" applyAlignment="1">
      <alignment horizontal="center" vertical="center"/>
    </xf>
    <xf numFmtId="0" fontId="77" fillId="0" borderId="0" xfId="0" applyFont="1" applyBorder="1" applyAlignment="1">
      <alignment horizontal="center" vertical="center"/>
    </xf>
    <xf numFmtId="0" fontId="77" fillId="0" borderId="39" xfId="0" applyFont="1" applyBorder="1" applyAlignment="1">
      <alignment horizontal="center" vertical="center"/>
    </xf>
    <xf numFmtId="0" fontId="41" fillId="0" borderId="0" xfId="0" applyFont="1" applyAlignment="1" applyProtection="1">
      <alignment vertical="top" wrapText="1" readingOrder="1"/>
      <protection hidden="1"/>
    </xf>
    <xf numFmtId="0" fontId="8" fillId="0" borderId="0" xfId="0" applyFont="1" applyAlignment="1" applyProtection="1">
      <alignment wrapText="1"/>
      <protection hidden="1"/>
    </xf>
    <xf numFmtId="0" fontId="34" fillId="0" borderId="0" xfId="0" applyFont="1" applyAlignment="1" applyProtection="1">
      <alignment wrapText="1"/>
      <protection hidden="1"/>
    </xf>
    <xf numFmtId="0" fontId="6" fillId="0" borderId="62" xfId="0" applyFont="1" applyFill="1" applyBorder="1" applyAlignment="1" applyProtection="1">
      <alignment horizontal="left" vertical="center" indent="2"/>
      <protection hidden="1"/>
    </xf>
    <xf numFmtId="0" fontId="35" fillId="59" borderId="91" xfId="0" applyFont="1" applyFill="1" applyBorder="1" applyAlignment="1" applyProtection="1">
      <alignment horizontal="center" vertical="center" wrapText="1"/>
      <protection hidden="1"/>
    </xf>
    <xf numFmtId="0" fontId="35" fillId="59" borderId="92" xfId="0" applyFont="1" applyFill="1" applyBorder="1" applyAlignment="1" applyProtection="1">
      <alignment horizontal="center" vertical="center" wrapText="1"/>
      <protection hidden="1"/>
    </xf>
    <xf numFmtId="0" fontId="35" fillId="59" borderId="93" xfId="0" applyFont="1" applyFill="1" applyBorder="1" applyAlignment="1" applyProtection="1">
      <alignment horizontal="center" vertical="center" wrapText="1"/>
      <protection hidden="1"/>
    </xf>
    <xf numFmtId="0" fontId="34" fillId="0" borderId="0" xfId="0" applyFont="1" applyAlignment="1" applyProtection="1">
      <alignment horizontal="left" vertical="top" wrapText="1"/>
      <protection hidden="1"/>
    </xf>
    <xf numFmtId="0" fontId="6" fillId="0" borderId="62" xfId="0" applyFont="1" applyFill="1" applyBorder="1" applyAlignment="1" applyProtection="1">
      <alignment horizontal="left" vertical="center" indent="1"/>
      <protection hidden="1"/>
    </xf>
    <xf numFmtId="0" fontId="6" fillId="0" borderId="90" xfId="0" applyFont="1" applyFill="1" applyBorder="1" applyAlignment="1" applyProtection="1">
      <alignment horizontal="left" vertical="center" indent="1"/>
      <protection hidden="1"/>
    </xf>
    <xf numFmtId="0" fontId="35" fillId="59" borderId="89" xfId="0" applyFont="1" applyFill="1" applyBorder="1" applyAlignment="1" applyProtection="1">
      <alignment horizontal="center" vertical="center" wrapText="1"/>
      <protection hidden="1"/>
    </xf>
    <xf numFmtId="0" fontId="35" fillId="59" borderId="85" xfId="0" applyFont="1" applyFill="1" applyBorder="1" applyAlignment="1" applyProtection="1">
      <alignment horizontal="left" vertical="center" indent="1"/>
      <protection hidden="1"/>
    </xf>
    <xf numFmtId="0" fontId="35" fillId="59" borderId="86" xfId="0" applyFont="1" applyFill="1" applyBorder="1" applyAlignment="1" applyProtection="1">
      <alignment horizontal="left" vertical="center" indent="1"/>
      <protection hidden="1"/>
    </xf>
    <xf numFmtId="0" fontId="35" fillId="59" borderId="87" xfId="0" applyFont="1" applyFill="1" applyBorder="1" applyAlignment="1" applyProtection="1">
      <alignment horizontal="left" vertical="center" indent="1"/>
      <protection hidden="1"/>
    </xf>
    <xf numFmtId="0" fontId="74" fillId="0" borderId="32" xfId="0" applyFont="1" applyBorder="1" applyAlignment="1" applyProtection="1">
      <alignment vertical="center"/>
      <protection hidden="1"/>
    </xf>
    <xf numFmtId="0" fontId="74" fillId="0" borderId="33" xfId="0" applyFont="1" applyBorder="1" applyAlignment="1" applyProtection="1">
      <alignment vertical="center"/>
      <protection hidden="1"/>
    </xf>
    <xf numFmtId="0" fontId="74" fillId="0" borderId="34" xfId="0" applyFont="1" applyBorder="1" applyAlignment="1" applyProtection="1">
      <alignment vertical="center"/>
      <protection hidden="1"/>
    </xf>
    <xf numFmtId="0" fontId="35" fillId="59" borderId="97" xfId="0" applyFont="1" applyFill="1" applyBorder="1" applyAlignment="1" applyProtection="1">
      <alignment horizontal="center" vertical="center" wrapText="1"/>
      <protection hidden="1"/>
    </xf>
    <xf numFmtId="0" fontId="6" fillId="0" borderId="98" xfId="0" applyFont="1" applyFill="1" applyBorder="1" applyAlignment="1" applyProtection="1">
      <alignment horizontal="left" vertical="center" indent="1"/>
      <protection hidden="1"/>
    </xf>
    <xf numFmtId="0" fontId="78" fillId="59" borderId="35" xfId="0" applyFont="1" applyFill="1" applyBorder="1" applyAlignment="1" applyProtection="1">
      <alignment horizontal="left" vertical="center" indent="1"/>
      <protection hidden="1"/>
    </xf>
    <xf numFmtId="0" fontId="78" fillId="59" borderId="36" xfId="0" applyFont="1" applyFill="1" applyBorder="1" applyAlignment="1" applyProtection="1">
      <alignment horizontal="left" vertical="center" indent="1"/>
      <protection hidden="1"/>
    </xf>
    <xf numFmtId="0" fontId="78" fillId="59" borderId="37" xfId="0" applyFont="1" applyFill="1" applyBorder="1" applyAlignment="1" applyProtection="1">
      <alignment horizontal="left" vertical="center" indent="1"/>
      <protection hidden="1"/>
    </xf>
    <xf numFmtId="0" fontId="6" fillId="0" borderId="62" xfId="0" applyFont="1" applyFill="1" applyBorder="1" applyAlignment="1" applyProtection="1">
      <alignment horizontal="left" vertical="center" indent="3"/>
      <protection hidden="1"/>
    </xf>
    <xf numFmtId="0" fontId="77" fillId="0" borderId="0" xfId="0" applyFont="1" applyAlignment="1" applyProtection="1">
      <alignment horizontal="center" vertical="center"/>
      <protection hidden="1"/>
    </xf>
    <xf numFmtId="0" fontId="8" fillId="0" borderId="0" xfId="0" applyFont="1" applyAlignment="1" applyProtection="1">
      <alignment vertical="top" wrapText="1"/>
      <protection hidden="1"/>
    </xf>
    <xf numFmtId="0" fontId="6" fillId="0" borderId="94" xfId="0" applyFont="1" applyFill="1" applyBorder="1" applyAlignment="1" applyProtection="1">
      <alignment horizontal="left" vertical="center" indent="1"/>
      <protection hidden="1"/>
    </xf>
    <xf numFmtId="0" fontId="6" fillId="0" borderId="22" xfId="0" applyFont="1" applyFill="1" applyBorder="1" applyAlignment="1" applyProtection="1">
      <alignment horizontal="left" vertical="center" indent="1"/>
      <protection hidden="1"/>
    </xf>
    <xf numFmtId="0" fontId="6" fillId="0" borderId="95" xfId="0" applyFont="1" applyFill="1" applyBorder="1" applyAlignment="1" applyProtection="1">
      <alignment horizontal="left" vertical="center" indent="1"/>
      <protection hidden="1"/>
    </xf>
    <xf numFmtId="0" fontId="6" fillId="0" borderId="88" xfId="0" applyFont="1" applyFill="1" applyBorder="1" applyAlignment="1" applyProtection="1">
      <alignment horizontal="left" vertical="center" indent="1"/>
      <protection hidden="1"/>
    </xf>
    <xf numFmtId="0" fontId="6" fillId="0" borderId="21" xfId="0" applyFont="1" applyFill="1" applyBorder="1" applyAlignment="1" applyProtection="1">
      <alignment horizontal="left" vertical="center" indent="1"/>
      <protection hidden="1"/>
    </xf>
    <xf numFmtId="0" fontId="6" fillId="0" borderId="96" xfId="0" applyFont="1" applyFill="1" applyBorder="1" applyAlignment="1" applyProtection="1">
      <alignment horizontal="left" vertical="center" indent="1"/>
      <protection hidden="1"/>
    </xf>
    <xf numFmtId="1" fontId="6" fillId="0" borderId="0" xfId="0" applyNumberFormat="1" applyFont="1" applyBorder="1" applyProtection="1">
      <protection hidden="1"/>
    </xf>
    <xf numFmtId="0" fontId="34" fillId="0" borderId="0" xfId="0" applyFont="1" applyBorder="1" applyAlignment="1" applyProtection="1">
      <alignment vertical="top" wrapText="1"/>
      <protection hidden="1"/>
    </xf>
    <xf numFmtId="0" fontId="6" fillId="0" borderId="90" xfId="0" applyFont="1" applyFill="1" applyBorder="1" applyAlignment="1" applyProtection="1">
      <alignment horizontal="left" vertical="center" indent="2"/>
      <protection hidden="1"/>
    </xf>
    <xf numFmtId="0" fontId="2" fillId="0" borderId="0" xfId="0" applyNumberFormat="1" applyFont="1" applyAlignment="1">
      <alignment vertical="top" wrapText="1"/>
    </xf>
    <xf numFmtId="0" fontId="35" fillId="59" borderId="76" xfId="0" applyFont="1" applyFill="1" applyBorder="1" applyAlignment="1">
      <alignment horizontal="center" vertical="center" wrapText="1"/>
    </xf>
    <xf numFmtId="166" fontId="6" fillId="25" borderId="62" xfId="0" applyNumberFormat="1" applyFont="1" applyFill="1" applyBorder="1" applyAlignment="1">
      <alignment horizontal="center" vertical="center"/>
    </xf>
    <xf numFmtId="1" fontId="46" fillId="59" borderId="46" xfId="0" applyNumberFormat="1" applyFont="1" applyFill="1" applyBorder="1" applyAlignment="1">
      <alignment horizontal="center" vertical="top"/>
    </xf>
    <xf numFmtId="1" fontId="46" fillId="59" borderId="47" xfId="0" applyNumberFormat="1" applyFont="1" applyFill="1" applyBorder="1" applyAlignment="1">
      <alignment horizontal="center" vertical="top"/>
    </xf>
    <xf numFmtId="1" fontId="46" fillId="59" borderId="46" xfId="0" applyNumberFormat="1" applyFont="1" applyFill="1" applyBorder="1" applyAlignment="1" applyProtection="1">
      <alignment horizontal="center" vertical="top"/>
    </xf>
    <xf numFmtId="1" fontId="46" fillId="59" borderId="47" xfId="0" applyNumberFormat="1" applyFont="1" applyFill="1" applyBorder="1" applyAlignment="1" applyProtection="1">
      <alignment horizontal="center" vertical="top"/>
    </xf>
    <xf numFmtId="0" fontId="35" fillId="59" borderId="53" xfId="0" applyFont="1" applyFill="1" applyBorder="1" applyAlignment="1">
      <alignment horizontal="center" vertical="center" wrapText="1"/>
    </xf>
    <xf numFmtId="166" fontId="6" fillId="25" borderId="59" xfId="0" applyNumberFormat="1" applyFont="1" applyFill="1" applyBorder="1" applyAlignment="1">
      <alignment horizontal="center" vertical="center"/>
    </xf>
    <xf numFmtId="0" fontId="35" fillId="59" borderId="102" xfId="0" applyFont="1" applyFill="1" applyBorder="1" applyAlignment="1">
      <alignment horizontal="right" vertical="center" wrapText="1"/>
    </xf>
    <xf numFmtId="0" fontId="35" fillId="59" borderId="103" xfId="0" applyFont="1" applyFill="1" applyBorder="1" applyAlignment="1">
      <alignment horizontal="right" vertical="center" wrapText="1"/>
    </xf>
    <xf numFmtId="165" fontId="7" fillId="0" borderId="100" xfId="0" applyNumberFormat="1" applyFont="1" applyFill="1" applyBorder="1" applyAlignment="1">
      <alignment horizontal="center" vertical="center"/>
    </xf>
    <xf numFmtId="166" fontId="7" fillId="25" borderId="100" xfId="0" applyNumberFormat="1" applyFont="1" applyFill="1" applyBorder="1" applyAlignment="1">
      <alignment horizontal="center" vertical="center"/>
    </xf>
    <xf numFmtId="0" fontId="5" fillId="59" borderId="35" xfId="0" applyFont="1" applyFill="1" applyBorder="1" applyAlignment="1">
      <alignment horizontal="left" vertical="center" indent="1"/>
    </xf>
    <xf numFmtId="0" fontId="5" fillId="59" borderId="36" xfId="0" applyFont="1" applyFill="1" applyBorder="1" applyAlignment="1">
      <alignment horizontal="left" vertical="center" indent="1"/>
    </xf>
    <xf numFmtId="0" fontId="5" fillId="59" borderId="37" xfId="0" applyFont="1" applyFill="1" applyBorder="1" applyAlignment="1">
      <alignment horizontal="left" vertical="center" indent="1"/>
    </xf>
    <xf numFmtId="0" fontId="77" fillId="0" borderId="0" xfId="0" applyFont="1" applyAlignment="1" applyProtection="1">
      <alignment horizontal="center" vertical="center"/>
    </xf>
    <xf numFmtId="0" fontId="5" fillId="59" borderId="52" xfId="0" applyFont="1" applyFill="1" applyBorder="1" applyAlignment="1">
      <alignment horizontal="center" vertical="center" wrapText="1"/>
    </xf>
    <xf numFmtId="0" fontId="5" fillId="59" borderId="53" xfId="0" applyFont="1" applyFill="1" applyBorder="1" applyAlignment="1">
      <alignment horizontal="center" vertical="center" wrapText="1"/>
    </xf>
    <xf numFmtId="1" fontId="6" fillId="25" borderId="58" xfId="0" applyNumberFormat="1" applyFont="1" applyFill="1" applyBorder="1" applyAlignment="1">
      <alignment horizontal="left" vertical="center" indent="1"/>
    </xf>
    <xf numFmtId="1" fontId="6" fillId="25" borderId="59" xfId="0" applyNumberFormat="1" applyFont="1" applyFill="1" applyBorder="1" applyAlignment="1">
      <alignment horizontal="left" vertical="center" indent="1"/>
    </xf>
    <xf numFmtId="0" fontId="64" fillId="0" borderId="0" xfId="0" applyFont="1" applyAlignment="1" applyProtection="1">
      <alignment horizontal="left" vertical="top" wrapText="1"/>
    </xf>
    <xf numFmtId="0" fontId="64" fillId="0" borderId="5" xfId="0" applyFont="1" applyBorder="1" applyAlignment="1" applyProtection="1">
      <alignment horizontal="left" vertical="top" wrapText="1"/>
    </xf>
    <xf numFmtId="0" fontId="5" fillId="59" borderId="10" xfId="0" applyFont="1" applyFill="1" applyBorder="1" applyAlignment="1">
      <alignment horizontal="left" vertical="center" indent="1"/>
    </xf>
    <xf numFmtId="0" fontId="5" fillId="59" borderId="0" xfId="0" applyFont="1" applyFill="1" applyBorder="1" applyAlignment="1">
      <alignment horizontal="left" vertical="center" indent="1"/>
    </xf>
    <xf numFmtId="0" fontId="5" fillId="59" borderId="11" xfId="0" applyFont="1" applyFill="1" applyBorder="1" applyAlignment="1">
      <alignment horizontal="left" vertical="center" indent="1"/>
    </xf>
    <xf numFmtId="0" fontId="64" fillId="0" borderId="0" xfId="0" applyFont="1" applyAlignment="1">
      <alignment wrapText="1"/>
    </xf>
    <xf numFmtId="1" fontId="6" fillId="57" borderId="58" xfId="0" applyNumberFormat="1" applyFont="1" applyFill="1" applyBorder="1" applyAlignment="1" applyProtection="1">
      <alignment horizontal="left" vertical="center" indent="2"/>
      <protection locked="0"/>
    </xf>
    <xf numFmtId="1" fontId="6" fillId="57" borderId="59" xfId="0" applyNumberFormat="1" applyFont="1" applyFill="1" applyBorder="1" applyAlignment="1" applyProtection="1">
      <alignment horizontal="left" vertical="center" indent="2"/>
      <protection locked="0"/>
    </xf>
    <xf numFmtId="1" fontId="6" fillId="57" borderId="61" xfId="0" applyNumberFormat="1" applyFont="1" applyFill="1" applyBorder="1" applyAlignment="1" applyProtection="1">
      <alignment horizontal="left" vertical="center" indent="2"/>
      <protection locked="0"/>
    </xf>
    <xf numFmtId="1" fontId="6" fillId="57" borderId="62" xfId="0" applyNumberFormat="1" applyFont="1" applyFill="1" applyBorder="1" applyAlignment="1" applyProtection="1">
      <alignment horizontal="left" vertical="center" indent="2"/>
      <protection locked="0"/>
    </xf>
    <xf numFmtId="1" fontId="7" fillId="25" borderId="58" xfId="0" applyNumberFormat="1" applyFont="1" applyFill="1" applyBorder="1" applyAlignment="1">
      <alignment horizontal="left" vertical="center" indent="1"/>
    </xf>
    <xf numFmtId="1" fontId="7" fillId="25" borderId="59" xfId="0" applyNumberFormat="1" applyFont="1" applyFill="1" applyBorder="1" applyAlignment="1">
      <alignment horizontal="left" vertical="center" indent="1"/>
    </xf>
    <xf numFmtId="1" fontId="7" fillId="25" borderId="55" xfId="0" applyNumberFormat="1" applyFont="1" applyFill="1" applyBorder="1" applyAlignment="1">
      <alignment horizontal="left" vertical="center" indent="1"/>
    </xf>
    <xf numFmtId="1" fontId="7" fillId="25" borderId="56" xfId="0" applyNumberFormat="1" applyFont="1" applyFill="1" applyBorder="1" applyAlignment="1">
      <alignment horizontal="left" vertical="center" indent="1"/>
    </xf>
    <xf numFmtId="1" fontId="6" fillId="25" borderId="58" xfId="0" applyNumberFormat="1" applyFont="1" applyFill="1" applyBorder="1" applyAlignment="1" applyProtection="1">
      <alignment horizontal="left" vertical="center" indent="1"/>
    </xf>
    <xf numFmtId="1" fontId="6" fillId="25" borderId="59" xfId="0" applyNumberFormat="1" applyFont="1" applyFill="1" applyBorder="1" applyAlignment="1" applyProtection="1">
      <alignment horizontal="left" vertical="center" indent="1"/>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74" fillId="0" borderId="32" xfId="0" applyFont="1" applyBorder="1" applyAlignment="1">
      <alignment horizontal="center" vertical="center" wrapText="1"/>
    </xf>
    <xf numFmtId="0" fontId="74" fillId="0" borderId="33" xfId="0" applyFont="1" applyBorder="1" applyAlignment="1">
      <alignment horizontal="center" vertical="center" wrapText="1"/>
    </xf>
    <xf numFmtId="0" fontId="75" fillId="59" borderId="35" xfId="0" applyFont="1" applyFill="1" applyBorder="1" applyAlignment="1">
      <alignment horizontal="left" vertical="center"/>
    </xf>
    <xf numFmtId="0" fontId="75" fillId="59" borderId="36" xfId="0" applyFont="1" applyFill="1" applyBorder="1" applyAlignment="1">
      <alignment horizontal="left" vertical="center"/>
    </xf>
    <xf numFmtId="0" fontId="75" fillId="59" borderId="37" xfId="0" applyFont="1" applyFill="1" applyBorder="1" applyAlignment="1">
      <alignment horizontal="left" vertical="center"/>
    </xf>
    <xf numFmtId="0" fontId="64" fillId="0" borderId="38" xfId="0" applyFont="1" applyBorder="1" applyAlignment="1">
      <alignment horizontal="center" vertical="top" wrapText="1"/>
    </xf>
    <xf numFmtId="0" fontId="64" fillId="0" borderId="0" xfId="0" applyFont="1" applyBorder="1" applyAlignment="1">
      <alignment horizontal="center" vertical="top" wrapText="1"/>
    </xf>
    <xf numFmtId="0" fontId="64" fillId="0" borderId="39" xfId="0" applyFont="1" applyBorder="1" applyAlignment="1">
      <alignment horizontal="center" vertical="top" wrapText="1"/>
    </xf>
    <xf numFmtId="0" fontId="75" fillId="59" borderId="40" xfId="0" applyFont="1" applyFill="1" applyBorder="1" applyAlignment="1" applyProtection="1">
      <alignment horizontal="left" vertical="center" wrapText="1"/>
      <protection locked="0"/>
    </xf>
  </cellXfs>
  <cellStyles count="9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8"/>
    <cellStyle name="Normal 2 2 2" xfId="89"/>
    <cellStyle name="Normal 3" xfId="76"/>
    <cellStyle name="Normal 3 2" xfId="90"/>
    <cellStyle name="Normal 3 2 2" xfId="91"/>
    <cellStyle name="Normal 3 3" xfId="92"/>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13">
    <dxf>
      <font>
        <color rgb="FF0091C9"/>
      </font>
    </dxf>
    <dxf>
      <font>
        <color theme="0"/>
      </font>
    </dxf>
    <dxf>
      <font>
        <color theme="0"/>
      </font>
    </dxf>
    <dxf>
      <font>
        <color theme="0"/>
      </font>
    </dxf>
    <dxf>
      <font>
        <color theme="0"/>
      </font>
    </dxf>
    <dxf>
      <font>
        <color theme="0"/>
      </font>
    </dxf>
    <dxf>
      <font>
        <b/>
        <i val="0"/>
        <color rgb="FFD81E05"/>
      </font>
    </dxf>
    <dxf>
      <font>
        <b/>
        <i val="0"/>
        <color rgb="FFD81E05"/>
      </font>
    </dxf>
    <dxf>
      <font>
        <b/>
        <i val="0"/>
        <color rgb="FFD81E05"/>
      </font>
    </dxf>
    <dxf>
      <font>
        <color theme="0"/>
      </font>
    </dxf>
    <dxf>
      <font>
        <color theme="0"/>
      </font>
    </dxf>
    <dxf>
      <font>
        <color theme="1"/>
      </font>
      <border>
        <left style="thin">
          <color rgb="FF0066CC"/>
        </left>
        <right style="thin">
          <color rgb="FF0066CC"/>
        </right>
        <top/>
        <bottom style="thin">
          <color rgb="FF0066CC"/>
        </bottom>
      </border>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22"/>
          <c:h val="0.87609556268153133"/>
        </c:manualLayout>
      </c:layout>
      <c:lineChart>
        <c:grouping val="standard"/>
        <c:varyColors val="0"/>
        <c:ser>
          <c:idx val="1"/>
          <c:order val="0"/>
          <c:tx>
            <c:v>Data</c:v>
          </c:tx>
          <c:marker>
            <c:symbol val="diamond"/>
            <c:size val="6"/>
          </c:marker>
          <c:val>
            <c:numRef>
              <c:f>[0]!DTARange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CC5-442A-93E7-9FB28002DFBC}"/>
            </c:ext>
          </c:extLst>
        </c:ser>
        <c:ser>
          <c:idx val="0"/>
          <c:order val="1"/>
          <c:tx>
            <c:strRef>
              <c:f>SPC!$I$1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CC5-442A-93E7-9FB28002DFBC}"/>
            </c:ext>
          </c:extLst>
        </c:ser>
        <c:ser>
          <c:idx val="2"/>
          <c:order val="2"/>
          <c:tx>
            <c:strRef>
              <c:f>SPC!$O$1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DCC5-442A-93E7-9FB28002DFBC}"/>
            </c:ext>
          </c:extLst>
        </c:ser>
        <c:ser>
          <c:idx val="3"/>
          <c:order val="3"/>
          <c:tx>
            <c:strRef>
              <c:f>SPC!$L$1</c:f>
              <c:strCache>
                <c:ptCount val="1"/>
                <c:pt idx="0">
                  <c:v>Mean</c:v>
                </c:pt>
              </c:strCache>
            </c:strRef>
          </c:tx>
          <c:marker>
            <c:symbol val="none"/>
          </c:marker>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DCC5-442A-93E7-9FB28002DFBC}"/>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DCC5-442A-93E7-9FB28002DFBC}"/>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DCC5-442A-93E7-9FB28002DFBC}"/>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DCC5-442A-93E7-9FB28002DFBC}"/>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DCC5-442A-93E7-9FB28002DFBC}"/>
            </c:ext>
          </c:extLst>
        </c:ser>
        <c:dLbls>
          <c:showLegendKey val="0"/>
          <c:showVal val="0"/>
          <c:showCatName val="0"/>
          <c:showSerName val="0"/>
          <c:showPercent val="0"/>
          <c:showBubbleSize val="0"/>
        </c:dLbls>
        <c:marker val="1"/>
        <c:smooth val="0"/>
        <c:axId val="164883072"/>
        <c:axId val="166712064"/>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C5-442A-93E7-9FB28002DFBC}"/>
                </c:ext>
              </c:extLst>
            </c:dLbl>
            <c:spPr>
              <a:solidFill>
                <a:srgbClr val="FF0000"/>
              </a:solidFill>
              <a:ln w="25400">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DCC5-442A-93E7-9FB28002DFBC}"/>
            </c:ext>
          </c:extLst>
        </c:ser>
        <c:ser>
          <c:idx val="8"/>
          <c:order val="9"/>
          <c:tx>
            <c:strRef>
              <c:f>SPC!$D$1</c:f>
              <c:strCache>
                <c:ptCount val="1"/>
                <c:pt idx="0">
                  <c:v>2</c:v>
                </c:pt>
              </c:strCache>
            </c:strRef>
          </c:tx>
          <c:spPr>
            <a:ln w="28575">
              <a:noFill/>
            </a:ln>
          </c:spPr>
          <c:marker>
            <c:symbol val="none"/>
          </c:marker>
          <c:dLbls>
            <c:dLbl>
              <c:idx val="47"/>
              <c:layout>
                <c:manualLayout>
                  <c:x val="-2.1692573402417969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C5-442A-93E7-9FB28002DFBC}"/>
                </c:ext>
              </c:extLst>
            </c:dLbl>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DCC5-442A-93E7-9FB28002DFBC}"/>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DCC5-442A-93E7-9FB28002DFBC}"/>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DCC5-442A-93E7-9FB28002DFBC}"/>
            </c:ext>
          </c:extLst>
        </c:ser>
        <c:dLbls>
          <c:showLegendKey val="0"/>
          <c:showVal val="0"/>
          <c:showCatName val="0"/>
          <c:showSerName val="0"/>
          <c:showPercent val="0"/>
          <c:showBubbleSize val="0"/>
        </c:dLbls>
        <c:axId val="164883072"/>
        <c:axId val="166712064"/>
      </c:scatterChart>
      <c:catAx>
        <c:axId val="164883072"/>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66712064"/>
        <c:crosses val="autoZero"/>
        <c:auto val="1"/>
        <c:lblAlgn val="ctr"/>
        <c:lblOffset val="100"/>
        <c:tickLblSkip val="2"/>
        <c:noMultiLvlLbl val="0"/>
      </c:catAx>
      <c:valAx>
        <c:axId val="166712064"/>
        <c:scaling>
          <c:orientation val="minMax"/>
        </c:scaling>
        <c:delete val="0"/>
        <c:axPos val="l"/>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64883072"/>
        <c:crosses val="autoZero"/>
        <c:crossBetween val="between"/>
      </c:valAx>
    </c:plotArea>
    <c:legend>
      <c:legendPos val="b"/>
      <c:layout>
        <c:manualLayout>
          <c:xMode val="edge"/>
          <c:yMode val="edge"/>
          <c:x val="0.3053926482539937"/>
          <c:y val="0.75891311054472643"/>
          <c:w val="0.42146624565330348"/>
          <c:h val="2.8163821294490094E-2"/>
        </c:manualLayout>
      </c:layout>
      <c:overlay val="1"/>
      <c:txPr>
        <a:bodyPr/>
        <a:lstStyle/>
        <a:p>
          <a:pPr>
            <a:defRPr sz="920" b="0" i="0" u="none" strike="noStrike" baseline="0">
              <a:solidFill>
                <a:srgbClr val="000000"/>
              </a:solidFill>
              <a:latin typeface="Calibri"/>
              <a:ea typeface="Calibri"/>
              <a:cs typeface="Calibri"/>
            </a:defRPr>
          </a:pPr>
          <a:endParaRPr lang="en-US"/>
        </a:p>
      </c:txPr>
    </c:legend>
    <c:plotVisOnly val="0"/>
    <c:dispBlanksAs val="span"/>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81E-2"/>
          <c:w val="0.82299926101470333"/>
          <c:h val="0.74226532659027389"/>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0-94C7-491A-BA96-9CDFE7367C3C}"/>
            </c:ext>
          </c:extLst>
        </c:ser>
        <c:dLbls>
          <c:showLegendKey val="0"/>
          <c:showVal val="0"/>
          <c:showCatName val="0"/>
          <c:showSerName val="0"/>
          <c:showPercent val="0"/>
          <c:showBubbleSize val="0"/>
        </c:dLbls>
        <c:marker val="1"/>
        <c:smooth val="0"/>
        <c:axId val="174802816"/>
        <c:axId val="193553920"/>
      </c:lineChart>
      <c:catAx>
        <c:axId val="17480281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Time elapsed in weeks</a:t>
                </a:r>
              </a:p>
            </c:rich>
          </c:tx>
          <c:layout>
            <c:manualLayout>
              <c:xMode val="edge"/>
              <c:yMode val="edge"/>
              <c:x val="0.37080957113370544"/>
              <c:y val="0.87785323709536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3553920"/>
        <c:crosses val="autoZero"/>
        <c:auto val="1"/>
        <c:lblAlgn val="ctr"/>
        <c:lblOffset val="100"/>
        <c:tickLblSkip val="1"/>
        <c:tickMarkSkip val="1"/>
        <c:noMultiLvlLbl val="0"/>
      </c:catAx>
      <c:valAx>
        <c:axId val="193553920"/>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a:t>Number of patients on PTL</a:t>
                </a:r>
              </a:p>
            </c:rich>
          </c:tx>
          <c:layout>
            <c:manualLayout>
              <c:xMode val="edge"/>
              <c:yMode val="edge"/>
              <c:x val="1.2752847641617616E-2"/>
              <c:y val="0.15175707203266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802816"/>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Summary!$P$7</c:f>
          <c:strCache>
            <c:ptCount val="1"/>
            <c:pt idx="0">
              <c:v>Your DTAs Per Week</c:v>
            </c:pt>
          </c:strCache>
        </c:strRef>
      </c:tx>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5392007450681549E-2"/>
          <c:y val="6.3098522080713093E-2"/>
          <c:w val="0.86140906781813564"/>
          <c:h val="0.76578045391384919"/>
        </c:manualLayout>
      </c:layout>
      <c:lineChart>
        <c:grouping val="standard"/>
        <c:varyColors val="0"/>
        <c:ser>
          <c:idx val="3"/>
          <c:order val="0"/>
          <c:tx>
            <c:v>2 Sigma Below</c:v>
          </c:tx>
          <c:spPr>
            <a:ln w="19050">
              <a:solidFill>
                <a:srgbClr val="009E49"/>
              </a:solidFill>
            </a:ln>
          </c:spPr>
          <c:marker>
            <c:symbol val="none"/>
          </c:marker>
          <c:cat>
            <c:multiLvlStrRef>
              <c:f>[0]!Weeks</c:f>
            </c:multiLvlStrRef>
          </c:cat>
          <c:val>
            <c:numRef>
              <c:f>[0]!GraphLowerRange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184-4FF0-A162-66FDA7A25BE3}"/>
            </c:ext>
          </c:extLst>
        </c:ser>
        <c:ser>
          <c:idx val="4"/>
          <c:order val="1"/>
          <c:tx>
            <c:v>2 Sigma Above</c:v>
          </c:tx>
          <c:spPr>
            <a:ln w="19050">
              <a:solidFill>
                <a:srgbClr val="D81E05"/>
              </a:solidFill>
            </a:ln>
          </c:spPr>
          <c:marker>
            <c:symbol val="none"/>
          </c:marker>
          <c:cat>
            <c:multiLvlStrRef>
              <c:f>[0]!Weeks</c:f>
            </c:multiLvlStrRef>
          </c:cat>
          <c:val>
            <c:numRef>
              <c:f>[0]!GraphUpperRange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5184-4FF0-A162-66FDA7A25BE3}"/>
            </c:ext>
          </c:extLst>
        </c:ser>
        <c:ser>
          <c:idx val="1"/>
          <c:order val="2"/>
          <c:tx>
            <c:v>DTAs</c:v>
          </c:tx>
          <c:spPr>
            <a:ln w="19050">
              <a:solidFill>
                <a:srgbClr val="0091C9"/>
              </a:solidFill>
            </a:ln>
          </c:spPr>
          <c:marker>
            <c:symbol val="square"/>
            <c:size val="4"/>
            <c:spPr>
              <a:solidFill>
                <a:srgbClr val="0091C9"/>
              </a:solidFill>
              <a:ln>
                <a:solidFill>
                  <a:srgbClr val="0091C9"/>
                </a:solidFill>
              </a:ln>
            </c:spPr>
          </c:marker>
          <c:cat>
            <c:multiLvlStrRef>
              <c:f>[0]!Weeks</c:f>
            </c:multiLvlStrRef>
          </c:cat>
          <c:val>
            <c:numRef>
              <c:f>[0]!DTARange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5184-4FF0-A162-66FDA7A25BE3}"/>
            </c:ext>
          </c:extLst>
        </c:ser>
        <c:ser>
          <c:idx val="5"/>
          <c:order val="3"/>
          <c:tx>
            <c:v>Mean DTAs</c:v>
          </c:tx>
          <c:spPr>
            <a:ln w="19050">
              <a:solidFill>
                <a:srgbClr val="003893"/>
              </a:solidFill>
            </a:ln>
          </c:spPr>
          <c:marker>
            <c:symbol val="none"/>
          </c:marker>
          <c:cat>
            <c:multiLvlStrRef>
              <c:f>[0]!Weeks</c:f>
            </c:multiLvlStrRef>
          </c:cat>
          <c:val>
            <c:numRef>
              <c:f>[0]!GraphMeanRange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5184-4FF0-A162-66FDA7A25BE3}"/>
            </c:ext>
          </c:extLst>
        </c:ser>
        <c:dLbls>
          <c:showLegendKey val="0"/>
          <c:showVal val="0"/>
          <c:showCatName val="0"/>
          <c:showSerName val="0"/>
          <c:showPercent val="0"/>
          <c:showBubbleSize val="0"/>
        </c:dLbls>
        <c:marker val="1"/>
        <c:smooth val="0"/>
        <c:axId val="211139968"/>
        <c:axId val="211154816"/>
      </c:lineChart>
      <c:catAx>
        <c:axId val="2111399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layout>
            <c:manualLayout>
              <c:xMode val="edge"/>
              <c:yMode val="edge"/>
              <c:x val="0.46460569011152081"/>
              <c:y val="0.92477921877412383"/>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11154816"/>
        <c:crosses val="autoZero"/>
        <c:auto val="1"/>
        <c:lblAlgn val="ctr"/>
        <c:lblOffset val="100"/>
        <c:noMultiLvlLbl val="0"/>
      </c:catAx>
      <c:valAx>
        <c:axId val="211154816"/>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Decisions to Admit</a:t>
                </a:r>
              </a:p>
            </c:rich>
          </c:tx>
          <c:layout/>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211139968"/>
        <c:crosses val="autoZero"/>
        <c:crossBetween val="midCat"/>
      </c:valAx>
      <c:spPr>
        <a:noFill/>
        <a:ln w="25400">
          <a:noFill/>
        </a:ln>
      </c:spPr>
    </c:plotArea>
    <c:legend>
      <c:legendPos val="b"/>
      <c:layout>
        <c:manualLayout>
          <c:xMode val="edge"/>
          <c:yMode val="edge"/>
          <c:x val="9.3010841999180513E-2"/>
          <c:y val="0.68317816890535732"/>
          <c:w val="0.86842242820913207"/>
          <c:h val="0.15340512582985955"/>
        </c:manualLayout>
      </c:layout>
      <c:overlay val="1"/>
      <c:spPr>
        <a:noFill/>
        <a:ln>
          <a:noFill/>
        </a:ln>
      </c:spPr>
      <c:txPr>
        <a:bodyPr/>
        <a:lstStyle/>
        <a:p>
          <a:pPr>
            <a:defRPr sz="735"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GB"/>
              <a:t>Your Capacity Versus Your Demand (Adjusted</a:t>
            </a:r>
            <a:r>
              <a:rPr lang="en-GB" baseline="0"/>
              <a:t> for ROTT)</a:t>
            </a:r>
            <a:endParaRPr lang="en-GB"/>
          </a:p>
        </c:rich>
      </c:tx>
      <c:overlay val="1"/>
      <c:spPr>
        <a:noFill/>
        <a:ln w="25400">
          <a:noFill/>
        </a:ln>
      </c:spPr>
    </c:title>
    <c:autoTitleDeleted val="0"/>
    <c:plotArea>
      <c:layout>
        <c:manualLayout>
          <c:layoutTarget val="inner"/>
          <c:xMode val="edge"/>
          <c:yMode val="edge"/>
          <c:x val="8.3169474333636612E-2"/>
          <c:y val="3.1814895155459169E-2"/>
          <c:w val="0.89993955934791003"/>
          <c:h val="0.76844540853217724"/>
        </c:manualLayout>
      </c:layout>
      <c:barChart>
        <c:barDir val="col"/>
        <c:grouping val="stacked"/>
        <c:varyColors val="0"/>
        <c:ser>
          <c:idx val="5"/>
          <c:order val="0"/>
          <c:tx>
            <c:v>Core Capacity</c:v>
          </c:tx>
          <c:invertIfNegative val="0"/>
          <c:cat>
            <c:multiLvlStrRef>
              <c:f>[0]!Weeks</c:f>
            </c:multiLvlStrRef>
          </c:cat>
          <c:val>
            <c:numRef>
              <c:f>[0]!GraphCoreCapacityRange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CBF-4342-9047-B4B4DD006573}"/>
            </c:ext>
          </c:extLst>
        </c:ser>
        <c:ser>
          <c:idx val="2"/>
          <c:order val="1"/>
          <c:tx>
            <c:v>Additional Capacity</c:v>
          </c:tx>
          <c:spPr>
            <a:ln w="0"/>
          </c:spPr>
          <c:invertIfNegative val="0"/>
          <c:cat>
            <c:multiLvlStrRef>
              <c:f>[0]!Weeks</c:f>
            </c:multiLvlStrRef>
          </c:cat>
          <c:val>
            <c:numRef>
              <c:f>[0]!GraphAdditionalCapacityRange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CBF-4342-9047-B4B4DD006573}"/>
            </c:ext>
          </c:extLst>
        </c:ser>
        <c:dLbls>
          <c:showLegendKey val="0"/>
          <c:showVal val="0"/>
          <c:showCatName val="0"/>
          <c:showSerName val="0"/>
          <c:showPercent val="0"/>
          <c:showBubbleSize val="0"/>
        </c:dLbls>
        <c:gapWidth val="0"/>
        <c:overlap val="100"/>
        <c:axId val="211815424"/>
        <c:axId val="212024320"/>
      </c:barChart>
      <c:lineChart>
        <c:grouping val="standard"/>
        <c:varyColors val="0"/>
        <c:ser>
          <c:idx val="0"/>
          <c:order val="2"/>
          <c:tx>
            <c:v>Demand - ROTT</c:v>
          </c:tx>
          <c:spPr>
            <a:ln w="19050">
              <a:solidFill>
                <a:schemeClr val="accent2">
                  <a:lumMod val="75000"/>
                </a:schemeClr>
              </a:solidFill>
            </a:ln>
          </c:spPr>
          <c:marker>
            <c:spPr>
              <a:solidFill>
                <a:schemeClr val="accent2">
                  <a:lumMod val="75000"/>
                </a:schemeClr>
              </a:solidFill>
              <a:ln>
                <a:solidFill>
                  <a:schemeClr val="accent2">
                    <a:lumMod val="75000"/>
                  </a:schemeClr>
                </a:solidFill>
              </a:ln>
            </c:spPr>
          </c:marker>
          <c:val>
            <c:numRef>
              <c:f>[0]!GraphDTARange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DE9-4510-A0B3-1EA417FFFC09}"/>
            </c:ext>
          </c:extLst>
        </c:ser>
        <c:dLbls>
          <c:showLegendKey val="0"/>
          <c:showVal val="0"/>
          <c:showCatName val="0"/>
          <c:showSerName val="0"/>
          <c:showPercent val="0"/>
          <c:showBubbleSize val="0"/>
        </c:dLbls>
        <c:marker val="1"/>
        <c:smooth val="0"/>
        <c:axId val="211815424"/>
        <c:axId val="212024320"/>
      </c:lineChart>
      <c:catAx>
        <c:axId val="21181542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12024320"/>
        <c:crosses val="autoZero"/>
        <c:auto val="1"/>
        <c:lblAlgn val="ctr"/>
        <c:lblOffset val="100"/>
        <c:noMultiLvlLbl val="0"/>
      </c:catAx>
      <c:valAx>
        <c:axId val="212024320"/>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Patients</a:t>
                </a:r>
              </a:p>
            </c:rich>
          </c:tx>
          <c:overlay val="0"/>
        </c:title>
        <c:numFmt formatCode="General" sourceLinked="1"/>
        <c:majorTickMark val="out"/>
        <c:minorTickMark val="none"/>
        <c:tickLblPos val="nextTo"/>
        <c:spPr>
          <a:noFill/>
        </c:spPr>
        <c:txPr>
          <a:bodyPr rot="0" vert="horz"/>
          <a:lstStyle/>
          <a:p>
            <a:pPr>
              <a:defRPr sz="800" b="0" i="0" u="none" strike="noStrike" baseline="0">
                <a:solidFill>
                  <a:srgbClr val="000000"/>
                </a:solidFill>
                <a:latin typeface="Arial"/>
                <a:ea typeface="Arial"/>
                <a:cs typeface="Arial"/>
              </a:defRPr>
            </a:pPr>
            <a:endParaRPr lang="en-US"/>
          </a:p>
        </c:txPr>
        <c:crossAx val="211815424"/>
        <c:crosses val="autoZero"/>
        <c:crossBetween val="between"/>
      </c:valAx>
      <c:spPr>
        <a:noFill/>
        <a:ln w="25400">
          <a:noFill/>
        </a:ln>
      </c:spPr>
    </c:plotArea>
    <c:legend>
      <c:legendPos val="t"/>
      <c:layout>
        <c:manualLayout>
          <c:xMode val="edge"/>
          <c:yMode val="edge"/>
          <c:x val="4.4820403425667413E-2"/>
          <c:y val="0.93123953397228054"/>
          <c:w val="0.75173029666112456"/>
          <c:h val="5.7450264035762137E-2"/>
        </c:manualLayout>
      </c:layout>
      <c:overlay val="1"/>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Your Capacity Versus Your Demand</a:t>
            </a:r>
          </a:p>
        </c:rich>
      </c:tx>
      <c:overlay val="1"/>
      <c:spPr>
        <a:noFill/>
        <a:ln w="25400">
          <a:noFill/>
        </a:ln>
      </c:spPr>
    </c:title>
    <c:autoTitleDeleted val="0"/>
    <c:plotArea>
      <c:layout>
        <c:manualLayout>
          <c:layoutTarget val="inner"/>
          <c:xMode val="edge"/>
          <c:yMode val="edge"/>
          <c:x val="5.618234094015026E-2"/>
          <c:y val="3.1814895155459155E-2"/>
          <c:w val="0.92118781016635909"/>
          <c:h val="0.7684454085321768"/>
        </c:manualLayout>
      </c:layout>
      <c:barChart>
        <c:barDir val="col"/>
        <c:grouping val="stacked"/>
        <c:varyColors val="0"/>
        <c:ser>
          <c:idx val="5"/>
          <c:order val="0"/>
          <c:tx>
            <c:v>Core Capacity</c:v>
          </c:tx>
          <c:invertIfNegative val="0"/>
          <c:cat>
            <c:multiLvlStrRef>
              <c:f>[0]!Weeks</c:f>
            </c:multiLvlStrRef>
          </c:cat>
          <c:val>
            <c:numRef>
              <c:f>[0]!GraphCoreCapacityRange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C62-48B3-A493-727324CE04A7}"/>
            </c:ext>
          </c:extLst>
        </c:ser>
        <c:ser>
          <c:idx val="2"/>
          <c:order val="1"/>
          <c:tx>
            <c:v>Additional Capacity</c:v>
          </c:tx>
          <c:spPr>
            <a:ln w="0"/>
          </c:spPr>
          <c:invertIfNegative val="0"/>
          <c:cat>
            <c:multiLvlStrRef>
              <c:f>[0]!Weeks</c:f>
            </c:multiLvlStrRef>
          </c:cat>
          <c:val>
            <c:numRef>
              <c:f>[0]!GraphAdditionalCapacityRange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C62-48B3-A493-727324CE04A7}"/>
            </c:ext>
          </c:extLst>
        </c:ser>
        <c:dLbls>
          <c:showLegendKey val="0"/>
          <c:showVal val="0"/>
          <c:showCatName val="0"/>
          <c:showSerName val="0"/>
          <c:showPercent val="0"/>
          <c:showBubbleSize val="0"/>
        </c:dLbls>
        <c:gapWidth val="0"/>
        <c:overlap val="100"/>
        <c:axId val="76534144"/>
        <c:axId val="76536064"/>
      </c:barChart>
      <c:lineChart>
        <c:grouping val="standard"/>
        <c:varyColors val="0"/>
        <c:ser>
          <c:idx val="0"/>
          <c:order val="2"/>
          <c:tx>
            <c:v>Demand (DTAs)</c:v>
          </c:tx>
          <c:marker>
            <c:symbol val="none"/>
          </c:marker>
          <c:val>
            <c:numRef>
              <c:f>[0]!GraphDTARange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2C62-48B3-A493-727324CE04A7}"/>
            </c:ext>
          </c:extLst>
        </c:ser>
        <c:dLbls>
          <c:showLegendKey val="0"/>
          <c:showVal val="0"/>
          <c:showCatName val="0"/>
          <c:showSerName val="0"/>
          <c:showPercent val="0"/>
          <c:showBubbleSize val="0"/>
        </c:dLbls>
        <c:marker val="1"/>
        <c:smooth val="0"/>
        <c:axId val="76534144"/>
        <c:axId val="76536064"/>
      </c:lineChart>
      <c:catAx>
        <c:axId val="7653414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6536064"/>
        <c:crosses val="autoZero"/>
        <c:auto val="1"/>
        <c:lblAlgn val="ctr"/>
        <c:lblOffset val="100"/>
        <c:noMultiLvlLbl val="0"/>
      </c:catAx>
      <c:valAx>
        <c:axId val="7653606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Patients</a:t>
                </a:r>
              </a:p>
            </c:rich>
          </c:tx>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76534144"/>
        <c:crosses val="autoZero"/>
        <c:crossBetween val="between"/>
      </c:valAx>
      <c:spPr>
        <a:noFill/>
        <a:ln w="25400">
          <a:noFill/>
        </a:ln>
      </c:spPr>
    </c:plotArea>
    <c:legend>
      <c:legendPos val="b"/>
      <c:overlay val="0"/>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GB"/>
              <a:t>Variation In Demand</a:t>
            </a:r>
          </a:p>
        </c:rich>
      </c:tx>
      <c:overlay val="1"/>
      <c:spPr>
        <a:noFill/>
        <a:ln w="25400">
          <a:noFill/>
        </a:ln>
      </c:spPr>
    </c:title>
    <c:autoTitleDeleted val="0"/>
    <c:plotArea>
      <c:layout>
        <c:manualLayout>
          <c:layoutTarget val="inner"/>
          <c:xMode val="edge"/>
          <c:yMode val="edge"/>
          <c:x val="6.4430664916885538E-2"/>
          <c:y val="5.0925925925925923E-2"/>
          <c:w val="0.88647222222222144"/>
          <c:h val="0.80808362496354624"/>
        </c:manualLayout>
      </c:layout>
      <c:scatterChart>
        <c:scatterStyle val="smoothMarker"/>
        <c:varyColors val="0"/>
        <c:ser>
          <c:idx val="1"/>
          <c:order val="0"/>
          <c:tx>
            <c:v>Mean</c:v>
          </c:tx>
          <c:spPr>
            <a:ln w="19050">
              <a:solidFill>
                <a:srgbClr val="E28C05"/>
              </a:solidFill>
            </a:ln>
          </c:spPr>
          <c:marker>
            <c:symbol val="none"/>
          </c:marker>
          <c:xVal>
            <c:numRef>
              <c:f>Demand!$N$65:$N$66</c:f>
              <c:numCache>
                <c:formatCode>0.00000</c:formatCode>
                <c:ptCount val="2"/>
                <c:pt idx="0">
                  <c:v>0</c:v>
                </c:pt>
                <c:pt idx="1">
                  <c:v>0</c:v>
                </c:pt>
              </c:numCache>
            </c:numRef>
          </c:xVal>
          <c:yVal>
            <c:numRef>
              <c:f>Demand!$O$65:$O$66</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0-930B-4EB9-BD95-1DFA61B6A41E}"/>
            </c:ext>
          </c:extLst>
        </c:ser>
        <c:ser>
          <c:idx val="2"/>
          <c:order val="1"/>
          <c:tx>
            <c:v>85th Percentile</c:v>
          </c:tx>
          <c:spPr>
            <a:ln w="19050">
              <a:solidFill>
                <a:srgbClr val="009E49"/>
              </a:solidFill>
            </a:ln>
          </c:spPr>
          <c:marker>
            <c:symbol val="none"/>
          </c:marker>
          <c:xVal>
            <c:numRef>
              <c:f>Demand!$N$67:$N$68</c:f>
              <c:numCache>
                <c:formatCode>0.00000</c:formatCode>
                <c:ptCount val="2"/>
                <c:pt idx="0">
                  <c:v>0</c:v>
                </c:pt>
                <c:pt idx="1">
                  <c:v>0</c:v>
                </c:pt>
              </c:numCache>
            </c:numRef>
          </c:xVal>
          <c:yVal>
            <c:numRef>
              <c:f>Demand!$O$67:$O$68</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1-930B-4EB9-BD95-1DFA61B6A41E}"/>
            </c:ext>
          </c:extLst>
        </c:ser>
        <c:ser>
          <c:idx val="0"/>
          <c:order val="2"/>
          <c:tx>
            <c:v>DTA Distribution</c:v>
          </c:tx>
          <c:spPr>
            <a:ln>
              <a:solidFill>
                <a:srgbClr val="0091C9"/>
              </a:solidFill>
            </a:ln>
          </c:spPr>
          <c:marker>
            <c:symbol val="none"/>
          </c:marker>
          <c:xVal>
            <c:numRef>
              <c:f>[0]!NormDistValueRange</c:f>
            </c:numRef>
          </c:xVal>
          <c:yVal>
            <c:numRef>
              <c:f>[0]!NormDistProbRange</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930B-4EB9-BD95-1DFA61B6A41E}"/>
            </c:ext>
          </c:extLst>
        </c:ser>
        <c:dLbls>
          <c:showLegendKey val="0"/>
          <c:showVal val="0"/>
          <c:showCatName val="0"/>
          <c:showSerName val="0"/>
          <c:showPercent val="0"/>
          <c:showBubbleSize val="0"/>
        </c:dLbls>
        <c:axId val="76551680"/>
        <c:axId val="76553216"/>
      </c:scatterChart>
      <c:valAx>
        <c:axId val="76551680"/>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6553216"/>
        <c:crosses val="autoZero"/>
        <c:crossBetween val="midCat"/>
      </c:valAx>
      <c:valAx>
        <c:axId val="76553216"/>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Liklihood of this many referrals in any one week</a:t>
                </a:r>
              </a:p>
            </c:rich>
          </c:tx>
          <c:layout>
            <c:manualLayout>
              <c:xMode val="edge"/>
              <c:yMode val="edge"/>
              <c:x val="1.6666538216165077E-2"/>
              <c:y val="0.10661432992517726"/>
            </c:manualLayout>
          </c:layout>
          <c:overlay val="0"/>
          <c:spPr>
            <a:noFill/>
            <a:ln w="25400">
              <a:noFill/>
            </a:ln>
          </c:spPr>
        </c:title>
        <c:numFmt formatCode="0.00000" sourceLinked="1"/>
        <c:majorTickMark val="none"/>
        <c:minorTickMark val="none"/>
        <c:tickLblPos val="none"/>
        <c:spPr>
          <a:ln>
            <a:tailEnd type="stealth"/>
          </a:ln>
        </c:spPr>
        <c:crossAx val="76551680"/>
        <c:crosses val="autoZero"/>
        <c:crossBetween val="midCat"/>
      </c:valAx>
    </c:plotArea>
    <c:legend>
      <c:legendPos val="b"/>
      <c:layout>
        <c:manualLayout>
          <c:xMode val="edge"/>
          <c:yMode val="edge"/>
          <c:x val="5.6524557595064064E-2"/>
          <c:y val="0.92614126219297233"/>
          <c:w val="0.89120516542283768"/>
          <c:h val="5.6393309045324358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Actual Activity Against Plan</a:t>
            </a:r>
          </a:p>
        </c:rich>
      </c:tx>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0-29DE-44EF-B717-CAA6A9F80FBE}"/>
            </c:ext>
          </c:extLst>
        </c:ser>
        <c:ser>
          <c:idx val="2"/>
          <c:order val="1"/>
          <c:tx>
            <c:v>Scenario 2 Plan</c:v>
          </c:tx>
          <c:spPr>
            <a:ln w="19050">
              <a:solidFill>
                <a:srgbClr val="A00054"/>
              </a:solidFill>
            </a:ln>
          </c:spPr>
          <c:marker>
            <c:symbol val="none"/>
          </c:marker>
          <c:val>
            <c:numRef>
              <c:f>[0]!WaitingListPlanRange2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1-29DE-44EF-B717-CAA6A9F80FBE}"/>
            </c:ext>
          </c:extLst>
        </c:ser>
        <c:ser>
          <c:idx val="3"/>
          <c:order val="2"/>
          <c:tx>
            <c:v>Lower Target PTL</c:v>
          </c:tx>
          <c:spPr>
            <a:ln w="19050">
              <a:solidFill>
                <a:srgbClr val="009E49"/>
              </a:solidFill>
            </a:ln>
          </c:spPr>
          <c:marker>
            <c:symbol val="none"/>
          </c:marker>
          <c:val>
            <c:numRef>
              <c:f>[0]!MinWaitingListRange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2-29DE-44EF-B717-CAA6A9F80FBE}"/>
            </c:ext>
          </c:extLst>
        </c:ser>
        <c:ser>
          <c:idx val="4"/>
          <c:order val="3"/>
          <c:tx>
            <c:v>Upper Target PTL</c:v>
          </c:tx>
          <c:spPr>
            <a:ln w="19050">
              <a:solidFill>
                <a:srgbClr val="D81E05"/>
              </a:solidFill>
            </a:ln>
          </c:spPr>
          <c:marker>
            <c:symbol val="none"/>
          </c:marker>
          <c:val>
            <c:numRef>
              <c:f>[0]!MaxWaitingListRange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3-29DE-44EF-B717-CAA6A9F80FBE}"/>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4-29DE-44EF-B717-CAA6A9F80FBE}"/>
            </c:ext>
          </c:extLst>
        </c:ser>
        <c:dLbls>
          <c:showLegendKey val="0"/>
          <c:showVal val="0"/>
          <c:showCatName val="0"/>
          <c:showSerName val="0"/>
          <c:showPercent val="0"/>
          <c:showBubbleSize val="0"/>
        </c:dLbls>
        <c:marker val="1"/>
        <c:smooth val="0"/>
        <c:axId val="76579200"/>
        <c:axId val="76581504"/>
      </c:lineChart>
      <c:catAx>
        <c:axId val="7657920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76581504"/>
        <c:crosses val="autoZero"/>
        <c:auto val="1"/>
        <c:lblAlgn val="ctr"/>
        <c:lblOffset val="100"/>
        <c:noMultiLvlLbl val="0"/>
      </c:catAx>
      <c:valAx>
        <c:axId val="7658150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PTL Size</a:t>
                </a:r>
              </a:p>
            </c:rich>
          </c:tx>
          <c:overlay val="0"/>
        </c:title>
        <c:numFmt formatCode="0"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76579200"/>
        <c:crosses val="autoZero"/>
        <c:crossBetween val="midCat"/>
      </c:valAx>
      <c:spPr>
        <a:noFill/>
        <a:ln w="25400">
          <a:noFill/>
        </a:ln>
      </c:spPr>
    </c:plotArea>
    <c:legend>
      <c:legendPos val="t"/>
      <c:layout>
        <c:manualLayout>
          <c:xMode val="edge"/>
          <c:yMode val="edge"/>
          <c:x val="0.1996659099284615"/>
          <c:y val="0.81051907133737722"/>
          <c:w val="0.66018414900709765"/>
          <c:h val="3.8179496873955499E-2"/>
        </c:manualLayout>
      </c:layout>
      <c:overlay val="1"/>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900" b="1" i="0" u="none" strike="noStrike" baseline="0">
                <a:solidFill>
                  <a:srgbClr val="000000"/>
                </a:solidFill>
                <a:latin typeface="Arial"/>
                <a:cs typeface="Arial"/>
              </a:rPr>
              <a:t>Your </a:t>
            </a:r>
            <a:r>
              <a:rPr lang="en-GB" sz="1000" b="1" i="0" u="none" strike="noStrike" baseline="0">
                <a:solidFill>
                  <a:srgbClr val="000000"/>
                </a:solidFill>
                <a:latin typeface="Arial"/>
                <a:cs typeface="Arial"/>
              </a:rPr>
              <a:t>DTAs Per Week</a:t>
            </a:r>
            <a:endParaRPr lang="en-GB" sz="900" b="1" i="0" u="none" strike="noStrike" baseline="0">
              <a:solidFill>
                <a:srgbClr val="000000"/>
              </a:solidFill>
              <a:latin typeface="Arial"/>
              <a:cs typeface="Arial"/>
            </a:endParaRPr>
          </a:p>
        </c:rich>
      </c:tx>
      <c:layout>
        <c:manualLayout>
          <c:xMode val="edge"/>
          <c:yMode val="edge"/>
          <c:x val="0.47928630349777712"/>
          <c:y val="3.5951659888667775E-2"/>
        </c:manualLayout>
      </c:layout>
      <c:overlay val="1"/>
      <c:spPr>
        <a:noFill/>
        <a:ln w="25400">
          <a:noFill/>
        </a:ln>
      </c:spPr>
    </c:title>
    <c:autoTitleDeleted val="0"/>
    <c:plotArea>
      <c:layout>
        <c:manualLayout>
          <c:layoutTarget val="inner"/>
          <c:xMode val="edge"/>
          <c:yMode val="edge"/>
          <c:x val="9.5392007450681549E-2"/>
          <c:y val="0.11936204270762449"/>
          <c:w val="0.86140906781813564"/>
          <c:h val="0.68947318622209264"/>
        </c:manualLayout>
      </c:layout>
      <c:lineChart>
        <c:grouping val="standard"/>
        <c:varyColors val="0"/>
        <c:ser>
          <c:idx val="3"/>
          <c:order val="0"/>
          <c:tx>
            <c:v>3 Sigma Below</c:v>
          </c:tx>
          <c:spPr>
            <a:ln w="19050">
              <a:solidFill>
                <a:srgbClr val="009E49"/>
              </a:solidFill>
            </a:ln>
          </c:spPr>
          <c:marker>
            <c:symbol val="none"/>
          </c:marker>
          <c:cat>
            <c:multiLvlStrRef>
              <c:f>[0]!Weeks</c:f>
            </c:multiLvlStrRef>
          </c:cat>
          <c:val>
            <c:numRef>
              <c:f>[0]!GraphLowerRange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C00-4A66-867A-3EA2AEC3979A}"/>
            </c:ext>
          </c:extLst>
        </c:ser>
        <c:ser>
          <c:idx val="4"/>
          <c:order val="1"/>
          <c:tx>
            <c:v>3 Sigma Above</c:v>
          </c:tx>
          <c:spPr>
            <a:ln w="19050">
              <a:solidFill>
                <a:srgbClr val="D81E05"/>
              </a:solidFill>
            </a:ln>
          </c:spPr>
          <c:marker>
            <c:symbol val="none"/>
          </c:marker>
          <c:cat>
            <c:multiLvlStrRef>
              <c:f>[0]!Weeks</c:f>
            </c:multiLvlStrRef>
          </c:cat>
          <c:val>
            <c:numRef>
              <c:f>[0]!GraphUpperRange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9C00-4A66-867A-3EA2AEC3979A}"/>
            </c:ext>
          </c:extLst>
        </c:ser>
        <c:ser>
          <c:idx val="1"/>
          <c:order val="2"/>
          <c:tx>
            <c:v>DTAs</c:v>
          </c:tx>
          <c:spPr>
            <a:ln w="19050">
              <a:solidFill>
                <a:srgbClr val="0091C9"/>
              </a:solidFill>
            </a:ln>
          </c:spPr>
          <c:marker>
            <c:symbol val="square"/>
            <c:size val="4"/>
            <c:spPr>
              <a:solidFill>
                <a:srgbClr val="0091C9"/>
              </a:solidFill>
              <a:ln>
                <a:solidFill>
                  <a:srgbClr val="0091C9"/>
                </a:solidFill>
              </a:ln>
            </c:spPr>
          </c:marker>
          <c:cat>
            <c:multiLvlStrRef>
              <c:f>[0]!Weeks</c:f>
            </c:multiLvlStrRef>
          </c:cat>
          <c:val>
            <c:numRef>
              <c:f>[0]!DTARange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9C00-4A66-867A-3EA2AEC3979A}"/>
            </c:ext>
          </c:extLst>
        </c:ser>
        <c:ser>
          <c:idx val="5"/>
          <c:order val="3"/>
          <c:tx>
            <c:v>Mean DTAs</c:v>
          </c:tx>
          <c:spPr>
            <a:ln w="19050">
              <a:solidFill>
                <a:srgbClr val="003893"/>
              </a:solidFill>
            </a:ln>
          </c:spPr>
          <c:marker>
            <c:symbol val="none"/>
          </c:marker>
          <c:cat>
            <c:multiLvlStrRef>
              <c:f>[0]!Weeks</c:f>
            </c:multiLvlStrRef>
          </c:cat>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9C00-4A66-867A-3EA2AEC3979A}"/>
            </c:ext>
          </c:extLst>
        </c:ser>
        <c:ser>
          <c:idx val="0"/>
          <c:order val="4"/>
          <c:tx>
            <c:v>65th Percentile</c:v>
          </c:tx>
          <c:spPr>
            <a:ln w="19050"/>
          </c:spPr>
          <c:marker>
            <c:symbol val="none"/>
          </c:marker>
          <c:val>
            <c:numRef>
              <c:f>[0]!GraphPercentile65Range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9C00-4A66-867A-3EA2AEC3979A}"/>
            </c:ext>
          </c:extLst>
        </c:ser>
        <c:ser>
          <c:idx val="2"/>
          <c:order val="5"/>
          <c:tx>
            <c:v>85th Percentile</c:v>
          </c:tx>
          <c:spPr>
            <a:ln w="19050"/>
          </c:spPr>
          <c:marker>
            <c:symbol val="none"/>
          </c:marker>
          <c:val>
            <c:numRef>
              <c:f>[0]!GraphPercentile85Range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9C00-4A66-867A-3EA2AEC3979A}"/>
            </c:ext>
          </c:extLst>
        </c:ser>
        <c:dLbls>
          <c:showLegendKey val="0"/>
          <c:showVal val="0"/>
          <c:showCatName val="0"/>
          <c:showSerName val="0"/>
          <c:showPercent val="0"/>
          <c:showBubbleSize val="0"/>
        </c:dLbls>
        <c:marker val="1"/>
        <c:smooth val="0"/>
        <c:axId val="76641792"/>
        <c:axId val="76643712"/>
      </c:lineChart>
      <c:catAx>
        <c:axId val="76641792"/>
        <c:scaling>
          <c:orientation val="minMax"/>
        </c:scaling>
        <c:delete val="0"/>
        <c:axPos val="b"/>
        <c:title>
          <c:tx>
            <c:rich>
              <a:bodyPr/>
              <a:lstStyle/>
              <a:p>
                <a:pPr>
                  <a:defRPr/>
                </a:pPr>
                <a:r>
                  <a:rPr lang="en-GB"/>
                  <a:t>Week</a:t>
                </a:r>
              </a:p>
            </c:rich>
          </c:tx>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76643712"/>
        <c:crosses val="autoZero"/>
        <c:auto val="1"/>
        <c:lblAlgn val="ctr"/>
        <c:lblOffset val="100"/>
        <c:noMultiLvlLbl val="0"/>
      </c:catAx>
      <c:valAx>
        <c:axId val="76643712"/>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Decisions to Admit</a:t>
                </a:r>
              </a:p>
            </c:rich>
          </c:tx>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76641792"/>
        <c:crosses val="autoZero"/>
        <c:crossBetween val="midCat"/>
      </c:valAx>
      <c:spPr>
        <a:noFill/>
        <a:ln w="25400">
          <a:noFill/>
        </a:ln>
      </c:spPr>
    </c:plotArea>
    <c:legend>
      <c:legendPos val="b"/>
      <c:overlay val="1"/>
      <c:spPr>
        <a:noFill/>
        <a:ln>
          <a:noFill/>
        </a:ln>
      </c:spPr>
      <c:txPr>
        <a:bodyPr/>
        <a:lstStyle/>
        <a:p>
          <a:pPr>
            <a:defRPr sz="82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Scroll" dx="16" fmlaLink="$J$8" horiz="1" max="2000" page="10" val="0"/>
</file>

<file path=xl/ctrlProps/ctrlProp2.xml><?xml version="1.0" encoding="utf-8"?>
<formControlPr xmlns="http://schemas.microsoft.com/office/spreadsheetml/2009/9/main" objectType="Drop" dropLines="20" dropStyle="combo" dx="16" fmlaLink="$S$31" fmlaRange="SPC!$P$1:$P$53" val="0"/>
</file>

<file path=xl/ctrlProps/ctrlProp3.xml><?xml version="1.0" encoding="utf-8"?>
<formControlPr xmlns="http://schemas.microsoft.com/office/spreadsheetml/2009/9/main" objectType="Scroll" dx="16" fmlaLink="C13" horiz="1" max="500" noThreeD="1" page="10" val="500"/>
</file>

<file path=xl/ctrlProps/ctrlProp4.xml><?xml version="1.0" encoding="utf-8"?>
<formControlPr xmlns="http://schemas.microsoft.com/office/spreadsheetml/2009/9/main" objectType="Scroll" dx="16" fmlaLink="J13" horiz="1" max="200" noThreeD="1" page="10" val="200"/>
</file>

<file path=xl/ctrlProps/ctrlProp5.xml><?xml version="1.0" encoding="utf-8"?>
<formControlPr xmlns="http://schemas.microsoft.com/office/spreadsheetml/2009/9/main" objectType="Radio" checked="Checked" firstButton="1" fmlaLink="H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8" horiz="1" max="500" noThreeD="1" page="10" val="500"/>
</file>

<file path=xl/ctrlProps/ctrlProp8.xml><?xml version="1.0" encoding="utf-8"?>
<formControlPr xmlns="http://schemas.microsoft.com/office/spreadsheetml/2009/9/main" objectType="Scroll" dx="16" fmlaLink="$C$23" horiz="1" max="200" noThreeD="1" page="10" val="200"/>
</file>

<file path=xl/ctrlProps/ctrlProp9.xml><?xml version="1.0" encoding="utf-8"?>
<formControlPr xmlns="http://schemas.microsoft.com/office/spreadsheetml/2009/9/main" objectType="Scroll" dx="16" fmlaLink="$G$18" horiz="1" max="100" noThreeD="1" page="5" val="0"/>
</file>

<file path=xl/ctrlProps/ctrlProp10.xml><?xml version="1.0" encoding="utf-8"?>
<formControlPr xmlns="http://schemas.microsoft.com/office/spreadsheetml/2009/9/main" objectType="Scroll" dx="16" fmlaLink="$K$23" horiz="1" max="18" min="1" noThreeD="1" page="2" val="8"/>
</file>

<file path=xl/ctrlProps/ctrlProp11.xml><?xml version="1.0" encoding="utf-8"?>
<formControlPr xmlns="http://schemas.microsoft.com/office/spreadsheetml/2009/9/main" objectType="Scroll" dx="16" fmlaLink="$G$23" horiz="1" max="18" min="1" noThreeD="1" page="2" val="4"/>
</file>

<file path=xl/ctrlProps/ctrlProp12.xml><?xml version="1.0" encoding="utf-8"?>
<formControlPr xmlns="http://schemas.microsoft.com/office/spreadsheetml/2009/9/main" objectType="Scroll" dx="16" fmlaLink="$G$18" horiz="1" max="100" noThreeD="1" page="5" val="0"/>
</file>

<file path=xl/ctrlProps/ctrlProp13.xml><?xml version="1.0" encoding="utf-8"?>
<formControlPr xmlns="http://schemas.microsoft.com/office/spreadsheetml/2009/9/main" objectType="Scroll" dx="16" fmlaLink="$K$18" horiz="1" max="8" min="1" noThreeD="1" page="2" val="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5.xml"/><Relationship Id="rId5" Type="http://schemas.openxmlformats.org/officeDocument/2006/relationships/chart" Target="../charts/chart8.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10</xdr:col>
      <xdr:colOff>238125</xdr:colOff>
      <xdr:row>1</xdr:row>
      <xdr:rowOff>9524</xdr:rowOff>
    </xdr:from>
    <xdr:to>
      <xdr:col>14</xdr:col>
      <xdr:colOff>304800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19050</xdr:colOff>
      <xdr:row>1</xdr:row>
      <xdr:rowOff>9524</xdr:rowOff>
    </xdr:from>
    <xdr:to>
      <xdr:col>12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885825</xdr:colOff>
          <xdr:row>7</xdr:row>
          <xdr:rowOff>190500</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3</xdr:row>
      <xdr:rowOff>104775</xdr:rowOff>
    </xdr:from>
    <xdr:to>
      <xdr:col>31</xdr:col>
      <xdr:colOff>57150</xdr:colOff>
      <xdr:row>31</xdr:row>
      <xdr:rowOff>38100</xdr:rowOff>
    </xdr:to>
    <xdr:graphicFrame macro="">
      <xdr:nvGraphicFramePr>
        <xdr:cNvPr id="858697" name="Chart 1">
          <a:extLst>
            <a:ext uri="{FF2B5EF4-FFF2-40B4-BE49-F238E27FC236}">
              <a16:creationId xmlns="" xmlns:a16="http://schemas.microsoft.com/office/drawing/2014/main" id="{00000000-0008-0000-0300-000049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30</xdr:row>
          <xdr:rowOff>0</xdr:rowOff>
        </xdr:from>
        <xdr:to>
          <xdr:col>18</xdr:col>
          <xdr:colOff>514350</xdr:colOff>
          <xdr:row>31</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10</xdr:col>
      <xdr:colOff>495300</xdr:colOff>
      <xdr:row>1</xdr:row>
      <xdr:rowOff>9524</xdr:rowOff>
    </xdr:from>
    <xdr:to>
      <xdr:col>14</xdr:col>
      <xdr:colOff>438150</xdr:colOff>
      <xdr:row>1</xdr:row>
      <xdr:rowOff>676275</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895350</xdr:colOff>
          <xdr:row>12</xdr:row>
          <xdr:rowOff>190500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904875</xdr:colOff>
          <xdr:row>12</xdr:row>
          <xdr:rowOff>190500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76200</xdr:colOff>
          <xdr:row>13</xdr:row>
          <xdr:rowOff>0</xdr:rowOff>
        </xdr:to>
        <xdr:sp macro="" textlink="">
          <xdr:nvSpPr>
            <xdr:cNvPr id="17908" name="Option Button 500" hidden="1">
              <a:extLst>
                <a:ext uri="{63B3BB69-23CF-44E3-9099-C40C66FF867C}">
                  <a14:compatExt spid="_x0000_s17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8</xdr:col>
          <xdr:colOff>447675</xdr:colOff>
          <xdr:row>13</xdr:row>
          <xdr:rowOff>0</xdr:rowOff>
        </xdr:to>
        <xdr:sp macro="" textlink="">
          <xdr:nvSpPr>
            <xdr:cNvPr id="17910" name="Option Button 502" hidden="1">
              <a:extLst>
                <a:ext uri="{63B3BB69-23CF-44E3-9099-C40C66FF867C}">
                  <a14:compatExt spid="_x0000_s17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352424</xdr:colOff>
      <xdr:row>13</xdr:row>
      <xdr:rowOff>0</xdr:rowOff>
    </xdr:from>
    <xdr:to>
      <xdr:col>12</xdr:col>
      <xdr:colOff>171450</xdr:colOff>
      <xdr:row>23</xdr:row>
      <xdr:rowOff>171450</xdr:rowOff>
    </xdr:to>
    <xdr:sp macro="" textlink="">
      <xdr:nvSpPr>
        <xdr:cNvPr id="3" name="Rectangle 2">
          <a:extLst>
            <a:ext uri="{FF2B5EF4-FFF2-40B4-BE49-F238E27FC236}">
              <a16:creationId xmlns="" xmlns:a16="http://schemas.microsoft.com/office/drawing/2014/main" id="{00000000-0008-0000-0500-000003000000}"/>
            </a:ext>
          </a:extLst>
        </xdr:cNvPr>
        <xdr:cNvSpPr/>
      </xdr:nvSpPr>
      <xdr:spPr>
        <a:xfrm>
          <a:off x="352424" y="3419475"/>
          <a:ext cx="6429376" cy="22479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3</xdr:col>
          <xdr:colOff>542925</xdr:colOff>
          <xdr:row>17</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542925</xdr:colOff>
          <xdr:row>22</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542925</xdr:colOff>
          <xdr:row>17</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11</xdr:col>
          <xdr:colOff>542925</xdr:colOff>
          <xdr:row>22</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542925</xdr:colOff>
          <xdr:row>22</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11</xdr:col>
          <xdr:colOff>542925</xdr:colOff>
          <xdr:row>17</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180975</xdr:rowOff>
        </xdr:from>
        <xdr:to>
          <xdr:col>11</xdr:col>
          <xdr:colOff>542925</xdr:colOff>
          <xdr:row>17</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60</xdr:row>
      <xdr:rowOff>38101</xdr:rowOff>
    </xdr:from>
    <xdr:to>
      <xdr:col>15</xdr:col>
      <xdr:colOff>57150</xdr:colOff>
      <xdr:row>74</xdr:row>
      <xdr:rowOff>133350</xdr:rowOff>
    </xdr:to>
    <xdr:graphicFrame macro="">
      <xdr:nvGraphicFramePr>
        <xdr:cNvPr id="1298392" name="Chart 1">
          <a:extLst>
            <a:ext uri="{FF2B5EF4-FFF2-40B4-BE49-F238E27FC236}">
              <a16:creationId xmlns="" xmlns:a16="http://schemas.microsoft.com/office/drawing/2014/main" id="{00000000-0008-0000-0600-0000D8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390525</xdr:colOff>
      <xdr:row>5</xdr:row>
      <xdr:rowOff>0</xdr:rowOff>
    </xdr:from>
    <xdr:to>
      <xdr:col>14</xdr:col>
      <xdr:colOff>638175</xdr:colOff>
      <xdr:row>19</xdr:row>
      <xdr:rowOff>9525</xdr:rowOff>
    </xdr:to>
    <xdr:graphicFrame macro="">
      <xdr:nvGraphicFramePr>
        <xdr:cNvPr id="1298394" name="Chart 5">
          <a:extLst>
            <a:ext uri="{FF2B5EF4-FFF2-40B4-BE49-F238E27FC236}">
              <a16:creationId xmlns="" xmlns:a16="http://schemas.microsoft.com/office/drawing/2014/main" id="{00000000-0008-0000-0600-0000DA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409575</xdr:colOff>
      <xdr:row>35</xdr:row>
      <xdr:rowOff>66675</xdr:rowOff>
    </xdr:from>
    <xdr:to>
      <xdr:col>15</xdr:col>
      <xdr:colOff>95250</xdr:colOff>
      <xdr:row>51</xdr:row>
      <xdr:rowOff>142873</xdr:rowOff>
    </xdr:to>
    <xdr:graphicFrame macro="">
      <xdr:nvGraphicFramePr>
        <xdr:cNvPr id="1298395" name="Chart 3">
          <a:extLst>
            <a:ext uri="{FF2B5EF4-FFF2-40B4-BE49-F238E27FC236}">
              <a16:creationId xmlns="" xmlns:a16="http://schemas.microsoft.com/office/drawing/2014/main" id="{00000000-0008-0000-0600-0000DB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50</xdr:row>
      <xdr:rowOff>142875</xdr:rowOff>
    </xdr:from>
    <xdr:to>
      <xdr:col>14</xdr:col>
      <xdr:colOff>742950</xdr:colOff>
      <xdr:row>73</xdr:row>
      <xdr:rowOff>152400</xdr:rowOff>
    </xdr:to>
    <xdr:graphicFrame macro="">
      <xdr:nvGraphicFramePr>
        <xdr:cNvPr id="1872367" name="Chart 3">
          <a:extLst>
            <a:ext uri="{FF2B5EF4-FFF2-40B4-BE49-F238E27FC236}">
              <a16:creationId xmlns="" xmlns:a16="http://schemas.microsoft.com/office/drawing/2014/main" id="{00000000-0008-0000-0700-0000EF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11</xdr:col>
      <xdr:colOff>152400</xdr:colOff>
      <xdr:row>1</xdr:row>
      <xdr:rowOff>9524</xdr:rowOff>
    </xdr:from>
    <xdr:to>
      <xdr:col>15</xdr:col>
      <xdr:colOff>496</xdr:colOff>
      <xdr:row>1</xdr:row>
      <xdr:rowOff>676275</xdr:rowOff>
    </xdr:to>
    <xdr:pic>
      <xdr:nvPicPr>
        <xdr:cNvPr id="3" name="Picture 2" descr="ISI IMAS Logo">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74</xdr:row>
      <xdr:rowOff>180975</xdr:rowOff>
    </xdr:from>
    <xdr:to>
      <xdr:col>15</xdr:col>
      <xdr:colOff>133350</xdr:colOff>
      <xdr:row>91</xdr:row>
      <xdr:rowOff>133350</xdr:rowOff>
    </xdr:to>
    <xdr:graphicFrame macro="">
      <xdr:nvGraphicFramePr>
        <xdr:cNvPr id="1872369" name="Chart 4">
          <a:extLst>
            <a:ext uri="{FF2B5EF4-FFF2-40B4-BE49-F238E27FC236}">
              <a16:creationId xmlns="" xmlns:a16="http://schemas.microsoft.com/office/drawing/2014/main" id="{00000000-0008-0000-0700-0000F1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333375</xdr:colOff>
      <xdr:row>26</xdr:row>
      <xdr:rowOff>95250</xdr:rowOff>
    </xdr:from>
    <xdr:to>
      <xdr:col>14</xdr:col>
      <xdr:colOff>685800</xdr:colOff>
      <xdr:row>50</xdr:row>
      <xdr:rowOff>85725</xdr:rowOff>
    </xdr:to>
    <xdr:graphicFrame macro="">
      <xdr:nvGraphicFramePr>
        <xdr:cNvPr id="1872370" name="Chart 3">
          <a:extLst>
            <a:ext uri="{FF2B5EF4-FFF2-40B4-BE49-F238E27FC236}">
              <a16:creationId xmlns="" xmlns:a16="http://schemas.microsoft.com/office/drawing/2014/main" id="{00000000-0008-0000-0700-0000F2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161925</xdr:colOff>
      <xdr:row>5</xdr:row>
      <xdr:rowOff>0</xdr:rowOff>
    </xdr:from>
    <xdr:to>
      <xdr:col>15</xdr:col>
      <xdr:colOff>133350</xdr:colOff>
      <xdr:row>25</xdr:row>
      <xdr:rowOff>161925</xdr:rowOff>
    </xdr:to>
    <xdr:graphicFrame macro="">
      <xdr:nvGraphicFramePr>
        <xdr:cNvPr id="1872371" name="Chart 5">
          <a:extLst>
            <a:ext uri="{FF2B5EF4-FFF2-40B4-BE49-F238E27FC236}">
              <a16:creationId xmlns="" xmlns:a16="http://schemas.microsoft.com/office/drawing/2014/main" id="{00000000-0008-0000-0700-0000F3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47625</xdr:colOff>
      <xdr:row>1</xdr:row>
      <xdr:rowOff>9525</xdr:rowOff>
    </xdr:from>
    <xdr:to>
      <xdr:col>11</xdr:col>
      <xdr:colOff>0</xdr:colOff>
      <xdr:row>1</xdr:row>
      <xdr:rowOff>676276</xdr:rowOff>
    </xdr:to>
    <xdr:pic>
      <xdr:nvPicPr>
        <xdr:cNvPr id="2" name="Picture 1" descr="ISI IMAS Logo">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123825</xdr:colOff>
      <xdr:row>1</xdr:row>
      <xdr:rowOff>9525</xdr:rowOff>
    </xdr:from>
    <xdr:to>
      <xdr:col>14</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447675</xdr:colOff>
      <xdr:row>1</xdr:row>
      <xdr:rowOff>9525</xdr:rowOff>
    </xdr:from>
    <xdr:to>
      <xdr:col>11</xdr:col>
      <xdr:colOff>600075</xdr:colOff>
      <xdr:row>1</xdr:row>
      <xdr:rowOff>676276</xdr:rowOff>
    </xdr:to>
    <xdr:pic>
      <xdr:nvPicPr>
        <xdr:cNvPr id="3" name="Picture 2" descr="ISI IMAS Logo">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5"/>
  <sheetViews>
    <sheetView showGridLines="0" showRowColHeaders="0" tabSelected="1" zoomScaleNormal="100" zoomScaleSheetLayoutView="55" workbookViewId="0">
      <selection activeCell="A12" sqref="A12:O12"/>
    </sheetView>
  </sheetViews>
  <sheetFormatPr defaultRowHeight="15" x14ac:dyDescent="0.25"/>
  <cols>
    <col min="1" max="1" width="17" customWidth="1"/>
    <col min="15" max="15" width="10.5703125" customWidth="1"/>
  </cols>
  <sheetData>
    <row r="1" spans="1:254" x14ac:dyDescent="0.25">
      <c r="B1" s="69" t="s">
        <v>790</v>
      </c>
    </row>
    <row r="2" spans="1:254" ht="54" customHeight="1" x14ac:dyDescent="0.25">
      <c r="A2" s="289" t="str">
        <f>"Welcome - "&amp;ModelName&amp;"
Version 2.02biii
Last Updated: 03/02/2017"</f>
        <v>Welcome - The NHS IMAS IST Admitted Care Demand and Capacity (D&amp;C) Model
Version 2.02biii
Last Updated: 03/02/2017</v>
      </c>
      <c r="B2" s="290"/>
      <c r="C2" s="290"/>
      <c r="D2" s="290"/>
      <c r="E2" s="290"/>
      <c r="F2" s="290"/>
      <c r="G2" s="290"/>
      <c r="H2" s="290"/>
      <c r="I2" s="290"/>
      <c r="J2" s="290"/>
      <c r="K2" s="290"/>
      <c r="L2" s="290"/>
      <c r="M2" s="290"/>
      <c r="N2" s="290"/>
      <c r="O2" s="291"/>
    </row>
    <row r="3" spans="1:254" s="2" customFormat="1" ht="23.25" customHeight="1" x14ac:dyDescent="0.25">
      <c r="A3" s="286" t="s">
        <v>46</v>
      </c>
      <c r="B3" s="287"/>
      <c r="C3" s="287"/>
      <c r="D3" s="287"/>
      <c r="E3" s="287"/>
      <c r="F3" s="287"/>
      <c r="G3" s="287"/>
      <c r="H3" s="287"/>
      <c r="I3" s="287"/>
      <c r="J3" s="287"/>
      <c r="K3" s="287"/>
      <c r="L3" s="287"/>
      <c r="M3" s="287"/>
      <c r="N3" s="287"/>
      <c r="O3" s="288"/>
    </row>
    <row r="4" spans="1:254" x14ac:dyDescent="0.25">
      <c r="A4" s="282" t="s">
        <v>407</v>
      </c>
      <c r="B4" s="280"/>
      <c r="C4" s="280"/>
      <c r="D4" s="280"/>
      <c r="E4" s="280"/>
      <c r="F4" s="280"/>
      <c r="G4" s="280"/>
      <c r="H4" s="280"/>
      <c r="I4" s="280"/>
      <c r="J4" s="280"/>
      <c r="K4" s="280"/>
      <c r="L4" s="280"/>
      <c r="M4" s="280"/>
      <c r="N4" s="280"/>
      <c r="O4" s="281"/>
    </row>
    <row r="5" spans="1:254" ht="15" customHeight="1" x14ac:dyDescent="0.25">
      <c r="A5" s="282" t="s">
        <v>408</v>
      </c>
      <c r="B5" s="280"/>
      <c r="C5" s="280"/>
      <c r="D5" s="280"/>
      <c r="E5" s="280"/>
      <c r="F5" s="280"/>
      <c r="G5" s="280"/>
      <c r="H5" s="280"/>
      <c r="I5" s="280"/>
      <c r="J5" s="280"/>
      <c r="K5" s="280"/>
      <c r="L5" s="280"/>
      <c r="M5" s="280"/>
      <c r="N5" s="280"/>
      <c r="O5" s="281"/>
    </row>
    <row r="6" spans="1:254" ht="15" customHeight="1" x14ac:dyDescent="0.25">
      <c r="A6" s="267"/>
      <c r="B6" s="280" t="s">
        <v>409</v>
      </c>
      <c r="C6" s="280"/>
      <c r="D6" s="280"/>
      <c r="E6" s="280"/>
      <c r="F6" s="280"/>
      <c r="G6" s="280"/>
      <c r="H6" s="280"/>
      <c r="I6" s="280"/>
      <c r="J6" s="280"/>
      <c r="K6" s="280"/>
      <c r="L6" s="280"/>
      <c r="M6" s="280"/>
      <c r="N6" s="280"/>
      <c r="O6" s="281"/>
    </row>
    <row r="7" spans="1:254" ht="15" customHeight="1" x14ac:dyDescent="0.25">
      <c r="A7" s="267"/>
      <c r="B7" s="280" t="s">
        <v>410</v>
      </c>
      <c r="C7" s="280"/>
      <c r="D7" s="280"/>
      <c r="E7" s="280"/>
      <c r="F7" s="280"/>
      <c r="G7" s="280"/>
      <c r="H7" s="280"/>
      <c r="I7" s="280"/>
      <c r="J7" s="280"/>
      <c r="K7" s="280"/>
      <c r="L7" s="280"/>
      <c r="M7" s="280"/>
      <c r="N7" s="280"/>
      <c r="O7" s="281"/>
    </row>
    <row r="8" spans="1:254" ht="15" customHeight="1" x14ac:dyDescent="0.25">
      <c r="A8" s="267"/>
      <c r="B8" s="280" t="s">
        <v>411</v>
      </c>
      <c r="C8" s="280"/>
      <c r="D8" s="280"/>
      <c r="E8" s="280"/>
      <c r="F8" s="280"/>
      <c r="G8" s="280"/>
      <c r="H8" s="280"/>
      <c r="I8" s="280"/>
      <c r="J8" s="280"/>
      <c r="K8" s="280"/>
      <c r="L8" s="280"/>
      <c r="M8" s="280"/>
      <c r="N8" s="280"/>
      <c r="O8" s="281"/>
    </row>
    <row r="9" spans="1:254" ht="15" customHeight="1" x14ac:dyDescent="0.25">
      <c r="A9" s="267"/>
      <c r="B9" s="280" t="s">
        <v>412</v>
      </c>
      <c r="C9" s="280"/>
      <c r="D9" s="280"/>
      <c r="E9" s="280"/>
      <c r="F9" s="280"/>
      <c r="G9" s="280"/>
      <c r="H9" s="280"/>
      <c r="I9" s="280"/>
      <c r="J9" s="280"/>
      <c r="K9" s="280"/>
      <c r="L9" s="280"/>
      <c r="M9" s="280"/>
      <c r="N9" s="280"/>
      <c r="O9" s="281"/>
    </row>
    <row r="10" spans="1:254" ht="15" customHeight="1" x14ac:dyDescent="0.25">
      <c r="A10" s="268"/>
      <c r="B10" s="269"/>
      <c r="C10" s="269"/>
      <c r="D10" s="269"/>
      <c r="E10" s="269"/>
      <c r="F10" s="269"/>
      <c r="G10" s="269"/>
      <c r="H10" s="269"/>
      <c r="I10" s="269"/>
      <c r="J10" s="269"/>
      <c r="K10" s="269"/>
      <c r="L10" s="269"/>
      <c r="M10" s="269"/>
      <c r="N10" s="269"/>
      <c r="O10" s="270"/>
    </row>
    <row r="11" spans="1:254" s="2" customFormat="1" ht="23.25" customHeight="1" x14ac:dyDescent="0.25">
      <c r="A11" s="286" t="s">
        <v>47</v>
      </c>
      <c r="B11" s="287"/>
      <c r="C11" s="287"/>
      <c r="D11" s="287"/>
      <c r="E11" s="287"/>
      <c r="F11" s="287"/>
      <c r="G11" s="287"/>
      <c r="H11" s="287"/>
      <c r="I11" s="287"/>
      <c r="J11" s="287"/>
      <c r="K11" s="287"/>
      <c r="L11" s="287"/>
      <c r="M11" s="287"/>
      <c r="N11" s="287"/>
      <c r="O11" s="288"/>
    </row>
    <row r="12" spans="1:254" ht="15" customHeight="1" x14ac:dyDescent="0.25">
      <c r="A12" s="282" t="s">
        <v>413</v>
      </c>
      <c r="B12" s="280"/>
      <c r="C12" s="280"/>
      <c r="D12" s="280"/>
      <c r="E12" s="280"/>
      <c r="F12" s="280"/>
      <c r="G12" s="280"/>
      <c r="H12" s="280"/>
      <c r="I12" s="280"/>
      <c r="J12" s="280"/>
      <c r="K12" s="280"/>
      <c r="L12" s="280"/>
      <c r="M12" s="280"/>
      <c r="N12" s="280"/>
      <c r="O12" s="281"/>
      <c r="P12" s="278"/>
      <c r="Q12" s="278"/>
      <c r="R12" s="278"/>
      <c r="S12" s="278"/>
      <c r="T12" s="278"/>
      <c r="U12" s="278"/>
      <c r="V12" s="278"/>
      <c r="W12" s="278"/>
      <c r="X12" s="278"/>
      <c r="Y12" s="278"/>
      <c r="Z12" s="278"/>
      <c r="AA12" s="278"/>
      <c r="AB12" s="279"/>
      <c r="AC12" s="277"/>
      <c r="AD12" s="278"/>
      <c r="AE12" s="278"/>
      <c r="AF12" s="278"/>
      <c r="AG12" s="278"/>
      <c r="AH12" s="278"/>
      <c r="AI12" s="278"/>
      <c r="AJ12" s="278"/>
      <c r="AK12" s="278"/>
      <c r="AL12" s="278"/>
      <c r="AM12" s="278"/>
      <c r="AN12" s="278"/>
      <c r="AO12" s="278"/>
      <c r="AP12" s="278"/>
      <c r="AQ12" s="279"/>
      <c r="AR12" s="277"/>
      <c r="AS12" s="278"/>
      <c r="AT12" s="278"/>
      <c r="AU12" s="278"/>
      <c r="AV12" s="278"/>
      <c r="AW12" s="278"/>
      <c r="AX12" s="278"/>
      <c r="AY12" s="278"/>
      <c r="AZ12" s="278"/>
      <c r="BA12" s="278"/>
      <c r="BB12" s="278"/>
      <c r="BC12" s="278"/>
      <c r="BD12" s="278"/>
      <c r="BE12" s="278"/>
      <c r="BF12" s="279"/>
      <c r="BG12" s="277"/>
      <c r="BH12" s="278"/>
      <c r="BI12" s="278"/>
      <c r="BJ12" s="278"/>
      <c r="BK12" s="278"/>
      <c r="BL12" s="278"/>
      <c r="BM12" s="278"/>
      <c r="BN12" s="278"/>
      <c r="BO12" s="278"/>
      <c r="BP12" s="278"/>
      <c r="BQ12" s="278"/>
      <c r="BR12" s="278"/>
      <c r="BS12" s="278"/>
      <c r="BT12" s="278"/>
      <c r="BU12" s="279"/>
      <c r="BV12" s="277"/>
      <c r="BW12" s="278"/>
      <c r="BX12" s="278"/>
      <c r="BY12" s="278"/>
      <c r="BZ12" s="278"/>
      <c r="CA12" s="278"/>
      <c r="CB12" s="278"/>
      <c r="CC12" s="278"/>
      <c r="CD12" s="278"/>
      <c r="CE12" s="278"/>
      <c r="CF12" s="278"/>
      <c r="CG12" s="278"/>
      <c r="CH12" s="278"/>
      <c r="CI12" s="278"/>
      <c r="CJ12" s="279"/>
      <c r="CK12" s="277"/>
      <c r="CL12" s="278"/>
      <c r="CM12" s="278"/>
      <c r="CN12" s="278"/>
      <c r="CO12" s="278"/>
      <c r="CP12" s="278"/>
      <c r="CQ12" s="278"/>
      <c r="CR12" s="278"/>
      <c r="CS12" s="278"/>
      <c r="CT12" s="278"/>
      <c r="CU12" s="278"/>
      <c r="CV12" s="278"/>
      <c r="CW12" s="278"/>
      <c r="CX12" s="278"/>
      <c r="CY12" s="279"/>
      <c r="CZ12" s="277"/>
      <c r="DA12" s="278"/>
      <c r="DB12" s="278"/>
      <c r="DC12" s="278"/>
      <c r="DD12" s="278"/>
      <c r="DE12" s="278"/>
      <c r="DF12" s="278"/>
      <c r="DG12" s="278"/>
      <c r="DH12" s="278"/>
      <c r="DI12" s="278"/>
      <c r="DJ12" s="278"/>
      <c r="DK12" s="278"/>
      <c r="DL12" s="278"/>
      <c r="DM12" s="278"/>
      <c r="DN12" s="279"/>
      <c r="DO12" s="277"/>
      <c r="DP12" s="278"/>
      <c r="DQ12" s="278"/>
      <c r="DR12" s="278"/>
      <c r="DS12" s="278"/>
      <c r="DT12" s="278"/>
      <c r="DU12" s="278"/>
      <c r="DV12" s="278"/>
      <c r="DW12" s="278"/>
      <c r="DX12" s="278"/>
      <c r="DY12" s="278"/>
      <c r="DZ12" s="278"/>
      <c r="EA12" s="278"/>
      <c r="EB12" s="278"/>
      <c r="EC12" s="279"/>
      <c r="ED12" s="277"/>
      <c r="EE12" s="278"/>
      <c r="EF12" s="278"/>
      <c r="EG12" s="278"/>
      <c r="EH12" s="278"/>
      <c r="EI12" s="278"/>
      <c r="EJ12" s="278"/>
      <c r="EK12" s="278"/>
      <c r="EL12" s="278"/>
      <c r="EM12" s="278"/>
      <c r="EN12" s="278"/>
      <c r="EO12" s="278"/>
      <c r="EP12" s="278"/>
      <c r="EQ12" s="278"/>
      <c r="ER12" s="279"/>
      <c r="ES12" s="277"/>
      <c r="ET12" s="278"/>
      <c r="EU12" s="278"/>
      <c r="EV12" s="278"/>
      <c r="EW12" s="278"/>
      <c r="EX12" s="278"/>
      <c r="EY12" s="278"/>
      <c r="EZ12" s="278"/>
      <c r="FA12" s="278"/>
      <c r="FB12" s="278"/>
      <c r="FC12" s="278"/>
      <c r="FD12" s="278"/>
      <c r="FE12" s="278"/>
      <c r="FF12" s="278"/>
      <c r="FG12" s="279"/>
      <c r="FH12" s="277"/>
      <c r="FI12" s="278"/>
      <c r="FJ12" s="278"/>
      <c r="FK12" s="278"/>
      <c r="FL12" s="278"/>
      <c r="FM12" s="278"/>
      <c r="FN12" s="278"/>
      <c r="FO12" s="278"/>
      <c r="FP12" s="278"/>
      <c r="FQ12" s="278"/>
      <c r="FR12" s="278"/>
      <c r="FS12" s="278"/>
      <c r="FT12" s="278"/>
      <c r="FU12" s="278"/>
      <c r="FV12" s="279"/>
      <c r="FW12" s="277"/>
      <c r="FX12" s="278"/>
      <c r="FY12" s="278"/>
      <c r="FZ12" s="278"/>
      <c r="GA12" s="278"/>
      <c r="GB12" s="278"/>
      <c r="GC12" s="278"/>
      <c r="GD12" s="278"/>
      <c r="GE12" s="278"/>
      <c r="GF12" s="278"/>
      <c r="GG12" s="278"/>
      <c r="GH12" s="278"/>
      <c r="GI12" s="278"/>
      <c r="GJ12" s="278"/>
      <c r="GK12" s="279"/>
      <c r="GL12" s="277"/>
      <c r="GM12" s="278"/>
      <c r="GN12" s="278"/>
      <c r="GO12" s="278"/>
      <c r="GP12" s="278"/>
      <c r="GQ12" s="278"/>
      <c r="GR12" s="278"/>
      <c r="GS12" s="278"/>
      <c r="GT12" s="278"/>
      <c r="GU12" s="278"/>
      <c r="GV12" s="278"/>
      <c r="GW12" s="278"/>
      <c r="GX12" s="278"/>
      <c r="GY12" s="278"/>
      <c r="GZ12" s="279"/>
      <c r="HA12" s="277"/>
      <c r="HB12" s="278"/>
      <c r="HC12" s="278"/>
      <c r="HD12" s="278"/>
      <c r="HE12" s="278"/>
      <c r="HF12" s="278"/>
      <c r="HG12" s="278"/>
      <c r="HH12" s="278"/>
      <c r="HI12" s="278"/>
      <c r="HJ12" s="278"/>
      <c r="HK12" s="278"/>
      <c r="HL12" s="278"/>
      <c r="HM12" s="278"/>
      <c r="HN12" s="278"/>
      <c r="HO12" s="279"/>
      <c r="HP12" s="277"/>
      <c r="HQ12" s="278"/>
      <c r="HR12" s="278"/>
      <c r="HS12" s="278"/>
      <c r="HT12" s="278"/>
      <c r="HU12" s="278"/>
      <c r="HV12" s="278"/>
      <c r="HW12" s="278"/>
      <c r="HX12" s="278"/>
      <c r="HY12" s="278"/>
      <c r="HZ12" s="278"/>
      <c r="IA12" s="278"/>
      <c r="IB12" s="278"/>
      <c r="IC12" s="278"/>
      <c r="ID12" s="279"/>
      <c r="IE12" s="277"/>
      <c r="IF12" s="278"/>
      <c r="IG12" s="278"/>
      <c r="IH12" s="278"/>
      <c r="II12" s="278"/>
      <c r="IJ12" s="278"/>
      <c r="IK12" s="278"/>
      <c r="IL12" s="278"/>
      <c r="IM12" s="278"/>
      <c r="IN12" s="278"/>
      <c r="IO12" s="278"/>
      <c r="IP12" s="278"/>
      <c r="IQ12" s="278"/>
      <c r="IR12" s="278"/>
      <c r="IS12" s="279"/>
      <c r="IT12" s="3"/>
    </row>
    <row r="13" spans="1:254" ht="15" customHeight="1" x14ac:dyDescent="0.25">
      <c r="A13" s="282" t="s">
        <v>72</v>
      </c>
      <c r="B13" s="280"/>
      <c r="C13" s="280"/>
      <c r="D13" s="280"/>
      <c r="E13" s="280"/>
      <c r="F13" s="280"/>
      <c r="G13" s="280"/>
      <c r="H13" s="280"/>
      <c r="I13" s="280"/>
      <c r="J13" s="280"/>
      <c r="K13" s="280"/>
      <c r="L13" s="280"/>
      <c r="M13" s="280"/>
      <c r="N13" s="280"/>
      <c r="O13" s="281"/>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row>
    <row r="14" spans="1:254" ht="15" customHeight="1" x14ac:dyDescent="0.25">
      <c r="A14" s="268"/>
      <c r="B14" s="271"/>
      <c r="C14" s="271"/>
      <c r="D14" s="271"/>
      <c r="E14" s="271"/>
      <c r="F14" s="271"/>
      <c r="G14" s="271"/>
      <c r="H14" s="271"/>
      <c r="I14" s="271"/>
      <c r="J14" s="271"/>
      <c r="K14" s="271"/>
      <c r="L14" s="271"/>
      <c r="M14" s="271"/>
      <c r="N14" s="271"/>
      <c r="O14" s="272"/>
    </row>
    <row r="15" spans="1:254" s="2" customFormat="1" ht="23.25" customHeight="1" x14ac:dyDescent="0.25">
      <c r="A15" s="286" t="s">
        <v>48</v>
      </c>
      <c r="B15" s="287"/>
      <c r="C15" s="287"/>
      <c r="D15" s="287"/>
      <c r="E15" s="287"/>
      <c r="F15" s="287"/>
      <c r="G15" s="287"/>
      <c r="H15" s="287"/>
      <c r="I15" s="287"/>
      <c r="J15" s="287"/>
      <c r="K15" s="287"/>
      <c r="L15" s="287"/>
      <c r="M15" s="287"/>
      <c r="N15" s="287"/>
      <c r="O15" s="288"/>
    </row>
    <row r="16" spans="1:254" ht="15" customHeight="1" x14ac:dyDescent="0.25">
      <c r="A16" s="282" t="s">
        <v>49</v>
      </c>
      <c r="B16" s="280"/>
      <c r="C16" s="280"/>
      <c r="D16" s="280"/>
      <c r="E16" s="280"/>
      <c r="F16" s="280"/>
      <c r="G16" s="280"/>
      <c r="H16" s="280"/>
      <c r="I16" s="280"/>
      <c r="J16" s="280"/>
      <c r="K16" s="280"/>
      <c r="L16" s="280"/>
      <c r="M16" s="280"/>
      <c r="N16" s="280"/>
      <c r="O16" s="281"/>
      <c r="P16" s="278"/>
      <c r="Q16" s="278"/>
      <c r="R16" s="278"/>
      <c r="S16" s="278"/>
      <c r="T16" s="278"/>
      <c r="U16" s="278"/>
      <c r="V16" s="278"/>
      <c r="W16" s="278"/>
      <c r="X16" s="278"/>
      <c r="Y16" s="278"/>
      <c r="Z16" s="278"/>
      <c r="AA16" s="278"/>
      <c r="AB16" s="279"/>
      <c r="AC16" s="277"/>
      <c r="AD16" s="278"/>
      <c r="AE16" s="278"/>
      <c r="AF16" s="278"/>
      <c r="AG16" s="278"/>
      <c r="AH16" s="278"/>
      <c r="AI16" s="278"/>
      <c r="AJ16" s="278"/>
      <c r="AK16" s="278"/>
      <c r="AL16" s="278"/>
      <c r="AM16" s="278"/>
      <c r="AN16" s="278"/>
      <c r="AO16" s="278"/>
      <c r="AP16" s="278"/>
      <c r="AQ16" s="279"/>
      <c r="AR16" s="277"/>
      <c r="AS16" s="278"/>
      <c r="AT16" s="278"/>
      <c r="AU16" s="278"/>
      <c r="AV16" s="278"/>
      <c r="AW16" s="278"/>
      <c r="AX16" s="278"/>
      <c r="AY16" s="278"/>
      <c r="AZ16" s="278"/>
      <c r="BA16" s="278"/>
      <c r="BB16" s="278"/>
      <c r="BC16" s="278"/>
      <c r="BD16" s="278"/>
      <c r="BE16" s="278"/>
      <c r="BF16" s="279"/>
      <c r="BG16" s="277"/>
      <c r="BH16" s="278"/>
      <c r="BI16" s="278"/>
      <c r="BJ16" s="278"/>
      <c r="BK16" s="278"/>
      <c r="BL16" s="278"/>
      <c r="BM16" s="278"/>
      <c r="BN16" s="278"/>
      <c r="BO16" s="278"/>
      <c r="BP16" s="278"/>
      <c r="BQ16" s="278"/>
      <c r="BR16" s="278"/>
      <c r="BS16" s="278"/>
      <c r="BT16" s="278"/>
      <c r="BU16" s="279"/>
      <c r="BV16" s="277"/>
      <c r="BW16" s="278"/>
      <c r="BX16" s="278"/>
      <c r="BY16" s="278"/>
      <c r="BZ16" s="278"/>
      <c r="CA16" s="278"/>
      <c r="CB16" s="278"/>
      <c r="CC16" s="278"/>
      <c r="CD16" s="278"/>
      <c r="CE16" s="278"/>
      <c r="CF16" s="278"/>
      <c r="CG16" s="278"/>
      <c r="CH16" s="278"/>
      <c r="CI16" s="278"/>
      <c r="CJ16" s="279"/>
      <c r="CK16" s="277"/>
      <c r="CL16" s="278"/>
      <c r="CM16" s="278"/>
      <c r="CN16" s="278"/>
      <c r="CO16" s="278"/>
      <c r="CP16" s="278"/>
      <c r="CQ16" s="278"/>
      <c r="CR16" s="278"/>
      <c r="CS16" s="278"/>
      <c r="CT16" s="278"/>
      <c r="CU16" s="278"/>
      <c r="CV16" s="278"/>
      <c r="CW16" s="278"/>
      <c r="CX16" s="278"/>
      <c r="CY16" s="279"/>
      <c r="CZ16" s="277"/>
      <c r="DA16" s="278"/>
      <c r="DB16" s="278"/>
      <c r="DC16" s="278"/>
      <c r="DD16" s="278"/>
      <c r="DE16" s="278"/>
      <c r="DF16" s="278"/>
      <c r="DG16" s="278"/>
      <c r="DH16" s="278"/>
      <c r="DI16" s="278"/>
      <c r="DJ16" s="278"/>
      <c r="DK16" s="278"/>
      <c r="DL16" s="278"/>
      <c r="DM16" s="278"/>
      <c r="DN16" s="279"/>
      <c r="DO16" s="277"/>
      <c r="DP16" s="278"/>
      <c r="DQ16" s="278"/>
      <c r="DR16" s="278"/>
      <c r="DS16" s="278"/>
      <c r="DT16" s="278"/>
      <c r="DU16" s="278"/>
      <c r="DV16" s="278"/>
      <c r="DW16" s="278"/>
      <c r="DX16" s="278"/>
      <c r="DY16" s="278"/>
      <c r="DZ16" s="278"/>
      <c r="EA16" s="278"/>
      <c r="EB16" s="278"/>
      <c r="EC16" s="279"/>
      <c r="ED16" s="277"/>
      <c r="EE16" s="278"/>
      <c r="EF16" s="278"/>
      <c r="EG16" s="278"/>
      <c r="EH16" s="278"/>
      <c r="EI16" s="278"/>
      <c r="EJ16" s="278"/>
      <c r="EK16" s="278"/>
      <c r="EL16" s="278"/>
      <c r="EM16" s="278"/>
      <c r="EN16" s="278"/>
      <c r="EO16" s="278"/>
      <c r="EP16" s="278"/>
      <c r="EQ16" s="278"/>
      <c r="ER16" s="279"/>
      <c r="ES16" s="277"/>
      <c r="ET16" s="278"/>
      <c r="EU16" s="278"/>
      <c r="EV16" s="278"/>
      <c r="EW16" s="278"/>
      <c r="EX16" s="278"/>
      <c r="EY16" s="278"/>
      <c r="EZ16" s="278"/>
      <c r="FA16" s="278"/>
      <c r="FB16" s="278"/>
      <c r="FC16" s="278"/>
      <c r="FD16" s="278"/>
      <c r="FE16" s="278"/>
      <c r="FF16" s="278"/>
      <c r="FG16" s="279"/>
      <c r="FH16" s="277"/>
      <c r="FI16" s="278"/>
      <c r="FJ16" s="278"/>
      <c r="FK16" s="278"/>
      <c r="FL16" s="278"/>
      <c r="FM16" s="278"/>
      <c r="FN16" s="278"/>
      <c r="FO16" s="278"/>
      <c r="FP16" s="278"/>
      <c r="FQ16" s="278"/>
      <c r="FR16" s="278"/>
      <c r="FS16" s="278"/>
      <c r="FT16" s="278"/>
      <c r="FU16" s="278"/>
      <c r="FV16" s="279"/>
      <c r="FW16" s="277"/>
      <c r="FX16" s="278"/>
      <c r="FY16" s="278"/>
      <c r="FZ16" s="278"/>
      <c r="GA16" s="278"/>
      <c r="GB16" s="278"/>
      <c r="GC16" s="278"/>
      <c r="GD16" s="278"/>
      <c r="GE16" s="278"/>
      <c r="GF16" s="278"/>
      <c r="GG16" s="278"/>
      <c r="GH16" s="278"/>
      <c r="GI16" s="278"/>
      <c r="GJ16" s="278"/>
      <c r="GK16" s="279"/>
      <c r="GL16" s="277"/>
      <c r="GM16" s="278"/>
      <c r="GN16" s="278"/>
      <c r="GO16" s="278"/>
      <c r="GP16" s="278"/>
      <c r="GQ16" s="278"/>
      <c r="GR16" s="278"/>
      <c r="GS16" s="278"/>
      <c r="GT16" s="278"/>
      <c r="GU16" s="278"/>
      <c r="GV16" s="278"/>
      <c r="GW16" s="278"/>
      <c r="GX16" s="278"/>
      <c r="GY16" s="278"/>
      <c r="GZ16" s="279"/>
      <c r="HA16" s="277"/>
      <c r="HB16" s="278"/>
      <c r="HC16" s="278"/>
      <c r="HD16" s="278"/>
      <c r="HE16" s="278"/>
      <c r="HF16" s="278"/>
      <c r="HG16" s="278"/>
      <c r="HH16" s="278"/>
      <c r="HI16" s="278"/>
      <c r="HJ16" s="278"/>
      <c r="HK16" s="278"/>
      <c r="HL16" s="278"/>
      <c r="HM16" s="278"/>
      <c r="HN16" s="278"/>
      <c r="HO16" s="279"/>
      <c r="HP16" s="277"/>
      <c r="HQ16" s="278"/>
      <c r="HR16" s="278"/>
      <c r="HS16" s="278"/>
      <c r="HT16" s="278"/>
      <c r="HU16" s="278"/>
      <c r="HV16" s="278"/>
      <c r="HW16" s="278"/>
      <c r="HX16" s="278"/>
      <c r="HY16" s="278"/>
      <c r="HZ16" s="278"/>
      <c r="IA16" s="278"/>
      <c r="IB16" s="278"/>
      <c r="IC16" s="278"/>
      <c r="ID16" s="279"/>
      <c r="IE16" s="277"/>
      <c r="IF16" s="278"/>
      <c r="IG16" s="278"/>
      <c r="IH16" s="278"/>
      <c r="II16" s="278"/>
      <c r="IJ16" s="278"/>
      <c r="IK16" s="278"/>
      <c r="IL16" s="278"/>
      <c r="IM16" s="278"/>
      <c r="IN16" s="278"/>
      <c r="IO16" s="278"/>
      <c r="IP16" s="278"/>
      <c r="IQ16" s="278"/>
      <c r="IR16" s="278"/>
      <c r="IS16" s="279"/>
      <c r="IT16" s="3"/>
    </row>
    <row r="17" spans="1:254" s="2" customFormat="1" x14ac:dyDescent="0.25">
      <c r="A17" s="268"/>
      <c r="B17" s="294" t="s">
        <v>797</v>
      </c>
      <c r="C17" s="295"/>
      <c r="D17" s="295"/>
      <c r="E17" s="295"/>
      <c r="F17" s="295"/>
      <c r="G17" s="295"/>
      <c r="H17" s="295"/>
      <c r="I17" s="295"/>
      <c r="J17" s="295"/>
      <c r="K17" s="295"/>
      <c r="L17" s="295"/>
      <c r="M17" s="295"/>
      <c r="N17" s="295"/>
      <c r="O17" s="296"/>
    </row>
    <row r="18" spans="1:254" s="2" customFormat="1" x14ac:dyDescent="0.25">
      <c r="A18" s="268"/>
      <c r="B18" s="294" t="s">
        <v>799</v>
      </c>
      <c r="C18" s="295"/>
      <c r="D18" s="295"/>
      <c r="E18" s="295"/>
      <c r="F18" s="295"/>
      <c r="G18" s="295"/>
      <c r="H18" s="295"/>
      <c r="I18" s="295"/>
      <c r="J18" s="295"/>
      <c r="K18" s="295"/>
      <c r="L18" s="295"/>
      <c r="M18" s="295"/>
      <c r="N18" s="295"/>
      <c r="O18" s="296"/>
    </row>
    <row r="19" spans="1:254" s="2" customFormat="1" x14ac:dyDescent="0.25">
      <c r="A19" s="273"/>
      <c r="B19" s="294" t="s">
        <v>798</v>
      </c>
      <c r="C19" s="295"/>
      <c r="D19" s="295"/>
      <c r="E19" s="295"/>
      <c r="F19" s="295"/>
      <c r="G19" s="295"/>
      <c r="H19" s="295"/>
      <c r="I19" s="295"/>
      <c r="J19" s="295"/>
      <c r="K19" s="295"/>
      <c r="L19" s="295"/>
      <c r="M19" s="295"/>
      <c r="N19" s="295"/>
      <c r="O19" s="296"/>
    </row>
    <row r="20" spans="1:254" s="2" customFormat="1" x14ac:dyDescent="0.25">
      <c r="A20" s="297" t="s">
        <v>810</v>
      </c>
      <c r="B20" s="298"/>
      <c r="C20" s="298"/>
      <c r="D20" s="298"/>
      <c r="E20" s="298"/>
      <c r="F20" s="298"/>
      <c r="G20" s="298"/>
      <c r="H20" s="298"/>
      <c r="I20" s="298"/>
      <c r="J20" s="298"/>
      <c r="K20" s="298"/>
      <c r="L20" s="298"/>
      <c r="M20" s="298"/>
      <c r="N20" s="298"/>
      <c r="O20" s="299"/>
    </row>
    <row r="21" spans="1:254" s="2" customFormat="1" ht="23.25" customHeight="1" x14ac:dyDescent="0.25">
      <c r="A21" s="286" t="s">
        <v>50</v>
      </c>
      <c r="B21" s="287"/>
      <c r="C21" s="287"/>
      <c r="D21" s="287"/>
      <c r="E21" s="287"/>
      <c r="F21" s="287"/>
      <c r="G21" s="287"/>
      <c r="H21" s="287"/>
      <c r="I21" s="287"/>
      <c r="J21" s="287"/>
      <c r="K21" s="287"/>
      <c r="L21" s="287"/>
      <c r="M21" s="287"/>
      <c r="N21" s="287"/>
      <c r="O21" s="288"/>
    </row>
    <row r="22" spans="1:254" ht="15" customHeight="1" x14ac:dyDescent="0.25">
      <c r="A22" s="283" t="s">
        <v>816</v>
      </c>
      <c r="B22" s="280"/>
      <c r="C22" s="280"/>
      <c r="D22" s="280"/>
      <c r="E22" s="280"/>
      <c r="F22" s="280"/>
      <c r="G22" s="280"/>
      <c r="H22" s="280"/>
      <c r="I22" s="280"/>
      <c r="J22" s="280"/>
      <c r="K22" s="280"/>
      <c r="L22" s="280"/>
      <c r="M22" s="280"/>
      <c r="N22" s="280"/>
      <c r="O22" s="281"/>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row>
    <row r="23" spans="1:254" ht="15" customHeight="1" x14ac:dyDescent="0.25">
      <c r="A23" s="282" t="s">
        <v>414</v>
      </c>
      <c r="B23" s="280"/>
      <c r="C23" s="280"/>
      <c r="D23" s="280"/>
      <c r="E23" s="280"/>
      <c r="F23" s="280"/>
      <c r="G23" s="280"/>
      <c r="H23" s="280"/>
      <c r="I23" s="280"/>
      <c r="J23" s="280"/>
      <c r="K23" s="280"/>
      <c r="L23" s="280"/>
      <c r="M23" s="280"/>
      <c r="N23" s="280"/>
      <c r="O23" s="281"/>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row>
    <row r="24" spans="1:254" s="2" customFormat="1" x14ac:dyDescent="0.25">
      <c r="A24" s="268"/>
      <c r="B24" s="269"/>
      <c r="C24" s="269"/>
      <c r="D24" s="269"/>
      <c r="E24" s="269"/>
      <c r="F24" s="269"/>
      <c r="G24" s="269"/>
      <c r="H24" s="269"/>
      <c r="I24" s="269"/>
      <c r="J24" s="269"/>
      <c r="K24" s="269"/>
      <c r="L24" s="269"/>
      <c r="M24" s="269"/>
      <c r="N24" s="269"/>
      <c r="O24" s="270"/>
    </row>
    <row r="25" spans="1:254" s="2" customFormat="1" ht="23.25" customHeight="1" x14ac:dyDescent="0.25">
      <c r="A25" s="286" t="s">
        <v>51</v>
      </c>
      <c r="B25" s="287"/>
      <c r="C25" s="287"/>
      <c r="D25" s="287"/>
      <c r="E25" s="287"/>
      <c r="F25" s="287"/>
      <c r="G25" s="287"/>
      <c r="H25" s="287"/>
      <c r="I25" s="287"/>
      <c r="J25" s="287"/>
      <c r="K25" s="287"/>
      <c r="L25" s="287"/>
      <c r="M25" s="287"/>
      <c r="N25" s="287"/>
      <c r="O25" s="288"/>
    </row>
    <row r="26" spans="1:254" ht="15" customHeight="1" x14ac:dyDescent="0.25">
      <c r="A26" s="282" t="s">
        <v>78</v>
      </c>
      <c r="B26" s="280"/>
      <c r="C26" s="280"/>
      <c r="D26" s="280"/>
      <c r="E26" s="280"/>
      <c r="F26" s="280"/>
      <c r="G26" s="280"/>
      <c r="H26" s="280"/>
      <c r="I26" s="280"/>
      <c r="J26" s="280"/>
      <c r="K26" s="280"/>
      <c r="L26" s="280"/>
      <c r="M26" s="280"/>
      <c r="N26" s="280"/>
      <c r="O26" s="281"/>
      <c r="P26" s="278"/>
      <c r="Q26" s="278"/>
      <c r="R26" s="278"/>
      <c r="S26" s="278"/>
      <c r="T26" s="278"/>
      <c r="U26" s="278"/>
      <c r="V26" s="278"/>
      <c r="W26" s="278"/>
      <c r="X26" s="278"/>
      <c r="Y26" s="278"/>
      <c r="Z26" s="278"/>
      <c r="AA26" s="278"/>
      <c r="AB26" s="279"/>
      <c r="AC26" s="277"/>
      <c r="AD26" s="278"/>
      <c r="AE26" s="278"/>
      <c r="AF26" s="278"/>
      <c r="AG26" s="278"/>
      <c r="AH26" s="278"/>
      <c r="AI26" s="278"/>
      <c r="AJ26" s="278"/>
      <c r="AK26" s="278"/>
      <c r="AL26" s="278"/>
      <c r="AM26" s="278"/>
      <c r="AN26" s="278"/>
      <c r="AO26" s="278"/>
      <c r="AP26" s="278"/>
      <c r="AQ26" s="279"/>
      <c r="AR26" s="277"/>
      <c r="AS26" s="278"/>
      <c r="AT26" s="278"/>
      <c r="AU26" s="278"/>
      <c r="AV26" s="278"/>
      <c r="AW26" s="278"/>
      <c r="AX26" s="278"/>
      <c r="AY26" s="278"/>
      <c r="AZ26" s="278"/>
      <c r="BA26" s="278"/>
      <c r="BB26" s="278"/>
      <c r="BC26" s="278"/>
      <c r="BD26" s="278"/>
      <c r="BE26" s="278"/>
      <c r="BF26" s="279"/>
      <c r="BG26" s="277"/>
      <c r="BH26" s="278"/>
      <c r="BI26" s="278"/>
      <c r="BJ26" s="278"/>
      <c r="BK26" s="278"/>
      <c r="BL26" s="278"/>
      <c r="BM26" s="278"/>
      <c r="BN26" s="278"/>
      <c r="BO26" s="278"/>
      <c r="BP26" s="278"/>
      <c r="BQ26" s="278"/>
      <c r="BR26" s="278"/>
      <c r="BS26" s="278"/>
      <c r="BT26" s="278"/>
      <c r="BU26" s="279"/>
      <c r="BV26" s="277"/>
      <c r="BW26" s="278"/>
      <c r="BX26" s="278"/>
      <c r="BY26" s="278"/>
      <c r="BZ26" s="278"/>
      <c r="CA26" s="278"/>
      <c r="CB26" s="278"/>
      <c r="CC26" s="278"/>
      <c r="CD26" s="278"/>
      <c r="CE26" s="278"/>
      <c r="CF26" s="278"/>
      <c r="CG26" s="278"/>
      <c r="CH26" s="278"/>
      <c r="CI26" s="278"/>
      <c r="CJ26" s="279"/>
      <c r="CK26" s="277"/>
      <c r="CL26" s="278"/>
      <c r="CM26" s="278"/>
      <c r="CN26" s="278"/>
      <c r="CO26" s="278"/>
      <c r="CP26" s="278"/>
      <c r="CQ26" s="278"/>
      <c r="CR26" s="278"/>
      <c r="CS26" s="278"/>
      <c r="CT26" s="278"/>
      <c r="CU26" s="278"/>
      <c r="CV26" s="278"/>
      <c r="CW26" s="278"/>
      <c r="CX26" s="278"/>
      <c r="CY26" s="279"/>
      <c r="CZ26" s="277"/>
      <c r="DA26" s="278"/>
      <c r="DB26" s="278"/>
      <c r="DC26" s="278"/>
      <c r="DD26" s="278"/>
      <c r="DE26" s="278"/>
      <c r="DF26" s="278"/>
      <c r="DG26" s="278"/>
      <c r="DH26" s="278"/>
      <c r="DI26" s="278"/>
      <c r="DJ26" s="278"/>
      <c r="DK26" s="278"/>
      <c r="DL26" s="278"/>
      <c r="DM26" s="278"/>
      <c r="DN26" s="279"/>
      <c r="DO26" s="277"/>
      <c r="DP26" s="278"/>
      <c r="DQ26" s="278"/>
      <c r="DR26" s="278"/>
      <c r="DS26" s="278"/>
      <c r="DT26" s="278"/>
      <c r="DU26" s="278"/>
      <c r="DV26" s="278"/>
      <c r="DW26" s="278"/>
      <c r="DX26" s="278"/>
      <c r="DY26" s="278"/>
      <c r="DZ26" s="278"/>
      <c r="EA26" s="278"/>
      <c r="EB26" s="278"/>
      <c r="EC26" s="279"/>
      <c r="ED26" s="277"/>
      <c r="EE26" s="278"/>
      <c r="EF26" s="278"/>
      <c r="EG26" s="278"/>
      <c r="EH26" s="278"/>
      <c r="EI26" s="278"/>
      <c r="EJ26" s="278"/>
      <c r="EK26" s="278"/>
      <c r="EL26" s="278"/>
      <c r="EM26" s="278"/>
      <c r="EN26" s="278"/>
      <c r="EO26" s="278"/>
      <c r="EP26" s="278"/>
      <c r="EQ26" s="278"/>
      <c r="ER26" s="279"/>
      <c r="ES26" s="277"/>
      <c r="ET26" s="278"/>
      <c r="EU26" s="278"/>
      <c r="EV26" s="278"/>
      <c r="EW26" s="278"/>
      <c r="EX26" s="278"/>
      <c r="EY26" s="278"/>
      <c r="EZ26" s="278"/>
      <c r="FA26" s="278"/>
      <c r="FB26" s="278"/>
      <c r="FC26" s="278"/>
      <c r="FD26" s="278"/>
      <c r="FE26" s="278"/>
      <c r="FF26" s="278"/>
      <c r="FG26" s="279"/>
      <c r="FH26" s="277"/>
      <c r="FI26" s="278"/>
      <c r="FJ26" s="278"/>
      <c r="FK26" s="278"/>
      <c r="FL26" s="278"/>
      <c r="FM26" s="278"/>
      <c r="FN26" s="278"/>
      <c r="FO26" s="278"/>
      <c r="FP26" s="278"/>
      <c r="FQ26" s="278"/>
      <c r="FR26" s="278"/>
      <c r="FS26" s="278"/>
      <c r="FT26" s="278"/>
      <c r="FU26" s="278"/>
      <c r="FV26" s="279"/>
      <c r="FW26" s="277"/>
      <c r="FX26" s="278"/>
      <c r="FY26" s="278"/>
      <c r="FZ26" s="278"/>
      <c r="GA26" s="278"/>
      <c r="GB26" s="278"/>
      <c r="GC26" s="278"/>
      <c r="GD26" s="278"/>
      <c r="GE26" s="278"/>
      <c r="GF26" s="278"/>
      <c r="GG26" s="278"/>
      <c r="GH26" s="278"/>
      <c r="GI26" s="278"/>
      <c r="GJ26" s="278"/>
      <c r="GK26" s="279"/>
      <c r="GL26" s="277"/>
      <c r="GM26" s="278"/>
      <c r="GN26" s="278"/>
      <c r="GO26" s="278"/>
      <c r="GP26" s="278"/>
      <c r="GQ26" s="278"/>
      <c r="GR26" s="278"/>
      <c r="GS26" s="278"/>
      <c r="GT26" s="278"/>
      <c r="GU26" s="278"/>
      <c r="GV26" s="278"/>
      <c r="GW26" s="278"/>
      <c r="GX26" s="278"/>
      <c r="GY26" s="278"/>
      <c r="GZ26" s="279"/>
      <c r="HA26" s="277"/>
      <c r="HB26" s="278"/>
      <c r="HC26" s="278"/>
      <c r="HD26" s="278"/>
      <c r="HE26" s="278"/>
      <c r="HF26" s="278"/>
      <c r="HG26" s="278"/>
      <c r="HH26" s="278"/>
      <c r="HI26" s="278"/>
      <c r="HJ26" s="278"/>
      <c r="HK26" s="278"/>
      <c r="HL26" s="278"/>
      <c r="HM26" s="278"/>
      <c r="HN26" s="278"/>
      <c r="HO26" s="279"/>
      <c r="HP26" s="277"/>
      <c r="HQ26" s="278"/>
      <c r="HR26" s="278"/>
      <c r="HS26" s="278"/>
      <c r="HT26" s="278"/>
      <c r="HU26" s="278"/>
      <c r="HV26" s="278"/>
      <c r="HW26" s="278"/>
      <c r="HX26" s="278"/>
      <c r="HY26" s="278"/>
      <c r="HZ26" s="278"/>
      <c r="IA26" s="278"/>
      <c r="IB26" s="278"/>
      <c r="IC26" s="278"/>
      <c r="ID26" s="279"/>
      <c r="IE26" s="277"/>
      <c r="IF26" s="278"/>
      <c r="IG26" s="278"/>
      <c r="IH26" s="278"/>
      <c r="II26" s="278"/>
      <c r="IJ26" s="278"/>
      <c r="IK26" s="278"/>
      <c r="IL26" s="278"/>
      <c r="IM26" s="278"/>
      <c r="IN26" s="278"/>
      <c r="IO26" s="278"/>
      <c r="IP26" s="278"/>
      <c r="IQ26" s="278"/>
      <c r="IR26" s="278"/>
      <c r="IS26" s="279"/>
      <c r="IT26" s="3"/>
    </row>
    <row r="27" spans="1:254" ht="15" customHeight="1" x14ac:dyDescent="0.25">
      <c r="A27" s="282" t="s">
        <v>81</v>
      </c>
      <c r="B27" s="280"/>
      <c r="C27" s="280"/>
      <c r="D27" s="280"/>
      <c r="E27" s="280"/>
      <c r="F27" s="280"/>
      <c r="G27" s="280"/>
      <c r="H27" s="280"/>
      <c r="I27" s="280"/>
      <c r="J27" s="280"/>
      <c r="K27" s="280"/>
      <c r="L27" s="280"/>
      <c r="M27" s="280"/>
      <c r="N27" s="280"/>
      <c r="O27" s="281"/>
      <c r="P27" s="278"/>
      <c r="Q27" s="278"/>
      <c r="R27" s="278"/>
      <c r="S27" s="278"/>
      <c r="T27" s="278"/>
      <c r="U27" s="278"/>
      <c r="V27" s="278"/>
      <c r="W27" s="278"/>
      <c r="X27" s="278"/>
      <c r="Y27" s="278"/>
      <c r="Z27" s="278"/>
      <c r="AA27" s="278"/>
      <c r="AB27" s="279"/>
      <c r="AC27" s="277"/>
      <c r="AD27" s="278"/>
      <c r="AE27" s="278"/>
      <c r="AF27" s="278"/>
      <c r="AG27" s="278"/>
      <c r="AH27" s="278"/>
      <c r="AI27" s="278"/>
      <c r="AJ27" s="278"/>
      <c r="AK27" s="278"/>
      <c r="AL27" s="278"/>
      <c r="AM27" s="278"/>
      <c r="AN27" s="278"/>
      <c r="AO27" s="278"/>
      <c r="AP27" s="278"/>
      <c r="AQ27" s="279"/>
      <c r="AR27" s="277"/>
      <c r="AS27" s="278"/>
      <c r="AT27" s="278"/>
      <c r="AU27" s="278"/>
      <c r="AV27" s="278"/>
      <c r="AW27" s="278"/>
      <c r="AX27" s="278"/>
      <c r="AY27" s="278"/>
      <c r="AZ27" s="278"/>
      <c r="BA27" s="278"/>
      <c r="BB27" s="278"/>
      <c r="BC27" s="278"/>
      <c r="BD27" s="278"/>
      <c r="BE27" s="278"/>
      <c r="BF27" s="279"/>
      <c r="BG27" s="277"/>
      <c r="BH27" s="278"/>
      <c r="BI27" s="278"/>
      <c r="BJ27" s="278"/>
      <c r="BK27" s="278"/>
      <c r="BL27" s="278"/>
      <c r="BM27" s="278"/>
      <c r="BN27" s="278"/>
      <c r="BO27" s="278"/>
      <c r="BP27" s="278"/>
      <c r="BQ27" s="278"/>
      <c r="BR27" s="278"/>
      <c r="BS27" s="278"/>
      <c r="BT27" s="278"/>
      <c r="BU27" s="279"/>
      <c r="BV27" s="277"/>
      <c r="BW27" s="278"/>
      <c r="BX27" s="278"/>
      <c r="BY27" s="278"/>
      <c r="BZ27" s="278"/>
      <c r="CA27" s="278"/>
      <c r="CB27" s="278"/>
      <c r="CC27" s="278"/>
      <c r="CD27" s="278"/>
      <c r="CE27" s="278"/>
      <c r="CF27" s="278"/>
      <c r="CG27" s="278"/>
      <c r="CH27" s="278"/>
      <c r="CI27" s="278"/>
      <c r="CJ27" s="279"/>
      <c r="CK27" s="277"/>
      <c r="CL27" s="278"/>
      <c r="CM27" s="278"/>
      <c r="CN27" s="278"/>
      <c r="CO27" s="278"/>
      <c r="CP27" s="278"/>
      <c r="CQ27" s="278"/>
      <c r="CR27" s="278"/>
      <c r="CS27" s="278"/>
      <c r="CT27" s="278"/>
      <c r="CU27" s="278"/>
      <c r="CV27" s="278"/>
      <c r="CW27" s="278"/>
      <c r="CX27" s="278"/>
      <c r="CY27" s="279"/>
      <c r="CZ27" s="277"/>
      <c r="DA27" s="278"/>
      <c r="DB27" s="278"/>
      <c r="DC27" s="278"/>
      <c r="DD27" s="278"/>
      <c r="DE27" s="278"/>
      <c r="DF27" s="278"/>
      <c r="DG27" s="278"/>
      <c r="DH27" s="278"/>
      <c r="DI27" s="278"/>
      <c r="DJ27" s="278"/>
      <c r="DK27" s="278"/>
      <c r="DL27" s="278"/>
      <c r="DM27" s="278"/>
      <c r="DN27" s="279"/>
      <c r="DO27" s="277"/>
      <c r="DP27" s="278"/>
      <c r="DQ27" s="278"/>
      <c r="DR27" s="278"/>
      <c r="DS27" s="278"/>
      <c r="DT27" s="278"/>
      <c r="DU27" s="278"/>
      <c r="DV27" s="278"/>
      <c r="DW27" s="278"/>
      <c r="DX27" s="278"/>
      <c r="DY27" s="278"/>
      <c r="DZ27" s="278"/>
      <c r="EA27" s="278"/>
      <c r="EB27" s="278"/>
      <c r="EC27" s="279"/>
      <c r="ED27" s="277"/>
      <c r="EE27" s="278"/>
      <c r="EF27" s="278"/>
      <c r="EG27" s="278"/>
      <c r="EH27" s="278"/>
      <c r="EI27" s="278"/>
      <c r="EJ27" s="278"/>
      <c r="EK27" s="278"/>
      <c r="EL27" s="278"/>
      <c r="EM27" s="278"/>
      <c r="EN27" s="278"/>
      <c r="EO27" s="278"/>
      <c r="EP27" s="278"/>
      <c r="EQ27" s="278"/>
      <c r="ER27" s="279"/>
      <c r="ES27" s="277"/>
      <c r="ET27" s="278"/>
      <c r="EU27" s="278"/>
      <c r="EV27" s="278"/>
      <c r="EW27" s="278"/>
      <c r="EX27" s="278"/>
      <c r="EY27" s="278"/>
      <c r="EZ27" s="278"/>
      <c r="FA27" s="278"/>
      <c r="FB27" s="278"/>
      <c r="FC27" s="278"/>
      <c r="FD27" s="278"/>
      <c r="FE27" s="278"/>
      <c r="FF27" s="278"/>
      <c r="FG27" s="279"/>
      <c r="FH27" s="277"/>
      <c r="FI27" s="278"/>
      <c r="FJ27" s="278"/>
      <c r="FK27" s="278"/>
      <c r="FL27" s="278"/>
      <c r="FM27" s="278"/>
      <c r="FN27" s="278"/>
      <c r="FO27" s="278"/>
      <c r="FP27" s="278"/>
      <c r="FQ27" s="278"/>
      <c r="FR27" s="278"/>
      <c r="FS27" s="278"/>
      <c r="FT27" s="278"/>
      <c r="FU27" s="278"/>
      <c r="FV27" s="279"/>
      <c r="FW27" s="277"/>
      <c r="FX27" s="278"/>
      <c r="FY27" s="278"/>
      <c r="FZ27" s="278"/>
      <c r="GA27" s="278"/>
      <c r="GB27" s="278"/>
      <c r="GC27" s="278"/>
      <c r="GD27" s="278"/>
      <c r="GE27" s="278"/>
      <c r="GF27" s="278"/>
      <c r="GG27" s="278"/>
      <c r="GH27" s="278"/>
      <c r="GI27" s="278"/>
      <c r="GJ27" s="278"/>
      <c r="GK27" s="279"/>
      <c r="GL27" s="277"/>
      <c r="GM27" s="278"/>
      <c r="GN27" s="278"/>
      <c r="GO27" s="278"/>
      <c r="GP27" s="278"/>
      <c r="GQ27" s="278"/>
      <c r="GR27" s="278"/>
      <c r="GS27" s="278"/>
      <c r="GT27" s="278"/>
      <c r="GU27" s="278"/>
      <c r="GV27" s="278"/>
      <c r="GW27" s="278"/>
      <c r="GX27" s="278"/>
      <c r="GY27" s="278"/>
      <c r="GZ27" s="279"/>
      <c r="HA27" s="277"/>
      <c r="HB27" s="278"/>
      <c r="HC27" s="278"/>
      <c r="HD27" s="278"/>
      <c r="HE27" s="278"/>
      <c r="HF27" s="278"/>
      <c r="HG27" s="278"/>
      <c r="HH27" s="278"/>
      <c r="HI27" s="278"/>
      <c r="HJ27" s="278"/>
      <c r="HK27" s="278"/>
      <c r="HL27" s="278"/>
      <c r="HM27" s="278"/>
      <c r="HN27" s="278"/>
      <c r="HO27" s="279"/>
      <c r="HP27" s="277"/>
      <c r="HQ27" s="278"/>
      <c r="HR27" s="278"/>
      <c r="HS27" s="278"/>
      <c r="HT27" s="278"/>
      <c r="HU27" s="278"/>
      <c r="HV27" s="278"/>
      <c r="HW27" s="278"/>
      <c r="HX27" s="278"/>
      <c r="HY27" s="278"/>
      <c r="HZ27" s="278"/>
      <c r="IA27" s="278"/>
      <c r="IB27" s="278"/>
      <c r="IC27" s="278"/>
      <c r="ID27" s="279"/>
      <c r="IE27" s="277"/>
      <c r="IF27" s="278"/>
      <c r="IG27" s="278"/>
      <c r="IH27" s="278"/>
      <c r="II27" s="278"/>
      <c r="IJ27" s="278"/>
      <c r="IK27" s="278"/>
      <c r="IL27" s="278"/>
      <c r="IM27" s="278"/>
      <c r="IN27" s="278"/>
      <c r="IO27" s="278"/>
      <c r="IP27" s="278"/>
      <c r="IQ27" s="278"/>
      <c r="IR27" s="278"/>
      <c r="IS27" s="279"/>
      <c r="IT27" s="3"/>
    </row>
    <row r="28" spans="1:254" ht="30" customHeight="1" x14ac:dyDescent="0.25">
      <c r="A28" s="282" t="s">
        <v>52</v>
      </c>
      <c r="B28" s="280"/>
      <c r="C28" s="280"/>
      <c r="D28" s="280"/>
      <c r="E28" s="280"/>
      <c r="F28" s="280"/>
      <c r="G28" s="280"/>
      <c r="H28" s="280"/>
      <c r="I28" s="280"/>
      <c r="J28" s="280"/>
      <c r="K28" s="280"/>
      <c r="L28" s="280"/>
      <c r="M28" s="280"/>
      <c r="N28" s="280"/>
      <c r="O28" s="281"/>
      <c r="P28" s="278"/>
      <c r="Q28" s="278"/>
      <c r="R28" s="278"/>
      <c r="S28" s="278"/>
      <c r="T28" s="278"/>
      <c r="U28" s="278"/>
      <c r="V28" s="278"/>
      <c r="W28" s="278"/>
      <c r="X28" s="278"/>
      <c r="Y28" s="278"/>
      <c r="Z28" s="278"/>
      <c r="AA28" s="278"/>
      <c r="AB28" s="279"/>
      <c r="AC28" s="277"/>
      <c r="AD28" s="278"/>
      <c r="AE28" s="278"/>
      <c r="AF28" s="278"/>
      <c r="AG28" s="278"/>
      <c r="AH28" s="278"/>
      <c r="AI28" s="278"/>
      <c r="AJ28" s="278"/>
      <c r="AK28" s="278"/>
      <c r="AL28" s="278"/>
      <c r="AM28" s="278"/>
      <c r="AN28" s="278"/>
      <c r="AO28" s="278"/>
      <c r="AP28" s="278"/>
      <c r="AQ28" s="279"/>
      <c r="AR28" s="277"/>
      <c r="AS28" s="278"/>
      <c r="AT28" s="278"/>
      <c r="AU28" s="278"/>
      <c r="AV28" s="278"/>
      <c r="AW28" s="278"/>
      <c r="AX28" s="278"/>
      <c r="AY28" s="278"/>
      <c r="AZ28" s="278"/>
      <c r="BA28" s="278"/>
      <c r="BB28" s="278"/>
      <c r="BC28" s="278"/>
      <c r="BD28" s="278"/>
      <c r="BE28" s="278"/>
      <c r="BF28" s="279"/>
      <c r="BG28" s="277"/>
      <c r="BH28" s="278"/>
      <c r="BI28" s="278"/>
      <c r="BJ28" s="278"/>
      <c r="BK28" s="278"/>
      <c r="BL28" s="278"/>
      <c r="BM28" s="278"/>
      <c r="BN28" s="278"/>
      <c r="BO28" s="278"/>
      <c r="BP28" s="278"/>
      <c r="BQ28" s="278"/>
      <c r="BR28" s="278"/>
      <c r="BS28" s="278"/>
      <c r="BT28" s="278"/>
      <c r="BU28" s="279"/>
      <c r="BV28" s="277"/>
      <c r="BW28" s="278"/>
      <c r="BX28" s="278"/>
      <c r="BY28" s="278"/>
      <c r="BZ28" s="278"/>
      <c r="CA28" s="278"/>
      <c r="CB28" s="278"/>
      <c r="CC28" s="278"/>
      <c r="CD28" s="278"/>
      <c r="CE28" s="278"/>
      <c r="CF28" s="278"/>
      <c r="CG28" s="278"/>
      <c r="CH28" s="278"/>
      <c r="CI28" s="278"/>
      <c r="CJ28" s="279"/>
      <c r="CK28" s="277"/>
      <c r="CL28" s="278"/>
      <c r="CM28" s="278"/>
      <c r="CN28" s="278"/>
      <c r="CO28" s="278"/>
      <c r="CP28" s="278"/>
      <c r="CQ28" s="278"/>
      <c r="CR28" s="278"/>
      <c r="CS28" s="278"/>
      <c r="CT28" s="278"/>
      <c r="CU28" s="278"/>
      <c r="CV28" s="278"/>
      <c r="CW28" s="278"/>
      <c r="CX28" s="278"/>
      <c r="CY28" s="279"/>
      <c r="CZ28" s="277"/>
      <c r="DA28" s="278"/>
      <c r="DB28" s="278"/>
      <c r="DC28" s="278"/>
      <c r="DD28" s="278"/>
      <c r="DE28" s="278"/>
      <c r="DF28" s="278"/>
      <c r="DG28" s="278"/>
      <c r="DH28" s="278"/>
      <c r="DI28" s="278"/>
      <c r="DJ28" s="278"/>
      <c r="DK28" s="278"/>
      <c r="DL28" s="278"/>
      <c r="DM28" s="278"/>
      <c r="DN28" s="279"/>
      <c r="DO28" s="277"/>
      <c r="DP28" s="278"/>
      <c r="DQ28" s="278"/>
      <c r="DR28" s="278"/>
      <c r="DS28" s="278"/>
      <c r="DT28" s="278"/>
      <c r="DU28" s="278"/>
      <c r="DV28" s="278"/>
      <c r="DW28" s="278"/>
      <c r="DX28" s="278"/>
      <c r="DY28" s="278"/>
      <c r="DZ28" s="278"/>
      <c r="EA28" s="278"/>
      <c r="EB28" s="278"/>
      <c r="EC28" s="279"/>
      <c r="ED28" s="277"/>
      <c r="EE28" s="278"/>
      <c r="EF28" s="278"/>
      <c r="EG28" s="278"/>
      <c r="EH28" s="278"/>
      <c r="EI28" s="278"/>
      <c r="EJ28" s="278"/>
      <c r="EK28" s="278"/>
      <c r="EL28" s="278"/>
      <c r="EM28" s="278"/>
      <c r="EN28" s="278"/>
      <c r="EO28" s="278"/>
      <c r="EP28" s="278"/>
      <c r="EQ28" s="278"/>
      <c r="ER28" s="279"/>
      <c r="ES28" s="277"/>
      <c r="ET28" s="278"/>
      <c r="EU28" s="278"/>
      <c r="EV28" s="278"/>
      <c r="EW28" s="278"/>
      <c r="EX28" s="278"/>
      <c r="EY28" s="278"/>
      <c r="EZ28" s="278"/>
      <c r="FA28" s="278"/>
      <c r="FB28" s="278"/>
      <c r="FC28" s="278"/>
      <c r="FD28" s="278"/>
      <c r="FE28" s="278"/>
      <c r="FF28" s="278"/>
      <c r="FG28" s="279"/>
      <c r="FH28" s="277"/>
      <c r="FI28" s="278"/>
      <c r="FJ28" s="278"/>
      <c r="FK28" s="278"/>
      <c r="FL28" s="278"/>
      <c r="FM28" s="278"/>
      <c r="FN28" s="278"/>
      <c r="FO28" s="278"/>
      <c r="FP28" s="278"/>
      <c r="FQ28" s="278"/>
      <c r="FR28" s="278"/>
      <c r="FS28" s="278"/>
      <c r="FT28" s="278"/>
      <c r="FU28" s="278"/>
      <c r="FV28" s="279"/>
      <c r="FW28" s="277"/>
      <c r="FX28" s="278"/>
      <c r="FY28" s="278"/>
      <c r="FZ28" s="278"/>
      <c r="GA28" s="278"/>
      <c r="GB28" s="278"/>
      <c r="GC28" s="278"/>
      <c r="GD28" s="278"/>
      <c r="GE28" s="278"/>
      <c r="GF28" s="278"/>
      <c r="GG28" s="278"/>
      <c r="GH28" s="278"/>
      <c r="GI28" s="278"/>
      <c r="GJ28" s="278"/>
      <c r="GK28" s="279"/>
      <c r="GL28" s="277"/>
      <c r="GM28" s="278"/>
      <c r="GN28" s="278"/>
      <c r="GO28" s="278"/>
      <c r="GP28" s="278"/>
      <c r="GQ28" s="278"/>
      <c r="GR28" s="278"/>
      <c r="GS28" s="278"/>
      <c r="GT28" s="278"/>
      <c r="GU28" s="278"/>
      <c r="GV28" s="278"/>
      <c r="GW28" s="278"/>
      <c r="GX28" s="278"/>
      <c r="GY28" s="278"/>
      <c r="GZ28" s="279"/>
      <c r="HA28" s="277"/>
      <c r="HB28" s="278"/>
      <c r="HC28" s="278"/>
      <c r="HD28" s="278"/>
      <c r="HE28" s="278"/>
      <c r="HF28" s="278"/>
      <c r="HG28" s="278"/>
      <c r="HH28" s="278"/>
      <c r="HI28" s="278"/>
      <c r="HJ28" s="278"/>
      <c r="HK28" s="278"/>
      <c r="HL28" s="278"/>
      <c r="HM28" s="278"/>
      <c r="HN28" s="278"/>
      <c r="HO28" s="279"/>
      <c r="HP28" s="277"/>
      <c r="HQ28" s="278"/>
      <c r="HR28" s="278"/>
      <c r="HS28" s="278"/>
      <c r="HT28" s="278"/>
      <c r="HU28" s="278"/>
      <c r="HV28" s="278"/>
      <c r="HW28" s="278"/>
      <c r="HX28" s="278"/>
      <c r="HY28" s="278"/>
      <c r="HZ28" s="278"/>
      <c r="IA28" s="278"/>
      <c r="IB28" s="278"/>
      <c r="IC28" s="278"/>
      <c r="ID28" s="279"/>
      <c r="IE28" s="277"/>
      <c r="IF28" s="278"/>
      <c r="IG28" s="278"/>
      <c r="IH28" s="278"/>
      <c r="II28" s="278"/>
      <c r="IJ28" s="278"/>
      <c r="IK28" s="278"/>
      <c r="IL28" s="278"/>
      <c r="IM28" s="278"/>
      <c r="IN28" s="278"/>
      <c r="IO28" s="278"/>
      <c r="IP28" s="278"/>
      <c r="IQ28" s="278"/>
      <c r="IR28" s="278"/>
      <c r="IS28" s="279"/>
      <c r="IT28" s="3"/>
    </row>
    <row r="29" spans="1:254" x14ac:dyDescent="0.25">
      <c r="A29" s="282" t="s">
        <v>82</v>
      </c>
      <c r="B29" s="280"/>
      <c r="C29" s="280"/>
      <c r="D29" s="280"/>
      <c r="E29" s="280"/>
      <c r="F29" s="280"/>
      <c r="G29" s="280"/>
      <c r="H29" s="280"/>
      <c r="I29" s="280"/>
      <c r="J29" s="280"/>
      <c r="K29" s="280"/>
      <c r="L29" s="280"/>
      <c r="M29" s="280"/>
      <c r="N29" s="280"/>
      <c r="O29" s="281"/>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row>
    <row r="30" spans="1:254" ht="15" customHeight="1" x14ac:dyDescent="0.25">
      <c r="A30" s="283" t="s">
        <v>811</v>
      </c>
      <c r="B30" s="280"/>
      <c r="C30" s="280"/>
      <c r="D30" s="280"/>
      <c r="E30" s="280"/>
      <c r="F30" s="280"/>
      <c r="G30" s="280"/>
      <c r="H30" s="280"/>
      <c r="I30" s="280"/>
      <c r="J30" s="280"/>
      <c r="K30" s="280"/>
      <c r="L30" s="280"/>
      <c r="M30" s="280"/>
      <c r="N30" s="280"/>
      <c r="O30" s="281"/>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row>
    <row r="31" spans="1:254" ht="30" customHeight="1" x14ac:dyDescent="0.25">
      <c r="A31" s="282" t="s">
        <v>404</v>
      </c>
      <c r="B31" s="280"/>
      <c r="C31" s="280"/>
      <c r="D31" s="280"/>
      <c r="E31" s="280"/>
      <c r="F31" s="280"/>
      <c r="G31" s="280"/>
      <c r="H31" s="280"/>
      <c r="I31" s="280"/>
      <c r="J31" s="280"/>
      <c r="K31" s="280"/>
      <c r="L31" s="280"/>
      <c r="M31" s="280"/>
      <c r="N31" s="280"/>
      <c r="O31" s="281"/>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row>
    <row r="32" spans="1:254" ht="30" customHeight="1" x14ac:dyDescent="0.25">
      <c r="A32" s="282" t="s">
        <v>405</v>
      </c>
      <c r="B32" s="280"/>
      <c r="C32" s="280"/>
      <c r="D32" s="280"/>
      <c r="E32" s="280"/>
      <c r="F32" s="280"/>
      <c r="G32" s="280"/>
      <c r="H32" s="280"/>
      <c r="I32" s="280"/>
      <c r="J32" s="280"/>
      <c r="K32" s="280"/>
      <c r="L32" s="280"/>
      <c r="M32" s="280"/>
      <c r="N32" s="280"/>
      <c r="O32" s="281"/>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pans="1:254" ht="30" customHeight="1" x14ac:dyDescent="0.25">
      <c r="A33" s="283" t="s">
        <v>451</v>
      </c>
      <c r="B33" s="280"/>
      <c r="C33" s="280"/>
      <c r="D33" s="280"/>
      <c r="E33" s="280"/>
      <c r="F33" s="280"/>
      <c r="G33" s="280"/>
      <c r="H33" s="280"/>
      <c r="I33" s="280"/>
      <c r="J33" s="280"/>
      <c r="K33" s="280"/>
      <c r="L33" s="280"/>
      <c r="M33" s="280"/>
      <c r="N33" s="280"/>
      <c r="O33" s="281"/>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pans="1:254" s="2" customFormat="1" x14ac:dyDescent="0.25">
      <c r="A34" s="268"/>
      <c r="B34" s="269"/>
      <c r="C34" s="269"/>
      <c r="D34" s="269"/>
      <c r="E34" s="269"/>
      <c r="F34" s="269"/>
      <c r="G34" s="269"/>
      <c r="H34" s="269"/>
      <c r="I34" s="269"/>
      <c r="J34" s="269"/>
      <c r="K34" s="269"/>
      <c r="L34" s="269"/>
      <c r="M34" s="269"/>
      <c r="N34" s="269"/>
      <c r="O34" s="270"/>
    </row>
    <row r="35" spans="1:254" s="2" customFormat="1" ht="23.25" customHeight="1" x14ac:dyDescent="0.25">
      <c r="A35" s="286" t="s">
        <v>65</v>
      </c>
      <c r="B35" s="287"/>
      <c r="C35" s="287"/>
      <c r="D35" s="287"/>
      <c r="E35" s="287"/>
      <c r="F35" s="287"/>
      <c r="G35" s="287"/>
      <c r="H35" s="287"/>
      <c r="I35" s="287"/>
      <c r="J35" s="287"/>
      <c r="K35" s="287"/>
      <c r="L35" s="287"/>
      <c r="M35" s="287"/>
      <c r="N35" s="287"/>
      <c r="O35" s="288"/>
    </row>
    <row r="36" spans="1:254" s="2" customFormat="1" x14ac:dyDescent="0.25">
      <c r="A36" s="274" t="s">
        <v>805</v>
      </c>
      <c r="B36" s="280" t="s">
        <v>35</v>
      </c>
      <c r="C36" s="280"/>
      <c r="D36" s="280"/>
      <c r="E36" s="280"/>
      <c r="F36" s="280"/>
      <c r="G36" s="280"/>
      <c r="H36" s="280"/>
      <c r="I36" s="280"/>
      <c r="J36" s="280"/>
      <c r="K36" s="280"/>
      <c r="L36" s="280"/>
      <c r="M36" s="280"/>
      <c r="N36" s="280"/>
      <c r="O36" s="281"/>
    </row>
    <row r="37" spans="1:254" s="2" customFormat="1" ht="15" customHeight="1" x14ac:dyDescent="0.25">
      <c r="A37" s="274" t="s">
        <v>443</v>
      </c>
      <c r="B37" s="280" t="s">
        <v>442</v>
      </c>
      <c r="C37" s="280"/>
      <c r="D37" s="280"/>
      <c r="E37" s="280"/>
      <c r="F37" s="280"/>
      <c r="G37" s="280"/>
      <c r="H37" s="280"/>
      <c r="I37" s="280"/>
      <c r="J37" s="280"/>
      <c r="K37" s="280"/>
      <c r="L37" s="280"/>
      <c r="M37" s="280"/>
      <c r="N37" s="280"/>
      <c r="O37" s="281"/>
    </row>
    <row r="38" spans="1:254" s="2" customFormat="1" x14ac:dyDescent="0.25">
      <c r="A38" s="274" t="s">
        <v>54</v>
      </c>
      <c r="B38" s="280" t="s">
        <v>36</v>
      </c>
      <c r="C38" s="280"/>
      <c r="D38" s="280"/>
      <c r="E38" s="280"/>
      <c r="F38" s="280"/>
      <c r="G38" s="280"/>
      <c r="H38" s="280"/>
      <c r="I38" s="280"/>
      <c r="J38" s="280"/>
      <c r="K38" s="280"/>
      <c r="L38" s="280"/>
      <c r="M38" s="280"/>
      <c r="N38" s="280"/>
      <c r="O38" s="281"/>
    </row>
    <row r="39" spans="1:254" s="2" customFormat="1" ht="15" customHeight="1" x14ac:dyDescent="0.25">
      <c r="A39" s="274" t="s">
        <v>288</v>
      </c>
      <c r="B39" s="280" t="s">
        <v>37</v>
      </c>
      <c r="C39" s="280"/>
      <c r="D39" s="280"/>
      <c r="E39" s="280"/>
      <c r="F39" s="280"/>
      <c r="G39" s="280"/>
      <c r="H39" s="280"/>
      <c r="I39" s="280"/>
      <c r="J39" s="280"/>
      <c r="K39" s="280"/>
      <c r="L39" s="280"/>
      <c r="M39" s="280"/>
      <c r="N39" s="280"/>
      <c r="O39" s="281"/>
    </row>
    <row r="40" spans="1:254" s="2" customFormat="1" x14ac:dyDescent="0.25">
      <c r="A40" s="274" t="s">
        <v>53</v>
      </c>
      <c r="B40" s="280" t="s">
        <v>71</v>
      </c>
      <c r="C40" s="280"/>
      <c r="D40" s="280"/>
      <c r="E40" s="280"/>
      <c r="F40" s="280"/>
      <c r="G40" s="280"/>
      <c r="H40" s="280"/>
      <c r="I40" s="280"/>
      <c r="J40" s="280"/>
      <c r="K40" s="280"/>
      <c r="L40" s="280"/>
      <c r="M40" s="280"/>
      <c r="N40" s="280"/>
      <c r="O40" s="281"/>
    </row>
    <row r="41" spans="1:254" s="2" customFormat="1" x14ac:dyDescent="0.25">
      <c r="A41" s="274" t="s">
        <v>55</v>
      </c>
      <c r="B41" s="280" t="s">
        <v>77</v>
      </c>
      <c r="C41" s="280"/>
      <c r="D41" s="280"/>
      <c r="E41" s="280"/>
      <c r="F41" s="280"/>
      <c r="G41" s="280"/>
      <c r="H41" s="280"/>
      <c r="I41" s="280"/>
      <c r="J41" s="280"/>
      <c r="K41" s="280"/>
      <c r="L41" s="280"/>
      <c r="M41" s="280"/>
      <c r="N41" s="280"/>
      <c r="O41" s="281"/>
    </row>
    <row r="42" spans="1:254" s="2" customFormat="1" ht="15" customHeight="1" x14ac:dyDescent="0.25">
      <c r="A42" s="275" t="s">
        <v>64</v>
      </c>
      <c r="B42" s="292" t="s">
        <v>76</v>
      </c>
      <c r="C42" s="292"/>
      <c r="D42" s="292"/>
      <c r="E42" s="292"/>
      <c r="F42" s="292"/>
      <c r="G42" s="292"/>
      <c r="H42" s="292"/>
      <c r="I42" s="292"/>
      <c r="J42" s="292"/>
      <c r="K42" s="292"/>
      <c r="L42" s="292"/>
      <c r="M42" s="292"/>
      <c r="N42" s="292"/>
      <c r="O42" s="293"/>
    </row>
    <row r="43" spans="1:254" s="2" customFormat="1" ht="15" customHeight="1" x14ac:dyDescent="0.25">
      <c r="A43" s="276" t="s">
        <v>804</v>
      </c>
      <c r="B43" s="284" t="s">
        <v>441</v>
      </c>
      <c r="C43" s="284"/>
      <c r="D43" s="284"/>
      <c r="E43" s="284"/>
      <c r="F43" s="284"/>
      <c r="G43" s="284"/>
      <c r="H43" s="284"/>
      <c r="I43" s="284"/>
      <c r="J43" s="284"/>
      <c r="K43" s="284"/>
      <c r="L43" s="284"/>
      <c r="M43" s="284"/>
      <c r="N43" s="284"/>
      <c r="O43" s="285"/>
    </row>
    <row r="44" spans="1:254" x14ac:dyDescent="0.25">
      <c r="A44" s="1"/>
      <c r="B44" s="1"/>
      <c r="C44" s="1"/>
      <c r="D44" s="1"/>
      <c r="E44" s="1"/>
      <c r="F44" s="1"/>
      <c r="G44" s="1"/>
      <c r="H44" s="1"/>
      <c r="I44" s="1"/>
      <c r="J44" s="1"/>
      <c r="K44" s="1"/>
      <c r="L44" s="1"/>
      <c r="M44" s="1"/>
      <c r="N44" s="1"/>
      <c r="O44" s="1"/>
    </row>
    <row r="45" spans="1:254" x14ac:dyDescent="0.25">
      <c r="A45" s="1"/>
      <c r="B45" s="1"/>
      <c r="C45" s="1"/>
      <c r="D45" s="1"/>
      <c r="E45" s="1"/>
      <c r="F45" s="1"/>
      <c r="G45" s="1"/>
      <c r="H45" s="1"/>
      <c r="I45" s="1"/>
      <c r="J45" s="1"/>
      <c r="K45" s="1"/>
      <c r="L45" s="1"/>
      <c r="M45" s="1"/>
      <c r="N45" s="1"/>
      <c r="O45" s="1"/>
    </row>
  </sheetData>
  <sheetProtection password="CD36" sheet="1" objects="1" scenarios="1"/>
  <mergeCells count="118">
    <mergeCell ref="A2:O2"/>
    <mergeCell ref="A26:O26"/>
    <mergeCell ref="A13:O13"/>
    <mergeCell ref="B42:O42"/>
    <mergeCell ref="A16:O16"/>
    <mergeCell ref="B38:O38"/>
    <mergeCell ref="B41:O41"/>
    <mergeCell ref="A4:O4"/>
    <mergeCell ref="A5:O5"/>
    <mergeCell ref="A25:O25"/>
    <mergeCell ref="A35:O35"/>
    <mergeCell ref="B40:O40"/>
    <mergeCell ref="A23:O23"/>
    <mergeCell ref="A22:O22"/>
    <mergeCell ref="B17:O17"/>
    <mergeCell ref="B18:O18"/>
    <mergeCell ref="A20:O20"/>
    <mergeCell ref="B19:O19"/>
    <mergeCell ref="B37:O37"/>
    <mergeCell ref="BG12:BU12"/>
    <mergeCell ref="A28:O28"/>
    <mergeCell ref="A3:O3"/>
    <mergeCell ref="A11:O11"/>
    <mergeCell ref="A15:O15"/>
    <mergeCell ref="A21:O21"/>
    <mergeCell ref="A12:O12"/>
    <mergeCell ref="BG16:BU16"/>
    <mergeCell ref="BG27:BU27"/>
    <mergeCell ref="B43:O43"/>
    <mergeCell ref="B6:O6"/>
    <mergeCell ref="B8:O8"/>
    <mergeCell ref="B9:O9"/>
    <mergeCell ref="B7:O7"/>
    <mergeCell ref="P16:AB16"/>
    <mergeCell ref="AC16:AQ16"/>
    <mergeCell ref="AR16:BF16"/>
    <mergeCell ref="P12:AB12"/>
    <mergeCell ref="P27:AB27"/>
    <mergeCell ref="AC27:AQ27"/>
    <mergeCell ref="AR27:BF27"/>
    <mergeCell ref="AC12:AQ12"/>
    <mergeCell ref="AR12:BF12"/>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IE26:IS26"/>
    <mergeCell ref="P26:AB26"/>
    <mergeCell ref="AC26:AQ26"/>
    <mergeCell ref="AR26:BF26"/>
    <mergeCell ref="BG26:BU26"/>
    <mergeCell ref="BV26:CJ26"/>
    <mergeCell ref="GL26:GZ26"/>
    <mergeCell ref="HA26:HO26"/>
    <mergeCell ref="FW26:GK26"/>
    <mergeCell ref="CZ26:DN26"/>
    <mergeCell ref="DO26:EC26"/>
    <mergeCell ref="ED26:ER26"/>
    <mergeCell ref="ES26:FG26"/>
    <mergeCell ref="FH26:FV26"/>
    <mergeCell ref="HP28:ID28"/>
    <mergeCell ref="BV27:CJ27"/>
    <mergeCell ref="CK26:CY26"/>
    <mergeCell ref="CK27:CY27"/>
    <mergeCell ref="FW27:GK27"/>
    <mergeCell ref="CZ27:DN27"/>
    <mergeCell ref="DO27:EC27"/>
    <mergeCell ref="ED27:ER27"/>
    <mergeCell ref="ES27:FG27"/>
    <mergeCell ref="FH27:FV27"/>
    <mergeCell ref="HP26:ID26"/>
    <mergeCell ref="GL27:GZ27"/>
    <mergeCell ref="HA27:HO27"/>
    <mergeCell ref="HP27:ID27"/>
    <mergeCell ref="IE27:IS27"/>
    <mergeCell ref="B36:O36"/>
    <mergeCell ref="A29:O29"/>
    <mergeCell ref="B39:O39"/>
    <mergeCell ref="A30:O30"/>
    <mergeCell ref="A27:O27"/>
    <mergeCell ref="CZ28:DN28"/>
    <mergeCell ref="P28:AB28"/>
    <mergeCell ref="AC28:AQ28"/>
    <mergeCell ref="AR28:BF28"/>
    <mergeCell ref="BG28:BU28"/>
    <mergeCell ref="A33:O33"/>
    <mergeCell ref="A31:O31"/>
    <mergeCell ref="BV28:CJ28"/>
    <mergeCell ref="CK28:CY28"/>
    <mergeCell ref="A32:O32"/>
    <mergeCell ref="IE28:IS28"/>
    <mergeCell ref="DO28:EC28"/>
    <mergeCell ref="ED28:ER28"/>
    <mergeCell ref="ES28:FG28"/>
    <mergeCell ref="FH28:FV28"/>
    <mergeCell ref="FW28:GK28"/>
    <mergeCell ref="GL28:GZ28"/>
    <mergeCell ref="HA28:HO28"/>
  </mergeCells>
  <phoneticPr fontId="48" type="noConversion"/>
  <hyperlinks>
    <hyperlink ref="A40" location="Summary!A1" display="Summary"/>
    <hyperlink ref="A39" location="Demand!A1" display="Demand"/>
    <hyperlink ref="A38" location="Capacity!A1" display="Capacity"/>
    <hyperlink ref="A41" location="Graphs!A1" display="Graphs"/>
    <hyperlink ref="A36" location="Demand!A1" display="Demand"/>
    <hyperlink ref="A42" location="Calculations!A1" display="Calculations"/>
    <hyperlink ref="A43" location="'Backlog Clearance'!A1" display="Backlog Clearance"/>
    <hyperlink ref="A37" location="SPC!A1" display="SPC"/>
  </hyperlinks>
  <pageMargins left="0.39370078740157483" right="0.39370078740157483" top="0.78740157480314965" bottom="0.59055118110236215" header="0.19685039370078741" footer="0"/>
  <pageSetup paperSize="9" scale="67" orientation="portrait" errors="blank" r:id="rId1"/>
  <headerFooter>
    <oddHeader>&amp;R&amp;G</oddHeader>
  </headerFooter>
  <rowBreaks count="1" manualBreakCount="1">
    <brk id="24"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A817"/>
  <sheetViews>
    <sheetView showGridLines="0" showRowColHeaders="0" zoomScaleNormal="100" workbookViewId="0">
      <selection activeCell="C13" sqref="C13"/>
    </sheetView>
  </sheetViews>
  <sheetFormatPr defaultRowHeight="15" x14ac:dyDescent="0.25"/>
  <cols>
    <col min="1" max="2" width="8.28515625" customWidth="1"/>
    <col min="3" max="3" width="11.85546875" customWidth="1"/>
    <col min="4" max="7" width="10.28515625" customWidth="1"/>
    <col min="8" max="8" width="21.5703125" customWidth="1"/>
    <col min="9" max="9" width="11.42578125" customWidth="1"/>
    <col min="10" max="11" width="13.42578125" customWidth="1"/>
    <col min="12" max="12" width="11" style="12" customWidth="1"/>
    <col min="13" max="13" width="8.28515625" style="40" customWidth="1"/>
    <col min="14" max="14" width="8" style="40" customWidth="1"/>
    <col min="15" max="15" width="8.28515625" style="40" customWidth="1"/>
    <col min="16" max="16" width="8.140625" style="9" customWidth="1"/>
  </cols>
  <sheetData>
    <row r="2" spans="1:27" ht="54" customHeight="1" x14ac:dyDescent="0.25">
      <c r="A2" s="300" t="str">
        <f>"Your Data - " &amp; ModelName</f>
        <v>Your Data - The NHS IMAS IST Admitted Care Demand and Capacity (D&amp;C) Model</v>
      </c>
      <c r="B2" s="301"/>
      <c r="C2" s="301"/>
      <c r="D2" s="301"/>
      <c r="E2" s="301"/>
      <c r="F2" s="301"/>
      <c r="G2" s="301"/>
      <c r="H2" s="301"/>
      <c r="I2" s="301"/>
      <c r="J2" s="301"/>
      <c r="K2" s="301"/>
      <c r="L2" s="302"/>
      <c r="M2" s="38"/>
      <c r="N2" s="38"/>
      <c r="O2" s="38"/>
      <c r="P2" s="36"/>
    </row>
    <row r="3" spans="1:27" s="2" customFormat="1" ht="23.25" customHeight="1" x14ac:dyDescent="0.25">
      <c r="A3" s="311" t="s">
        <v>395</v>
      </c>
      <c r="B3" s="312"/>
      <c r="C3" s="312"/>
      <c r="D3" s="312"/>
      <c r="E3" s="312"/>
      <c r="F3" s="312"/>
      <c r="G3" s="312"/>
      <c r="H3" s="312"/>
      <c r="I3" s="312"/>
      <c r="J3" s="312"/>
      <c r="K3" s="312"/>
      <c r="L3" s="312"/>
      <c r="M3" s="39"/>
      <c r="N3" s="39"/>
      <c r="O3" s="39"/>
      <c r="P3" s="35"/>
    </row>
    <row r="4" spans="1:27" ht="15.75" thickBot="1" x14ac:dyDescent="0.3">
      <c r="A4" s="18"/>
    </row>
    <row r="5" spans="1:27" ht="15" customHeight="1" x14ac:dyDescent="0.25">
      <c r="A5" s="18"/>
      <c r="B5" s="26" t="s">
        <v>285</v>
      </c>
      <c r="C5" s="4"/>
      <c r="D5" s="4"/>
      <c r="E5" s="4"/>
      <c r="F5" s="4"/>
      <c r="G5" s="4"/>
      <c r="H5" s="4"/>
      <c r="I5" s="307" t="s">
        <v>419</v>
      </c>
      <c r="J5" s="308"/>
    </row>
    <row r="6" spans="1:27" ht="15" customHeight="1" x14ac:dyDescent="0.25">
      <c r="A6" s="18"/>
      <c r="B6" s="315" t="s">
        <v>788</v>
      </c>
      <c r="C6" s="316"/>
      <c r="D6" s="316"/>
      <c r="E6" s="316"/>
      <c r="F6" s="316"/>
      <c r="G6" s="317"/>
      <c r="I6" s="309"/>
      <c r="J6" s="310"/>
    </row>
    <row r="7" spans="1:27" ht="15" customHeight="1" x14ac:dyDescent="0.25">
      <c r="A7" s="18"/>
      <c r="B7" s="303" t="s">
        <v>384</v>
      </c>
      <c r="C7" s="303"/>
      <c r="D7" s="303"/>
      <c r="E7" s="303"/>
      <c r="F7" s="303"/>
      <c r="G7" s="303"/>
      <c r="H7" s="303"/>
      <c r="I7" s="305">
        <f>J8</f>
        <v>0</v>
      </c>
      <c r="J7" s="306"/>
    </row>
    <row r="8" spans="1:27" ht="15.75" customHeight="1" thickBot="1" x14ac:dyDescent="0.3">
      <c r="A8" s="18"/>
      <c r="B8" s="315" t="s">
        <v>789</v>
      </c>
      <c r="C8" s="318"/>
      <c r="D8" s="318"/>
      <c r="E8" s="318"/>
      <c r="F8" s="318"/>
      <c r="G8" s="319"/>
      <c r="I8" s="102"/>
      <c r="J8" s="103">
        <v>0</v>
      </c>
    </row>
    <row r="9" spans="1:27" ht="15.75" thickBot="1" x14ac:dyDescent="0.3">
      <c r="A9" s="18"/>
      <c r="B9" s="15"/>
      <c r="C9" s="15"/>
      <c r="D9" s="15"/>
      <c r="E9" s="322"/>
      <c r="F9" s="322"/>
      <c r="G9" s="322"/>
      <c r="H9" s="15"/>
    </row>
    <row r="10" spans="1:27" ht="15.75" customHeight="1" thickBot="1" x14ac:dyDescent="0.3">
      <c r="A10" s="52"/>
      <c r="B10" s="313" t="s">
        <v>406</v>
      </c>
      <c r="C10" s="314"/>
      <c r="G10" s="304" t="str">
        <f ca="1">IF(DTAsPerWeek&gt;0,CONCATENATE("Mean Decisions to Admit per week: ",TEXT(DTAsPerWeek,"#.#")),"")</f>
        <v/>
      </c>
      <c r="H10" s="304"/>
      <c r="I10" s="304"/>
      <c r="J10" s="304"/>
      <c r="K10" s="249" t="str">
        <f>IF(Split=0,"","*Based on split at week "&amp;Split)</f>
        <v/>
      </c>
    </row>
    <row r="11" spans="1:27" ht="15.75" customHeight="1" x14ac:dyDescent="0.25">
      <c r="A11" s="52"/>
      <c r="B11" s="323" t="s">
        <v>74</v>
      </c>
      <c r="C11" s="320" t="s">
        <v>415</v>
      </c>
      <c r="D11" s="320" t="s">
        <v>418</v>
      </c>
      <c r="E11" s="327" t="s">
        <v>417</v>
      </c>
      <c r="F11" s="27"/>
      <c r="G11" s="304" t="str">
        <f ca="1">IF(DTAsPerWeek&gt;0,CONCATENATE("Mean ROTT per week: ",ROUND(AVERAGE(ROTTRange),1),IF(Split&gt;0,"*","")),"")</f>
        <v/>
      </c>
      <c r="H11" s="304"/>
      <c r="I11" s="304"/>
      <c r="J11" s="304"/>
      <c r="K11" s="253"/>
      <c r="L11" s="254"/>
      <c r="M11" s="255"/>
      <c r="N11" s="255"/>
      <c r="O11" s="255"/>
      <c r="P11" s="256"/>
      <c r="Q11" s="252"/>
      <c r="R11" s="252"/>
    </row>
    <row r="12" spans="1:27" ht="15.75" customHeight="1" thickBot="1" x14ac:dyDescent="0.3">
      <c r="A12" s="52"/>
      <c r="B12" s="324"/>
      <c r="C12" s="321"/>
      <c r="D12" s="321"/>
      <c r="E12" s="328"/>
      <c r="F12" s="27"/>
      <c r="G12" s="304"/>
      <c r="H12" s="304"/>
      <c r="I12" s="304"/>
      <c r="J12" s="304"/>
      <c r="K12" s="253"/>
      <c r="L12" s="34"/>
      <c r="M12" s="24"/>
      <c r="N12" s="24"/>
      <c r="O12" s="24"/>
      <c r="Q12" s="261"/>
      <c r="R12" s="261"/>
      <c r="S12" s="261"/>
      <c r="T12" s="261"/>
      <c r="U12" s="261"/>
      <c r="V12" s="261"/>
    </row>
    <row r="13" spans="1:27" ht="15" customHeight="1" x14ac:dyDescent="0.25">
      <c r="A13" s="250">
        <f>IF(C13=0,0,B13)</f>
        <v>0</v>
      </c>
      <c r="B13" s="106">
        <f t="array" aca="1" ref="B13:B64" ca="1">ROW(INDIRECT("1:52"))</f>
        <v>1</v>
      </c>
      <c r="C13" s="107"/>
      <c r="D13" s="107"/>
      <c r="E13" s="108"/>
      <c r="F13" s="37"/>
      <c r="G13" s="329" t="s">
        <v>454</v>
      </c>
      <c r="H13" s="330"/>
      <c r="I13" s="330"/>
      <c r="J13" s="331"/>
      <c r="K13" s="253"/>
      <c r="L13" s="34"/>
      <c r="M13" s="258">
        <f t="array" ref="M13:M64" ca="1">IF(B13:B64=IF(Split=0,1,Split),-3,IF(B13:B64&gt;Split,(6/(ROWS(CalculationRange)-1))+M12:M63,0))</f>
        <v>-3</v>
      </c>
      <c r="N13" s="259" t="e">
        <f t="array" aca="1" ref="N13:N64" ca="1">($M13:$M64*Deviation+IF(Split=0,Mean,Mean2))</f>
        <v>#REF!</v>
      </c>
      <c r="O13" s="259" t="e">
        <f t="array" aca="1" ref="O13:O64" ca="1">NORMDIST(N13:N64,IF(Split=0,Mean,Mean2),Deviation,FALSE)</f>
        <v>#REF!</v>
      </c>
      <c r="P13" s="64"/>
      <c r="Q13" s="260">
        <f>C13-D13</f>
        <v>0</v>
      </c>
      <c r="R13" s="9"/>
      <c r="S13" s="261"/>
      <c r="T13" s="261"/>
      <c r="U13" s="261"/>
      <c r="V13" s="261"/>
      <c r="W13" s="67"/>
      <c r="X13" s="67"/>
      <c r="Y13" s="67"/>
      <c r="Z13" s="67"/>
      <c r="AA13" s="67"/>
    </row>
    <row r="14" spans="1:27" ht="15" customHeight="1" x14ac:dyDescent="0.25">
      <c r="A14" s="250">
        <f t="shared" ref="A14:A64" si="0">IF(C14=0,0,B14)</f>
        <v>0</v>
      </c>
      <c r="B14" s="109">
        <f ca="1"/>
        <v>2</v>
      </c>
      <c r="C14" s="110"/>
      <c r="D14" s="110"/>
      <c r="E14" s="111"/>
      <c r="F14" s="37"/>
      <c r="G14" s="332" t="s">
        <v>806</v>
      </c>
      <c r="H14" s="333"/>
      <c r="I14" s="333"/>
      <c r="J14" s="334"/>
      <c r="K14" s="257"/>
      <c r="L14" s="262"/>
      <c r="M14" s="258" t="e">
        <f ca="1"/>
        <v>#REF!</v>
      </c>
      <c r="N14" s="259" t="e">
        <f ca="1"/>
        <v>#REF!</v>
      </c>
      <c r="O14" s="259" t="e">
        <f ca="1"/>
        <v>#REF!</v>
      </c>
      <c r="P14" s="64"/>
      <c r="Q14" s="260">
        <f t="shared" ref="Q14:Q64" si="1">C14-D14</f>
        <v>0</v>
      </c>
      <c r="R14" s="9"/>
      <c r="S14" s="261"/>
      <c r="T14" s="261"/>
      <c r="U14" s="261"/>
      <c r="V14" s="261"/>
      <c r="W14" s="67"/>
      <c r="X14" s="67"/>
      <c r="Y14" s="67"/>
      <c r="Z14" s="67"/>
      <c r="AA14" s="67"/>
    </row>
    <row r="15" spans="1:27" x14ac:dyDescent="0.25">
      <c r="A15" s="250">
        <f t="shared" si="0"/>
        <v>0</v>
      </c>
      <c r="B15" s="109">
        <f ca="1"/>
        <v>3</v>
      </c>
      <c r="C15" s="110"/>
      <c r="D15" s="110"/>
      <c r="E15" s="111"/>
      <c r="F15" s="37"/>
      <c r="G15" s="332"/>
      <c r="H15" s="333"/>
      <c r="I15" s="333"/>
      <c r="J15" s="334"/>
      <c r="K15" s="257"/>
      <c r="L15" s="262"/>
      <c r="M15" s="258" t="e">
        <f ca="1"/>
        <v>#REF!</v>
      </c>
      <c r="N15" s="259" t="e">
        <f ca="1"/>
        <v>#REF!</v>
      </c>
      <c r="O15" s="259" t="e">
        <f ca="1"/>
        <v>#REF!</v>
      </c>
      <c r="P15" s="64"/>
      <c r="Q15" s="260">
        <f t="shared" si="1"/>
        <v>0</v>
      </c>
      <c r="R15" s="9"/>
      <c r="S15" s="261"/>
      <c r="T15" s="261"/>
      <c r="U15" s="261"/>
      <c r="V15" s="261"/>
      <c r="W15" s="67"/>
      <c r="X15" s="67"/>
      <c r="Y15" s="67"/>
      <c r="Z15" s="67"/>
      <c r="AA15" s="67"/>
    </row>
    <row r="16" spans="1:27" x14ac:dyDescent="0.25">
      <c r="A16" s="250">
        <f t="shared" si="0"/>
        <v>0</v>
      </c>
      <c r="B16" s="109">
        <f ca="1"/>
        <v>4</v>
      </c>
      <c r="C16" s="110"/>
      <c r="D16" s="110"/>
      <c r="E16" s="111"/>
      <c r="F16" s="37"/>
      <c r="G16" s="332"/>
      <c r="H16" s="333"/>
      <c r="I16" s="333"/>
      <c r="J16" s="334"/>
      <c r="K16" s="257"/>
      <c r="L16" s="262"/>
      <c r="M16" s="258" t="e">
        <f ca="1"/>
        <v>#REF!</v>
      </c>
      <c r="N16" s="259" t="e">
        <f ca="1"/>
        <v>#REF!</v>
      </c>
      <c r="O16" s="259" t="e">
        <f ca="1"/>
        <v>#REF!</v>
      </c>
      <c r="P16" s="64"/>
      <c r="Q16" s="260">
        <f t="shared" si="1"/>
        <v>0</v>
      </c>
      <c r="R16" s="9"/>
      <c r="S16" s="261"/>
      <c r="T16" s="261"/>
      <c r="U16" s="261"/>
      <c r="V16" s="261"/>
      <c r="W16" s="67"/>
      <c r="X16" s="67"/>
      <c r="Y16" s="67"/>
      <c r="Z16" s="67"/>
      <c r="AA16" s="67"/>
    </row>
    <row r="17" spans="1:27" ht="15.75" thickBot="1" x14ac:dyDescent="0.3">
      <c r="A17" s="250">
        <f t="shared" si="0"/>
        <v>0</v>
      </c>
      <c r="B17" s="109">
        <f ca="1"/>
        <v>5</v>
      </c>
      <c r="C17" s="110"/>
      <c r="D17" s="110"/>
      <c r="E17" s="111"/>
      <c r="F17" s="37"/>
      <c r="G17" s="335"/>
      <c r="H17" s="336"/>
      <c r="I17" s="336"/>
      <c r="J17" s="337"/>
      <c r="K17" s="257"/>
      <c r="L17" s="262"/>
      <c r="M17" s="258" t="e">
        <f ca="1"/>
        <v>#REF!</v>
      </c>
      <c r="N17" s="259" t="e">
        <f ca="1"/>
        <v>#REF!</v>
      </c>
      <c r="O17" s="259" t="e">
        <f ca="1"/>
        <v>#REF!</v>
      </c>
      <c r="P17" s="64"/>
      <c r="Q17" s="260">
        <f t="shared" si="1"/>
        <v>0</v>
      </c>
      <c r="R17" s="9"/>
      <c r="S17" s="261"/>
      <c r="T17" s="261"/>
      <c r="U17" s="261"/>
      <c r="V17" s="261"/>
      <c r="W17" s="67"/>
      <c r="X17" s="67"/>
      <c r="Y17" s="67"/>
      <c r="Z17" s="67"/>
      <c r="AA17" s="67"/>
    </row>
    <row r="18" spans="1:27" ht="15.75" thickBot="1" x14ac:dyDescent="0.3">
      <c r="A18" s="250">
        <f t="shared" si="0"/>
        <v>0</v>
      </c>
      <c r="B18" s="109">
        <f ca="1"/>
        <v>6</v>
      </c>
      <c r="C18" s="110"/>
      <c r="D18" s="110"/>
      <c r="E18" s="111"/>
      <c r="F18" s="37"/>
      <c r="G18" s="257"/>
      <c r="H18" s="257"/>
      <c r="I18" s="257"/>
      <c r="J18" s="257"/>
      <c r="K18" s="257"/>
      <c r="L18" s="262"/>
      <c r="M18" s="258" t="e">
        <f ca="1"/>
        <v>#REF!</v>
      </c>
      <c r="N18" s="259" t="e">
        <f ca="1"/>
        <v>#REF!</v>
      </c>
      <c r="O18" s="259" t="e">
        <f ca="1"/>
        <v>#REF!</v>
      </c>
      <c r="P18" s="64"/>
      <c r="Q18" s="260">
        <f t="shared" si="1"/>
        <v>0</v>
      </c>
      <c r="R18" s="9"/>
      <c r="S18" s="261"/>
      <c r="T18" s="261"/>
      <c r="U18" s="261"/>
      <c r="V18" s="261"/>
      <c r="W18" s="67"/>
      <c r="X18" s="67"/>
      <c r="Y18" s="67"/>
      <c r="Z18" s="67"/>
      <c r="AA18" s="67"/>
    </row>
    <row r="19" spans="1:27" ht="15" customHeight="1" x14ac:dyDescent="0.25">
      <c r="A19" s="250">
        <f t="shared" si="0"/>
        <v>0</v>
      </c>
      <c r="B19" s="109">
        <f ca="1"/>
        <v>7</v>
      </c>
      <c r="C19" s="110"/>
      <c r="D19" s="110"/>
      <c r="E19" s="111"/>
      <c r="F19" s="37"/>
      <c r="G19" s="338" t="s">
        <v>817</v>
      </c>
      <c r="H19" s="339"/>
      <c r="I19" s="339"/>
      <c r="J19" s="340"/>
      <c r="K19" s="257"/>
      <c r="L19" s="262"/>
      <c r="M19" s="258" t="e">
        <f ca="1"/>
        <v>#REF!</v>
      </c>
      <c r="N19" s="259" t="e">
        <f ca="1"/>
        <v>#REF!</v>
      </c>
      <c r="O19" s="259" t="e">
        <f ca="1"/>
        <v>#REF!</v>
      </c>
      <c r="P19" s="64"/>
      <c r="Q19" s="260">
        <f t="shared" si="1"/>
        <v>0</v>
      </c>
      <c r="R19" s="9"/>
      <c r="S19" s="261"/>
      <c r="T19" s="261"/>
      <c r="U19" s="261"/>
      <c r="V19" s="261"/>
      <c r="W19" s="67"/>
      <c r="X19" s="67"/>
      <c r="Y19" s="67"/>
      <c r="Z19" s="67"/>
      <c r="AA19" s="67"/>
    </row>
    <row r="20" spans="1:27" x14ac:dyDescent="0.25">
      <c r="A20" s="250">
        <f t="shared" si="0"/>
        <v>0</v>
      </c>
      <c r="B20" s="109">
        <f ca="1"/>
        <v>8</v>
      </c>
      <c r="C20" s="110"/>
      <c r="D20" s="110"/>
      <c r="E20" s="111"/>
      <c r="F20" s="37"/>
      <c r="G20" s="341"/>
      <c r="H20" s="342"/>
      <c r="I20" s="342"/>
      <c r="J20" s="343"/>
      <c r="K20" s="253"/>
      <c r="L20" s="9"/>
      <c r="M20" s="258" t="e">
        <f ca="1"/>
        <v>#REF!</v>
      </c>
      <c r="N20" s="259" t="e">
        <f ca="1"/>
        <v>#REF!</v>
      </c>
      <c r="O20" s="259" t="e">
        <f ca="1"/>
        <v>#REF!</v>
      </c>
      <c r="P20" s="64"/>
      <c r="Q20" s="260">
        <f t="shared" si="1"/>
        <v>0</v>
      </c>
      <c r="R20" s="9"/>
      <c r="S20" s="261"/>
      <c r="T20" s="261"/>
      <c r="U20" s="261"/>
      <c r="V20" s="261"/>
      <c r="W20" s="67"/>
      <c r="X20" s="67"/>
      <c r="Y20" s="67"/>
      <c r="Z20" s="67"/>
      <c r="AA20" s="67"/>
    </row>
    <row r="21" spans="1:27" x14ac:dyDescent="0.25">
      <c r="A21" s="250">
        <f t="shared" si="0"/>
        <v>0</v>
      </c>
      <c r="B21" s="109">
        <f ca="1"/>
        <v>9</v>
      </c>
      <c r="C21" s="110"/>
      <c r="D21" s="110"/>
      <c r="E21" s="111"/>
      <c r="F21" s="37"/>
      <c r="G21" s="341"/>
      <c r="H21" s="342"/>
      <c r="I21" s="342"/>
      <c r="J21" s="343"/>
      <c r="K21" s="253"/>
      <c r="L21" s="9"/>
      <c r="M21" s="258" t="e">
        <f ca="1"/>
        <v>#REF!</v>
      </c>
      <c r="N21" s="259" t="e">
        <f ca="1"/>
        <v>#REF!</v>
      </c>
      <c r="O21" s="259" t="e">
        <f ca="1"/>
        <v>#REF!</v>
      </c>
      <c r="P21" s="64"/>
      <c r="Q21" s="260">
        <f t="shared" si="1"/>
        <v>0</v>
      </c>
      <c r="R21" s="9"/>
      <c r="S21" s="261"/>
      <c r="T21" s="261"/>
      <c r="U21" s="261"/>
      <c r="V21" s="261"/>
      <c r="W21" s="67"/>
      <c r="X21" s="67"/>
      <c r="Y21" s="67"/>
      <c r="Z21" s="67"/>
      <c r="AA21" s="67"/>
    </row>
    <row r="22" spans="1:27" x14ac:dyDescent="0.25">
      <c r="A22" s="250">
        <f t="shared" si="0"/>
        <v>0</v>
      </c>
      <c r="B22" s="109">
        <f ca="1"/>
        <v>10</v>
      </c>
      <c r="C22" s="110"/>
      <c r="D22" s="110"/>
      <c r="E22" s="111"/>
      <c r="F22" s="37"/>
      <c r="G22" s="341"/>
      <c r="H22" s="342"/>
      <c r="I22" s="342"/>
      <c r="J22" s="343"/>
      <c r="K22" s="253"/>
      <c r="L22" s="9"/>
      <c r="M22" s="258" t="e">
        <f ca="1"/>
        <v>#REF!</v>
      </c>
      <c r="N22" s="259" t="e">
        <f ca="1"/>
        <v>#REF!</v>
      </c>
      <c r="O22" s="259" t="e">
        <f ca="1"/>
        <v>#REF!</v>
      </c>
      <c r="P22" s="64"/>
      <c r="Q22" s="260">
        <f t="shared" si="1"/>
        <v>0</v>
      </c>
      <c r="R22" s="9"/>
      <c r="S22" s="261"/>
      <c r="T22" s="261"/>
      <c r="U22" s="261"/>
      <c r="V22" s="261"/>
      <c r="W22" s="67"/>
      <c r="X22" s="67"/>
      <c r="Y22" s="67"/>
      <c r="Z22" s="67"/>
      <c r="AA22" s="67"/>
    </row>
    <row r="23" spans="1:27" x14ac:dyDescent="0.25">
      <c r="A23" s="250">
        <f t="shared" si="0"/>
        <v>0</v>
      </c>
      <c r="B23" s="109">
        <f ca="1"/>
        <v>11</v>
      </c>
      <c r="C23" s="110"/>
      <c r="D23" s="110"/>
      <c r="E23" s="111"/>
      <c r="F23" s="37"/>
      <c r="G23" s="341"/>
      <c r="H23" s="342"/>
      <c r="I23" s="342"/>
      <c r="J23" s="343"/>
      <c r="K23" s="253"/>
      <c r="L23" s="9"/>
      <c r="M23" s="258" t="e">
        <f ca="1"/>
        <v>#REF!</v>
      </c>
      <c r="N23" s="259" t="e">
        <f ca="1"/>
        <v>#REF!</v>
      </c>
      <c r="O23" s="259" t="e">
        <f ca="1"/>
        <v>#REF!</v>
      </c>
      <c r="P23" s="64"/>
      <c r="Q23" s="260">
        <f t="shared" si="1"/>
        <v>0</v>
      </c>
      <c r="R23" s="9"/>
      <c r="S23" s="261"/>
      <c r="T23" s="261"/>
      <c r="U23" s="261"/>
      <c r="V23" s="261"/>
      <c r="W23" s="67"/>
      <c r="X23" s="67"/>
      <c r="Y23" s="67"/>
      <c r="Z23" s="67"/>
      <c r="AA23" s="67"/>
    </row>
    <row r="24" spans="1:27" x14ac:dyDescent="0.25">
      <c r="A24" s="250">
        <f t="shared" si="0"/>
        <v>0</v>
      </c>
      <c r="B24" s="109">
        <f ca="1"/>
        <v>12</v>
      </c>
      <c r="C24" s="110"/>
      <c r="D24" s="110"/>
      <c r="E24" s="111"/>
      <c r="F24" s="37"/>
      <c r="G24" s="341"/>
      <c r="H24" s="342"/>
      <c r="I24" s="342"/>
      <c r="J24" s="343"/>
      <c r="K24" s="253"/>
      <c r="L24" s="9"/>
      <c r="M24" s="258" t="e">
        <f ca="1"/>
        <v>#REF!</v>
      </c>
      <c r="N24" s="259" t="e">
        <f ca="1"/>
        <v>#REF!</v>
      </c>
      <c r="O24" s="259" t="e">
        <f ca="1"/>
        <v>#REF!</v>
      </c>
      <c r="P24" s="64"/>
      <c r="Q24" s="260">
        <f t="shared" si="1"/>
        <v>0</v>
      </c>
      <c r="R24" s="9"/>
      <c r="S24" s="261"/>
      <c r="T24" s="261"/>
      <c r="U24" s="261"/>
      <c r="V24" s="261"/>
      <c r="W24" s="67"/>
      <c r="X24" s="67"/>
      <c r="Y24" s="67"/>
      <c r="Z24" s="67"/>
      <c r="AA24" s="67"/>
    </row>
    <row r="25" spans="1:27" x14ac:dyDescent="0.25">
      <c r="A25" s="250">
        <f t="shared" si="0"/>
        <v>0</v>
      </c>
      <c r="B25" s="109">
        <f ca="1"/>
        <v>13</v>
      </c>
      <c r="C25" s="110"/>
      <c r="D25" s="110"/>
      <c r="E25" s="111"/>
      <c r="F25" s="37"/>
      <c r="G25" s="341"/>
      <c r="H25" s="342"/>
      <c r="I25" s="342"/>
      <c r="J25" s="343"/>
      <c r="K25" s="253"/>
      <c r="L25" s="9"/>
      <c r="M25" s="258" t="e">
        <f ca="1"/>
        <v>#REF!</v>
      </c>
      <c r="N25" s="259" t="e">
        <f ca="1"/>
        <v>#REF!</v>
      </c>
      <c r="O25" s="259" t="e">
        <f ca="1"/>
        <v>#REF!</v>
      </c>
      <c r="P25" s="64"/>
      <c r="Q25" s="260">
        <f t="shared" si="1"/>
        <v>0</v>
      </c>
      <c r="R25" s="9"/>
      <c r="S25" s="261"/>
      <c r="T25" s="261"/>
      <c r="U25" s="261"/>
      <c r="V25" s="261"/>
      <c r="W25" s="67"/>
      <c r="X25" s="67"/>
      <c r="Y25" s="67"/>
      <c r="Z25" s="67"/>
      <c r="AA25" s="67"/>
    </row>
    <row r="26" spans="1:27" x14ac:dyDescent="0.25">
      <c r="A26" s="250">
        <f t="shared" si="0"/>
        <v>0</v>
      </c>
      <c r="B26" s="109">
        <f ca="1"/>
        <v>14</v>
      </c>
      <c r="C26" s="110"/>
      <c r="D26" s="110"/>
      <c r="E26" s="111"/>
      <c r="F26" s="37"/>
      <c r="G26" s="341"/>
      <c r="H26" s="342"/>
      <c r="I26" s="342"/>
      <c r="J26" s="343"/>
      <c r="K26" s="253"/>
      <c r="L26" s="9"/>
      <c r="M26" s="258" t="e">
        <f ca="1"/>
        <v>#REF!</v>
      </c>
      <c r="N26" s="259" t="e">
        <f ca="1"/>
        <v>#REF!</v>
      </c>
      <c r="O26" s="259" t="e">
        <f ca="1"/>
        <v>#REF!</v>
      </c>
      <c r="P26" s="64"/>
      <c r="Q26" s="260">
        <f t="shared" si="1"/>
        <v>0</v>
      </c>
      <c r="R26" s="9"/>
      <c r="S26" s="261"/>
      <c r="T26" s="261"/>
      <c r="U26" s="261"/>
      <c r="V26" s="261"/>
      <c r="W26" s="67"/>
      <c r="X26" s="67"/>
      <c r="Y26" s="67"/>
      <c r="Z26" s="67"/>
      <c r="AA26" s="67"/>
    </row>
    <row r="27" spans="1:27" x14ac:dyDescent="0.25">
      <c r="A27" s="250">
        <f t="shared" si="0"/>
        <v>0</v>
      </c>
      <c r="B27" s="109">
        <f ca="1"/>
        <v>15</v>
      </c>
      <c r="C27" s="110"/>
      <c r="D27" s="110"/>
      <c r="E27" s="111"/>
      <c r="F27" s="37"/>
      <c r="G27" s="341"/>
      <c r="H27" s="342"/>
      <c r="I27" s="342"/>
      <c r="J27" s="343"/>
      <c r="K27" s="253"/>
      <c r="L27" s="9"/>
      <c r="M27" s="258" t="e">
        <f ca="1"/>
        <v>#REF!</v>
      </c>
      <c r="N27" s="259" t="e">
        <f ca="1"/>
        <v>#REF!</v>
      </c>
      <c r="O27" s="259" t="e">
        <f ca="1"/>
        <v>#REF!</v>
      </c>
      <c r="P27" s="64"/>
      <c r="Q27" s="260">
        <f t="shared" si="1"/>
        <v>0</v>
      </c>
      <c r="R27" s="9"/>
      <c r="S27" s="261"/>
      <c r="T27" s="261"/>
      <c r="U27" s="261"/>
      <c r="V27" s="261"/>
      <c r="W27" s="67"/>
      <c r="X27" s="67"/>
      <c r="Y27" s="67"/>
      <c r="Z27" s="67"/>
      <c r="AA27" s="67"/>
    </row>
    <row r="28" spans="1:27" x14ac:dyDescent="0.25">
      <c r="A28" s="250">
        <f t="shared" si="0"/>
        <v>0</v>
      </c>
      <c r="B28" s="109">
        <f ca="1"/>
        <v>16</v>
      </c>
      <c r="C28" s="110"/>
      <c r="D28" s="110"/>
      <c r="E28" s="111"/>
      <c r="F28" s="37"/>
      <c r="G28" s="341"/>
      <c r="H28" s="342"/>
      <c r="I28" s="342"/>
      <c r="J28" s="343"/>
      <c r="K28" s="253"/>
      <c r="L28" s="9"/>
      <c r="M28" s="258" t="e">
        <f ca="1"/>
        <v>#REF!</v>
      </c>
      <c r="N28" s="259" t="e">
        <f ca="1"/>
        <v>#REF!</v>
      </c>
      <c r="O28" s="259" t="e">
        <f ca="1"/>
        <v>#REF!</v>
      </c>
      <c r="P28" s="64"/>
      <c r="Q28" s="260">
        <f t="shared" si="1"/>
        <v>0</v>
      </c>
      <c r="R28" s="9"/>
      <c r="S28" s="261"/>
      <c r="T28" s="261"/>
      <c r="U28" s="261"/>
      <c r="V28" s="261"/>
      <c r="W28" s="67"/>
      <c r="X28" s="67"/>
      <c r="Y28" s="67"/>
      <c r="Z28" s="67"/>
      <c r="AA28" s="67"/>
    </row>
    <row r="29" spans="1:27" x14ac:dyDescent="0.25">
      <c r="A29" s="250">
        <f t="shared" si="0"/>
        <v>0</v>
      </c>
      <c r="B29" s="109">
        <f ca="1"/>
        <v>17</v>
      </c>
      <c r="C29" s="110"/>
      <c r="D29" s="110"/>
      <c r="E29" s="111"/>
      <c r="F29" s="37"/>
      <c r="G29" s="341"/>
      <c r="H29" s="342"/>
      <c r="I29" s="342"/>
      <c r="J29" s="343"/>
      <c r="K29" s="253"/>
      <c r="L29" s="9"/>
      <c r="M29" s="258" t="e">
        <f ca="1"/>
        <v>#REF!</v>
      </c>
      <c r="N29" s="259" t="e">
        <f ca="1"/>
        <v>#REF!</v>
      </c>
      <c r="O29" s="259" t="e">
        <f ca="1"/>
        <v>#REF!</v>
      </c>
      <c r="P29" s="64"/>
      <c r="Q29" s="260">
        <f t="shared" si="1"/>
        <v>0</v>
      </c>
      <c r="R29" s="9"/>
      <c r="S29" s="261"/>
      <c r="T29" s="261"/>
      <c r="U29" s="261"/>
      <c r="V29" s="261"/>
      <c r="W29" s="67"/>
      <c r="X29" s="67"/>
      <c r="Y29" s="67"/>
      <c r="Z29" s="67"/>
      <c r="AA29" s="67"/>
    </row>
    <row r="30" spans="1:27" x14ac:dyDescent="0.25">
      <c r="A30" s="250">
        <f t="shared" si="0"/>
        <v>0</v>
      </c>
      <c r="B30" s="109">
        <f ca="1"/>
        <v>18</v>
      </c>
      <c r="C30" s="110"/>
      <c r="D30" s="110"/>
      <c r="E30" s="111"/>
      <c r="F30" s="37"/>
      <c r="G30" s="341"/>
      <c r="H30" s="342"/>
      <c r="I30" s="342"/>
      <c r="J30" s="343"/>
      <c r="K30" s="253"/>
      <c r="L30" s="9"/>
      <c r="M30" s="258" t="e">
        <f ca="1"/>
        <v>#REF!</v>
      </c>
      <c r="N30" s="259" t="e">
        <f ca="1"/>
        <v>#REF!</v>
      </c>
      <c r="O30" s="259" t="e">
        <f ca="1"/>
        <v>#REF!</v>
      </c>
      <c r="P30" s="64"/>
      <c r="Q30" s="260">
        <f t="shared" si="1"/>
        <v>0</v>
      </c>
      <c r="R30" s="9"/>
      <c r="S30" s="261"/>
      <c r="T30" s="261"/>
      <c r="U30" s="261"/>
      <c r="V30" s="261"/>
      <c r="W30" s="67"/>
      <c r="X30" s="67"/>
      <c r="Y30" s="67"/>
      <c r="Z30" s="67"/>
      <c r="AA30" s="67"/>
    </row>
    <row r="31" spans="1:27" x14ac:dyDescent="0.25">
      <c r="A31" s="250">
        <f t="shared" si="0"/>
        <v>0</v>
      </c>
      <c r="B31" s="109">
        <f ca="1"/>
        <v>19</v>
      </c>
      <c r="C31" s="110"/>
      <c r="D31" s="110"/>
      <c r="E31" s="111"/>
      <c r="F31" s="37"/>
      <c r="G31" s="341"/>
      <c r="H31" s="342"/>
      <c r="I31" s="342"/>
      <c r="J31" s="343"/>
      <c r="K31" s="253"/>
      <c r="L31" s="9"/>
      <c r="M31" s="258" t="e">
        <f ca="1"/>
        <v>#REF!</v>
      </c>
      <c r="N31" s="259" t="e">
        <f ca="1"/>
        <v>#REF!</v>
      </c>
      <c r="O31" s="259" t="e">
        <f ca="1"/>
        <v>#REF!</v>
      </c>
      <c r="P31" s="64"/>
      <c r="Q31" s="260">
        <f t="shared" si="1"/>
        <v>0</v>
      </c>
      <c r="R31" s="9"/>
      <c r="S31" s="261"/>
      <c r="T31" s="261"/>
      <c r="U31" s="261"/>
      <c r="V31" s="261"/>
      <c r="W31" s="67"/>
      <c r="X31" s="67"/>
      <c r="Y31" s="67"/>
      <c r="Z31" s="67"/>
      <c r="AA31" s="67"/>
    </row>
    <row r="32" spans="1:27" x14ac:dyDescent="0.25">
      <c r="A32" s="250">
        <f t="shared" si="0"/>
        <v>0</v>
      </c>
      <c r="B32" s="109">
        <f ca="1"/>
        <v>20</v>
      </c>
      <c r="C32" s="110"/>
      <c r="D32" s="110"/>
      <c r="E32" s="111"/>
      <c r="F32" s="37"/>
      <c r="G32" s="341"/>
      <c r="H32" s="342"/>
      <c r="I32" s="342"/>
      <c r="J32" s="343"/>
      <c r="K32" s="253"/>
      <c r="L32" s="9"/>
      <c r="M32" s="258" t="e">
        <f ca="1"/>
        <v>#REF!</v>
      </c>
      <c r="N32" s="259" t="e">
        <f ca="1"/>
        <v>#REF!</v>
      </c>
      <c r="O32" s="259" t="e">
        <f ca="1"/>
        <v>#REF!</v>
      </c>
      <c r="P32" s="64"/>
      <c r="Q32" s="260">
        <f t="shared" si="1"/>
        <v>0</v>
      </c>
      <c r="R32" s="9"/>
      <c r="S32" s="261"/>
      <c r="T32" s="261"/>
      <c r="U32" s="261"/>
      <c r="V32" s="261"/>
      <c r="W32" s="67"/>
      <c r="X32" s="67"/>
      <c r="Y32" s="67"/>
      <c r="Z32" s="67"/>
      <c r="AA32" s="67"/>
    </row>
    <row r="33" spans="1:27" x14ac:dyDescent="0.25">
      <c r="A33" s="250">
        <f t="shared" si="0"/>
        <v>0</v>
      </c>
      <c r="B33" s="109">
        <f ca="1"/>
        <v>21</v>
      </c>
      <c r="C33" s="110"/>
      <c r="D33" s="110"/>
      <c r="E33" s="111"/>
      <c r="F33" s="37"/>
      <c r="G33" s="341"/>
      <c r="H33" s="342"/>
      <c r="I33" s="342"/>
      <c r="J33" s="343"/>
      <c r="K33" s="253"/>
      <c r="L33" s="9"/>
      <c r="M33" s="258" t="e">
        <f ca="1"/>
        <v>#REF!</v>
      </c>
      <c r="N33" s="259" t="e">
        <f ca="1"/>
        <v>#REF!</v>
      </c>
      <c r="O33" s="259" t="e">
        <f ca="1"/>
        <v>#REF!</v>
      </c>
      <c r="P33" s="64"/>
      <c r="Q33" s="260">
        <f t="shared" si="1"/>
        <v>0</v>
      </c>
      <c r="R33" s="9"/>
      <c r="S33" s="261"/>
      <c r="T33" s="261"/>
      <c r="U33" s="261"/>
      <c r="V33" s="261"/>
      <c r="W33" s="67"/>
      <c r="X33" s="67"/>
      <c r="Y33" s="67"/>
      <c r="Z33" s="67"/>
      <c r="AA33" s="67"/>
    </row>
    <row r="34" spans="1:27" x14ac:dyDescent="0.25">
      <c r="A34" s="250">
        <f t="shared" si="0"/>
        <v>0</v>
      </c>
      <c r="B34" s="109">
        <f ca="1"/>
        <v>22</v>
      </c>
      <c r="C34" s="110"/>
      <c r="D34" s="110"/>
      <c r="E34" s="111"/>
      <c r="F34" s="37"/>
      <c r="G34" s="341"/>
      <c r="H34" s="342"/>
      <c r="I34" s="342"/>
      <c r="J34" s="343"/>
      <c r="K34" s="253"/>
      <c r="L34" s="9"/>
      <c r="M34" s="258" t="e">
        <f ca="1"/>
        <v>#REF!</v>
      </c>
      <c r="N34" s="259" t="e">
        <f ca="1"/>
        <v>#REF!</v>
      </c>
      <c r="O34" s="259" t="e">
        <f ca="1"/>
        <v>#REF!</v>
      </c>
      <c r="P34" s="64"/>
      <c r="Q34" s="260">
        <f t="shared" si="1"/>
        <v>0</v>
      </c>
      <c r="R34" s="9"/>
      <c r="S34" s="261"/>
      <c r="T34" s="261"/>
      <c r="U34" s="261"/>
      <c r="V34" s="261"/>
      <c r="W34" s="67"/>
      <c r="X34" s="67"/>
      <c r="Y34" s="67"/>
      <c r="Z34" s="67"/>
      <c r="AA34" s="67"/>
    </row>
    <row r="35" spans="1:27" x14ac:dyDescent="0.25">
      <c r="A35" s="250">
        <f t="shared" si="0"/>
        <v>0</v>
      </c>
      <c r="B35" s="109">
        <f ca="1"/>
        <v>23</v>
      </c>
      <c r="C35" s="110"/>
      <c r="D35" s="110"/>
      <c r="E35" s="111"/>
      <c r="F35" s="37"/>
      <c r="G35" s="341"/>
      <c r="H35" s="342"/>
      <c r="I35" s="342"/>
      <c r="J35" s="343"/>
      <c r="K35" s="253"/>
      <c r="L35" s="9"/>
      <c r="M35" s="258" t="e">
        <f ca="1"/>
        <v>#REF!</v>
      </c>
      <c r="N35" s="259" t="e">
        <f ca="1"/>
        <v>#REF!</v>
      </c>
      <c r="O35" s="259" t="e">
        <f ca="1"/>
        <v>#REF!</v>
      </c>
      <c r="P35" s="64"/>
      <c r="Q35" s="260">
        <f t="shared" si="1"/>
        <v>0</v>
      </c>
      <c r="R35" s="9"/>
      <c r="S35" s="261"/>
      <c r="T35" s="261"/>
      <c r="U35" s="261"/>
      <c r="V35" s="261"/>
      <c r="W35" s="67"/>
      <c r="X35" s="67"/>
      <c r="Y35" s="67"/>
      <c r="Z35" s="67"/>
      <c r="AA35" s="67"/>
    </row>
    <row r="36" spans="1:27" x14ac:dyDescent="0.25">
      <c r="A36" s="250">
        <f t="shared" si="0"/>
        <v>0</v>
      </c>
      <c r="B36" s="109">
        <f ca="1"/>
        <v>24</v>
      </c>
      <c r="C36" s="110"/>
      <c r="D36" s="110"/>
      <c r="E36" s="111"/>
      <c r="F36" s="37"/>
      <c r="G36" s="341"/>
      <c r="H36" s="342"/>
      <c r="I36" s="342"/>
      <c r="J36" s="343"/>
      <c r="K36" s="253"/>
      <c r="L36" s="9"/>
      <c r="M36" s="258" t="e">
        <f ca="1"/>
        <v>#REF!</v>
      </c>
      <c r="N36" s="259" t="e">
        <f ca="1"/>
        <v>#REF!</v>
      </c>
      <c r="O36" s="259" t="e">
        <f ca="1"/>
        <v>#REF!</v>
      </c>
      <c r="P36" s="64"/>
      <c r="Q36" s="260">
        <f t="shared" si="1"/>
        <v>0</v>
      </c>
      <c r="R36" s="9"/>
      <c r="S36" s="261"/>
      <c r="T36" s="261"/>
      <c r="U36" s="261"/>
      <c r="V36" s="261"/>
      <c r="W36" s="67"/>
      <c r="X36" s="67"/>
      <c r="Y36" s="67"/>
      <c r="Z36" s="67"/>
      <c r="AA36" s="67"/>
    </row>
    <row r="37" spans="1:27" x14ac:dyDescent="0.25">
      <c r="A37" s="250">
        <f t="shared" si="0"/>
        <v>0</v>
      </c>
      <c r="B37" s="109">
        <f ca="1"/>
        <v>25</v>
      </c>
      <c r="C37" s="110"/>
      <c r="D37" s="110"/>
      <c r="E37" s="111"/>
      <c r="F37" s="37"/>
      <c r="G37" s="341"/>
      <c r="H37" s="342"/>
      <c r="I37" s="342"/>
      <c r="J37" s="343"/>
      <c r="K37" s="253"/>
      <c r="L37" s="9"/>
      <c r="M37" s="258" t="e">
        <f ca="1"/>
        <v>#REF!</v>
      </c>
      <c r="N37" s="259" t="e">
        <f ca="1"/>
        <v>#REF!</v>
      </c>
      <c r="O37" s="259" t="e">
        <f ca="1"/>
        <v>#REF!</v>
      </c>
      <c r="P37" s="64"/>
      <c r="Q37" s="260">
        <f t="shared" si="1"/>
        <v>0</v>
      </c>
      <c r="R37" s="9"/>
      <c r="S37" s="261"/>
      <c r="T37" s="261"/>
      <c r="U37" s="261"/>
      <c r="V37" s="261"/>
      <c r="W37" s="67"/>
      <c r="X37" s="67"/>
      <c r="Y37" s="67"/>
      <c r="Z37" s="67"/>
      <c r="AA37" s="67"/>
    </row>
    <row r="38" spans="1:27" x14ac:dyDescent="0.25">
      <c r="A38" s="250">
        <f t="shared" si="0"/>
        <v>0</v>
      </c>
      <c r="B38" s="109">
        <f ca="1"/>
        <v>26</v>
      </c>
      <c r="C38" s="110"/>
      <c r="D38" s="110"/>
      <c r="E38" s="111"/>
      <c r="F38" s="37"/>
      <c r="G38" s="341"/>
      <c r="H38" s="342"/>
      <c r="I38" s="342"/>
      <c r="J38" s="343"/>
      <c r="K38" s="253"/>
      <c r="L38" s="9"/>
      <c r="M38" s="258" t="e">
        <f ca="1"/>
        <v>#REF!</v>
      </c>
      <c r="N38" s="259" t="e">
        <f ca="1"/>
        <v>#REF!</v>
      </c>
      <c r="O38" s="259" t="e">
        <f ca="1"/>
        <v>#REF!</v>
      </c>
      <c r="P38" s="64"/>
      <c r="Q38" s="260">
        <f t="shared" si="1"/>
        <v>0</v>
      </c>
      <c r="R38" s="9"/>
      <c r="S38" s="261"/>
      <c r="T38" s="261"/>
      <c r="U38" s="261"/>
      <c r="V38" s="261"/>
      <c r="W38" s="67"/>
      <c r="X38" s="67"/>
      <c r="Y38" s="67"/>
      <c r="Z38" s="67"/>
      <c r="AA38" s="67"/>
    </row>
    <row r="39" spans="1:27" ht="15.75" thickBot="1" x14ac:dyDescent="0.3">
      <c r="A39" s="250">
        <f t="shared" si="0"/>
        <v>0</v>
      </c>
      <c r="B39" s="109">
        <f ca="1"/>
        <v>27</v>
      </c>
      <c r="C39" s="110"/>
      <c r="D39" s="110"/>
      <c r="E39" s="111"/>
      <c r="F39" s="37"/>
      <c r="G39" s="344"/>
      <c r="H39" s="345"/>
      <c r="I39" s="345"/>
      <c r="J39" s="346"/>
      <c r="K39" s="253"/>
      <c r="L39" s="9"/>
      <c r="M39" s="258" t="e">
        <f ca="1"/>
        <v>#REF!</v>
      </c>
      <c r="N39" s="259" t="e">
        <f ca="1"/>
        <v>#REF!</v>
      </c>
      <c r="O39" s="259" t="e">
        <f ca="1"/>
        <v>#REF!</v>
      </c>
      <c r="P39" s="64"/>
      <c r="Q39" s="260">
        <f t="shared" si="1"/>
        <v>0</v>
      </c>
      <c r="R39" s="9"/>
      <c r="S39" s="261"/>
      <c r="T39" s="261"/>
      <c r="U39" s="261"/>
      <c r="V39" s="261"/>
      <c r="W39" s="67"/>
      <c r="X39" s="67"/>
      <c r="Y39" s="67"/>
      <c r="Z39" s="67"/>
      <c r="AA39" s="67"/>
    </row>
    <row r="40" spans="1:27" x14ac:dyDescent="0.25">
      <c r="A40" s="250">
        <f t="shared" si="0"/>
        <v>0</v>
      </c>
      <c r="B40" s="109">
        <f ca="1"/>
        <v>28</v>
      </c>
      <c r="C40" s="110"/>
      <c r="D40" s="110"/>
      <c r="E40" s="111"/>
      <c r="F40" s="37"/>
      <c r="G40" s="93"/>
      <c r="H40" s="93"/>
      <c r="I40" s="93"/>
      <c r="J40" s="93"/>
      <c r="K40" s="253"/>
      <c r="L40" s="9"/>
      <c r="M40" s="258" t="e">
        <f ca="1"/>
        <v>#REF!</v>
      </c>
      <c r="N40" s="259" t="e">
        <f ca="1"/>
        <v>#REF!</v>
      </c>
      <c r="O40" s="259" t="e">
        <f ca="1"/>
        <v>#REF!</v>
      </c>
      <c r="P40" s="64"/>
      <c r="Q40" s="260">
        <f t="shared" si="1"/>
        <v>0</v>
      </c>
      <c r="R40" s="9"/>
      <c r="S40" s="261"/>
      <c r="T40" s="261"/>
      <c r="U40" s="261"/>
      <c r="V40" s="261"/>
      <c r="W40" s="67"/>
      <c r="X40" s="67"/>
      <c r="Y40" s="67"/>
      <c r="Z40" s="67"/>
      <c r="AA40" s="67"/>
    </row>
    <row r="41" spans="1:27" x14ac:dyDescent="0.25">
      <c r="A41" s="250">
        <f t="shared" si="0"/>
        <v>0</v>
      </c>
      <c r="B41" s="109">
        <f ca="1"/>
        <v>29</v>
      </c>
      <c r="C41" s="110"/>
      <c r="D41" s="110"/>
      <c r="E41" s="111"/>
      <c r="F41" s="37"/>
      <c r="G41" s="93"/>
      <c r="H41" s="93"/>
      <c r="I41" s="93"/>
      <c r="J41" s="93"/>
      <c r="K41" s="253"/>
      <c r="L41" s="9"/>
      <c r="M41" s="258" t="e">
        <f ca="1"/>
        <v>#REF!</v>
      </c>
      <c r="N41" s="259" t="e">
        <f ca="1"/>
        <v>#REF!</v>
      </c>
      <c r="O41" s="259" t="e">
        <f ca="1"/>
        <v>#REF!</v>
      </c>
      <c r="P41" s="64"/>
      <c r="Q41" s="260">
        <f t="shared" si="1"/>
        <v>0</v>
      </c>
      <c r="R41" s="9"/>
      <c r="S41" s="261"/>
      <c r="T41" s="261"/>
      <c r="U41" s="261"/>
      <c r="V41" s="261"/>
      <c r="W41" s="67"/>
      <c r="X41" s="67"/>
      <c r="Y41" s="67"/>
      <c r="Z41" s="67"/>
      <c r="AA41" s="67"/>
    </row>
    <row r="42" spans="1:27" x14ac:dyDescent="0.25">
      <c r="A42" s="250">
        <f t="shared" si="0"/>
        <v>0</v>
      </c>
      <c r="B42" s="109">
        <f ca="1"/>
        <v>30</v>
      </c>
      <c r="C42" s="110"/>
      <c r="D42" s="110"/>
      <c r="E42" s="111"/>
      <c r="F42" s="37"/>
      <c r="G42" s="93"/>
      <c r="H42" s="93"/>
      <c r="I42" s="93"/>
      <c r="J42" s="93"/>
      <c r="K42" s="253"/>
      <c r="L42" s="9"/>
      <c r="M42" s="258" t="e">
        <f ca="1"/>
        <v>#REF!</v>
      </c>
      <c r="N42" s="259" t="e">
        <f ca="1"/>
        <v>#REF!</v>
      </c>
      <c r="O42" s="259" t="e">
        <f ca="1"/>
        <v>#REF!</v>
      </c>
      <c r="P42" s="64"/>
      <c r="Q42" s="260">
        <f t="shared" si="1"/>
        <v>0</v>
      </c>
      <c r="R42" s="9"/>
      <c r="S42" s="261"/>
      <c r="T42" s="261"/>
      <c r="U42" s="261"/>
      <c r="V42" s="261"/>
      <c r="W42" s="67"/>
      <c r="X42" s="67"/>
      <c r="Y42" s="67"/>
      <c r="Z42" s="67"/>
      <c r="AA42" s="67"/>
    </row>
    <row r="43" spans="1:27" x14ac:dyDescent="0.25">
      <c r="A43" s="250">
        <f t="shared" si="0"/>
        <v>0</v>
      </c>
      <c r="B43" s="109">
        <f ca="1"/>
        <v>31</v>
      </c>
      <c r="C43" s="110"/>
      <c r="D43" s="110"/>
      <c r="E43" s="111"/>
      <c r="F43" s="37"/>
      <c r="G43" s="93"/>
      <c r="H43" s="93"/>
      <c r="I43" s="93"/>
      <c r="J43" s="93"/>
      <c r="K43" s="253"/>
      <c r="L43" s="9"/>
      <c r="M43" s="258" t="e">
        <f ca="1"/>
        <v>#REF!</v>
      </c>
      <c r="N43" s="259" t="e">
        <f ca="1"/>
        <v>#REF!</v>
      </c>
      <c r="O43" s="259" t="e">
        <f ca="1"/>
        <v>#REF!</v>
      </c>
      <c r="P43" s="64"/>
      <c r="Q43" s="260">
        <f t="shared" si="1"/>
        <v>0</v>
      </c>
      <c r="R43" s="9"/>
      <c r="S43" s="261"/>
      <c r="T43" s="261"/>
      <c r="U43" s="261"/>
      <c r="V43" s="261"/>
      <c r="W43" s="67"/>
      <c r="X43" s="67"/>
      <c r="Y43" s="67"/>
      <c r="Z43" s="67"/>
      <c r="AA43" s="67"/>
    </row>
    <row r="44" spans="1:27" x14ac:dyDescent="0.25">
      <c r="A44" s="250">
        <f t="shared" si="0"/>
        <v>0</v>
      </c>
      <c r="B44" s="109">
        <f ca="1"/>
        <v>32</v>
      </c>
      <c r="C44" s="110"/>
      <c r="D44" s="110"/>
      <c r="E44" s="111"/>
      <c r="F44" s="37"/>
      <c r="G44" s="93"/>
      <c r="H44" s="93"/>
      <c r="I44" s="93"/>
      <c r="J44" s="93"/>
      <c r="K44" s="253"/>
      <c r="L44" s="9"/>
      <c r="M44" s="258" t="e">
        <f ca="1"/>
        <v>#REF!</v>
      </c>
      <c r="N44" s="259" t="e">
        <f ca="1"/>
        <v>#REF!</v>
      </c>
      <c r="O44" s="259" t="e">
        <f ca="1"/>
        <v>#REF!</v>
      </c>
      <c r="P44" s="64"/>
      <c r="Q44" s="260">
        <f t="shared" si="1"/>
        <v>0</v>
      </c>
      <c r="R44" s="9"/>
      <c r="S44" s="261"/>
      <c r="T44" s="261"/>
      <c r="U44" s="261"/>
      <c r="V44" s="261"/>
      <c r="W44" s="67"/>
      <c r="X44" s="67"/>
      <c r="Y44" s="67"/>
      <c r="Z44" s="67"/>
      <c r="AA44" s="67"/>
    </row>
    <row r="45" spans="1:27" x14ac:dyDescent="0.25">
      <c r="A45" s="250">
        <f t="shared" si="0"/>
        <v>0</v>
      </c>
      <c r="B45" s="109">
        <f ca="1"/>
        <v>33</v>
      </c>
      <c r="C45" s="110"/>
      <c r="D45" s="110"/>
      <c r="E45" s="111"/>
      <c r="F45" s="37"/>
      <c r="G45" s="93"/>
      <c r="H45" s="93"/>
      <c r="I45" s="93"/>
      <c r="J45" s="93"/>
      <c r="K45" s="256"/>
      <c r="L45" s="9"/>
      <c r="M45" s="258" t="e">
        <f ca="1"/>
        <v>#REF!</v>
      </c>
      <c r="N45" s="259" t="e">
        <f ca="1"/>
        <v>#REF!</v>
      </c>
      <c r="O45" s="259" t="e">
        <f ca="1"/>
        <v>#REF!</v>
      </c>
      <c r="P45" s="64"/>
      <c r="Q45" s="260">
        <f t="shared" si="1"/>
        <v>0</v>
      </c>
      <c r="R45" s="9"/>
      <c r="S45" s="261"/>
      <c r="T45" s="261"/>
      <c r="U45" s="261"/>
      <c r="V45" s="261"/>
      <c r="W45" s="67"/>
      <c r="X45" s="67"/>
      <c r="Y45" s="67"/>
      <c r="Z45" s="67"/>
      <c r="AA45" s="67"/>
    </row>
    <row r="46" spans="1:27" x14ac:dyDescent="0.25">
      <c r="A46" s="250">
        <f t="shared" si="0"/>
        <v>0</v>
      </c>
      <c r="B46" s="109">
        <f ca="1"/>
        <v>34</v>
      </c>
      <c r="C46" s="110"/>
      <c r="D46" s="110"/>
      <c r="E46" s="111"/>
      <c r="F46" s="37"/>
      <c r="G46" s="93"/>
      <c r="H46" s="93"/>
      <c r="I46" s="93"/>
      <c r="J46" s="93"/>
      <c r="K46" s="256"/>
      <c r="L46" s="9"/>
      <c r="M46" s="258" t="e">
        <f ca="1"/>
        <v>#REF!</v>
      </c>
      <c r="N46" s="259" t="e">
        <f ca="1"/>
        <v>#REF!</v>
      </c>
      <c r="O46" s="259" t="e">
        <f ca="1"/>
        <v>#REF!</v>
      </c>
      <c r="P46" s="64"/>
      <c r="Q46" s="260">
        <f t="shared" si="1"/>
        <v>0</v>
      </c>
      <c r="R46" s="9"/>
      <c r="S46" s="261"/>
      <c r="T46" s="261"/>
      <c r="U46" s="261"/>
      <c r="V46" s="261"/>
      <c r="W46" s="67"/>
      <c r="X46" s="67"/>
      <c r="Y46" s="67"/>
      <c r="Z46" s="67"/>
      <c r="AA46" s="67"/>
    </row>
    <row r="47" spans="1:27" x14ac:dyDescent="0.25">
      <c r="A47" s="250">
        <f t="shared" si="0"/>
        <v>0</v>
      </c>
      <c r="B47" s="109">
        <f ca="1"/>
        <v>35</v>
      </c>
      <c r="C47" s="110"/>
      <c r="D47" s="110"/>
      <c r="E47" s="111"/>
      <c r="F47" s="37"/>
      <c r="G47" s="93"/>
      <c r="H47" s="93"/>
      <c r="I47" s="93"/>
      <c r="J47" s="93"/>
      <c r="K47" s="256"/>
      <c r="L47" s="9"/>
      <c r="M47" s="258" t="e">
        <f ca="1"/>
        <v>#REF!</v>
      </c>
      <c r="N47" s="259" t="e">
        <f ca="1"/>
        <v>#REF!</v>
      </c>
      <c r="O47" s="259" t="e">
        <f ca="1"/>
        <v>#REF!</v>
      </c>
      <c r="P47" s="64"/>
      <c r="Q47" s="260">
        <f t="shared" si="1"/>
        <v>0</v>
      </c>
      <c r="R47" s="9"/>
      <c r="S47" s="261"/>
      <c r="T47" s="261"/>
      <c r="U47" s="261"/>
      <c r="V47" s="261"/>
      <c r="W47" s="67"/>
      <c r="X47" s="67"/>
      <c r="Y47" s="67"/>
      <c r="Z47" s="67"/>
      <c r="AA47" s="67"/>
    </row>
    <row r="48" spans="1:27" x14ac:dyDescent="0.25">
      <c r="A48" s="250">
        <f t="shared" si="0"/>
        <v>0</v>
      </c>
      <c r="B48" s="109">
        <f ca="1"/>
        <v>36</v>
      </c>
      <c r="C48" s="110"/>
      <c r="D48" s="110"/>
      <c r="E48" s="111"/>
      <c r="F48" s="37"/>
      <c r="G48" s="93"/>
      <c r="H48" s="93"/>
      <c r="I48" s="93"/>
      <c r="J48" s="93"/>
      <c r="K48" s="256"/>
      <c r="L48" s="9"/>
      <c r="M48" s="258" t="e">
        <f ca="1"/>
        <v>#REF!</v>
      </c>
      <c r="N48" s="259" t="e">
        <f ca="1"/>
        <v>#REF!</v>
      </c>
      <c r="O48" s="259" t="e">
        <f ca="1"/>
        <v>#REF!</v>
      </c>
      <c r="P48" s="64"/>
      <c r="Q48" s="260">
        <f t="shared" si="1"/>
        <v>0</v>
      </c>
      <c r="R48" s="9"/>
      <c r="S48" s="261"/>
      <c r="T48" s="261"/>
      <c r="U48" s="261"/>
      <c r="V48" s="261"/>
      <c r="W48" s="67"/>
      <c r="X48" s="67"/>
      <c r="Y48" s="67"/>
      <c r="Z48" s="67"/>
      <c r="AA48" s="67"/>
    </row>
    <row r="49" spans="1:27" x14ac:dyDescent="0.25">
      <c r="A49" s="250">
        <f t="shared" si="0"/>
        <v>0</v>
      </c>
      <c r="B49" s="109">
        <f ca="1"/>
        <v>37</v>
      </c>
      <c r="C49" s="110"/>
      <c r="D49" s="110"/>
      <c r="E49" s="111"/>
      <c r="F49" s="37"/>
      <c r="G49" s="93"/>
      <c r="H49" s="93"/>
      <c r="I49" s="93"/>
      <c r="J49" s="93"/>
      <c r="K49" s="256"/>
      <c r="L49" s="9"/>
      <c r="M49" s="258" t="e">
        <f ca="1"/>
        <v>#REF!</v>
      </c>
      <c r="N49" s="259" t="e">
        <f ca="1"/>
        <v>#REF!</v>
      </c>
      <c r="O49" s="259" t="e">
        <f ca="1"/>
        <v>#REF!</v>
      </c>
      <c r="P49" s="64"/>
      <c r="Q49" s="260">
        <f t="shared" si="1"/>
        <v>0</v>
      </c>
      <c r="R49" s="9"/>
      <c r="S49" s="261"/>
      <c r="T49" s="261"/>
      <c r="U49" s="261"/>
      <c r="V49" s="261"/>
      <c r="W49" s="67"/>
      <c r="X49" s="67"/>
      <c r="Y49" s="67"/>
      <c r="Z49" s="67"/>
      <c r="AA49" s="67"/>
    </row>
    <row r="50" spans="1:27" x14ac:dyDescent="0.25">
      <c r="A50" s="250">
        <f t="shared" si="0"/>
        <v>0</v>
      </c>
      <c r="B50" s="109">
        <f ca="1"/>
        <v>38</v>
      </c>
      <c r="C50" s="110"/>
      <c r="D50" s="110"/>
      <c r="E50" s="111"/>
      <c r="F50" s="37"/>
      <c r="G50" s="93"/>
      <c r="H50" s="93"/>
      <c r="I50" s="93"/>
      <c r="J50" s="93"/>
      <c r="K50" s="256"/>
      <c r="L50" s="9"/>
      <c r="M50" s="258" t="e">
        <f ca="1"/>
        <v>#REF!</v>
      </c>
      <c r="N50" s="259" t="e">
        <f ca="1"/>
        <v>#REF!</v>
      </c>
      <c r="O50" s="259" t="e">
        <f ca="1"/>
        <v>#REF!</v>
      </c>
      <c r="P50" s="64"/>
      <c r="Q50" s="260">
        <f t="shared" si="1"/>
        <v>0</v>
      </c>
      <c r="R50" s="9"/>
      <c r="S50" s="261"/>
      <c r="T50" s="261"/>
      <c r="U50" s="261"/>
      <c r="V50" s="261"/>
      <c r="W50" s="67"/>
      <c r="X50" s="67"/>
      <c r="Y50" s="67"/>
      <c r="Z50" s="67"/>
      <c r="AA50" s="67"/>
    </row>
    <row r="51" spans="1:27" x14ac:dyDescent="0.25">
      <c r="A51" s="250">
        <f t="shared" si="0"/>
        <v>0</v>
      </c>
      <c r="B51" s="109">
        <f ca="1"/>
        <v>39</v>
      </c>
      <c r="C51" s="110"/>
      <c r="D51" s="110"/>
      <c r="E51" s="111"/>
      <c r="F51" s="37"/>
      <c r="G51" s="93"/>
      <c r="H51" s="93"/>
      <c r="I51" s="93"/>
      <c r="J51" s="93"/>
      <c r="K51" s="256"/>
      <c r="L51" s="9"/>
      <c r="M51" s="258" t="e">
        <f ca="1"/>
        <v>#REF!</v>
      </c>
      <c r="N51" s="259" t="e">
        <f ca="1"/>
        <v>#REF!</v>
      </c>
      <c r="O51" s="259" t="e">
        <f ca="1"/>
        <v>#REF!</v>
      </c>
      <c r="P51" s="64"/>
      <c r="Q51" s="260">
        <f t="shared" si="1"/>
        <v>0</v>
      </c>
      <c r="R51" s="9"/>
      <c r="S51" s="261"/>
      <c r="T51" s="261"/>
      <c r="U51" s="261"/>
      <c r="V51" s="261"/>
      <c r="W51" s="67"/>
      <c r="X51" s="67"/>
      <c r="Y51" s="67"/>
      <c r="Z51" s="67"/>
      <c r="AA51" s="67"/>
    </row>
    <row r="52" spans="1:27" x14ac:dyDescent="0.25">
      <c r="A52" s="250">
        <f t="shared" si="0"/>
        <v>0</v>
      </c>
      <c r="B52" s="109">
        <f ca="1"/>
        <v>40</v>
      </c>
      <c r="C52" s="110"/>
      <c r="D52" s="110"/>
      <c r="E52" s="111"/>
      <c r="F52" s="37"/>
      <c r="G52" s="93"/>
      <c r="H52" s="93"/>
      <c r="I52" s="93"/>
      <c r="J52" s="93"/>
      <c r="K52" s="256"/>
      <c r="L52" s="9"/>
      <c r="M52" s="258" t="e">
        <f ca="1"/>
        <v>#REF!</v>
      </c>
      <c r="N52" s="259" t="e">
        <f ca="1"/>
        <v>#REF!</v>
      </c>
      <c r="O52" s="259" t="e">
        <f ca="1"/>
        <v>#REF!</v>
      </c>
      <c r="P52" s="64"/>
      <c r="Q52" s="260">
        <f t="shared" si="1"/>
        <v>0</v>
      </c>
      <c r="R52" s="9"/>
      <c r="S52" s="261"/>
      <c r="T52" s="261"/>
      <c r="U52" s="261"/>
      <c r="V52" s="261"/>
      <c r="W52" s="67"/>
      <c r="X52" s="67"/>
      <c r="Y52" s="67"/>
      <c r="Z52" s="67"/>
      <c r="AA52" s="67"/>
    </row>
    <row r="53" spans="1:27" x14ac:dyDescent="0.25">
      <c r="A53" s="250">
        <f t="shared" si="0"/>
        <v>0</v>
      </c>
      <c r="B53" s="109">
        <f ca="1"/>
        <v>41</v>
      </c>
      <c r="C53" s="110"/>
      <c r="D53" s="110"/>
      <c r="E53" s="111"/>
      <c r="F53" s="37"/>
      <c r="G53" s="93"/>
      <c r="H53" s="93"/>
      <c r="I53" s="93"/>
      <c r="J53" s="93"/>
      <c r="K53" s="256"/>
      <c r="L53" s="9"/>
      <c r="M53" s="258" t="e">
        <f ca="1"/>
        <v>#REF!</v>
      </c>
      <c r="N53" s="259" t="e">
        <f ca="1"/>
        <v>#REF!</v>
      </c>
      <c r="O53" s="259" t="e">
        <f ca="1"/>
        <v>#REF!</v>
      </c>
      <c r="P53" s="64"/>
      <c r="Q53" s="260">
        <f t="shared" si="1"/>
        <v>0</v>
      </c>
      <c r="R53" s="9"/>
      <c r="S53" s="261"/>
      <c r="T53" s="261"/>
      <c r="U53" s="261"/>
      <c r="V53" s="261"/>
      <c r="W53" s="67"/>
      <c r="X53" s="67"/>
      <c r="Y53" s="67"/>
      <c r="Z53" s="67"/>
      <c r="AA53" s="67"/>
    </row>
    <row r="54" spans="1:27" x14ac:dyDescent="0.25">
      <c r="A54" s="250">
        <f t="shared" si="0"/>
        <v>0</v>
      </c>
      <c r="B54" s="109">
        <f ca="1"/>
        <v>42</v>
      </c>
      <c r="C54" s="110"/>
      <c r="D54" s="110"/>
      <c r="E54" s="111"/>
      <c r="F54" s="37"/>
      <c r="G54" s="93"/>
      <c r="H54" s="93"/>
      <c r="I54" s="93"/>
      <c r="J54" s="93"/>
      <c r="K54" s="256"/>
      <c r="L54" s="9"/>
      <c r="M54" s="258" t="e">
        <f ca="1"/>
        <v>#REF!</v>
      </c>
      <c r="N54" s="259" t="e">
        <f ca="1"/>
        <v>#REF!</v>
      </c>
      <c r="O54" s="259" t="e">
        <f ca="1"/>
        <v>#REF!</v>
      </c>
      <c r="P54" s="64"/>
      <c r="Q54" s="260">
        <f t="shared" si="1"/>
        <v>0</v>
      </c>
      <c r="R54" s="9"/>
      <c r="S54" s="261"/>
      <c r="T54" s="261"/>
      <c r="U54" s="261"/>
      <c r="V54" s="261"/>
      <c r="W54" s="67"/>
      <c r="X54" s="67"/>
      <c r="Y54" s="67"/>
      <c r="Z54" s="67"/>
      <c r="AA54" s="67"/>
    </row>
    <row r="55" spans="1:27" x14ac:dyDescent="0.25">
      <c r="A55" s="250">
        <f t="shared" si="0"/>
        <v>0</v>
      </c>
      <c r="B55" s="109">
        <f ca="1"/>
        <v>43</v>
      </c>
      <c r="C55" s="110"/>
      <c r="D55" s="110"/>
      <c r="E55" s="111"/>
      <c r="F55" s="37"/>
      <c r="G55" s="93"/>
      <c r="H55" s="93"/>
      <c r="I55" s="93"/>
      <c r="J55" s="93"/>
      <c r="K55" s="256"/>
      <c r="L55" s="9"/>
      <c r="M55" s="258" t="e">
        <f ca="1"/>
        <v>#REF!</v>
      </c>
      <c r="N55" s="259" t="e">
        <f ca="1"/>
        <v>#REF!</v>
      </c>
      <c r="O55" s="259" t="e">
        <f ca="1"/>
        <v>#REF!</v>
      </c>
      <c r="P55" s="64"/>
      <c r="Q55" s="260">
        <f t="shared" si="1"/>
        <v>0</v>
      </c>
      <c r="R55" s="9"/>
      <c r="S55" s="261"/>
      <c r="T55" s="261"/>
      <c r="U55" s="261"/>
      <c r="V55" s="261"/>
      <c r="W55" s="67"/>
      <c r="X55" s="67"/>
      <c r="Y55" s="67"/>
      <c r="Z55" s="67"/>
      <c r="AA55" s="67"/>
    </row>
    <row r="56" spans="1:27" x14ac:dyDescent="0.25">
      <c r="A56" s="250">
        <f t="shared" si="0"/>
        <v>0</v>
      </c>
      <c r="B56" s="109">
        <f ca="1"/>
        <v>44</v>
      </c>
      <c r="C56" s="110"/>
      <c r="D56" s="110"/>
      <c r="E56" s="111"/>
      <c r="F56" s="37"/>
      <c r="G56" s="93"/>
      <c r="H56" s="93"/>
      <c r="I56" s="93"/>
      <c r="J56" s="93"/>
      <c r="K56" s="256"/>
      <c r="L56" s="9"/>
      <c r="M56" s="258" t="e">
        <f ca="1"/>
        <v>#REF!</v>
      </c>
      <c r="N56" s="259" t="e">
        <f ca="1"/>
        <v>#REF!</v>
      </c>
      <c r="O56" s="259" t="e">
        <f ca="1"/>
        <v>#REF!</v>
      </c>
      <c r="P56" s="64"/>
      <c r="Q56" s="260">
        <f t="shared" si="1"/>
        <v>0</v>
      </c>
      <c r="R56" s="9"/>
      <c r="S56" s="261"/>
      <c r="T56" s="261"/>
      <c r="U56" s="261"/>
      <c r="V56" s="261"/>
      <c r="W56" s="67"/>
      <c r="X56" s="67"/>
      <c r="Y56" s="67"/>
      <c r="Z56" s="67"/>
      <c r="AA56" s="67"/>
    </row>
    <row r="57" spans="1:27" x14ac:dyDescent="0.25">
      <c r="A57" s="250">
        <f t="shared" si="0"/>
        <v>0</v>
      </c>
      <c r="B57" s="109">
        <f ca="1"/>
        <v>45</v>
      </c>
      <c r="C57" s="110"/>
      <c r="D57" s="110"/>
      <c r="E57" s="111"/>
      <c r="F57" s="37"/>
      <c r="G57" s="93"/>
      <c r="H57" s="93"/>
      <c r="I57" s="93"/>
      <c r="J57" s="93"/>
      <c r="K57" s="256"/>
      <c r="L57" s="9"/>
      <c r="M57" s="258" t="e">
        <f ca="1"/>
        <v>#REF!</v>
      </c>
      <c r="N57" s="259" t="e">
        <f ca="1"/>
        <v>#REF!</v>
      </c>
      <c r="O57" s="259" t="e">
        <f ca="1"/>
        <v>#REF!</v>
      </c>
      <c r="P57" s="64"/>
      <c r="Q57" s="260">
        <f t="shared" si="1"/>
        <v>0</v>
      </c>
      <c r="R57" s="9"/>
      <c r="S57" s="261"/>
      <c r="T57" s="261"/>
      <c r="U57" s="261"/>
      <c r="V57" s="261"/>
      <c r="W57" s="67"/>
      <c r="X57" s="67"/>
      <c r="Y57" s="67"/>
      <c r="Z57" s="67"/>
      <c r="AA57" s="67"/>
    </row>
    <row r="58" spans="1:27" x14ac:dyDescent="0.25">
      <c r="A58" s="250">
        <f t="shared" si="0"/>
        <v>0</v>
      </c>
      <c r="B58" s="109">
        <f ca="1"/>
        <v>46</v>
      </c>
      <c r="C58" s="110"/>
      <c r="D58" s="110"/>
      <c r="E58" s="111"/>
      <c r="F58" s="37"/>
      <c r="G58" s="93"/>
      <c r="H58" s="93"/>
      <c r="I58" s="93"/>
      <c r="J58" s="93"/>
      <c r="K58" s="256"/>
      <c r="L58" s="9"/>
      <c r="M58" s="258" t="e">
        <f ca="1"/>
        <v>#REF!</v>
      </c>
      <c r="N58" s="259" t="e">
        <f ca="1"/>
        <v>#REF!</v>
      </c>
      <c r="O58" s="259" t="e">
        <f ca="1"/>
        <v>#REF!</v>
      </c>
      <c r="P58" s="64"/>
      <c r="Q58" s="260">
        <f t="shared" si="1"/>
        <v>0</v>
      </c>
      <c r="R58" s="9"/>
      <c r="S58" s="261"/>
      <c r="T58" s="261"/>
      <c r="U58" s="261"/>
      <c r="V58" s="261"/>
      <c r="W58" s="67"/>
      <c r="X58" s="67"/>
      <c r="Y58" s="67"/>
      <c r="Z58" s="67"/>
      <c r="AA58" s="67"/>
    </row>
    <row r="59" spans="1:27" x14ac:dyDescent="0.25">
      <c r="A59" s="250">
        <f t="shared" si="0"/>
        <v>0</v>
      </c>
      <c r="B59" s="109">
        <f ca="1"/>
        <v>47</v>
      </c>
      <c r="C59" s="110"/>
      <c r="D59" s="110"/>
      <c r="E59" s="111"/>
      <c r="F59" s="37"/>
      <c r="G59" s="93"/>
      <c r="H59" s="93"/>
      <c r="I59" s="93"/>
      <c r="J59" s="93"/>
      <c r="K59" s="256"/>
      <c r="L59" s="9"/>
      <c r="M59" s="258" t="e">
        <f ca="1"/>
        <v>#REF!</v>
      </c>
      <c r="N59" s="259" t="e">
        <f ca="1"/>
        <v>#REF!</v>
      </c>
      <c r="O59" s="259" t="e">
        <f ca="1"/>
        <v>#REF!</v>
      </c>
      <c r="P59" s="64"/>
      <c r="Q59" s="260">
        <f t="shared" si="1"/>
        <v>0</v>
      </c>
      <c r="R59" s="9"/>
      <c r="S59" s="261"/>
      <c r="T59" s="261"/>
      <c r="U59" s="261"/>
      <c r="V59" s="261"/>
      <c r="W59" s="67"/>
      <c r="X59" s="67"/>
      <c r="Y59" s="67"/>
      <c r="Z59" s="67"/>
      <c r="AA59" s="67"/>
    </row>
    <row r="60" spans="1:27" x14ac:dyDescent="0.25">
      <c r="A60" s="250">
        <f t="shared" si="0"/>
        <v>0</v>
      </c>
      <c r="B60" s="109">
        <f ca="1"/>
        <v>48</v>
      </c>
      <c r="C60" s="110"/>
      <c r="D60" s="110"/>
      <c r="E60" s="111"/>
      <c r="F60" s="37"/>
      <c r="G60" s="93"/>
      <c r="H60" s="93"/>
      <c r="I60" s="93"/>
      <c r="J60" s="93"/>
      <c r="K60" s="256"/>
      <c r="L60" s="9"/>
      <c r="M60" s="258" t="e">
        <f ca="1"/>
        <v>#REF!</v>
      </c>
      <c r="N60" s="259" t="e">
        <f ca="1"/>
        <v>#REF!</v>
      </c>
      <c r="O60" s="259" t="e">
        <f ca="1"/>
        <v>#REF!</v>
      </c>
      <c r="P60" s="64"/>
      <c r="Q60" s="260">
        <f t="shared" si="1"/>
        <v>0</v>
      </c>
      <c r="R60" s="9"/>
      <c r="S60" s="261"/>
      <c r="T60" s="261"/>
      <c r="U60" s="261"/>
      <c r="V60" s="261"/>
      <c r="W60" s="67"/>
      <c r="X60" s="67"/>
      <c r="Y60" s="67"/>
      <c r="Z60" s="67"/>
      <c r="AA60" s="67"/>
    </row>
    <row r="61" spans="1:27" x14ac:dyDescent="0.25">
      <c r="A61" s="250">
        <f t="shared" si="0"/>
        <v>0</v>
      </c>
      <c r="B61" s="109">
        <f ca="1"/>
        <v>49</v>
      </c>
      <c r="C61" s="110"/>
      <c r="D61" s="110"/>
      <c r="E61" s="111"/>
      <c r="F61" s="37"/>
      <c r="G61" s="93"/>
      <c r="H61" s="93"/>
      <c r="I61" s="93"/>
      <c r="J61" s="93"/>
      <c r="K61" s="256"/>
      <c r="L61" s="9"/>
      <c r="M61" s="258" t="e">
        <f ca="1"/>
        <v>#REF!</v>
      </c>
      <c r="N61" s="259" t="e">
        <f ca="1"/>
        <v>#REF!</v>
      </c>
      <c r="O61" s="259" t="e">
        <f ca="1"/>
        <v>#REF!</v>
      </c>
      <c r="P61" s="64"/>
      <c r="Q61" s="260">
        <f t="shared" si="1"/>
        <v>0</v>
      </c>
      <c r="R61" s="9"/>
      <c r="S61" s="261"/>
      <c r="T61" s="261"/>
      <c r="U61" s="261"/>
      <c r="V61" s="261"/>
      <c r="W61" s="67"/>
      <c r="X61" s="67"/>
      <c r="Y61" s="67"/>
      <c r="Z61" s="67"/>
      <c r="AA61" s="67"/>
    </row>
    <row r="62" spans="1:27" x14ac:dyDescent="0.25">
      <c r="A62" s="250">
        <f t="shared" si="0"/>
        <v>0</v>
      </c>
      <c r="B62" s="109">
        <f ca="1"/>
        <v>50</v>
      </c>
      <c r="C62" s="110"/>
      <c r="D62" s="110"/>
      <c r="E62" s="111"/>
      <c r="F62" s="37"/>
      <c r="G62" s="93"/>
      <c r="H62" s="93"/>
      <c r="I62" s="93"/>
      <c r="J62" s="93"/>
      <c r="K62" s="256"/>
      <c r="L62" s="9"/>
      <c r="M62" s="258" t="e">
        <f ca="1"/>
        <v>#REF!</v>
      </c>
      <c r="N62" s="259" t="e">
        <f ca="1"/>
        <v>#REF!</v>
      </c>
      <c r="O62" s="259" t="e">
        <f ca="1"/>
        <v>#REF!</v>
      </c>
      <c r="P62" s="64"/>
      <c r="Q62" s="260">
        <f t="shared" si="1"/>
        <v>0</v>
      </c>
      <c r="R62" s="9"/>
      <c r="S62" s="261"/>
      <c r="T62" s="261"/>
      <c r="U62" s="261"/>
      <c r="V62" s="261"/>
      <c r="W62" s="67"/>
      <c r="X62" s="67"/>
      <c r="Y62" s="67"/>
      <c r="Z62" s="67"/>
      <c r="AA62" s="67"/>
    </row>
    <row r="63" spans="1:27" x14ac:dyDescent="0.25">
      <c r="A63" s="250">
        <f t="shared" si="0"/>
        <v>0</v>
      </c>
      <c r="B63" s="109">
        <f ca="1"/>
        <v>51</v>
      </c>
      <c r="C63" s="110"/>
      <c r="D63" s="110"/>
      <c r="E63" s="111"/>
      <c r="F63" s="37"/>
      <c r="G63" s="28"/>
      <c r="K63" s="256"/>
      <c r="L63" s="9"/>
      <c r="M63" s="258" t="e">
        <f ca="1"/>
        <v>#REF!</v>
      </c>
      <c r="N63" s="259" t="e">
        <f ca="1"/>
        <v>#REF!</v>
      </c>
      <c r="O63" s="259" t="e">
        <f ca="1"/>
        <v>#REF!</v>
      </c>
      <c r="P63" s="64"/>
      <c r="Q63" s="260">
        <f t="shared" si="1"/>
        <v>0</v>
      </c>
      <c r="R63" s="9"/>
      <c r="S63" s="261"/>
      <c r="T63" s="261"/>
      <c r="U63" s="261"/>
      <c r="V63" s="261"/>
      <c r="W63" s="67"/>
      <c r="X63" s="67"/>
      <c r="Y63" s="67"/>
      <c r="Z63" s="67"/>
      <c r="AA63" s="67"/>
    </row>
    <row r="64" spans="1:27" ht="15.75" thickBot="1" x14ac:dyDescent="0.3">
      <c r="A64" s="250">
        <f t="shared" si="0"/>
        <v>0</v>
      </c>
      <c r="B64" s="112">
        <f ca="1"/>
        <v>52</v>
      </c>
      <c r="C64" s="113"/>
      <c r="D64" s="113"/>
      <c r="E64" s="114"/>
      <c r="F64" s="37"/>
      <c r="G64" s="28"/>
      <c r="K64" s="256"/>
      <c r="L64" s="9"/>
      <c r="M64" s="258" t="e">
        <f ca="1"/>
        <v>#REF!</v>
      </c>
      <c r="N64" s="259" t="e">
        <f ca="1"/>
        <v>#REF!</v>
      </c>
      <c r="O64" s="259" t="e">
        <f ca="1"/>
        <v>#REF!</v>
      </c>
      <c r="P64" s="64"/>
      <c r="Q64" s="260">
        <f t="shared" si="1"/>
        <v>0</v>
      </c>
      <c r="R64" s="9"/>
      <c r="S64" s="261"/>
      <c r="T64" s="261"/>
      <c r="U64" s="261"/>
      <c r="V64" s="261"/>
      <c r="W64" s="67"/>
      <c r="X64" s="67"/>
      <c r="Y64" s="67"/>
      <c r="Z64" s="67"/>
      <c r="AA64" s="67"/>
    </row>
    <row r="65" spans="1:27" x14ac:dyDescent="0.25">
      <c r="A65" s="54"/>
      <c r="B65" s="104"/>
      <c r="D65" s="105"/>
      <c r="E65" s="17"/>
      <c r="G65" s="28"/>
      <c r="K65" s="256"/>
      <c r="L65" s="9"/>
      <c r="M65" s="326" t="s">
        <v>296</v>
      </c>
      <c r="N65" s="259">
        <f t="array" aca="1" ref="N65:N66" ca="1">IF(Split=0,Mean,Mean2)</f>
        <v>0</v>
      </c>
      <c r="O65" s="259" t="e">
        <f ca="1">NORMDIST(N65,IF(Split=0,Mean,Mean2),Deviation,FALSE)</f>
        <v>#REF!</v>
      </c>
      <c r="P65" s="65"/>
      <c r="Q65" s="260"/>
      <c r="R65" s="261"/>
      <c r="S65" s="261"/>
      <c r="T65" s="261"/>
      <c r="U65" s="261"/>
      <c r="V65" s="261"/>
      <c r="W65" s="67"/>
      <c r="X65" s="67"/>
      <c r="Y65" s="67"/>
      <c r="Z65" s="67"/>
      <c r="AA65" s="67"/>
    </row>
    <row r="66" spans="1:27" x14ac:dyDescent="0.25">
      <c r="A66" s="54"/>
      <c r="E66" s="9"/>
      <c r="K66" s="256"/>
      <c r="L66" s="9"/>
      <c r="M66" s="326"/>
      <c r="N66" s="259">
        <f ca="1"/>
        <v>0</v>
      </c>
      <c r="O66" s="259">
        <v>0</v>
      </c>
      <c r="P66" s="65"/>
      <c r="Q66" s="260"/>
      <c r="R66" s="261"/>
      <c r="S66" s="261"/>
      <c r="T66" s="261"/>
      <c r="U66" s="261"/>
      <c r="V66" s="261"/>
      <c r="W66" s="67"/>
      <c r="X66" s="67"/>
      <c r="Y66" s="67"/>
      <c r="Z66" s="67"/>
      <c r="AA66" s="67"/>
    </row>
    <row r="67" spans="1:27" x14ac:dyDescent="0.25">
      <c r="A67" s="69" t="s">
        <v>83</v>
      </c>
      <c r="B67" s="67" t="s">
        <v>9</v>
      </c>
      <c r="E67" s="9"/>
      <c r="K67" s="252"/>
      <c r="L67" s="254"/>
      <c r="M67" s="325" t="s">
        <v>23</v>
      </c>
      <c r="N67" s="259" t="e">
        <f t="array" aca="1" ref="N67:N68" ca="1">Percentile85</f>
        <v>#REF!</v>
      </c>
      <c r="O67" s="259" t="e">
        <f ca="1">NORMDIST(N67,IF(Split=0,Mean,Mean2),Deviation,FALSE)</f>
        <v>#REF!</v>
      </c>
      <c r="P67" s="65"/>
      <c r="Q67" s="260"/>
      <c r="R67" s="261"/>
      <c r="S67" s="67"/>
      <c r="T67" s="67"/>
      <c r="U67" s="67"/>
      <c r="V67" s="67"/>
      <c r="W67" s="67"/>
      <c r="X67" s="67"/>
      <c r="Y67" s="67"/>
      <c r="Z67" s="67"/>
      <c r="AA67" s="67"/>
    </row>
    <row r="68" spans="1:27" x14ac:dyDescent="0.25">
      <c r="A68" s="69" t="s">
        <v>84</v>
      </c>
      <c r="B68" s="67" t="s">
        <v>307</v>
      </c>
      <c r="E68" s="9"/>
      <c r="K68" s="252"/>
      <c r="L68" s="254"/>
      <c r="M68" s="326"/>
      <c r="N68" s="259" t="e">
        <f ca="1"/>
        <v>#REF!</v>
      </c>
      <c r="O68" s="259">
        <v>0</v>
      </c>
      <c r="P68" s="65"/>
      <c r="Q68" s="260"/>
      <c r="R68" s="261"/>
      <c r="S68" s="67"/>
      <c r="T68" s="67"/>
      <c r="U68" s="67"/>
      <c r="V68" s="67"/>
      <c r="W68" s="67"/>
      <c r="X68" s="67"/>
      <c r="Y68" s="67"/>
      <c r="Z68" s="67"/>
      <c r="AA68" s="67"/>
    </row>
    <row r="69" spans="1:27" x14ac:dyDescent="0.25">
      <c r="A69" s="69" t="s">
        <v>479</v>
      </c>
      <c r="B69" s="67" t="s">
        <v>308</v>
      </c>
      <c r="E69" s="9"/>
      <c r="K69" s="252"/>
      <c r="L69" s="254"/>
      <c r="M69" s="325" t="s">
        <v>30</v>
      </c>
      <c r="N69" s="259" t="e">
        <f t="array" aca="1" ref="N69:N70" ca="1">Mean+(3*Deviation)</f>
        <v>#REF!</v>
      </c>
      <c r="O69" s="259" t="e">
        <f ca="1">NORMDIST(N69,IF(Split=0,Mean,Mean2),Deviation,FALSE)</f>
        <v>#REF!</v>
      </c>
      <c r="P69" s="65"/>
      <c r="Q69" s="260"/>
      <c r="R69" s="261"/>
      <c r="S69" s="67"/>
      <c r="T69" s="67"/>
      <c r="U69" s="67"/>
      <c r="V69" s="67"/>
      <c r="W69" s="67"/>
      <c r="X69" s="67"/>
      <c r="Y69" s="67"/>
      <c r="Z69" s="67"/>
      <c r="AA69" s="67"/>
    </row>
    <row r="70" spans="1:27" x14ac:dyDescent="0.25">
      <c r="A70" s="69" t="s">
        <v>85</v>
      </c>
      <c r="B70" s="67" t="s">
        <v>309</v>
      </c>
      <c r="E70" s="9"/>
      <c r="K70" s="252"/>
      <c r="L70" s="254"/>
      <c r="M70" s="326"/>
      <c r="N70" s="259" t="e">
        <f ca="1"/>
        <v>#REF!</v>
      </c>
      <c r="O70" s="259">
        <v>0</v>
      </c>
      <c r="P70" s="65"/>
      <c r="Q70" s="260"/>
      <c r="R70" s="261"/>
      <c r="S70" s="67"/>
      <c r="T70" s="67"/>
      <c r="U70" s="67"/>
      <c r="V70" s="67"/>
      <c r="W70" s="67"/>
      <c r="X70" s="67"/>
      <c r="Y70" s="67"/>
      <c r="Z70" s="67"/>
      <c r="AA70" s="67"/>
    </row>
    <row r="71" spans="1:27" x14ac:dyDescent="0.25">
      <c r="A71" s="69" t="s">
        <v>86</v>
      </c>
      <c r="B71" s="67" t="s">
        <v>310</v>
      </c>
      <c r="E71" s="9"/>
      <c r="F71" s="9"/>
      <c r="K71" s="252"/>
      <c r="L71" s="254"/>
      <c r="M71" s="255"/>
      <c r="N71" s="255"/>
      <c r="O71" s="255"/>
      <c r="P71" s="256"/>
      <c r="Q71" s="252"/>
      <c r="R71" s="252"/>
    </row>
    <row r="72" spans="1:27" x14ac:dyDescent="0.25">
      <c r="A72" s="69" t="s">
        <v>87</v>
      </c>
      <c r="B72" s="67" t="s">
        <v>311</v>
      </c>
      <c r="E72" s="9"/>
      <c r="F72" s="9"/>
      <c r="G72" s="9"/>
      <c r="H72" s="9"/>
      <c r="I72" s="9"/>
      <c r="K72" s="252"/>
      <c r="L72" s="254"/>
      <c r="M72" s="255"/>
      <c r="N72" s="255"/>
      <c r="O72" s="255"/>
      <c r="P72" s="256"/>
      <c r="Q72" s="252"/>
      <c r="R72" s="252"/>
    </row>
    <row r="73" spans="1:27" x14ac:dyDescent="0.25">
      <c r="A73" s="69" t="s">
        <v>88</v>
      </c>
      <c r="B73" s="67" t="s">
        <v>312</v>
      </c>
      <c r="E73" s="9"/>
      <c r="F73" s="9"/>
      <c r="G73" s="9"/>
      <c r="H73" s="9"/>
      <c r="I73" s="9"/>
      <c r="K73" s="252"/>
      <c r="L73" s="254"/>
      <c r="M73" s="255"/>
      <c r="N73" s="255"/>
      <c r="O73" s="255"/>
      <c r="P73" s="256"/>
      <c r="Q73" s="252"/>
      <c r="R73" s="252"/>
    </row>
    <row r="74" spans="1:27" x14ac:dyDescent="0.25">
      <c r="A74" s="69" t="s">
        <v>89</v>
      </c>
      <c r="B74" s="67" t="s">
        <v>313</v>
      </c>
      <c r="E74" s="9"/>
      <c r="F74" s="9"/>
      <c r="G74" s="9"/>
      <c r="H74" s="9"/>
      <c r="I74" s="9"/>
      <c r="K74" s="252"/>
      <c r="L74" s="254"/>
      <c r="M74" s="255"/>
      <c r="N74" s="255"/>
      <c r="O74" s="255"/>
      <c r="P74" s="256"/>
      <c r="Q74" s="252"/>
      <c r="R74" s="252"/>
    </row>
    <row r="75" spans="1:27" x14ac:dyDescent="0.25">
      <c r="A75" s="69" t="s">
        <v>90</v>
      </c>
      <c r="B75" s="67" t="s">
        <v>314</v>
      </c>
      <c r="G75" s="9"/>
      <c r="H75" s="9"/>
      <c r="I75" s="9"/>
      <c r="K75" s="252"/>
      <c r="L75" s="254"/>
      <c r="M75" s="255"/>
      <c r="N75" s="255"/>
      <c r="O75" s="255"/>
      <c r="P75" s="256"/>
      <c r="Q75" s="252"/>
      <c r="R75" s="252"/>
    </row>
    <row r="76" spans="1:27" x14ac:dyDescent="0.25">
      <c r="A76" s="69" t="s">
        <v>91</v>
      </c>
      <c r="B76" s="67" t="s">
        <v>315</v>
      </c>
      <c r="K76" s="252"/>
      <c r="L76" s="254"/>
      <c r="M76" s="255"/>
      <c r="N76" s="255"/>
      <c r="O76" s="255"/>
      <c r="P76" s="256"/>
      <c r="Q76" s="252"/>
      <c r="R76" s="252"/>
    </row>
    <row r="77" spans="1:27" x14ac:dyDescent="0.25">
      <c r="A77" s="69" t="s">
        <v>92</v>
      </c>
      <c r="B77" s="67" t="s">
        <v>316</v>
      </c>
      <c r="K77" s="252"/>
      <c r="L77" s="254"/>
      <c r="M77" s="255"/>
      <c r="N77" s="255"/>
      <c r="O77" s="255"/>
      <c r="P77" s="256"/>
      <c r="Q77" s="252"/>
      <c r="R77" s="252"/>
    </row>
    <row r="78" spans="1:27" x14ac:dyDescent="0.25">
      <c r="A78" s="69" t="s">
        <v>480</v>
      </c>
      <c r="B78" s="67" t="s">
        <v>317</v>
      </c>
      <c r="K78" s="252"/>
      <c r="L78" s="254"/>
      <c r="M78" s="255"/>
      <c r="N78" s="255"/>
      <c r="O78" s="255"/>
      <c r="P78" s="256"/>
      <c r="Q78" s="252"/>
      <c r="R78" s="252"/>
    </row>
    <row r="79" spans="1:27" x14ac:dyDescent="0.25">
      <c r="A79" s="69" t="s">
        <v>93</v>
      </c>
      <c r="B79" s="67" t="s">
        <v>318</v>
      </c>
      <c r="K79" s="252"/>
      <c r="L79" s="254"/>
      <c r="M79" s="255"/>
      <c r="N79" s="255"/>
      <c r="O79" s="255"/>
      <c r="P79" s="256"/>
      <c r="Q79" s="252"/>
      <c r="R79" s="252"/>
    </row>
    <row r="80" spans="1:27" x14ac:dyDescent="0.25">
      <c r="A80" s="69" t="s">
        <v>481</v>
      </c>
      <c r="B80" s="67" t="s">
        <v>319</v>
      </c>
      <c r="K80" s="252"/>
      <c r="L80" s="254"/>
      <c r="M80" s="255"/>
      <c r="N80" s="255"/>
      <c r="O80" s="255"/>
      <c r="P80" s="256"/>
      <c r="Q80" s="252"/>
      <c r="R80" s="252"/>
    </row>
    <row r="81" spans="1:18" x14ac:dyDescent="0.25">
      <c r="A81" s="69" t="s">
        <v>482</v>
      </c>
      <c r="B81" s="67" t="s">
        <v>320</v>
      </c>
      <c r="K81" s="252"/>
      <c r="L81" s="254"/>
      <c r="M81" s="255"/>
      <c r="N81" s="255"/>
      <c r="O81" s="255"/>
      <c r="P81" s="256"/>
      <c r="Q81" s="252"/>
      <c r="R81" s="252"/>
    </row>
    <row r="82" spans="1:18" x14ac:dyDescent="0.25">
      <c r="A82" s="69" t="s">
        <v>94</v>
      </c>
      <c r="B82" s="67" t="s">
        <v>321</v>
      </c>
      <c r="K82" s="252"/>
      <c r="L82" s="254"/>
      <c r="M82" s="255"/>
      <c r="N82" s="255"/>
      <c r="O82" s="255"/>
      <c r="P82" s="256"/>
      <c r="Q82" s="252"/>
      <c r="R82" s="252"/>
    </row>
    <row r="83" spans="1:18" x14ac:dyDescent="0.25">
      <c r="A83" s="69" t="s">
        <v>95</v>
      </c>
      <c r="B83" s="67" t="s">
        <v>322</v>
      </c>
      <c r="K83" s="252"/>
      <c r="L83" s="254"/>
      <c r="M83" s="255"/>
      <c r="N83" s="255"/>
      <c r="O83" s="255"/>
      <c r="P83" s="256"/>
      <c r="Q83" s="252"/>
      <c r="R83" s="252"/>
    </row>
    <row r="84" spans="1:18" x14ac:dyDescent="0.25">
      <c r="A84" s="69" t="s">
        <v>96</v>
      </c>
      <c r="B84" s="67" t="s">
        <v>323</v>
      </c>
      <c r="K84" s="252"/>
      <c r="L84" s="254"/>
      <c r="M84" s="255"/>
      <c r="N84" s="255"/>
      <c r="O84" s="255"/>
      <c r="P84" s="256"/>
      <c r="Q84" s="252"/>
      <c r="R84" s="252"/>
    </row>
    <row r="85" spans="1:18" x14ac:dyDescent="0.25">
      <c r="A85" s="69" t="s">
        <v>97</v>
      </c>
      <c r="B85" s="67" t="s">
        <v>324</v>
      </c>
    </row>
    <row r="86" spans="1:18" x14ac:dyDescent="0.25">
      <c r="A86" s="69" t="s">
        <v>98</v>
      </c>
      <c r="B86" s="67" t="s">
        <v>325</v>
      </c>
    </row>
    <row r="87" spans="1:18" x14ac:dyDescent="0.25">
      <c r="A87" s="69" t="s">
        <v>99</v>
      </c>
      <c r="B87" s="67" t="s">
        <v>326</v>
      </c>
    </row>
    <row r="88" spans="1:18" x14ac:dyDescent="0.25">
      <c r="A88" s="69" t="s">
        <v>457</v>
      </c>
      <c r="B88" s="67" t="s">
        <v>327</v>
      </c>
    </row>
    <row r="89" spans="1:18" x14ac:dyDescent="0.25">
      <c r="A89" s="69" t="s">
        <v>100</v>
      </c>
      <c r="B89" s="67" t="s">
        <v>328</v>
      </c>
    </row>
    <row r="90" spans="1:18" x14ac:dyDescent="0.25">
      <c r="A90" s="69" t="s">
        <v>458</v>
      </c>
      <c r="B90" s="67" t="s">
        <v>329</v>
      </c>
    </row>
    <row r="91" spans="1:18" x14ac:dyDescent="0.25">
      <c r="A91" s="69" t="s">
        <v>483</v>
      </c>
      <c r="B91" s="67" t="s">
        <v>330</v>
      </c>
    </row>
    <row r="92" spans="1:18" x14ac:dyDescent="0.25">
      <c r="A92" s="69" t="s">
        <v>101</v>
      </c>
      <c r="B92" s="67" t="s">
        <v>331</v>
      </c>
    </row>
    <row r="93" spans="1:18" x14ac:dyDescent="0.25">
      <c r="A93" s="69" t="s">
        <v>484</v>
      </c>
      <c r="B93" s="67" t="s">
        <v>332</v>
      </c>
    </row>
    <row r="94" spans="1:18" x14ac:dyDescent="0.25">
      <c r="A94" s="69" t="s">
        <v>459</v>
      </c>
      <c r="B94" s="67" t="s">
        <v>333</v>
      </c>
    </row>
    <row r="95" spans="1:18" x14ac:dyDescent="0.25">
      <c r="A95" s="69" t="s">
        <v>102</v>
      </c>
      <c r="B95" s="67" t="s">
        <v>334</v>
      </c>
    </row>
    <row r="96" spans="1:18" x14ac:dyDescent="0.25">
      <c r="A96" s="69" t="s">
        <v>103</v>
      </c>
      <c r="B96" s="67" t="s">
        <v>335</v>
      </c>
    </row>
    <row r="97" spans="1:2" x14ac:dyDescent="0.25">
      <c r="A97" s="69" t="s">
        <v>104</v>
      </c>
      <c r="B97" s="67" t="s">
        <v>336</v>
      </c>
    </row>
    <row r="98" spans="1:2" x14ac:dyDescent="0.25">
      <c r="A98" s="69" t="s">
        <v>105</v>
      </c>
      <c r="B98" s="67" t="s">
        <v>337</v>
      </c>
    </row>
    <row r="99" spans="1:2" x14ac:dyDescent="0.25">
      <c r="A99" s="69" t="s">
        <v>106</v>
      </c>
      <c r="B99" s="67" t="s">
        <v>338</v>
      </c>
    </row>
    <row r="100" spans="1:2" x14ac:dyDescent="0.25">
      <c r="A100" s="69" t="s">
        <v>107</v>
      </c>
      <c r="B100" s="67" t="s">
        <v>339</v>
      </c>
    </row>
    <row r="101" spans="1:2" x14ac:dyDescent="0.25">
      <c r="A101" s="69" t="s">
        <v>108</v>
      </c>
      <c r="B101" s="67" t="s">
        <v>340</v>
      </c>
    </row>
    <row r="102" spans="1:2" x14ac:dyDescent="0.25">
      <c r="A102" s="69" t="s">
        <v>109</v>
      </c>
      <c r="B102" s="67" t="s">
        <v>341</v>
      </c>
    </row>
    <row r="103" spans="1:2" x14ac:dyDescent="0.25">
      <c r="A103" s="69" t="s">
        <v>110</v>
      </c>
      <c r="B103" s="67" t="s">
        <v>284</v>
      </c>
    </row>
    <row r="104" spans="1:2" x14ac:dyDescent="0.25">
      <c r="A104" s="69" t="s">
        <v>485</v>
      </c>
      <c r="B104" s="67" t="s">
        <v>283</v>
      </c>
    </row>
    <row r="105" spans="1:2" x14ac:dyDescent="0.25">
      <c r="A105" s="69" t="s">
        <v>486</v>
      </c>
      <c r="B105" s="67" t="s">
        <v>342</v>
      </c>
    </row>
    <row r="106" spans="1:2" x14ac:dyDescent="0.25">
      <c r="A106" s="69" t="s">
        <v>111</v>
      </c>
      <c r="B106" s="67" t="s">
        <v>343</v>
      </c>
    </row>
    <row r="107" spans="1:2" x14ac:dyDescent="0.25">
      <c r="A107" s="69" t="s">
        <v>112</v>
      </c>
      <c r="B107" s="67" t="s">
        <v>344</v>
      </c>
    </row>
    <row r="108" spans="1:2" x14ac:dyDescent="0.25">
      <c r="A108" s="69" t="s">
        <v>113</v>
      </c>
      <c r="B108" s="67" t="s">
        <v>345</v>
      </c>
    </row>
    <row r="109" spans="1:2" x14ac:dyDescent="0.25">
      <c r="A109" s="69" t="s">
        <v>114</v>
      </c>
      <c r="B109" s="67" t="s">
        <v>346</v>
      </c>
    </row>
    <row r="110" spans="1:2" x14ac:dyDescent="0.25">
      <c r="A110" s="69" t="s">
        <v>721</v>
      </c>
      <c r="B110" s="67" t="s">
        <v>347</v>
      </c>
    </row>
    <row r="111" spans="1:2" x14ac:dyDescent="0.25">
      <c r="A111" s="69" t="s">
        <v>115</v>
      </c>
      <c r="B111" s="67" t="s">
        <v>348</v>
      </c>
    </row>
    <row r="112" spans="1:2" x14ac:dyDescent="0.25">
      <c r="A112" s="69" t="s">
        <v>116</v>
      </c>
      <c r="B112" s="67" t="s">
        <v>349</v>
      </c>
    </row>
    <row r="113" spans="1:2" x14ac:dyDescent="0.25">
      <c r="A113" s="69" t="s">
        <v>117</v>
      </c>
      <c r="B113" s="67" t="s">
        <v>350</v>
      </c>
    </row>
    <row r="114" spans="1:2" x14ac:dyDescent="0.25">
      <c r="A114" s="69" t="s">
        <v>118</v>
      </c>
      <c r="B114" s="67" t="s">
        <v>351</v>
      </c>
    </row>
    <row r="115" spans="1:2" x14ac:dyDescent="0.25">
      <c r="A115" s="69" t="s">
        <v>119</v>
      </c>
      <c r="B115" s="67" t="s">
        <v>352</v>
      </c>
    </row>
    <row r="116" spans="1:2" x14ac:dyDescent="0.25">
      <c r="A116" s="69" t="s">
        <v>120</v>
      </c>
      <c r="B116" s="67" t="s">
        <v>353</v>
      </c>
    </row>
    <row r="117" spans="1:2" x14ac:dyDescent="0.25">
      <c r="A117" s="69" t="s">
        <v>121</v>
      </c>
      <c r="B117" s="67" t="s">
        <v>354</v>
      </c>
    </row>
    <row r="118" spans="1:2" x14ac:dyDescent="0.25">
      <c r="A118" s="69" t="s">
        <v>122</v>
      </c>
      <c r="B118" s="67" t="s">
        <v>355</v>
      </c>
    </row>
    <row r="119" spans="1:2" x14ac:dyDescent="0.25">
      <c r="A119" s="69" t="s">
        <v>123</v>
      </c>
      <c r="B119" s="67" t="s">
        <v>356</v>
      </c>
    </row>
    <row r="120" spans="1:2" x14ac:dyDescent="0.25">
      <c r="A120" s="69" t="s">
        <v>124</v>
      </c>
      <c r="B120" s="67" t="s">
        <v>357</v>
      </c>
    </row>
    <row r="121" spans="1:2" x14ac:dyDescent="0.25">
      <c r="A121" s="69" t="s">
        <v>125</v>
      </c>
      <c r="B121" s="67" t="s">
        <v>10</v>
      </c>
    </row>
    <row r="122" spans="1:2" x14ac:dyDescent="0.25">
      <c r="A122" s="69" t="s">
        <v>487</v>
      </c>
      <c r="B122" s="67" t="s">
        <v>358</v>
      </c>
    </row>
    <row r="123" spans="1:2" x14ac:dyDescent="0.25">
      <c r="A123" s="69" t="s">
        <v>126</v>
      </c>
      <c r="B123" s="67" t="s">
        <v>359</v>
      </c>
    </row>
    <row r="124" spans="1:2" x14ac:dyDescent="0.25">
      <c r="A124" s="69" t="s">
        <v>460</v>
      </c>
      <c r="B124" s="67" t="s">
        <v>360</v>
      </c>
    </row>
    <row r="125" spans="1:2" x14ac:dyDescent="0.25">
      <c r="A125" s="69" t="s">
        <v>127</v>
      </c>
      <c r="B125" s="67" t="s">
        <v>11</v>
      </c>
    </row>
    <row r="126" spans="1:2" x14ac:dyDescent="0.25">
      <c r="A126" s="69" t="s">
        <v>128</v>
      </c>
      <c r="B126" s="67" t="s">
        <v>361</v>
      </c>
    </row>
    <row r="127" spans="1:2" x14ac:dyDescent="0.25">
      <c r="A127" s="69" t="s">
        <v>129</v>
      </c>
      <c r="B127" s="67" t="s">
        <v>362</v>
      </c>
    </row>
    <row r="128" spans="1:2" x14ac:dyDescent="0.25">
      <c r="A128" s="69" t="s">
        <v>130</v>
      </c>
      <c r="B128" s="67" t="s">
        <v>363</v>
      </c>
    </row>
    <row r="129" spans="1:2" x14ac:dyDescent="0.25">
      <c r="A129" s="69" t="s">
        <v>131</v>
      </c>
      <c r="B129" s="67" t="s">
        <v>364</v>
      </c>
    </row>
    <row r="130" spans="1:2" x14ac:dyDescent="0.25">
      <c r="A130" s="69" t="s">
        <v>132</v>
      </c>
      <c r="B130" s="67" t="s">
        <v>365</v>
      </c>
    </row>
    <row r="131" spans="1:2" x14ac:dyDescent="0.25">
      <c r="A131" s="69" t="s">
        <v>133</v>
      </c>
      <c r="B131" s="67" t="s">
        <v>366</v>
      </c>
    </row>
    <row r="132" spans="1:2" x14ac:dyDescent="0.25">
      <c r="A132" s="69" t="s">
        <v>134</v>
      </c>
      <c r="B132" s="67" t="s">
        <v>367</v>
      </c>
    </row>
    <row r="133" spans="1:2" x14ac:dyDescent="0.25">
      <c r="A133" s="69" t="s">
        <v>135</v>
      </c>
      <c r="B133" s="67" t="s">
        <v>368</v>
      </c>
    </row>
    <row r="134" spans="1:2" x14ac:dyDescent="0.25">
      <c r="A134" s="69" t="s">
        <v>488</v>
      </c>
      <c r="B134" s="67" t="s">
        <v>369</v>
      </c>
    </row>
    <row r="135" spans="1:2" x14ac:dyDescent="0.25">
      <c r="A135" s="69" t="s">
        <v>136</v>
      </c>
      <c r="B135" s="67" t="s">
        <v>370</v>
      </c>
    </row>
    <row r="136" spans="1:2" x14ac:dyDescent="0.25">
      <c r="A136" s="69" t="s">
        <v>137</v>
      </c>
      <c r="B136" s="67" t="s">
        <v>371</v>
      </c>
    </row>
    <row r="137" spans="1:2" x14ac:dyDescent="0.25">
      <c r="A137" s="69" t="s">
        <v>138</v>
      </c>
      <c r="B137" s="67" t="s">
        <v>372</v>
      </c>
    </row>
    <row r="138" spans="1:2" x14ac:dyDescent="0.25">
      <c r="A138" s="69" t="s">
        <v>139</v>
      </c>
      <c r="B138" s="67" t="s">
        <v>373</v>
      </c>
    </row>
    <row r="139" spans="1:2" x14ac:dyDescent="0.25">
      <c r="A139" s="69" t="s">
        <v>140</v>
      </c>
      <c r="B139" s="67" t="s">
        <v>374</v>
      </c>
    </row>
    <row r="140" spans="1:2" x14ac:dyDescent="0.25">
      <c r="A140" s="69" t="s">
        <v>386</v>
      </c>
      <c r="B140" s="67" t="s">
        <v>375</v>
      </c>
    </row>
    <row r="141" spans="1:2" x14ac:dyDescent="0.25">
      <c r="A141" s="69" t="s">
        <v>489</v>
      </c>
      <c r="B141" s="67" t="s">
        <v>376</v>
      </c>
    </row>
    <row r="142" spans="1:2" x14ac:dyDescent="0.25">
      <c r="A142" s="69" t="s">
        <v>141</v>
      </c>
      <c r="B142" s="67" t="s">
        <v>377</v>
      </c>
    </row>
    <row r="143" spans="1:2" x14ac:dyDescent="0.25">
      <c r="A143" s="69" t="s">
        <v>490</v>
      </c>
      <c r="B143" s="67" t="s">
        <v>378</v>
      </c>
    </row>
    <row r="144" spans="1:2" x14ac:dyDescent="0.25">
      <c r="A144" s="69" t="s">
        <v>491</v>
      </c>
      <c r="B144" s="67" t="s">
        <v>379</v>
      </c>
    </row>
    <row r="145" spans="1:2" x14ac:dyDescent="0.25">
      <c r="A145" s="69" t="s">
        <v>142</v>
      </c>
      <c r="B145" s="67" t="s">
        <v>380</v>
      </c>
    </row>
    <row r="146" spans="1:2" x14ac:dyDescent="0.25">
      <c r="A146" s="69" t="s">
        <v>143</v>
      </c>
      <c r="B146" s="67" t="s">
        <v>381</v>
      </c>
    </row>
    <row r="147" spans="1:2" x14ac:dyDescent="0.25">
      <c r="A147" s="69" t="s">
        <v>144</v>
      </c>
      <c r="B147" s="67" t="s">
        <v>382</v>
      </c>
    </row>
    <row r="148" spans="1:2" x14ac:dyDescent="0.25">
      <c r="A148" s="69" t="s">
        <v>722</v>
      </c>
      <c r="B148" s="67" t="s">
        <v>12</v>
      </c>
    </row>
    <row r="149" spans="1:2" x14ac:dyDescent="0.25">
      <c r="A149" s="69" t="s">
        <v>145</v>
      </c>
      <c r="B149" s="67" t="s">
        <v>383</v>
      </c>
    </row>
    <row r="150" spans="1:2" x14ac:dyDescent="0.25">
      <c r="A150" s="69" t="s">
        <v>492</v>
      </c>
      <c r="B150" s="67" t="s">
        <v>282</v>
      </c>
    </row>
    <row r="151" spans="1:2" x14ac:dyDescent="0.25">
      <c r="A151" s="69" t="s">
        <v>146</v>
      </c>
      <c r="B151" s="67" t="s">
        <v>446</v>
      </c>
    </row>
    <row r="152" spans="1:2" x14ac:dyDescent="0.25">
      <c r="A152" s="69" t="s">
        <v>147</v>
      </c>
      <c r="B152" s="67"/>
    </row>
    <row r="153" spans="1:2" x14ac:dyDescent="0.25">
      <c r="A153" s="69" t="s">
        <v>493</v>
      </c>
      <c r="B153" s="67"/>
    </row>
    <row r="154" spans="1:2" x14ac:dyDescent="0.25">
      <c r="A154" s="69" t="s">
        <v>494</v>
      </c>
      <c r="B154" s="67"/>
    </row>
    <row r="155" spans="1:2" x14ac:dyDescent="0.25">
      <c r="A155" s="69" t="s">
        <v>148</v>
      </c>
      <c r="B155" s="67"/>
    </row>
    <row r="156" spans="1:2" x14ac:dyDescent="0.25">
      <c r="A156" s="69" t="s">
        <v>495</v>
      </c>
      <c r="B156" s="67"/>
    </row>
    <row r="157" spans="1:2" x14ac:dyDescent="0.25">
      <c r="A157" s="69" t="s">
        <v>149</v>
      </c>
      <c r="B157" s="67"/>
    </row>
    <row r="158" spans="1:2" x14ac:dyDescent="0.25">
      <c r="A158" s="69" t="s">
        <v>150</v>
      </c>
      <c r="B158" s="67"/>
    </row>
    <row r="159" spans="1:2" x14ac:dyDescent="0.25">
      <c r="A159" s="69" t="s">
        <v>151</v>
      </c>
      <c r="B159" s="67"/>
    </row>
    <row r="160" spans="1:2" x14ac:dyDescent="0.25">
      <c r="A160" s="69" t="s">
        <v>152</v>
      </c>
      <c r="B160" s="67"/>
    </row>
    <row r="161" spans="1:2" x14ac:dyDescent="0.25">
      <c r="A161" s="69" t="s">
        <v>496</v>
      </c>
      <c r="B161" s="67"/>
    </row>
    <row r="162" spans="1:2" x14ac:dyDescent="0.25">
      <c r="A162" s="69" t="s">
        <v>497</v>
      </c>
      <c r="B162" s="67"/>
    </row>
    <row r="163" spans="1:2" x14ac:dyDescent="0.25">
      <c r="A163" s="69" t="s">
        <v>153</v>
      </c>
      <c r="B163" s="67"/>
    </row>
    <row r="164" spans="1:2" x14ac:dyDescent="0.25">
      <c r="A164" s="69" t="s">
        <v>154</v>
      </c>
      <c r="B164" s="67"/>
    </row>
    <row r="165" spans="1:2" x14ac:dyDescent="0.25">
      <c r="A165" s="69" t="s">
        <v>461</v>
      </c>
      <c r="B165" s="67"/>
    </row>
    <row r="166" spans="1:2" x14ac:dyDescent="0.25">
      <c r="A166" s="69" t="s">
        <v>155</v>
      </c>
      <c r="B166" s="67"/>
    </row>
    <row r="167" spans="1:2" x14ac:dyDescent="0.25">
      <c r="A167" s="69" t="s">
        <v>156</v>
      </c>
      <c r="B167" s="67"/>
    </row>
    <row r="168" spans="1:2" x14ac:dyDescent="0.25">
      <c r="A168" s="69" t="s">
        <v>157</v>
      </c>
      <c r="B168" s="67"/>
    </row>
    <row r="169" spans="1:2" x14ac:dyDescent="0.25">
      <c r="A169" s="69" t="s">
        <v>158</v>
      </c>
      <c r="B169" s="67"/>
    </row>
    <row r="170" spans="1:2" x14ac:dyDescent="0.25">
      <c r="A170" s="69" t="s">
        <v>498</v>
      </c>
      <c r="B170" s="67"/>
    </row>
    <row r="171" spans="1:2" x14ac:dyDescent="0.25">
      <c r="A171" s="69" t="s">
        <v>159</v>
      </c>
      <c r="B171" s="67"/>
    </row>
    <row r="172" spans="1:2" x14ac:dyDescent="0.25">
      <c r="A172" s="69" t="s">
        <v>160</v>
      </c>
      <c r="B172" s="67"/>
    </row>
    <row r="173" spans="1:2" x14ac:dyDescent="0.25">
      <c r="A173" s="69" t="s">
        <v>462</v>
      </c>
      <c r="B173" s="67"/>
    </row>
    <row r="174" spans="1:2" x14ac:dyDescent="0.25">
      <c r="A174" s="69" t="s">
        <v>161</v>
      </c>
      <c r="B174" s="67"/>
    </row>
    <row r="175" spans="1:2" x14ac:dyDescent="0.25">
      <c r="A175" s="69" t="s">
        <v>162</v>
      </c>
      <c r="B175" s="67"/>
    </row>
    <row r="176" spans="1:2" x14ac:dyDescent="0.25">
      <c r="A176" s="69" t="s">
        <v>723</v>
      </c>
      <c r="B176" s="67"/>
    </row>
    <row r="177" spans="1:2" x14ac:dyDescent="0.25">
      <c r="A177" s="69" t="s">
        <v>163</v>
      </c>
      <c r="B177" s="67"/>
    </row>
    <row r="178" spans="1:2" x14ac:dyDescent="0.25">
      <c r="A178" s="69" t="s">
        <v>164</v>
      </c>
      <c r="B178" s="67"/>
    </row>
    <row r="179" spans="1:2" x14ac:dyDescent="0.25">
      <c r="A179" s="69" t="s">
        <v>499</v>
      </c>
      <c r="B179" s="67"/>
    </row>
    <row r="180" spans="1:2" x14ac:dyDescent="0.25">
      <c r="A180" s="69" t="s">
        <v>463</v>
      </c>
      <c r="B180" s="67"/>
    </row>
    <row r="181" spans="1:2" x14ac:dyDescent="0.25">
      <c r="A181" s="69" t="s">
        <v>165</v>
      </c>
      <c r="B181" s="67"/>
    </row>
    <row r="182" spans="1:2" x14ac:dyDescent="0.25">
      <c r="A182" s="69" t="s">
        <v>166</v>
      </c>
      <c r="B182" s="67"/>
    </row>
    <row r="183" spans="1:2" x14ac:dyDescent="0.25">
      <c r="A183" s="69" t="s">
        <v>500</v>
      </c>
      <c r="B183" s="67"/>
    </row>
    <row r="184" spans="1:2" x14ac:dyDescent="0.25">
      <c r="A184" s="69" t="s">
        <v>167</v>
      </c>
      <c r="B184" s="67"/>
    </row>
    <row r="185" spans="1:2" x14ac:dyDescent="0.25">
      <c r="A185" s="69" t="s">
        <v>464</v>
      </c>
      <c r="B185" s="67"/>
    </row>
    <row r="186" spans="1:2" x14ac:dyDescent="0.25">
      <c r="A186" s="69" t="s">
        <v>168</v>
      </c>
      <c r="B186" s="67"/>
    </row>
    <row r="187" spans="1:2" x14ac:dyDescent="0.25">
      <c r="A187" s="69" t="s">
        <v>501</v>
      </c>
      <c r="B187" s="67"/>
    </row>
    <row r="188" spans="1:2" x14ac:dyDescent="0.25">
      <c r="A188" s="69" t="s">
        <v>169</v>
      </c>
      <c r="B188" s="67"/>
    </row>
    <row r="189" spans="1:2" x14ac:dyDescent="0.25">
      <c r="A189" s="69" t="s">
        <v>170</v>
      </c>
      <c r="B189" s="67"/>
    </row>
    <row r="190" spans="1:2" x14ac:dyDescent="0.25">
      <c r="A190" s="69" t="s">
        <v>171</v>
      </c>
      <c r="B190" s="67"/>
    </row>
    <row r="191" spans="1:2" x14ac:dyDescent="0.25">
      <c r="A191" s="69" t="s">
        <v>172</v>
      </c>
      <c r="B191" s="67"/>
    </row>
    <row r="192" spans="1:2" x14ac:dyDescent="0.25">
      <c r="A192" s="69" t="s">
        <v>173</v>
      </c>
      <c r="B192" s="67"/>
    </row>
    <row r="193" spans="1:2" x14ac:dyDescent="0.25">
      <c r="A193" s="69" t="s">
        <v>502</v>
      </c>
      <c r="B193" s="67"/>
    </row>
    <row r="194" spans="1:2" x14ac:dyDescent="0.25">
      <c r="A194" s="69" t="s">
        <v>174</v>
      </c>
      <c r="B194" s="67"/>
    </row>
    <row r="195" spans="1:2" x14ac:dyDescent="0.25">
      <c r="A195" s="69" t="s">
        <v>503</v>
      </c>
      <c r="B195" s="67"/>
    </row>
    <row r="196" spans="1:2" x14ac:dyDescent="0.25">
      <c r="A196" s="69" t="s">
        <v>504</v>
      </c>
      <c r="B196" s="67"/>
    </row>
    <row r="197" spans="1:2" x14ac:dyDescent="0.25">
      <c r="A197" s="69" t="s">
        <v>175</v>
      </c>
      <c r="B197" s="67"/>
    </row>
    <row r="198" spans="1:2" x14ac:dyDescent="0.25">
      <c r="A198" s="69" t="s">
        <v>176</v>
      </c>
      <c r="B198" s="67"/>
    </row>
    <row r="199" spans="1:2" x14ac:dyDescent="0.25">
      <c r="A199" s="69" t="s">
        <v>177</v>
      </c>
      <c r="B199" s="67"/>
    </row>
    <row r="200" spans="1:2" x14ac:dyDescent="0.25">
      <c r="A200" s="69" t="s">
        <v>505</v>
      </c>
      <c r="B200" s="67"/>
    </row>
    <row r="201" spans="1:2" x14ac:dyDescent="0.25">
      <c r="A201" s="69" t="s">
        <v>178</v>
      </c>
      <c r="B201" s="67"/>
    </row>
    <row r="202" spans="1:2" x14ac:dyDescent="0.25">
      <c r="A202" s="69" t="s">
        <v>506</v>
      </c>
      <c r="B202" s="67"/>
    </row>
    <row r="203" spans="1:2" x14ac:dyDescent="0.25">
      <c r="A203" s="69" t="s">
        <v>179</v>
      </c>
      <c r="B203" s="67"/>
    </row>
    <row r="204" spans="1:2" x14ac:dyDescent="0.25">
      <c r="A204" s="69" t="s">
        <v>180</v>
      </c>
      <c r="B204" s="67"/>
    </row>
    <row r="205" spans="1:2" x14ac:dyDescent="0.25">
      <c r="A205" s="69" t="s">
        <v>181</v>
      </c>
      <c r="B205" s="67"/>
    </row>
    <row r="206" spans="1:2" x14ac:dyDescent="0.25">
      <c r="A206" s="69" t="s">
        <v>182</v>
      </c>
      <c r="B206" s="67"/>
    </row>
    <row r="207" spans="1:2" x14ac:dyDescent="0.25">
      <c r="A207" s="69" t="s">
        <v>507</v>
      </c>
      <c r="B207" s="67"/>
    </row>
    <row r="208" spans="1:2" x14ac:dyDescent="0.25">
      <c r="A208" s="69" t="s">
        <v>508</v>
      </c>
      <c r="B208" s="67"/>
    </row>
    <row r="209" spans="1:2" x14ac:dyDescent="0.25">
      <c r="A209" s="69" t="s">
        <v>509</v>
      </c>
      <c r="B209" s="67"/>
    </row>
    <row r="210" spans="1:2" x14ac:dyDescent="0.25">
      <c r="A210" s="69" t="s">
        <v>510</v>
      </c>
      <c r="B210" s="67"/>
    </row>
    <row r="211" spans="1:2" x14ac:dyDescent="0.25">
      <c r="A211" s="69" t="s">
        <v>724</v>
      </c>
      <c r="B211" s="67"/>
    </row>
    <row r="212" spans="1:2" x14ac:dyDescent="0.25">
      <c r="A212" s="69" t="s">
        <v>511</v>
      </c>
      <c r="B212" s="67"/>
    </row>
    <row r="213" spans="1:2" x14ac:dyDescent="0.25">
      <c r="A213" s="69" t="s">
        <v>512</v>
      </c>
      <c r="B213" s="67"/>
    </row>
    <row r="214" spans="1:2" x14ac:dyDescent="0.25">
      <c r="A214" s="69" t="s">
        <v>725</v>
      </c>
      <c r="B214" s="67"/>
    </row>
    <row r="215" spans="1:2" x14ac:dyDescent="0.25">
      <c r="A215" s="69" t="s">
        <v>513</v>
      </c>
      <c r="B215" s="67"/>
    </row>
    <row r="216" spans="1:2" x14ac:dyDescent="0.25">
      <c r="A216" s="69" t="s">
        <v>726</v>
      </c>
      <c r="B216" s="67"/>
    </row>
    <row r="217" spans="1:2" x14ac:dyDescent="0.25">
      <c r="A217" s="69" t="s">
        <v>514</v>
      </c>
      <c r="B217" s="67"/>
    </row>
    <row r="218" spans="1:2" x14ac:dyDescent="0.25">
      <c r="A218" s="69" t="s">
        <v>515</v>
      </c>
      <c r="B218" s="67"/>
    </row>
    <row r="219" spans="1:2" x14ac:dyDescent="0.25">
      <c r="A219" s="69" t="s">
        <v>516</v>
      </c>
      <c r="B219" s="67"/>
    </row>
    <row r="220" spans="1:2" x14ac:dyDescent="0.25">
      <c r="A220" s="69" t="s">
        <v>517</v>
      </c>
      <c r="B220" s="67"/>
    </row>
    <row r="221" spans="1:2" x14ac:dyDescent="0.25">
      <c r="A221" s="69" t="s">
        <v>518</v>
      </c>
      <c r="B221" s="67"/>
    </row>
    <row r="222" spans="1:2" x14ac:dyDescent="0.25">
      <c r="A222" s="69" t="s">
        <v>727</v>
      </c>
      <c r="B222" s="67"/>
    </row>
    <row r="223" spans="1:2" x14ac:dyDescent="0.25">
      <c r="A223" s="69" t="s">
        <v>519</v>
      </c>
      <c r="B223" s="67"/>
    </row>
    <row r="224" spans="1:2" x14ac:dyDescent="0.25">
      <c r="A224" s="69" t="s">
        <v>520</v>
      </c>
      <c r="B224" s="67"/>
    </row>
    <row r="225" spans="1:2" x14ac:dyDescent="0.25">
      <c r="A225" s="69" t="s">
        <v>521</v>
      </c>
      <c r="B225" s="67"/>
    </row>
    <row r="226" spans="1:2" x14ac:dyDescent="0.25">
      <c r="A226" s="69" t="s">
        <v>728</v>
      </c>
      <c r="B226" s="67"/>
    </row>
    <row r="227" spans="1:2" x14ac:dyDescent="0.25">
      <c r="A227" s="69" t="s">
        <v>522</v>
      </c>
      <c r="B227" s="67"/>
    </row>
    <row r="228" spans="1:2" x14ac:dyDescent="0.25">
      <c r="A228" s="69" t="s">
        <v>523</v>
      </c>
      <c r="B228" s="67"/>
    </row>
    <row r="229" spans="1:2" x14ac:dyDescent="0.25">
      <c r="A229" s="69" t="s">
        <v>524</v>
      </c>
      <c r="B229" s="67"/>
    </row>
    <row r="230" spans="1:2" x14ac:dyDescent="0.25">
      <c r="A230" s="69" t="s">
        <v>729</v>
      </c>
      <c r="B230" s="67"/>
    </row>
    <row r="231" spans="1:2" x14ac:dyDescent="0.25">
      <c r="A231" s="69" t="s">
        <v>525</v>
      </c>
      <c r="B231" s="67"/>
    </row>
    <row r="232" spans="1:2" x14ac:dyDescent="0.25">
      <c r="A232" s="69" t="s">
        <v>526</v>
      </c>
      <c r="B232" s="67"/>
    </row>
    <row r="233" spans="1:2" x14ac:dyDescent="0.25">
      <c r="A233" s="69" t="s">
        <v>527</v>
      </c>
      <c r="B233" s="67"/>
    </row>
    <row r="234" spans="1:2" x14ac:dyDescent="0.25">
      <c r="A234" s="69" t="s">
        <v>528</v>
      </c>
      <c r="B234" s="67"/>
    </row>
    <row r="235" spans="1:2" x14ac:dyDescent="0.25">
      <c r="A235" s="69" t="s">
        <v>730</v>
      </c>
      <c r="B235" s="67"/>
    </row>
    <row r="236" spans="1:2" x14ac:dyDescent="0.25">
      <c r="A236" s="69" t="s">
        <v>529</v>
      </c>
      <c r="B236" s="67"/>
    </row>
    <row r="237" spans="1:2" x14ac:dyDescent="0.25">
      <c r="A237" s="69" t="s">
        <v>530</v>
      </c>
      <c r="B237" s="67"/>
    </row>
    <row r="238" spans="1:2" x14ac:dyDescent="0.25">
      <c r="A238" s="69" t="s">
        <v>731</v>
      </c>
      <c r="B238" s="67"/>
    </row>
    <row r="239" spans="1:2" x14ac:dyDescent="0.25">
      <c r="A239" s="69" t="s">
        <v>732</v>
      </c>
      <c r="B239" s="67"/>
    </row>
    <row r="240" spans="1:2" x14ac:dyDescent="0.25">
      <c r="A240" s="69" t="s">
        <v>733</v>
      </c>
      <c r="B240" s="67"/>
    </row>
    <row r="241" spans="1:2" x14ac:dyDescent="0.25">
      <c r="A241" s="69" t="s">
        <v>531</v>
      </c>
      <c r="B241" s="67"/>
    </row>
    <row r="242" spans="1:2" x14ac:dyDescent="0.25">
      <c r="A242" s="69" t="s">
        <v>532</v>
      </c>
      <c r="B242" s="67"/>
    </row>
    <row r="243" spans="1:2" x14ac:dyDescent="0.25">
      <c r="A243" s="69" t="s">
        <v>533</v>
      </c>
      <c r="B243" s="67"/>
    </row>
    <row r="244" spans="1:2" x14ac:dyDescent="0.25">
      <c r="A244" s="69" t="s">
        <v>734</v>
      </c>
      <c r="B244" s="67"/>
    </row>
    <row r="245" spans="1:2" x14ac:dyDescent="0.25">
      <c r="A245" s="69" t="s">
        <v>735</v>
      </c>
      <c r="B245" s="67"/>
    </row>
    <row r="246" spans="1:2" x14ac:dyDescent="0.25">
      <c r="A246" s="69" t="s">
        <v>534</v>
      </c>
      <c r="B246" s="67"/>
    </row>
    <row r="247" spans="1:2" x14ac:dyDescent="0.25">
      <c r="A247" s="69" t="s">
        <v>535</v>
      </c>
      <c r="B247" s="67"/>
    </row>
    <row r="248" spans="1:2" x14ac:dyDescent="0.25">
      <c r="A248" s="69" t="s">
        <v>736</v>
      </c>
      <c r="B248" s="67"/>
    </row>
    <row r="249" spans="1:2" x14ac:dyDescent="0.25">
      <c r="A249" s="69" t="s">
        <v>536</v>
      </c>
      <c r="B249" s="67"/>
    </row>
    <row r="250" spans="1:2" x14ac:dyDescent="0.25">
      <c r="A250" s="69" t="s">
        <v>537</v>
      </c>
      <c r="B250" s="67"/>
    </row>
    <row r="251" spans="1:2" x14ac:dyDescent="0.25">
      <c r="A251" s="69" t="s">
        <v>538</v>
      </c>
      <c r="B251" s="67"/>
    </row>
    <row r="252" spans="1:2" x14ac:dyDescent="0.25">
      <c r="A252" s="69" t="s">
        <v>539</v>
      </c>
      <c r="B252" s="67"/>
    </row>
    <row r="253" spans="1:2" x14ac:dyDescent="0.25">
      <c r="A253" s="69" t="s">
        <v>737</v>
      </c>
      <c r="B253" s="67"/>
    </row>
    <row r="254" spans="1:2" x14ac:dyDescent="0.25">
      <c r="A254" s="69" t="s">
        <v>540</v>
      </c>
      <c r="B254" s="67"/>
    </row>
    <row r="255" spans="1:2" x14ac:dyDescent="0.25">
      <c r="A255" s="69" t="s">
        <v>541</v>
      </c>
      <c r="B255" s="67"/>
    </row>
    <row r="256" spans="1:2" x14ac:dyDescent="0.25">
      <c r="A256" s="69" t="s">
        <v>542</v>
      </c>
      <c r="B256" s="67"/>
    </row>
    <row r="257" spans="1:2" x14ac:dyDescent="0.25">
      <c r="A257" s="69" t="s">
        <v>543</v>
      </c>
      <c r="B257" s="67"/>
    </row>
    <row r="258" spans="1:2" x14ac:dyDescent="0.25">
      <c r="A258" s="69" t="s">
        <v>738</v>
      </c>
      <c r="B258" s="67"/>
    </row>
    <row r="259" spans="1:2" x14ac:dyDescent="0.25">
      <c r="A259" s="69" t="s">
        <v>544</v>
      </c>
      <c r="B259" s="67"/>
    </row>
    <row r="260" spans="1:2" x14ac:dyDescent="0.25">
      <c r="A260" s="69" t="s">
        <v>739</v>
      </c>
      <c r="B260" s="67"/>
    </row>
    <row r="261" spans="1:2" x14ac:dyDescent="0.25">
      <c r="A261" s="69" t="s">
        <v>545</v>
      </c>
      <c r="B261" s="67"/>
    </row>
    <row r="262" spans="1:2" x14ac:dyDescent="0.25">
      <c r="A262" s="69" t="s">
        <v>740</v>
      </c>
      <c r="B262" s="67"/>
    </row>
    <row r="263" spans="1:2" x14ac:dyDescent="0.25">
      <c r="A263" s="69" t="s">
        <v>741</v>
      </c>
      <c r="B263" s="67"/>
    </row>
    <row r="264" spans="1:2" x14ac:dyDescent="0.25">
      <c r="A264" s="69" t="s">
        <v>546</v>
      </c>
      <c r="B264" s="67"/>
    </row>
    <row r="265" spans="1:2" x14ac:dyDescent="0.25">
      <c r="A265" s="69" t="s">
        <v>547</v>
      </c>
      <c r="B265" s="67"/>
    </row>
    <row r="266" spans="1:2" x14ac:dyDescent="0.25">
      <c r="A266" s="69" t="s">
        <v>742</v>
      </c>
      <c r="B266" s="67"/>
    </row>
    <row r="267" spans="1:2" x14ac:dyDescent="0.25">
      <c r="A267" s="69" t="s">
        <v>548</v>
      </c>
      <c r="B267" s="67"/>
    </row>
    <row r="268" spans="1:2" x14ac:dyDescent="0.25">
      <c r="A268" s="69" t="s">
        <v>549</v>
      </c>
      <c r="B268" s="67"/>
    </row>
    <row r="269" spans="1:2" x14ac:dyDescent="0.25">
      <c r="A269" s="69" t="s">
        <v>550</v>
      </c>
      <c r="B269" s="67"/>
    </row>
    <row r="270" spans="1:2" x14ac:dyDescent="0.25">
      <c r="A270" s="69" t="s">
        <v>551</v>
      </c>
      <c r="B270" s="67"/>
    </row>
    <row r="271" spans="1:2" x14ac:dyDescent="0.25">
      <c r="A271" s="69" t="s">
        <v>743</v>
      </c>
      <c r="B271" s="67"/>
    </row>
    <row r="272" spans="1:2" x14ac:dyDescent="0.25">
      <c r="A272" s="69" t="s">
        <v>552</v>
      </c>
      <c r="B272" s="67"/>
    </row>
    <row r="273" spans="1:2" x14ac:dyDescent="0.25">
      <c r="A273" s="69" t="s">
        <v>553</v>
      </c>
      <c r="B273" s="67"/>
    </row>
    <row r="274" spans="1:2" x14ac:dyDescent="0.25">
      <c r="A274" s="69" t="s">
        <v>554</v>
      </c>
      <c r="B274" s="67"/>
    </row>
    <row r="275" spans="1:2" x14ac:dyDescent="0.25">
      <c r="A275" s="69" t="s">
        <v>744</v>
      </c>
      <c r="B275" s="67"/>
    </row>
    <row r="276" spans="1:2" x14ac:dyDescent="0.25">
      <c r="A276" s="69" t="s">
        <v>555</v>
      </c>
      <c r="B276" s="67"/>
    </row>
    <row r="277" spans="1:2" x14ac:dyDescent="0.25">
      <c r="A277" s="69" t="s">
        <v>556</v>
      </c>
      <c r="B277" s="67"/>
    </row>
    <row r="278" spans="1:2" x14ac:dyDescent="0.25">
      <c r="A278" s="69" t="s">
        <v>557</v>
      </c>
      <c r="B278" s="67"/>
    </row>
    <row r="279" spans="1:2" x14ac:dyDescent="0.25">
      <c r="A279" s="69" t="s">
        <v>558</v>
      </c>
      <c r="B279" s="67"/>
    </row>
    <row r="280" spans="1:2" x14ac:dyDescent="0.25">
      <c r="A280" s="69" t="s">
        <v>559</v>
      </c>
      <c r="B280" s="67"/>
    </row>
    <row r="281" spans="1:2" x14ac:dyDescent="0.25">
      <c r="A281" s="69" t="s">
        <v>745</v>
      </c>
      <c r="B281" s="67"/>
    </row>
    <row r="282" spans="1:2" x14ac:dyDescent="0.25">
      <c r="A282" s="69" t="s">
        <v>560</v>
      </c>
      <c r="B282" s="67"/>
    </row>
    <row r="283" spans="1:2" x14ac:dyDescent="0.25">
      <c r="A283" s="69" t="s">
        <v>746</v>
      </c>
      <c r="B283" s="67"/>
    </row>
    <row r="284" spans="1:2" x14ac:dyDescent="0.25">
      <c r="A284" s="69" t="s">
        <v>747</v>
      </c>
      <c r="B284" s="67"/>
    </row>
    <row r="285" spans="1:2" x14ac:dyDescent="0.25">
      <c r="A285" s="69" t="s">
        <v>561</v>
      </c>
      <c r="B285" s="67"/>
    </row>
    <row r="286" spans="1:2" x14ac:dyDescent="0.25">
      <c r="A286" s="69" t="s">
        <v>562</v>
      </c>
      <c r="B286" s="67"/>
    </row>
    <row r="287" spans="1:2" x14ac:dyDescent="0.25">
      <c r="A287" s="69" t="s">
        <v>748</v>
      </c>
      <c r="B287" s="67"/>
    </row>
    <row r="288" spans="1:2" x14ac:dyDescent="0.25">
      <c r="A288" s="69" t="s">
        <v>563</v>
      </c>
      <c r="B288" s="67"/>
    </row>
    <row r="289" spans="1:2" x14ac:dyDescent="0.25">
      <c r="A289" s="69" t="s">
        <v>749</v>
      </c>
      <c r="B289" s="67"/>
    </row>
    <row r="290" spans="1:2" x14ac:dyDescent="0.25">
      <c r="A290" s="69" t="s">
        <v>750</v>
      </c>
      <c r="B290" s="67"/>
    </row>
    <row r="291" spans="1:2" x14ac:dyDescent="0.25">
      <c r="A291" s="69" t="s">
        <v>564</v>
      </c>
      <c r="B291" s="67"/>
    </row>
    <row r="292" spans="1:2" x14ac:dyDescent="0.25">
      <c r="A292" s="69" t="s">
        <v>565</v>
      </c>
      <c r="B292" s="67"/>
    </row>
    <row r="293" spans="1:2" x14ac:dyDescent="0.25">
      <c r="A293" s="69" t="s">
        <v>566</v>
      </c>
      <c r="B293" s="67"/>
    </row>
    <row r="294" spans="1:2" x14ac:dyDescent="0.25">
      <c r="A294" s="69" t="s">
        <v>567</v>
      </c>
      <c r="B294" s="67"/>
    </row>
    <row r="295" spans="1:2" x14ac:dyDescent="0.25">
      <c r="A295" s="69" t="s">
        <v>751</v>
      </c>
      <c r="B295" s="67"/>
    </row>
    <row r="296" spans="1:2" x14ac:dyDescent="0.25">
      <c r="A296" s="69" t="s">
        <v>568</v>
      </c>
      <c r="B296" s="67"/>
    </row>
    <row r="297" spans="1:2" x14ac:dyDescent="0.25">
      <c r="A297" s="69" t="s">
        <v>569</v>
      </c>
      <c r="B297" s="67"/>
    </row>
    <row r="298" spans="1:2" x14ac:dyDescent="0.25">
      <c r="A298" s="69" t="s">
        <v>752</v>
      </c>
      <c r="B298" s="67"/>
    </row>
    <row r="299" spans="1:2" x14ac:dyDescent="0.25">
      <c r="A299" s="69" t="s">
        <v>570</v>
      </c>
      <c r="B299" s="67"/>
    </row>
    <row r="300" spans="1:2" x14ac:dyDescent="0.25">
      <c r="A300" s="69" t="s">
        <v>571</v>
      </c>
      <c r="B300" s="67"/>
    </row>
    <row r="301" spans="1:2" x14ac:dyDescent="0.25">
      <c r="A301" s="69" t="s">
        <v>753</v>
      </c>
      <c r="B301" s="67"/>
    </row>
    <row r="302" spans="1:2" x14ac:dyDescent="0.25">
      <c r="A302" s="69" t="s">
        <v>754</v>
      </c>
      <c r="B302" s="67"/>
    </row>
    <row r="303" spans="1:2" x14ac:dyDescent="0.25">
      <c r="A303" s="69" t="s">
        <v>572</v>
      </c>
      <c r="B303" s="67"/>
    </row>
    <row r="304" spans="1:2" x14ac:dyDescent="0.25">
      <c r="A304" s="69" t="s">
        <v>755</v>
      </c>
      <c r="B304" s="67"/>
    </row>
    <row r="305" spans="1:2" x14ac:dyDescent="0.25">
      <c r="A305" s="69" t="s">
        <v>573</v>
      </c>
      <c r="B305" s="67"/>
    </row>
    <row r="306" spans="1:2" x14ac:dyDescent="0.25">
      <c r="A306" s="69" t="s">
        <v>574</v>
      </c>
      <c r="B306" s="67"/>
    </row>
    <row r="307" spans="1:2" x14ac:dyDescent="0.25">
      <c r="A307" s="69" t="s">
        <v>575</v>
      </c>
      <c r="B307" s="67"/>
    </row>
    <row r="308" spans="1:2" x14ac:dyDescent="0.25">
      <c r="A308" s="69" t="s">
        <v>576</v>
      </c>
      <c r="B308" s="67"/>
    </row>
    <row r="309" spans="1:2" x14ac:dyDescent="0.25">
      <c r="A309" s="69" t="s">
        <v>577</v>
      </c>
      <c r="B309" s="67"/>
    </row>
    <row r="310" spans="1:2" x14ac:dyDescent="0.25">
      <c r="A310" s="69" t="s">
        <v>578</v>
      </c>
      <c r="B310" s="67"/>
    </row>
    <row r="311" spans="1:2" x14ac:dyDescent="0.25">
      <c r="A311" s="69" t="s">
        <v>579</v>
      </c>
      <c r="B311" s="67"/>
    </row>
    <row r="312" spans="1:2" x14ac:dyDescent="0.25">
      <c r="A312" s="69" t="s">
        <v>756</v>
      </c>
      <c r="B312" s="67"/>
    </row>
    <row r="313" spans="1:2" x14ac:dyDescent="0.25">
      <c r="A313" s="69" t="s">
        <v>580</v>
      </c>
      <c r="B313" s="67"/>
    </row>
    <row r="314" spans="1:2" x14ac:dyDescent="0.25">
      <c r="A314" s="69" t="s">
        <v>581</v>
      </c>
      <c r="B314" s="67"/>
    </row>
    <row r="315" spans="1:2" x14ac:dyDescent="0.25">
      <c r="A315" s="69" t="s">
        <v>582</v>
      </c>
      <c r="B315" s="67"/>
    </row>
    <row r="316" spans="1:2" x14ac:dyDescent="0.25">
      <c r="A316" s="69" t="s">
        <v>583</v>
      </c>
      <c r="B316" s="67"/>
    </row>
    <row r="317" spans="1:2" x14ac:dyDescent="0.25">
      <c r="A317" s="69" t="s">
        <v>584</v>
      </c>
      <c r="B317" s="67"/>
    </row>
    <row r="318" spans="1:2" x14ac:dyDescent="0.25">
      <c r="A318" s="69" t="s">
        <v>585</v>
      </c>
      <c r="B318" s="67"/>
    </row>
    <row r="319" spans="1:2" x14ac:dyDescent="0.25">
      <c r="A319" s="69" t="s">
        <v>586</v>
      </c>
      <c r="B319" s="67"/>
    </row>
    <row r="320" spans="1:2" x14ac:dyDescent="0.25">
      <c r="A320" s="69" t="s">
        <v>757</v>
      </c>
      <c r="B320" s="67"/>
    </row>
    <row r="321" spans="1:2" x14ac:dyDescent="0.25">
      <c r="A321" s="69" t="s">
        <v>587</v>
      </c>
      <c r="B321" s="67"/>
    </row>
    <row r="322" spans="1:2" x14ac:dyDescent="0.25">
      <c r="A322" s="69" t="s">
        <v>588</v>
      </c>
      <c r="B322" s="67"/>
    </row>
    <row r="323" spans="1:2" x14ac:dyDescent="0.25">
      <c r="A323" s="69" t="s">
        <v>589</v>
      </c>
      <c r="B323" s="67"/>
    </row>
    <row r="324" spans="1:2" x14ac:dyDescent="0.25">
      <c r="A324" s="69" t="s">
        <v>590</v>
      </c>
      <c r="B324" s="67"/>
    </row>
    <row r="325" spans="1:2" x14ac:dyDescent="0.25">
      <c r="A325" s="69" t="s">
        <v>591</v>
      </c>
      <c r="B325" s="67"/>
    </row>
    <row r="326" spans="1:2" x14ac:dyDescent="0.25">
      <c r="A326" s="69" t="s">
        <v>592</v>
      </c>
      <c r="B326" s="67"/>
    </row>
    <row r="327" spans="1:2" x14ac:dyDescent="0.25">
      <c r="A327" s="69" t="s">
        <v>758</v>
      </c>
      <c r="B327" s="67"/>
    </row>
    <row r="328" spans="1:2" x14ac:dyDescent="0.25">
      <c r="A328" s="69" t="s">
        <v>759</v>
      </c>
      <c r="B328" s="67"/>
    </row>
    <row r="329" spans="1:2" x14ac:dyDescent="0.25">
      <c r="A329" s="69" t="s">
        <v>593</v>
      </c>
      <c r="B329" s="67"/>
    </row>
    <row r="330" spans="1:2" x14ac:dyDescent="0.25">
      <c r="A330" s="69" t="s">
        <v>594</v>
      </c>
      <c r="B330" s="67"/>
    </row>
    <row r="331" spans="1:2" x14ac:dyDescent="0.25">
      <c r="A331" s="69" t="s">
        <v>760</v>
      </c>
      <c r="B331" s="67"/>
    </row>
    <row r="332" spans="1:2" x14ac:dyDescent="0.25">
      <c r="A332" s="69" t="s">
        <v>595</v>
      </c>
      <c r="B332" s="67"/>
    </row>
    <row r="333" spans="1:2" x14ac:dyDescent="0.25">
      <c r="A333" s="69" t="s">
        <v>761</v>
      </c>
      <c r="B333" s="67"/>
    </row>
    <row r="334" spans="1:2" x14ac:dyDescent="0.25">
      <c r="A334" s="69" t="s">
        <v>596</v>
      </c>
      <c r="B334" s="67"/>
    </row>
    <row r="335" spans="1:2" x14ac:dyDescent="0.25">
      <c r="A335" s="69" t="s">
        <v>597</v>
      </c>
      <c r="B335" s="67"/>
    </row>
    <row r="336" spans="1:2" x14ac:dyDescent="0.25">
      <c r="A336" s="69" t="s">
        <v>598</v>
      </c>
      <c r="B336" s="67"/>
    </row>
    <row r="337" spans="1:2" x14ac:dyDescent="0.25">
      <c r="A337" s="69" t="s">
        <v>762</v>
      </c>
      <c r="B337" s="67"/>
    </row>
    <row r="338" spans="1:2" x14ac:dyDescent="0.25">
      <c r="A338" s="69" t="s">
        <v>599</v>
      </c>
      <c r="B338" s="67"/>
    </row>
    <row r="339" spans="1:2" x14ac:dyDescent="0.25">
      <c r="A339" s="69" t="s">
        <v>600</v>
      </c>
      <c r="B339" s="67"/>
    </row>
    <row r="340" spans="1:2" x14ac:dyDescent="0.25">
      <c r="A340" s="69" t="s">
        <v>601</v>
      </c>
      <c r="B340" s="67"/>
    </row>
    <row r="341" spans="1:2" x14ac:dyDescent="0.25">
      <c r="A341" s="69" t="s">
        <v>602</v>
      </c>
      <c r="B341" s="67"/>
    </row>
    <row r="342" spans="1:2" x14ac:dyDescent="0.25">
      <c r="A342" s="69" t="s">
        <v>603</v>
      </c>
      <c r="B342" s="67"/>
    </row>
    <row r="343" spans="1:2" x14ac:dyDescent="0.25">
      <c r="A343" s="69" t="s">
        <v>604</v>
      </c>
      <c r="B343" s="67"/>
    </row>
    <row r="344" spans="1:2" x14ac:dyDescent="0.25">
      <c r="A344" s="69" t="s">
        <v>763</v>
      </c>
      <c r="B344" s="67"/>
    </row>
    <row r="345" spans="1:2" x14ac:dyDescent="0.25">
      <c r="A345" s="69" t="s">
        <v>605</v>
      </c>
      <c r="B345" s="67"/>
    </row>
    <row r="346" spans="1:2" x14ac:dyDescent="0.25">
      <c r="A346" s="69" t="s">
        <v>606</v>
      </c>
      <c r="B346" s="67"/>
    </row>
    <row r="347" spans="1:2" x14ac:dyDescent="0.25">
      <c r="A347" s="69" t="s">
        <v>607</v>
      </c>
      <c r="B347" s="67"/>
    </row>
    <row r="348" spans="1:2" x14ac:dyDescent="0.25">
      <c r="A348" s="69" t="s">
        <v>608</v>
      </c>
      <c r="B348" s="67"/>
    </row>
    <row r="349" spans="1:2" x14ac:dyDescent="0.25">
      <c r="A349" s="69" t="s">
        <v>609</v>
      </c>
      <c r="B349" s="67"/>
    </row>
    <row r="350" spans="1:2" x14ac:dyDescent="0.25">
      <c r="A350" s="69" t="s">
        <v>764</v>
      </c>
      <c r="B350" s="67"/>
    </row>
    <row r="351" spans="1:2" x14ac:dyDescent="0.25">
      <c r="A351" s="69" t="s">
        <v>610</v>
      </c>
      <c r="B351" s="67"/>
    </row>
    <row r="352" spans="1:2" x14ac:dyDescent="0.25">
      <c r="A352" s="69" t="s">
        <v>611</v>
      </c>
      <c r="B352" s="67"/>
    </row>
    <row r="353" spans="1:2" x14ac:dyDescent="0.25">
      <c r="A353" s="69" t="s">
        <v>612</v>
      </c>
      <c r="B353" s="67"/>
    </row>
    <row r="354" spans="1:2" x14ac:dyDescent="0.25">
      <c r="A354" s="69" t="s">
        <v>613</v>
      </c>
      <c r="B354" s="67"/>
    </row>
    <row r="355" spans="1:2" x14ac:dyDescent="0.25">
      <c r="A355" s="69" t="s">
        <v>765</v>
      </c>
      <c r="B355" s="67"/>
    </row>
    <row r="356" spans="1:2" x14ac:dyDescent="0.25">
      <c r="A356" s="69" t="s">
        <v>614</v>
      </c>
      <c r="B356" s="67"/>
    </row>
    <row r="357" spans="1:2" x14ac:dyDescent="0.25">
      <c r="A357" s="69" t="s">
        <v>615</v>
      </c>
      <c r="B357" s="67"/>
    </row>
    <row r="358" spans="1:2" x14ac:dyDescent="0.25">
      <c r="A358" s="69" t="s">
        <v>616</v>
      </c>
      <c r="B358" s="67"/>
    </row>
    <row r="359" spans="1:2" x14ac:dyDescent="0.25">
      <c r="A359" s="69" t="s">
        <v>617</v>
      </c>
      <c r="B359" s="67"/>
    </row>
    <row r="360" spans="1:2" x14ac:dyDescent="0.25">
      <c r="A360" s="69" t="s">
        <v>618</v>
      </c>
      <c r="B360" s="67"/>
    </row>
    <row r="361" spans="1:2" x14ac:dyDescent="0.25">
      <c r="A361" s="69" t="s">
        <v>766</v>
      </c>
      <c r="B361" s="67"/>
    </row>
    <row r="362" spans="1:2" x14ac:dyDescent="0.25">
      <c r="A362" s="69" t="s">
        <v>619</v>
      </c>
      <c r="B362" s="67"/>
    </row>
    <row r="363" spans="1:2" x14ac:dyDescent="0.25">
      <c r="A363" s="69" t="s">
        <v>620</v>
      </c>
      <c r="B363" s="67"/>
    </row>
    <row r="364" spans="1:2" x14ac:dyDescent="0.25">
      <c r="A364" s="69" t="s">
        <v>621</v>
      </c>
      <c r="B364" s="67"/>
    </row>
    <row r="365" spans="1:2" x14ac:dyDescent="0.25">
      <c r="A365" s="69" t="s">
        <v>622</v>
      </c>
      <c r="B365" s="67"/>
    </row>
    <row r="366" spans="1:2" x14ac:dyDescent="0.25">
      <c r="A366" s="69" t="s">
        <v>767</v>
      </c>
      <c r="B366" s="67"/>
    </row>
    <row r="367" spans="1:2" x14ac:dyDescent="0.25">
      <c r="A367" s="69" t="s">
        <v>768</v>
      </c>
      <c r="B367" s="67"/>
    </row>
    <row r="368" spans="1:2" x14ac:dyDescent="0.25">
      <c r="A368" s="69" t="s">
        <v>623</v>
      </c>
      <c r="B368" s="67"/>
    </row>
    <row r="369" spans="1:2" x14ac:dyDescent="0.25">
      <c r="A369" s="69" t="s">
        <v>624</v>
      </c>
      <c r="B369" s="67"/>
    </row>
    <row r="370" spans="1:2" x14ac:dyDescent="0.25">
      <c r="A370" s="69" t="s">
        <v>625</v>
      </c>
      <c r="B370" s="67"/>
    </row>
    <row r="371" spans="1:2" x14ac:dyDescent="0.25">
      <c r="A371" s="69" t="s">
        <v>626</v>
      </c>
      <c r="B371" s="67"/>
    </row>
    <row r="372" spans="1:2" x14ac:dyDescent="0.25">
      <c r="A372" s="69" t="s">
        <v>627</v>
      </c>
      <c r="B372" s="67"/>
    </row>
    <row r="373" spans="1:2" x14ac:dyDescent="0.25">
      <c r="A373" s="69" t="s">
        <v>628</v>
      </c>
      <c r="B373" s="67"/>
    </row>
    <row r="374" spans="1:2" x14ac:dyDescent="0.25">
      <c r="A374" s="69" t="s">
        <v>629</v>
      </c>
      <c r="B374" s="67"/>
    </row>
    <row r="375" spans="1:2" x14ac:dyDescent="0.25">
      <c r="A375" s="69" t="s">
        <v>769</v>
      </c>
      <c r="B375" s="67"/>
    </row>
    <row r="376" spans="1:2" x14ac:dyDescent="0.25">
      <c r="A376" s="69" t="s">
        <v>770</v>
      </c>
      <c r="B376" s="67"/>
    </row>
    <row r="377" spans="1:2" x14ac:dyDescent="0.25">
      <c r="A377" s="69" t="s">
        <v>630</v>
      </c>
      <c r="B377" s="67"/>
    </row>
    <row r="378" spans="1:2" x14ac:dyDescent="0.25">
      <c r="A378" s="69" t="s">
        <v>631</v>
      </c>
      <c r="B378" s="67"/>
    </row>
    <row r="379" spans="1:2" x14ac:dyDescent="0.25">
      <c r="A379" s="69" t="s">
        <v>632</v>
      </c>
      <c r="B379" s="67"/>
    </row>
    <row r="380" spans="1:2" x14ac:dyDescent="0.25">
      <c r="A380" s="69" t="s">
        <v>633</v>
      </c>
      <c r="B380" s="67"/>
    </row>
    <row r="381" spans="1:2" x14ac:dyDescent="0.25">
      <c r="A381" s="69" t="s">
        <v>634</v>
      </c>
      <c r="B381" s="67"/>
    </row>
    <row r="382" spans="1:2" x14ac:dyDescent="0.25">
      <c r="A382" s="69" t="s">
        <v>635</v>
      </c>
      <c r="B382" s="67"/>
    </row>
    <row r="383" spans="1:2" x14ac:dyDescent="0.25">
      <c r="A383" s="69" t="s">
        <v>636</v>
      </c>
      <c r="B383" s="67"/>
    </row>
    <row r="384" spans="1:2" x14ac:dyDescent="0.25">
      <c r="A384" s="69" t="s">
        <v>637</v>
      </c>
      <c r="B384" s="67"/>
    </row>
    <row r="385" spans="1:2" x14ac:dyDescent="0.25">
      <c r="A385" s="69" t="s">
        <v>638</v>
      </c>
      <c r="B385" s="67"/>
    </row>
    <row r="386" spans="1:2" x14ac:dyDescent="0.25">
      <c r="A386" s="69" t="s">
        <v>639</v>
      </c>
      <c r="B386" s="67"/>
    </row>
    <row r="387" spans="1:2" x14ac:dyDescent="0.25">
      <c r="A387" s="69" t="s">
        <v>640</v>
      </c>
      <c r="B387" s="67"/>
    </row>
    <row r="388" spans="1:2" x14ac:dyDescent="0.25">
      <c r="A388" s="69" t="s">
        <v>641</v>
      </c>
      <c r="B388" s="67"/>
    </row>
    <row r="389" spans="1:2" x14ac:dyDescent="0.25">
      <c r="A389" s="69" t="s">
        <v>642</v>
      </c>
      <c r="B389" s="67"/>
    </row>
    <row r="390" spans="1:2" x14ac:dyDescent="0.25">
      <c r="A390" s="69" t="s">
        <v>643</v>
      </c>
      <c r="B390" s="67"/>
    </row>
    <row r="391" spans="1:2" x14ac:dyDescent="0.25">
      <c r="A391" s="69" t="s">
        <v>771</v>
      </c>
      <c r="B391" s="67"/>
    </row>
    <row r="392" spans="1:2" x14ac:dyDescent="0.25">
      <c r="A392" s="69" t="s">
        <v>644</v>
      </c>
      <c r="B392" s="67"/>
    </row>
    <row r="393" spans="1:2" x14ac:dyDescent="0.25">
      <c r="A393" s="69" t="s">
        <v>645</v>
      </c>
      <c r="B393" s="67"/>
    </row>
    <row r="394" spans="1:2" x14ac:dyDescent="0.25">
      <c r="A394" s="69" t="s">
        <v>646</v>
      </c>
      <c r="B394" s="67"/>
    </row>
    <row r="395" spans="1:2" x14ac:dyDescent="0.25">
      <c r="A395" s="69" t="s">
        <v>772</v>
      </c>
      <c r="B395" s="67"/>
    </row>
    <row r="396" spans="1:2" x14ac:dyDescent="0.25">
      <c r="A396" s="69" t="s">
        <v>647</v>
      </c>
      <c r="B396" s="67"/>
    </row>
    <row r="397" spans="1:2" x14ac:dyDescent="0.25">
      <c r="A397" s="69" t="s">
        <v>648</v>
      </c>
      <c r="B397" s="67"/>
    </row>
    <row r="398" spans="1:2" x14ac:dyDescent="0.25">
      <c r="A398" s="69" t="s">
        <v>773</v>
      </c>
      <c r="B398" s="67"/>
    </row>
    <row r="399" spans="1:2" x14ac:dyDescent="0.25">
      <c r="A399" s="69" t="s">
        <v>649</v>
      </c>
      <c r="B399" s="67"/>
    </row>
    <row r="400" spans="1:2" x14ac:dyDescent="0.25">
      <c r="A400" s="69" t="s">
        <v>650</v>
      </c>
      <c r="B400" s="67"/>
    </row>
    <row r="401" spans="1:2" x14ac:dyDescent="0.25">
      <c r="A401" s="69" t="s">
        <v>651</v>
      </c>
      <c r="B401" s="67"/>
    </row>
    <row r="402" spans="1:2" x14ac:dyDescent="0.25">
      <c r="A402" s="69" t="s">
        <v>652</v>
      </c>
      <c r="B402" s="67"/>
    </row>
    <row r="403" spans="1:2" x14ac:dyDescent="0.25">
      <c r="A403" s="69" t="s">
        <v>774</v>
      </c>
      <c r="B403" s="67"/>
    </row>
    <row r="404" spans="1:2" x14ac:dyDescent="0.25">
      <c r="A404" s="69" t="s">
        <v>653</v>
      </c>
      <c r="B404" s="67"/>
    </row>
    <row r="405" spans="1:2" x14ac:dyDescent="0.25">
      <c r="A405" s="69" t="s">
        <v>775</v>
      </c>
      <c r="B405" s="67"/>
    </row>
    <row r="406" spans="1:2" x14ac:dyDescent="0.25">
      <c r="A406" s="69" t="s">
        <v>654</v>
      </c>
      <c r="B406" s="67"/>
    </row>
    <row r="407" spans="1:2" x14ac:dyDescent="0.25">
      <c r="A407" s="69" t="s">
        <v>655</v>
      </c>
      <c r="B407" s="67"/>
    </row>
    <row r="408" spans="1:2" x14ac:dyDescent="0.25">
      <c r="A408" s="69" t="s">
        <v>656</v>
      </c>
      <c r="B408" s="67"/>
    </row>
    <row r="409" spans="1:2" x14ac:dyDescent="0.25">
      <c r="A409" s="69" t="s">
        <v>776</v>
      </c>
      <c r="B409" s="67"/>
    </row>
    <row r="410" spans="1:2" x14ac:dyDescent="0.25">
      <c r="A410" s="69" t="s">
        <v>777</v>
      </c>
      <c r="B410" s="67"/>
    </row>
    <row r="411" spans="1:2" x14ac:dyDescent="0.25">
      <c r="A411" s="69" t="s">
        <v>657</v>
      </c>
      <c r="B411" s="67"/>
    </row>
    <row r="412" spans="1:2" x14ac:dyDescent="0.25">
      <c r="A412" s="69" t="s">
        <v>658</v>
      </c>
      <c r="B412" s="67"/>
    </row>
    <row r="413" spans="1:2" x14ac:dyDescent="0.25">
      <c r="A413" s="69" t="s">
        <v>659</v>
      </c>
      <c r="B413" s="67"/>
    </row>
    <row r="414" spans="1:2" x14ac:dyDescent="0.25">
      <c r="A414" s="69" t="s">
        <v>660</v>
      </c>
      <c r="B414" s="67"/>
    </row>
    <row r="415" spans="1:2" x14ac:dyDescent="0.25">
      <c r="A415" s="69" t="s">
        <v>778</v>
      </c>
      <c r="B415" s="67"/>
    </row>
    <row r="416" spans="1:2" x14ac:dyDescent="0.25">
      <c r="A416" s="69" t="s">
        <v>661</v>
      </c>
      <c r="B416" s="67"/>
    </row>
    <row r="417" spans="1:2" x14ac:dyDescent="0.25">
      <c r="A417" s="69" t="s">
        <v>662</v>
      </c>
      <c r="B417" s="67"/>
    </row>
    <row r="418" spans="1:2" x14ac:dyDescent="0.25">
      <c r="A418" s="69" t="s">
        <v>663</v>
      </c>
      <c r="B418" s="67"/>
    </row>
    <row r="419" spans="1:2" x14ac:dyDescent="0.25">
      <c r="A419" s="69" t="s">
        <v>664</v>
      </c>
      <c r="B419" s="67"/>
    </row>
    <row r="420" spans="1:2" x14ac:dyDescent="0.25">
      <c r="A420" s="69" t="s">
        <v>665</v>
      </c>
      <c r="B420" s="67"/>
    </row>
    <row r="421" spans="1:2" x14ac:dyDescent="0.25">
      <c r="A421" s="69" t="s">
        <v>666</v>
      </c>
      <c r="B421" s="67"/>
    </row>
    <row r="422" spans="1:2" x14ac:dyDescent="0.25">
      <c r="A422" s="69" t="s">
        <v>667</v>
      </c>
      <c r="B422" s="67"/>
    </row>
    <row r="423" spans="1:2" x14ac:dyDescent="0.25">
      <c r="A423" s="69" t="s">
        <v>668</v>
      </c>
      <c r="B423" s="67"/>
    </row>
    <row r="424" spans="1:2" x14ac:dyDescent="0.25">
      <c r="A424" s="69" t="s">
        <v>669</v>
      </c>
      <c r="B424" s="67"/>
    </row>
    <row r="425" spans="1:2" x14ac:dyDescent="0.25">
      <c r="A425" s="69" t="s">
        <v>670</v>
      </c>
      <c r="B425" s="67"/>
    </row>
    <row r="426" spans="1:2" x14ac:dyDescent="0.25">
      <c r="A426" s="69" t="s">
        <v>671</v>
      </c>
      <c r="B426" s="67"/>
    </row>
    <row r="427" spans="1:2" x14ac:dyDescent="0.25">
      <c r="A427" s="69" t="s">
        <v>672</v>
      </c>
      <c r="B427" s="67"/>
    </row>
    <row r="428" spans="1:2" x14ac:dyDescent="0.25">
      <c r="A428" s="69" t="s">
        <v>673</v>
      </c>
      <c r="B428" s="67"/>
    </row>
    <row r="429" spans="1:2" x14ac:dyDescent="0.25">
      <c r="A429" s="69" t="s">
        <v>674</v>
      </c>
      <c r="B429" s="67"/>
    </row>
    <row r="430" spans="1:2" x14ac:dyDescent="0.25">
      <c r="A430" s="69" t="s">
        <v>675</v>
      </c>
      <c r="B430" s="67"/>
    </row>
    <row r="431" spans="1:2" x14ac:dyDescent="0.25">
      <c r="A431" s="69" t="s">
        <v>676</v>
      </c>
      <c r="B431" s="67"/>
    </row>
    <row r="432" spans="1:2" x14ac:dyDescent="0.25">
      <c r="A432" s="69" t="s">
        <v>677</v>
      </c>
      <c r="B432" s="67"/>
    </row>
    <row r="433" spans="1:2" x14ac:dyDescent="0.25">
      <c r="A433" s="69" t="s">
        <v>678</v>
      </c>
      <c r="B433" s="67"/>
    </row>
    <row r="434" spans="1:2" x14ac:dyDescent="0.25">
      <c r="A434" s="69" t="s">
        <v>679</v>
      </c>
      <c r="B434" s="67"/>
    </row>
    <row r="435" spans="1:2" x14ac:dyDescent="0.25">
      <c r="A435" s="69" t="s">
        <v>779</v>
      </c>
      <c r="B435" s="67"/>
    </row>
    <row r="436" spans="1:2" x14ac:dyDescent="0.25">
      <c r="A436" s="69" t="s">
        <v>680</v>
      </c>
      <c r="B436" s="67"/>
    </row>
    <row r="437" spans="1:2" x14ac:dyDescent="0.25">
      <c r="A437" s="69" t="s">
        <v>681</v>
      </c>
      <c r="B437" s="67"/>
    </row>
    <row r="438" spans="1:2" x14ac:dyDescent="0.25">
      <c r="A438" s="69" t="s">
        <v>682</v>
      </c>
      <c r="B438" s="67"/>
    </row>
    <row r="439" spans="1:2" x14ac:dyDescent="0.25">
      <c r="A439" s="69" t="s">
        <v>683</v>
      </c>
      <c r="B439" s="67"/>
    </row>
    <row r="440" spans="1:2" x14ac:dyDescent="0.25">
      <c r="A440" s="69" t="s">
        <v>780</v>
      </c>
      <c r="B440" s="67"/>
    </row>
    <row r="441" spans="1:2" x14ac:dyDescent="0.25">
      <c r="A441" s="69" t="s">
        <v>781</v>
      </c>
      <c r="B441" s="67"/>
    </row>
    <row r="442" spans="1:2" x14ac:dyDescent="0.25">
      <c r="A442" s="69" t="s">
        <v>782</v>
      </c>
      <c r="B442" s="67"/>
    </row>
    <row r="443" spans="1:2" x14ac:dyDescent="0.25">
      <c r="A443" s="69" t="s">
        <v>783</v>
      </c>
      <c r="B443" s="67"/>
    </row>
    <row r="444" spans="1:2" x14ac:dyDescent="0.25">
      <c r="A444" s="69" t="s">
        <v>183</v>
      </c>
      <c r="B444" s="67"/>
    </row>
    <row r="445" spans="1:2" x14ac:dyDescent="0.25">
      <c r="A445" s="69" t="s">
        <v>184</v>
      </c>
      <c r="B445" s="67"/>
    </row>
    <row r="446" spans="1:2" x14ac:dyDescent="0.25">
      <c r="A446" s="69" t="s">
        <v>684</v>
      </c>
      <c r="B446" s="67"/>
    </row>
    <row r="447" spans="1:2" x14ac:dyDescent="0.25">
      <c r="A447" s="69" t="s">
        <v>685</v>
      </c>
      <c r="B447" s="67"/>
    </row>
    <row r="448" spans="1:2" x14ac:dyDescent="0.25">
      <c r="A448" s="69" t="s">
        <v>686</v>
      </c>
      <c r="B448" s="67"/>
    </row>
    <row r="449" spans="1:2" x14ac:dyDescent="0.25">
      <c r="A449" s="69" t="s">
        <v>185</v>
      </c>
      <c r="B449" s="67"/>
    </row>
    <row r="450" spans="1:2" x14ac:dyDescent="0.25">
      <c r="A450" s="69" t="s">
        <v>186</v>
      </c>
      <c r="B450" s="67"/>
    </row>
    <row r="451" spans="1:2" x14ac:dyDescent="0.25">
      <c r="A451" s="69" t="s">
        <v>687</v>
      </c>
      <c r="B451" s="67"/>
    </row>
    <row r="452" spans="1:2" x14ac:dyDescent="0.25">
      <c r="A452" s="69" t="s">
        <v>187</v>
      </c>
      <c r="B452" s="67"/>
    </row>
    <row r="453" spans="1:2" x14ac:dyDescent="0.25">
      <c r="A453" s="69" t="s">
        <v>188</v>
      </c>
      <c r="B453" s="67"/>
    </row>
    <row r="454" spans="1:2" x14ac:dyDescent="0.25">
      <c r="A454" s="69" t="s">
        <v>784</v>
      </c>
      <c r="B454" s="67"/>
    </row>
    <row r="455" spans="1:2" x14ac:dyDescent="0.25">
      <c r="A455" s="69" t="s">
        <v>189</v>
      </c>
      <c r="B455" s="67"/>
    </row>
    <row r="456" spans="1:2" x14ac:dyDescent="0.25">
      <c r="A456" s="69" t="s">
        <v>190</v>
      </c>
      <c r="B456" s="67"/>
    </row>
    <row r="457" spans="1:2" x14ac:dyDescent="0.25">
      <c r="A457" s="69" t="s">
        <v>191</v>
      </c>
      <c r="B457" s="67"/>
    </row>
    <row r="458" spans="1:2" x14ac:dyDescent="0.25">
      <c r="A458" s="69" t="s">
        <v>192</v>
      </c>
      <c r="B458" s="67"/>
    </row>
    <row r="459" spans="1:2" x14ac:dyDescent="0.25">
      <c r="A459" s="69" t="s">
        <v>193</v>
      </c>
      <c r="B459" s="67"/>
    </row>
    <row r="460" spans="1:2" x14ac:dyDescent="0.25">
      <c r="A460" s="69" t="s">
        <v>785</v>
      </c>
      <c r="B460" s="67"/>
    </row>
    <row r="461" spans="1:2" x14ac:dyDescent="0.25">
      <c r="A461" s="69" t="s">
        <v>786</v>
      </c>
      <c r="B461" s="67"/>
    </row>
    <row r="462" spans="1:2" x14ac:dyDescent="0.25">
      <c r="A462" s="69" t="s">
        <v>194</v>
      </c>
      <c r="B462" s="67"/>
    </row>
    <row r="463" spans="1:2" x14ac:dyDescent="0.25">
      <c r="A463" s="69" t="s">
        <v>195</v>
      </c>
      <c r="B463" s="67"/>
    </row>
    <row r="464" spans="1:2" x14ac:dyDescent="0.25">
      <c r="A464" s="69" t="s">
        <v>196</v>
      </c>
      <c r="B464" s="67"/>
    </row>
    <row r="465" spans="1:2" x14ac:dyDescent="0.25">
      <c r="A465" s="69" t="s">
        <v>465</v>
      </c>
      <c r="B465" s="67"/>
    </row>
    <row r="466" spans="1:2" x14ac:dyDescent="0.25">
      <c r="A466" s="69" t="s">
        <v>688</v>
      </c>
      <c r="B466" s="67"/>
    </row>
    <row r="467" spans="1:2" x14ac:dyDescent="0.25">
      <c r="A467" s="69" t="s">
        <v>197</v>
      </c>
      <c r="B467" s="67"/>
    </row>
    <row r="468" spans="1:2" x14ac:dyDescent="0.25">
      <c r="A468" s="69" t="s">
        <v>198</v>
      </c>
      <c r="B468" s="67"/>
    </row>
    <row r="469" spans="1:2" x14ac:dyDescent="0.25">
      <c r="A469" s="69" t="s">
        <v>199</v>
      </c>
      <c r="B469" s="67"/>
    </row>
    <row r="470" spans="1:2" x14ac:dyDescent="0.25">
      <c r="A470" s="69" t="s">
        <v>200</v>
      </c>
      <c r="B470" s="67"/>
    </row>
    <row r="471" spans="1:2" x14ac:dyDescent="0.25">
      <c r="A471" s="69" t="s">
        <v>201</v>
      </c>
      <c r="B471" s="67"/>
    </row>
    <row r="472" spans="1:2" x14ac:dyDescent="0.25">
      <c r="A472" s="69" t="s">
        <v>202</v>
      </c>
      <c r="B472" s="67"/>
    </row>
    <row r="473" spans="1:2" x14ac:dyDescent="0.25">
      <c r="A473" s="69" t="s">
        <v>203</v>
      </c>
      <c r="B473" s="67"/>
    </row>
    <row r="474" spans="1:2" x14ac:dyDescent="0.25">
      <c r="A474" s="69" t="s">
        <v>204</v>
      </c>
      <c r="B474" s="67"/>
    </row>
    <row r="475" spans="1:2" x14ac:dyDescent="0.25">
      <c r="A475" s="69" t="s">
        <v>205</v>
      </c>
      <c r="B475" s="67"/>
    </row>
    <row r="476" spans="1:2" x14ac:dyDescent="0.25">
      <c r="A476" s="69" t="s">
        <v>206</v>
      </c>
      <c r="B476" s="67"/>
    </row>
    <row r="477" spans="1:2" x14ac:dyDescent="0.25">
      <c r="A477" s="69" t="s">
        <v>689</v>
      </c>
      <c r="B477" s="67"/>
    </row>
    <row r="478" spans="1:2" x14ac:dyDescent="0.25">
      <c r="A478" s="69" t="s">
        <v>466</v>
      </c>
      <c r="B478" s="67"/>
    </row>
    <row r="479" spans="1:2" x14ac:dyDescent="0.25">
      <c r="A479" s="69" t="s">
        <v>207</v>
      </c>
      <c r="B479" s="67"/>
    </row>
    <row r="480" spans="1:2" x14ac:dyDescent="0.25">
      <c r="A480" s="69" t="s">
        <v>208</v>
      </c>
      <c r="B480" s="67"/>
    </row>
    <row r="481" spans="1:2" x14ac:dyDescent="0.25">
      <c r="A481" s="69" t="s">
        <v>209</v>
      </c>
      <c r="B481" s="67"/>
    </row>
    <row r="482" spans="1:2" x14ac:dyDescent="0.25">
      <c r="A482" s="66" t="s">
        <v>210</v>
      </c>
      <c r="B482" s="67"/>
    </row>
    <row r="483" spans="1:2" x14ac:dyDescent="0.25">
      <c r="A483" s="66" t="s">
        <v>690</v>
      </c>
    </row>
    <row r="484" spans="1:2" x14ac:dyDescent="0.25">
      <c r="A484" s="66" t="s">
        <v>211</v>
      </c>
    </row>
    <row r="485" spans="1:2" x14ac:dyDescent="0.25">
      <c r="A485" s="66" t="s">
        <v>212</v>
      </c>
    </row>
    <row r="486" spans="1:2" x14ac:dyDescent="0.25">
      <c r="A486" s="66" t="s">
        <v>213</v>
      </c>
    </row>
    <row r="487" spans="1:2" x14ac:dyDescent="0.25">
      <c r="A487" s="66" t="s">
        <v>214</v>
      </c>
    </row>
    <row r="488" spans="1:2" x14ac:dyDescent="0.25">
      <c r="A488" s="66" t="s">
        <v>215</v>
      </c>
    </row>
    <row r="489" spans="1:2" x14ac:dyDescent="0.25">
      <c r="A489" s="67" t="s">
        <v>691</v>
      </c>
    </row>
    <row r="490" spans="1:2" x14ac:dyDescent="0.25">
      <c r="A490" s="67" t="s">
        <v>216</v>
      </c>
    </row>
    <row r="491" spans="1:2" x14ac:dyDescent="0.25">
      <c r="A491" s="67" t="s">
        <v>217</v>
      </c>
    </row>
    <row r="492" spans="1:2" x14ac:dyDescent="0.25">
      <c r="A492" s="67" t="s">
        <v>218</v>
      </c>
    </row>
    <row r="493" spans="1:2" x14ac:dyDescent="0.25">
      <c r="A493" s="67" t="s">
        <v>692</v>
      </c>
    </row>
    <row r="494" spans="1:2" x14ac:dyDescent="0.25">
      <c r="A494" s="67" t="s">
        <v>693</v>
      </c>
    </row>
    <row r="495" spans="1:2" x14ac:dyDescent="0.25">
      <c r="A495" s="67" t="s">
        <v>694</v>
      </c>
    </row>
    <row r="496" spans="1:2" x14ac:dyDescent="0.25">
      <c r="A496" s="67" t="s">
        <v>219</v>
      </c>
    </row>
    <row r="497" spans="1:1" x14ac:dyDescent="0.25">
      <c r="A497" s="67" t="s">
        <v>220</v>
      </c>
    </row>
    <row r="498" spans="1:1" x14ac:dyDescent="0.25">
      <c r="A498" s="67" t="s">
        <v>221</v>
      </c>
    </row>
    <row r="499" spans="1:1" x14ac:dyDescent="0.25">
      <c r="A499" s="67" t="s">
        <v>222</v>
      </c>
    </row>
    <row r="500" spans="1:1" x14ac:dyDescent="0.25">
      <c r="A500" s="67" t="s">
        <v>223</v>
      </c>
    </row>
    <row r="501" spans="1:1" x14ac:dyDescent="0.25">
      <c r="A501" s="67" t="s">
        <v>467</v>
      </c>
    </row>
    <row r="502" spans="1:1" x14ac:dyDescent="0.25">
      <c r="A502" s="67" t="s">
        <v>468</v>
      </c>
    </row>
    <row r="503" spans="1:1" x14ac:dyDescent="0.25">
      <c r="A503" s="67" t="s">
        <v>224</v>
      </c>
    </row>
    <row r="504" spans="1:1" x14ac:dyDescent="0.25">
      <c r="A504" s="67" t="s">
        <v>695</v>
      </c>
    </row>
    <row r="505" spans="1:1" x14ac:dyDescent="0.25">
      <c r="A505" s="67" t="s">
        <v>696</v>
      </c>
    </row>
    <row r="506" spans="1:1" x14ac:dyDescent="0.25">
      <c r="A506" s="67" t="s">
        <v>225</v>
      </c>
    </row>
    <row r="507" spans="1:1" x14ac:dyDescent="0.25">
      <c r="A507" s="67" t="s">
        <v>226</v>
      </c>
    </row>
    <row r="508" spans="1:1" x14ac:dyDescent="0.25">
      <c r="A508" s="67" t="s">
        <v>697</v>
      </c>
    </row>
    <row r="509" spans="1:1" x14ac:dyDescent="0.25">
      <c r="A509" s="67" t="s">
        <v>227</v>
      </c>
    </row>
    <row r="510" spans="1:1" x14ac:dyDescent="0.25">
      <c r="A510" s="67" t="s">
        <v>698</v>
      </c>
    </row>
    <row r="511" spans="1:1" x14ac:dyDescent="0.25">
      <c r="A511" s="67" t="s">
        <v>699</v>
      </c>
    </row>
    <row r="512" spans="1:1" x14ac:dyDescent="0.25">
      <c r="A512" s="67" t="s">
        <v>228</v>
      </c>
    </row>
    <row r="513" spans="1:1" x14ac:dyDescent="0.25">
      <c r="A513" s="67" t="s">
        <v>229</v>
      </c>
    </row>
    <row r="514" spans="1:1" x14ac:dyDescent="0.25">
      <c r="A514" s="67" t="s">
        <v>230</v>
      </c>
    </row>
    <row r="515" spans="1:1" x14ac:dyDescent="0.25">
      <c r="A515" s="67" t="s">
        <v>231</v>
      </c>
    </row>
    <row r="516" spans="1:1" x14ac:dyDescent="0.25">
      <c r="A516" s="67" t="s">
        <v>232</v>
      </c>
    </row>
    <row r="517" spans="1:1" x14ac:dyDescent="0.25">
      <c r="A517" s="67" t="s">
        <v>233</v>
      </c>
    </row>
    <row r="518" spans="1:1" x14ac:dyDescent="0.25">
      <c r="A518" s="67" t="s">
        <v>234</v>
      </c>
    </row>
    <row r="519" spans="1:1" x14ac:dyDescent="0.25">
      <c r="A519" s="67" t="s">
        <v>235</v>
      </c>
    </row>
    <row r="520" spans="1:1" x14ac:dyDescent="0.25">
      <c r="A520" s="67" t="s">
        <v>236</v>
      </c>
    </row>
    <row r="521" spans="1:1" x14ac:dyDescent="0.25">
      <c r="A521" s="67" t="s">
        <v>700</v>
      </c>
    </row>
    <row r="522" spans="1:1" x14ac:dyDescent="0.25">
      <c r="A522" s="67" t="s">
        <v>701</v>
      </c>
    </row>
    <row r="523" spans="1:1" x14ac:dyDescent="0.25">
      <c r="A523" s="67" t="s">
        <v>237</v>
      </c>
    </row>
    <row r="524" spans="1:1" x14ac:dyDescent="0.25">
      <c r="A524" s="67" t="s">
        <v>469</v>
      </c>
    </row>
    <row r="525" spans="1:1" x14ac:dyDescent="0.25">
      <c r="A525" s="67" t="s">
        <v>238</v>
      </c>
    </row>
    <row r="526" spans="1:1" x14ac:dyDescent="0.25">
      <c r="A526" s="67" t="s">
        <v>239</v>
      </c>
    </row>
    <row r="527" spans="1:1" x14ac:dyDescent="0.25">
      <c r="A527" s="67" t="s">
        <v>240</v>
      </c>
    </row>
    <row r="528" spans="1:1" x14ac:dyDescent="0.25">
      <c r="A528" s="67" t="s">
        <v>470</v>
      </c>
    </row>
    <row r="529" spans="1:1" x14ac:dyDescent="0.25">
      <c r="A529" s="67" t="s">
        <v>241</v>
      </c>
    </row>
    <row r="530" spans="1:1" x14ac:dyDescent="0.25">
      <c r="A530" s="67" t="s">
        <v>242</v>
      </c>
    </row>
    <row r="531" spans="1:1" x14ac:dyDescent="0.25">
      <c r="A531" s="67" t="s">
        <v>243</v>
      </c>
    </row>
    <row r="532" spans="1:1" x14ac:dyDescent="0.25">
      <c r="A532" s="67" t="s">
        <v>244</v>
      </c>
    </row>
    <row r="533" spans="1:1" x14ac:dyDescent="0.25">
      <c r="A533" s="67" t="s">
        <v>245</v>
      </c>
    </row>
    <row r="534" spans="1:1" x14ac:dyDescent="0.25">
      <c r="A534" s="67" t="s">
        <v>702</v>
      </c>
    </row>
    <row r="535" spans="1:1" x14ac:dyDescent="0.25">
      <c r="A535" s="67" t="s">
        <v>246</v>
      </c>
    </row>
    <row r="536" spans="1:1" x14ac:dyDescent="0.25">
      <c r="A536" s="67" t="s">
        <v>247</v>
      </c>
    </row>
    <row r="537" spans="1:1" x14ac:dyDescent="0.25">
      <c r="A537" s="67" t="s">
        <v>248</v>
      </c>
    </row>
    <row r="538" spans="1:1" x14ac:dyDescent="0.25">
      <c r="A538" s="67" t="s">
        <v>249</v>
      </c>
    </row>
    <row r="539" spans="1:1" x14ac:dyDescent="0.25">
      <c r="A539" s="67" t="s">
        <v>250</v>
      </c>
    </row>
    <row r="540" spans="1:1" x14ac:dyDescent="0.25">
      <c r="A540" s="67" t="s">
        <v>703</v>
      </c>
    </row>
    <row r="541" spans="1:1" x14ac:dyDescent="0.25">
      <c r="A541" s="67" t="s">
        <v>704</v>
      </c>
    </row>
    <row r="542" spans="1:1" x14ac:dyDescent="0.25">
      <c r="A542" s="67" t="s">
        <v>471</v>
      </c>
    </row>
    <row r="543" spans="1:1" x14ac:dyDescent="0.25">
      <c r="A543" s="67" t="s">
        <v>705</v>
      </c>
    </row>
    <row r="544" spans="1:1" x14ac:dyDescent="0.25">
      <c r="A544" s="67" t="s">
        <v>251</v>
      </c>
    </row>
    <row r="545" spans="1:1" x14ac:dyDescent="0.25">
      <c r="A545" s="67" t="s">
        <v>252</v>
      </c>
    </row>
    <row r="546" spans="1:1" x14ac:dyDescent="0.25">
      <c r="A546" s="67" t="s">
        <v>706</v>
      </c>
    </row>
    <row r="547" spans="1:1" x14ac:dyDescent="0.25">
      <c r="A547" s="67" t="s">
        <v>707</v>
      </c>
    </row>
    <row r="548" spans="1:1" x14ac:dyDescent="0.25">
      <c r="A548" s="67" t="s">
        <v>472</v>
      </c>
    </row>
    <row r="549" spans="1:1" x14ac:dyDescent="0.25">
      <c r="A549" s="67" t="s">
        <v>253</v>
      </c>
    </row>
    <row r="550" spans="1:1" x14ac:dyDescent="0.25">
      <c r="A550" s="67" t="s">
        <v>254</v>
      </c>
    </row>
    <row r="551" spans="1:1" x14ac:dyDescent="0.25">
      <c r="A551" s="67" t="s">
        <v>255</v>
      </c>
    </row>
    <row r="552" spans="1:1" x14ac:dyDescent="0.25">
      <c r="A552" s="67" t="s">
        <v>256</v>
      </c>
    </row>
    <row r="553" spans="1:1" x14ac:dyDescent="0.25">
      <c r="A553" s="67" t="s">
        <v>708</v>
      </c>
    </row>
    <row r="554" spans="1:1" x14ac:dyDescent="0.25">
      <c r="A554" s="67" t="s">
        <v>257</v>
      </c>
    </row>
    <row r="555" spans="1:1" x14ac:dyDescent="0.25">
      <c r="A555" s="67" t="s">
        <v>258</v>
      </c>
    </row>
    <row r="556" spans="1:1" x14ac:dyDescent="0.25">
      <c r="A556" s="67" t="s">
        <v>709</v>
      </c>
    </row>
    <row r="557" spans="1:1" x14ac:dyDescent="0.25">
      <c r="A557" s="67" t="s">
        <v>710</v>
      </c>
    </row>
    <row r="558" spans="1:1" x14ac:dyDescent="0.25">
      <c r="A558" s="67" t="s">
        <v>711</v>
      </c>
    </row>
    <row r="559" spans="1:1" x14ac:dyDescent="0.25">
      <c r="A559" s="67" t="s">
        <v>259</v>
      </c>
    </row>
    <row r="560" spans="1:1" x14ac:dyDescent="0.25">
      <c r="A560" s="67" t="s">
        <v>260</v>
      </c>
    </row>
    <row r="561" spans="1:1" x14ac:dyDescent="0.25">
      <c r="A561" s="67" t="s">
        <v>261</v>
      </c>
    </row>
    <row r="562" spans="1:1" x14ac:dyDescent="0.25">
      <c r="A562" s="67" t="s">
        <v>262</v>
      </c>
    </row>
    <row r="563" spans="1:1" x14ac:dyDescent="0.25">
      <c r="A563" s="67" t="s">
        <v>712</v>
      </c>
    </row>
    <row r="564" spans="1:1" x14ac:dyDescent="0.25">
      <c r="A564" s="67" t="s">
        <v>263</v>
      </c>
    </row>
    <row r="565" spans="1:1" x14ac:dyDescent="0.25">
      <c r="A565" s="67" t="s">
        <v>264</v>
      </c>
    </row>
    <row r="566" spans="1:1" x14ac:dyDescent="0.25">
      <c r="A566" s="67" t="s">
        <v>265</v>
      </c>
    </row>
    <row r="567" spans="1:1" x14ac:dyDescent="0.25">
      <c r="A567" s="67" t="s">
        <v>266</v>
      </c>
    </row>
    <row r="568" spans="1:1" x14ac:dyDescent="0.25">
      <c r="A568" s="67" t="s">
        <v>267</v>
      </c>
    </row>
    <row r="569" spans="1:1" x14ac:dyDescent="0.25">
      <c r="A569" s="67" t="s">
        <v>268</v>
      </c>
    </row>
    <row r="570" spans="1:1" x14ac:dyDescent="0.25">
      <c r="A570" s="67" t="s">
        <v>473</v>
      </c>
    </row>
    <row r="571" spans="1:1" x14ac:dyDescent="0.25">
      <c r="A571" s="67" t="s">
        <v>269</v>
      </c>
    </row>
    <row r="572" spans="1:1" x14ac:dyDescent="0.25">
      <c r="A572" s="67" t="s">
        <v>713</v>
      </c>
    </row>
    <row r="573" spans="1:1" x14ac:dyDescent="0.25">
      <c r="A573" s="67" t="s">
        <v>270</v>
      </c>
    </row>
    <row r="574" spans="1:1" x14ac:dyDescent="0.25">
      <c r="A574" s="67" t="s">
        <v>271</v>
      </c>
    </row>
    <row r="575" spans="1:1" x14ac:dyDescent="0.25">
      <c r="A575" s="67" t="s">
        <v>714</v>
      </c>
    </row>
    <row r="576" spans="1:1" x14ac:dyDescent="0.25">
      <c r="A576" s="67" t="s">
        <v>272</v>
      </c>
    </row>
    <row r="577" spans="1:1" x14ac:dyDescent="0.25">
      <c r="A577" s="67" t="s">
        <v>273</v>
      </c>
    </row>
    <row r="578" spans="1:1" x14ac:dyDescent="0.25">
      <c r="A578" s="67" t="s">
        <v>787</v>
      </c>
    </row>
    <row r="579" spans="1:1" x14ac:dyDescent="0.25">
      <c r="A579" s="67" t="s">
        <v>715</v>
      </c>
    </row>
    <row r="580" spans="1:1" x14ac:dyDescent="0.25">
      <c r="A580" s="67" t="s">
        <v>716</v>
      </c>
    </row>
    <row r="581" spans="1:1" x14ac:dyDescent="0.25">
      <c r="A581" s="67" t="s">
        <v>274</v>
      </c>
    </row>
    <row r="582" spans="1:1" x14ac:dyDescent="0.25">
      <c r="A582" s="67" t="s">
        <v>275</v>
      </c>
    </row>
    <row r="583" spans="1:1" x14ac:dyDescent="0.25">
      <c r="A583" s="67" t="s">
        <v>474</v>
      </c>
    </row>
    <row r="584" spans="1:1" x14ac:dyDescent="0.25">
      <c r="A584" s="67" t="s">
        <v>717</v>
      </c>
    </row>
    <row r="585" spans="1:1" x14ac:dyDescent="0.25">
      <c r="A585" s="67" t="s">
        <v>718</v>
      </c>
    </row>
    <row r="586" spans="1:1" x14ac:dyDescent="0.25">
      <c r="A586" s="67" t="s">
        <v>719</v>
      </c>
    </row>
    <row r="587" spans="1:1" x14ac:dyDescent="0.25">
      <c r="A587" s="67" t="s">
        <v>276</v>
      </c>
    </row>
    <row r="588" spans="1:1" x14ac:dyDescent="0.25">
      <c r="A588" s="67" t="s">
        <v>720</v>
      </c>
    </row>
    <row r="589" spans="1:1" x14ac:dyDescent="0.25">
      <c r="A589" s="67" t="s">
        <v>277</v>
      </c>
    </row>
    <row r="590" spans="1:1" x14ac:dyDescent="0.25">
      <c r="A590" s="67" t="s">
        <v>475</v>
      </c>
    </row>
    <row r="591" spans="1:1" x14ac:dyDescent="0.25">
      <c r="A591" s="67" t="s">
        <v>278</v>
      </c>
    </row>
    <row r="592" spans="1:1" x14ac:dyDescent="0.25">
      <c r="A592" s="67" t="s">
        <v>476</v>
      </c>
    </row>
    <row r="593" spans="1:1" x14ac:dyDescent="0.25">
      <c r="A593" s="67" t="s">
        <v>279</v>
      </c>
    </row>
    <row r="594" spans="1:1" x14ac:dyDescent="0.25">
      <c r="A594" s="67" t="s">
        <v>280</v>
      </c>
    </row>
    <row r="595" spans="1:1" x14ac:dyDescent="0.25">
      <c r="A595" s="67" t="s">
        <v>281</v>
      </c>
    </row>
    <row r="596" spans="1:1" x14ac:dyDescent="0.25">
      <c r="A596" s="67"/>
    </row>
    <row r="597" spans="1:1" x14ac:dyDescent="0.25">
      <c r="A597" s="67"/>
    </row>
    <row r="598" spans="1:1" x14ac:dyDescent="0.25">
      <c r="A598" s="67"/>
    </row>
    <row r="599" spans="1:1" x14ac:dyDescent="0.25">
      <c r="A599" s="67"/>
    </row>
    <row r="600" spans="1:1" x14ac:dyDescent="0.25">
      <c r="A600" s="67"/>
    </row>
    <row r="601" spans="1:1" x14ac:dyDescent="0.25">
      <c r="A601" s="67"/>
    </row>
    <row r="602" spans="1:1" x14ac:dyDescent="0.25">
      <c r="A602" s="67"/>
    </row>
    <row r="603" spans="1:1" x14ac:dyDescent="0.25">
      <c r="A603" s="67"/>
    </row>
    <row r="604" spans="1:1" x14ac:dyDescent="0.25">
      <c r="A604" s="67"/>
    </row>
    <row r="605" spans="1:1" x14ac:dyDescent="0.25">
      <c r="A605" s="67"/>
    </row>
    <row r="606" spans="1:1" x14ac:dyDescent="0.25">
      <c r="A606" s="67"/>
    </row>
    <row r="607" spans="1:1" x14ac:dyDescent="0.25">
      <c r="A607" s="67"/>
    </row>
    <row r="608" spans="1:1" x14ac:dyDescent="0.25">
      <c r="A608" s="67"/>
    </row>
    <row r="609" spans="1:1" x14ac:dyDescent="0.25">
      <c r="A609" s="67"/>
    </row>
    <row r="610" spans="1:1" x14ac:dyDescent="0.25">
      <c r="A610" s="67"/>
    </row>
    <row r="611" spans="1:1" x14ac:dyDescent="0.25">
      <c r="A611" s="67"/>
    </row>
    <row r="612" spans="1:1" x14ac:dyDescent="0.25">
      <c r="A612" s="67"/>
    </row>
    <row r="613" spans="1:1" x14ac:dyDescent="0.25">
      <c r="A613" s="67"/>
    </row>
    <row r="614" spans="1:1" x14ac:dyDescent="0.25">
      <c r="A614" s="67"/>
    </row>
    <row r="615" spans="1:1" x14ac:dyDescent="0.25">
      <c r="A615" s="67"/>
    </row>
    <row r="616" spans="1:1" x14ac:dyDescent="0.25">
      <c r="A616" s="67"/>
    </row>
    <row r="617" spans="1:1" x14ac:dyDescent="0.25">
      <c r="A617" s="67"/>
    </row>
    <row r="618" spans="1:1" x14ac:dyDescent="0.25">
      <c r="A618" s="67"/>
    </row>
    <row r="619" spans="1:1" x14ac:dyDescent="0.25">
      <c r="A619" s="67"/>
    </row>
    <row r="620" spans="1:1" x14ac:dyDescent="0.25">
      <c r="A620" s="67"/>
    </row>
    <row r="621" spans="1:1" x14ac:dyDescent="0.25">
      <c r="A621" s="67"/>
    </row>
    <row r="622" spans="1:1" x14ac:dyDescent="0.25">
      <c r="A622" s="67"/>
    </row>
    <row r="623" spans="1:1" x14ac:dyDescent="0.25">
      <c r="A623" s="67"/>
    </row>
    <row r="624" spans="1:1" x14ac:dyDescent="0.25">
      <c r="A624" s="67"/>
    </row>
    <row r="625" spans="1:1" x14ac:dyDescent="0.25">
      <c r="A625" s="67"/>
    </row>
    <row r="626" spans="1:1" x14ac:dyDescent="0.25">
      <c r="A626" s="67"/>
    </row>
    <row r="627" spans="1:1" x14ac:dyDescent="0.25">
      <c r="A627" s="67"/>
    </row>
    <row r="628" spans="1:1" x14ac:dyDescent="0.25">
      <c r="A628" s="67"/>
    </row>
    <row r="629" spans="1:1" x14ac:dyDescent="0.25">
      <c r="A629" s="67"/>
    </row>
    <row r="630" spans="1:1" x14ac:dyDescent="0.25">
      <c r="A630" s="67"/>
    </row>
    <row r="631" spans="1:1" x14ac:dyDescent="0.25">
      <c r="A631" s="67"/>
    </row>
    <row r="632" spans="1:1" x14ac:dyDescent="0.25">
      <c r="A632" s="67"/>
    </row>
    <row r="633" spans="1:1" x14ac:dyDescent="0.25">
      <c r="A633" s="67"/>
    </row>
    <row r="634" spans="1:1" x14ac:dyDescent="0.25">
      <c r="A634" s="67"/>
    </row>
    <row r="635" spans="1:1" x14ac:dyDescent="0.25">
      <c r="A635" s="67"/>
    </row>
    <row r="636" spans="1:1" x14ac:dyDescent="0.25">
      <c r="A636" s="67"/>
    </row>
    <row r="637" spans="1:1" x14ac:dyDescent="0.25">
      <c r="A637" s="67"/>
    </row>
    <row r="638" spans="1:1" x14ac:dyDescent="0.25">
      <c r="A638" s="67"/>
    </row>
    <row r="639" spans="1:1" x14ac:dyDescent="0.25">
      <c r="A639" s="67"/>
    </row>
    <row r="640" spans="1:1" x14ac:dyDescent="0.25">
      <c r="A640" s="67"/>
    </row>
    <row r="641" spans="1:1" x14ac:dyDescent="0.25">
      <c r="A641" s="67"/>
    </row>
    <row r="642" spans="1:1" x14ac:dyDescent="0.25">
      <c r="A642" s="67"/>
    </row>
    <row r="643" spans="1:1" x14ac:dyDescent="0.25">
      <c r="A643" s="67"/>
    </row>
    <row r="644" spans="1:1" x14ac:dyDescent="0.25">
      <c r="A644" s="67"/>
    </row>
    <row r="645" spans="1:1" x14ac:dyDescent="0.25">
      <c r="A645" s="67"/>
    </row>
    <row r="646" spans="1:1" x14ac:dyDescent="0.25">
      <c r="A646" s="67"/>
    </row>
    <row r="647" spans="1:1" x14ac:dyDescent="0.25">
      <c r="A647" s="67"/>
    </row>
    <row r="648" spans="1:1" x14ac:dyDescent="0.25">
      <c r="A648" s="67"/>
    </row>
    <row r="649" spans="1:1" x14ac:dyDescent="0.25">
      <c r="A649" s="67"/>
    </row>
    <row r="650" spans="1:1" x14ac:dyDescent="0.25">
      <c r="A650" s="67"/>
    </row>
    <row r="651" spans="1:1" x14ac:dyDescent="0.25">
      <c r="A651" s="67"/>
    </row>
    <row r="652" spans="1:1" x14ac:dyDescent="0.25">
      <c r="A652" s="67"/>
    </row>
    <row r="653" spans="1:1" x14ac:dyDescent="0.25">
      <c r="A653" s="67"/>
    </row>
    <row r="654" spans="1:1" x14ac:dyDescent="0.25">
      <c r="A654" s="67"/>
    </row>
    <row r="655" spans="1:1" x14ac:dyDescent="0.25">
      <c r="A655" s="67"/>
    </row>
    <row r="656" spans="1:1" x14ac:dyDescent="0.25">
      <c r="A656" s="67"/>
    </row>
    <row r="657" spans="1:1" x14ac:dyDescent="0.25">
      <c r="A657" s="67"/>
    </row>
    <row r="658" spans="1:1" x14ac:dyDescent="0.25">
      <c r="A658" s="67"/>
    </row>
    <row r="659" spans="1:1" x14ac:dyDescent="0.25">
      <c r="A659" s="67"/>
    </row>
    <row r="660" spans="1:1" x14ac:dyDescent="0.25">
      <c r="A660" s="67"/>
    </row>
    <row r="661" spans="1:1" x14ac:dyDescent="0.25">
      <c r="A661" s="67"/>
    </row>
    <row r="662" spans="1:1" x14ac:dyDescent="0.25">
      <c r="A662" s="67"/>
    </row>
    <row r="663" spans="1:1" x14ac:dyDescent="0.25">
      <c r="A663" s="67"/>
    </row>
    <row r="664" spans="1:1" x14ac:dyDescent="0.25">
      <c r="A664" s="67"/>
    </row>
    <row r="665" spans="1:1" x14ac:dyDescent="0.25">
      <c r="A665" s="67"/>
    </row>
    <row r="666" spans="1:1" x14ac:dyDescent="0.25">
      <c r="A666" s="67"/>
    </row>
    <row r="667" spans="1:1" x14ac:dyDescent="0.25">
      <c r="A667" s="67"/>
    </row>
    <row r="668" spans="1:1" x14ac:dyDescent="0.25">
      <c r="A668" s="67"/>
    </row>
    <row r="669" spans="1:1" x14ac:dyDescent="0.25">
      <c r="A669" s="67"/>
    </row>
    <row r="670" spans="1:1" x14ac:dyDescent="0.25">
      <c r="A670" s="67"/>
    </row>
    <row r="671" spans="1:1" x14ac:dyDescent="0.25">
      <c r="A671" s="67"/>
    </row>
    <row r="672" spans="1:1" x14ac:dyDescent="0.25">
      <c r="A672" s="67"/>
    </row>
    <row r="673" spans="1:1" x14ac:dyDescent="0.25">
      <c r="A673" s="67"/>
    </row>
    <row r="674" spans="1:1" x14ac:dyDescent="0.25">
      <c r="A674" s="67"/>
    </row>
    <row r="675" spans="1:1" x14ac:dyDescent="0.25">
      <c r="A675" s="67"/>
    </row>
    <row r="676" spans="1:1" x14ac:dyDescent="0.25">
      <c r="A676" s="67"/>
    </row>
    <row r="677" spans="1:1" x14ac:dyDescent="0.25">
      <c r="A677" s="67"/>
    </row>
    <row r="678" spans="1:1" x14ac:dyDescent="0.25">
      <c r="A678" s="67"/>
    </row>
    <row r="679" spans="1:1" x14ac:dyDescent="0.25">
      <c r="A679" s="67"/>
    </row>
    <row r="680" spans="1:1" x14ac:dyDescent="0.25">
      <c r="A680" s="67"/>
    </row>
    <row r="681" spans="1:1" x14ac:dyDescent="0.25">
      <c r="A681" s="67"/>
    </row>
    <row r="682" spans="1:1" x14ac:dyDescent="0.25">
      <c r="A682" s="67"/>
    </row>
    <row r="683" spans="1:1" x14ac:dyDescent="0.25">
      <c r="A683" s="67"/>
    </row>
    <row r="684" spans="1:1" x14ac:dyDescent="0.25">
      <c r="A684" s="67"/>
    </row>
    <row r="685" spans="1:1" x14ac:dyDescent="0.25">
      <c r="A685" s="67"/>
    </row>
    <row r="686" spans="1:1" x14ac:dyDescent="0.25">
      <c r="A686" s="67"/>
    </row>
    <row r="687" spans="1:1" x14ac:dyDescent="0.25">
      <c r="A687" s="67"/>
    </row>
    <row r="688" spans="1:1" x14ac:dyDescent="0.25">
      <c r="A688" s="67"/>
    </row>
    <row r="689" spans="1:1" x14ac:dyDescent="0.25">
      <c r="A689" s="67"/>
    </row>
    <row r="690" spans="1:1" x14ac:dyDescent="0.25">
      <c r="A690" s="67"/>
    </row>
    <row r="691" spans="1:1" x14ac:dyDescent="0.25">
      <c r="A691" s="67"/>
    </row>
    <row r="692" spans="1:1" x14ac:dyDescent="0.25">
      <c r="A692" s="67"/>
    </row>
    <row r="693" spans="1:1" x14ac:dyDescent="0.25">
      <c r="A693" s="67"/>
    </row>
    <row r="694" spans="1:1" x14ac:dyDescent="0.25">
      <c r="A694" s="67"/>
    </row>
    <row r="695" spans="1:1" x14ac:dyDescent="0.25">
      <c r="A695" s="67"/>
    </row>
    <row r="696" spans="1:1" x14ac:dyDescent="0.25">
      <c r="A696" s="67"/>
    </row>
    <row r="697" spans="1:1" x14ac:dyDescent="0.25">
      <c r="A697" s="67"/>
    </row>
    <row r="698" spans="1:1" x14ac:dyDescent="0.25">
      <c r="A698" s="67"/>
    </row>
    <row r="699" spans="1:1" x14ac:dyDescent="0.25">
      <c r="A699" s="67"/>
    </row>
    <row r="700" spans="1:1" x14ac:dyDescent="0.25">
      <c r="A700" s="67"/>
    </row>
    <row r="701" spans="1:1" x14ac:dyDescent="0.25">
      <c r="A701" s="67"/>
    </row>
    <row r="702" spans="1:1" x14ac:dyDescent="0.25">
      <c r="A702" s="67"/>
    </row>
    <row r="703" spans="1:1" x14ac:dyDescent="0.25">
      <c r="A703" s="67"/>
    </row>
    <row r="704" spans="1:1" x14ac:dyDescent="0.25">
      <c r="A704" s="67"/>
    </row>
    <row r="705" spans="1:1" x14ac:dyDescent="0.25">
      <c r="A705" s="67"/>
    </row>
    <row r="706" spans="1:1" x14ac:dyDescent="0.25">
      <c r="A706" s="67"/>
    </row>
    <row r="707" spans="1:1" x14ac:dyDescent="0.25">
      <c r="A707" s="67"/>
    </row>
    <row r="708" spans="1:1" x14ac:dyDescent="0.25">
      <c r="A708" s="67"/>
    </row>
    <row r="709" spans="1:1" x14ac:dyDescent="0.25">
      <c r="A709" s="67"/>
    </row>
    <row r="710" spans="1:1" x14ac:dyDescent="0.25">
      <c r="A710" s="67"/>
    </row>
    <row r="711" spans="1:1" x14ac:dyDescent="0.25">
      <c r="A711" s="67"/>
    </row>
    <row r="712" spans="1:1" x14ac:dyDescent="0.25">
      <c r="A712" s="67"/>
    </row>
    <row r="713" spans="1:1" x14ac:dyDescent="0.25">
      <c r="A713" s="67"/>
    </row>
    <row r="714" spans="1:1" x14ac:dyDescent="0.25">
      <c r="A714" s="67"/>
    </row>
    <row r="715" spans="1:1" x14ac:dyDescent="0.25">
      <c r="A715" s="67"/>
    </row>
    <row r="716" spans="1:1" x14ac:dyDescent="0.25">
      <c r="A716" s="67"/>
    </row>
    <row r="717" spans="1:1" x14ac:dyDescent="0.25">
      <c r="A717" s="67"/>
    </row>
    <row r="718" spans="1:1" x14ac:dyDescent="0.25">
      <c r="A718" s="67"/>
    </row>
    <row r="719" spans="1:1" x14ac:dyDescent="0.25">
      <c r="A719" s="67"/>
    </row>
    <row r="720" spans="1:1" x14ac:dyDescent="0.25">
      <c r="A720" s="67"/>
    </row>
    <row r="721" spans="1:1" x14ac:dyDescent="0.25">
      <c r="A721" s="67"/>
    </row>
    <row r="722" spans="1:1" x14ac:dyDescent="0.25">
      <c r="A722" s="67"/>
    </row>
    <row r="723" spans="1:1" x14ac:dyDescent="0.25">
      <c r="A723" s="67"/>
    </row>
    <row r="724" spans="1:1" x14ac:dyDescent="0.25">
      <c r="A724" s="67"/>
    </row>
    <row r="725" spans="1:1" x14ac:dyDescent="0.25">
      <c r="A725" s="67"/>
    </row>
    <row r="726" spans="1:1" x14ac:dyDescent="0.25">
      <c r="A726" s="67"/>
    </row>
    <row r="727" spans="1:1" x14ac:dyDescent="0.25">
      <c r="A727" s="67"/>
    </row>
    <row r="728" spans="1:1" x14ac:dyDescent="0.25">
      <c r="A728" s="67"/>
    </row>
    <row r="729" spans="1:1" x14ac:dyDescent="0.25">
      <c r="A729" s="67"/>
    </row>
    <row r="730" spans="1:1" x14ac:dyDescent="0.25">
      <c r="A730" s="67"/>
    </row>
    <row r="731" spans="1:1" x14ac:dyDescent="0.25">
      <c r="A731" s="67"/>
    </row>
    <row r="732" spans="1:1" x14ac:dyDescent="0.25">
      <c r="A732" s="67"/>
    </row>
    <row r="733" spans="1:1" x14ac:dyDescent="0.25">
      <c r="A733" s="67"/>
    </row>
    <row r="734" spans="1:1" x14ac:dyDescent="0.25">
      <c r="A734" s="67"/>
    </row>
    <row r="735" spans="1:1" x14ac:dyDescent="0.25">
      <c r="A735" s="67"/>
    </row>
    <row r="736" spans="1:1" x14ac:dyDescent="0.25">
      <c r="A736" s="67"/>
    </row>
    <row r="737" spans="1:1" x14ac:dyDescent="0.25">
      <c r="A737" s="67"/>
    </row>
    <row r="738" spans="1:1" x14ac:dyDescent="0.25">
      <c r="A738" s="67"/>
    </row>
    <row r="739" spans="1:1" x14ac:dyDescent="0.25">
      <c r="A739" s="67"/>
    </row>
    <row r="740" spans="1:1" x14ac:dyDescent="0.25">
      <c r="A740" s="67"/>
    </row>
    <row r="741" spans="1:1" x14ac:dyDescent="0.25">
      <c r="A741" s="67"/>
    </row>
    <row r="742" spans="1:1" x14ac:dyDescent="0.25">
      <c r="A742" s="67"/>
    </row>
    <row r="743" spans="1:1" x14ac:dyDescent="0.25">
      <c r="A743" s="67"/>
    </row>
    <row r="744" spans="1:1" x14ac:dyDescent="0.25">
      <c r="A744" s="67"/>
    </row>
    <row r="745" spans="1:1" x14ac:dyDescent="0.25">
      <c r="A745" s="67"/>
    </row>
    <row r="746" spans="1:1" x14ac:dyDescent="0.25">
      <c r="A746" s="67"/>
    </row>
    <row r="747" spans="1:1" x14ac:dyDescent="0.25">
      <c r="A747" s="67"/>
    </row>
    <row r="748" spans="1:1" x14ac:dyDescent="0.25">
      <c r="A748" s="67"/>
    </row>
    <row r="749" spans="1:1" x14ac:dyDescent="0.25">
      <c r="A749" s="67"/>
    </row>
    <row r="750" spans="1:1" x14ac:dyDescent="0.25">
      <c r="A750" s="67"/>
    </row>
    <row r="751" spans="1:1" x14ac:dyDescent="0.25">
      <c r="A751" s="67"/>
    </row>
    <row r="752" spans="1:1" x14ac:dyDescent="0.25">
      <c r="A752" s="67"/>
    </row>
    <row r="753" spans="1:1" x14ac:dyDescent="0.25">
      <c r="A753" s="67"/>
    </row>
    <row r="754" spans="1:1" x14ac:dyDescent="0.25">
      <c r="A754" s="67"/>
    </row>
    <row r="755" spans="1:1" x14ac:dyDescent="0.25">
      <c r="A755" s="67"/>
    </row>
    <row r="756" spans="1:1" x14ac:dyDescent="0.25">
      <c r="A756" s="67"/>
    </row>
    <row r="757" spans="1:1" x14ac:dyDescent="0.25">
      <c r="A757" s="67"/>
    </row>
    <row r="758" spans="1:1" x14ac:dyDescent="0.25">
      <c r="A758" s="67"/>
    </row>
    <row r="759" spans="1:1" x14ac:dyDescent="0.25">
      <c r="A759" s="67"/>
    </row>
    <row r="760" spans="1:1" x14ac:dyDescent="0.25">
      <c r="A760" s="67"/>
    </row>
    <row r="761" spans="1:1" x14ac:dyDescent="0.25">
      <c r="A761" s="67"/>
    </row>
    <row r="762" spans="1:1" x14ac:dyDescent="0.25">
      <c r="A762" s="67"/>
    </row>
    <row r="763" spans="1:1" x14ac:dyDescent="0.25">
      <c r="A763" s="67"/>
    </row>
    <row r="764" spans="1:1" x14ac:dyDescent="0.25">
      <c r="A764" s="67"/>
    </row>
    <row r="765" spans="1:1" x14ac:dyDescent="0.25">
      <c r="A765" s="67"/>
    </row>
    <row r="766" spans="1:1" x14ac:dyDescent="0.25">
      <c r="A766" s="67"/>
    </row>
    <row r="767" spans="1:1" x14ac:dyDescent="0.25">
      <c r="A767" s="67"/>
    </row>
    <row r="768" spans="1:1" x14ac:dyDescent="0.25">
      <c r="A768" s="67"/>
    </row>
    <row r="769" spans="1:1" x14ac:dyDescent="0.25">
      <c r="A769" s="67"/>
    </row>
    <row r="770" spans="1:1" x14ac:dyDescent="0.25">
      <c r="A770" s="67"/>
    </row>
    <row r="771" spans="1:1" x14ac:dyDescent="0.25">
      <c r="A771" s="67"/>
    </row>
    <row r="772" spans="1:1" x14ac:dyDescent="0.25">
      <c r="A772" s="67"/>
    </row>
    <row r="773" spans="1:1" x14ac:dyDescent="0.25">
      <c r="A773" s="67"/>
    </row>
    <row r="774" spans="1:1" x14ac:dyDescent="0.25">
      <c r="A774" s="67"/>
    </row>
    <row r="775" spans="1:1" x14ac:dyDescent="0.25">
      <c r="A775" s="67"/>
    </row>
    <row r="776" spans="1:1" x14ac:dyDescent="0.25">
      <c r="A776" s="67"/>
    </row>
    <row r="777" spans="1:1" x14ac:dyDescent="0.25">
      <c r="A777" s="67"/>
    </row>
    <row r="778" spans="1:1" x14ac:dyDescent="0.25">
      <c r="A778" s="67"/>
    </row>
    <row r="779" spans="1:1" x14ac:dyDescent="0.25">
      <c r="A779" s="67"/>
    </row>
    <row r="780" spans="1:1" x14ac:dyDescent="0.25">
      <c r="A780" s="67"/>
    </row>
    <row r="781" spans="1:1" x14ac:dyDescent="0.25">
      <c r="A781" s="67"/>
    </row>
    <row r="782" spans="1:1" x14ac:dyDescent="0.25">
      <c r="A782" s="67"/>
    </row>
    <row r="783" spans="1:1" x14ac:dyDescent="0.25">
      <c r="A783" s="67"/>
    </row>
    <row r="784" spans="1:1" x14ac:dyDescent="0.25">
      <c r="A784" s="67"/>
    </row>
    <row r="785" spans="1:1" x14ac:dyDescent="0.25">
      <c r="A785" s="67"/>
    </row>
    <row r="786" spans="1:1" x14ac:dyDescent="0.25">
      <c r="A786" s="67"/>
    </row>
    <row r="787" spans="1:1" x14ac:dyDescent="0.25">
      <c r="A787" s="67"/>
    </row>
    <row r="788" spans="1:1" x14ac:dyDescent="0.25">
      <c r="A788" s="67"/>
    </row>
    <row r="789" spans="1:1" x14ac:dyDescent="0.25">
      <c r="A789" s="67"/>
    </row>
    <row r="790" spans="1:1" x14ac:dyDescent="0.25">
      <c r="A790" s="67"/>
    </row>
    <row r="791" spans="1:1" x14ac:dyDescent="0.25">
      <c r="A791" s="67"/>
    </row>
    <row r="792" spans="1:1" x14ac:dyDescent="0.25">
      <c r="A792" s="67"/>
    </row>
    <row r="793" spans="1:1" x14ac:dyDescent="0.25">
      <c r="A793" s="67"/>
    </row>
    <row r="794" spans="1:1" x14ac:dyDescent="0.25">
      <c r="A794" s="67"/>
    </row>
    <row r="795" spans="1:1" x14ac:dyDescent="0.25">
      <c r="A795" s="67"/>
    </row>
    <row r="796" spans="1:1" x14ac:dyDescent="0.25">
      <c r="A796" s="67"/>
    </row>
    <row r="797" spans="1:1" x14ac:dyDescent="0.25">
      <c r="A797" s="67"/>
    </row>
    <row r="798" spans="1:1" x14ac:dyDescent="0.25">
      <c r="A798" s="67"/>
    </row>
    <row r="799" spans="1:1" x14ac:dyDescent="0.25">
      <c r="A799" s="67"/>
    </row>
    <row r="800" spans="1:1" x14ac:dyDescent="0.25">
      <c r="A800" s="67"/>
    </row>
    <row r="801" spans="1:1" x14ac:dyDescent="0.25">
      <c r="A801" s="67"/>
    </row>
    <row r="802" spans="1:1" x14ac:dyDescent="0.25">
      <c r="A802" s="67"/>
    </row>
    <row r="803" spans="1:1" x14ac:dyDescent="0.25">
      <c r="A803" s="67"/>
    </row>
    <row r="804" spans="1:1" x14ac:dyDescent="0.25">
      <c r="A804" s="67"/>
    </row>
    <row r="805" spans="1:1" x14ac:dyDescent="0.25">
      <c r="A805" s="67"/>
    </row>
    <row r="806" spans="1:1" x14ac:dyDescent="0.25">
      <c r="A806" s="67"/>
    </row>
    <row r="807" spans="1:1" x14ac:dyDescent="0.25">
      <c r="A807" s="67"/>
    </row>
    <row r="808" spans="1:1" x14ac:dyDescent="0.25">
      <c r="A808" s="67"/>
    </row>
    <row r="809" spans="1:1" x14ac:dyDescent="0.25">
      <c r="A809" s="67"/>
    </row>
    <row r="810" spans="1:1" x14ac:dyDescent="0.25">
      <c r="A810" s="67"/>
    </row>
    <row r="811" spans="1:1" x14ac:dyDescent="0.25">
      <c r="A811" s="67"/>
    </row>
    <row r="812" spans="1:1" x14ac:dyDescent="0.25">
      <c r="A812" s="67"/>
    </row>
    <row r="813" spans="1:1" x14ac:dyDescent="0.25">
      <c r="A813" s="67"/>
    </row>
    <row r="814" spans="1:1" x14ac:dyDescent="0.25">
      <c r="A814" s="67"/>
    </row>
    <row r="815" spans="1:1" x14ac:dyDescent="0.25">
      <c r="A815" s="67"/>
    </row>
    <row r="816" spans="1:1" x14ac:dyDescent="0.25">
      <c r="A816" s="67"/>
    </row>
    <row r="817" spans="1:1" x14ac:dyDescent="0.25">
      <c r="A817" s="67"/>
    </row>
  </sheetData>
  <sheetProtection password="CD36" sheet="1" objects="1" scenarios="1" selectLockedCells="1"/>
  <mergeCells count="22">
    <mergeCell ref="M69:M70"/>
    <mergeCell ref="M65:M66"/>
    <mergeCell ref="M67:M68"/>
    <mergeCell ref="E11:E12"/>
    <mergeCell ref="G11:J11"/>
    <mergeCell ref="G13:J13"/>
    <mergeCell ref="G14:J17"/>
    <mergeCell ref="G19:J39"/>
    <mergeCell ref="A2:L2"/>
    <mergeCell ref="B7:H7"/>
    <mergeCell ref="G12:J12"/>
    <mergeCell ref="I7:J7"/>
    <mergeCell ref="I5:J6"/>
    <mergeCell ref="A3:L3"/>
    <mergeCell ref="B10:C10"/>
    <mergeCell ref="B6:G6"/>
    <mergeCell ref="B8:G8"/>
    <mergeCell ref="D11:D12"/>
    <mergeCell ref="E9:G9"/>
    <mergeCell ref="C11:C12"/>
    <mergeCell ref="G10:J10"/>
    <mergeCell ref="B11:B12"/>
  </mergeCells>
  <phoneticPr fontId="48" type="noConversion"/>
  <conditionalFormatting sqref="C13:D64">
    <cfRule type="cellIs" dxfId="12" priority="4" stopIfTrue="1" operator="equal">
      <formula>0</formula>
    </cfRule>
  </conditionalFormatting>
  <conditionalFormatting sqref="E9:G9">
    <cfRule type="expression" dxfId="11" priority="2" stopIfTrue="1">
      <formula>$B$8="Other (Enter Below)"</formula>
    </cfRule>
  </conditionalFormatting>
  <conditionalFormatting sqref="G10:J11">
    <cfRule type="containsErrors" dxfId="10" priority="1" stopIfTrue="1">
      <formula>ISERROR(G10)</formula>
    </cfRule>
  </conditionalFormatting>
  <dataValidations xWindow="351" yWindow="323" count="8">
    <dataValidation allowBlank="1" promptTitle="Fax/Other Referrals" prompt="Enter the number of referrals per week received by fax or other (non-Choose &amp; Book) method.  If you do not have separate data for each referral type then enter all referrals in this column." sqref="G99:H407 F71:F406"/>
    <dataValidation type="whole" allowBlank="1" showInputMessage="1" showErrorMessage="1" errorTitle="Patients Waiting" error="Please enter a whole number greater than zero." promptTitle="Patients Waiting" prompt="Enter the total number of patients waiting including all inpatient, daycase, and diagnostic patients waiting for elective admission. " sqref="E13">
      <formula1>0</formula1>
      <formula2>10000</formula2>
    </dataValidation>
    <dataValidation type="list" allowBlank="1" showInputMessage="1" showErrorMessage="1" sqref="H6">
      <formula1>#REF!</formula1>
    </dataValidation>
    <dataValidation showInputMessage="1" showErrorMessage="1" sqref="B7:H7"/>
    <dataValidation type="list" allowBlank="1" showInputMessage="1" showErrorMessage="1" sqref="H8">
      <formula1>#REF!</formula1>
    </dataValidation>
    <dataValidation type="list" allowBlank="1" sqref="B8:G8">
      <formula1>$B$67:$B$151</formula1>
    </dataValidation>
    <dataValidation type="list" allowBlank="1" sqref="B6:G6">
      <formula1>$A$67:$A$595</formula1>
    </dataValidation>
    <dataValidation type="whole" allowBlank="1" showErrorMessage="1" errorTitle="Patients Waiting" error="Please enter a whole number greater than zero." promptTitle="Patients Waiting" prompt="Enter the total number of patients waiting including all inpatient, daycase, and diagnostic patients waiting for elective admission. " sqref="E14:E64">
      <formula1>0</formula1>
      <formula2>10000</formula2>
    </dataValidation>
  </dataValidations>
  <pageMargins left="0.39370078740157483" right="0.39370078740157483" top="0.78740157480314965" bottom="0.59055118110236215" header="0.19685039370078741" footer="0"/>
  <pageSetup paperSize="9" scale="68" fitToHeight="0" orientation="portrait" errors="blank" r:id="rId1"/>
  <headerFooter>
    <oddHeader>&amp;R&amp;G</oddHeader>
  </headerFooter>
  <rowBreaks count="1" manualBreakCount="1">
    <brk id="64" max="1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8</xdr:col>
                    <xdr:colOff>0</xdr:colOff>
                    <xdr:row>7</xdr:row>
                    <xdr:rowOff>0</xdr:rowOff>
                  </from>
                  <to>
                    <xdr:col>9</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3"/>
  <sheetViews>
    <sheetView showGridLines="0" showRowColHeaders="0" topLeftCell="Q1" zoomScaleNormal="100" workbookViewId="0">
      <selection activeCell="AG6" sqref="AG6"/>
    </sheetView>
  </sheetViews>
  <sheetFormatPr defaultRowHeight="15" x14ac:dyDescent="0.25"/>
  <cols>
    <col min="1" max="16" width="9.140625" style="24" hidden="1" customWidth="1"/>
    <col min="17" max="17" width="11" style="23" customWidth="1"/>
    <col min="18" max="30" width="9.140625" style="23"/>
    <col min="31" max="31" width="10.5703125" style="23" customWidth="1"/>
    <col min="32" max="16384" width="9.140625" style="23"/>
  </cols>
  <sheetData>
    <row r="1" spans="1:31" x14ac:dyDescent="0.25">
      <c r="A1" s="24" t="s">
        <v>289</v>
      </c>
      <c r="B1" s="24">
        <v>1</v>
      </c>
      <c r="C1" s="24" t="s">
        <v>291</v>
      </c>
      <c r="D1" s="24">
        <v>2</v>
      </c>
      <c r="E1" s="24" t="s">
        <v>292</v>
      </c>
      <c r="F1" s="24">
        <v>3</v>
      </c>
      <c r="G1" s="24" t="s">
        <v>290</v>
      </c>
      <c r="H1" s="24">
        <v>4</v>
      </c>
      <c r="I1" s="24" t="s">
        <v>293</v>
      </c>
      <c r="J1" s="24" t="s">
        <v>294</v>
      </c>
      <c r="K1" s="24" t="s">
        <v>295</v>
      </c>
      <c r="L1" s="24" t="s">
        <v>296</v>
      </c>
      <c r="M1" s="24" t="s">
        <v>297</v>
      </c>
      <c r="N1" s="24" t="s">
        <v>298</v>
      </c>
      <c r="O1" s="24" t="s">
        <v>299</v>
      </c>
      <c r="P1" s="24" t="s">
        <v>306</v>
      </c>
      <c r="Q1"/>
      <c r="R1"/>
      <c r="S1"/>
      <c r="T1"/>
      <c r="U1"/>
      <c r="V1"/>
      <c r="W1"/>
      <c r="X1"/>
      <c r="Y1"/>
      <c r="Z1"/>
      <c r="AA1"/>
      <c r="AB1"/>
      <c r="AC1"/>
      <c r="AD1"/>
      <c r="AE1"/>
    </row>
    <row r="2" spans="1:31" ht="54" customHeight="1" x14ac:dyDescent="0.25">
      <c r="B2" s="24" t="e">
        <f ca="1">IF(Split=0,IF(OR(Demand!C13&gt;UCL,Demand!C13&lt;LCL),Demand!C13,NA()),IF(Split&gt;=P2,IF(OR(Demand!C13&gt;_UCL1,Demand!C13&lt;_LCL1),Demand!C13,NA()),IF(OR(Demand!C13&gt;_UCL2,Demand!C13&lt;_LCL2),Demand!C13,NA())))</f>
        <v>#N/A</v>
      </c>
      <c r="C2" s="24">
        <f ca="1">IF(Split=0,IF(Demand!C13&gt;Sigma2Plus,2,IF(Demand!C13&lt;Sigma2Minus,-2,IF(Demand!C13&lt;Mean,-1,1))),IF(Split&gt;=P2,IF(Demand!C13&gt;Sigma2Plus1,2,IF(Demand!C13&lt;Sigma2Minus1,-2,IF(Demand!C13&lt;Mean1,-1,1))),IF(Demand!C13&gt;Sigma2Plus2,2,IF(Demand!C13&lt;Sigma2Minus2,-2,IF(Demand!C13&lt;Mean2,-1,1)))))</f>
        <v>1</v>
      </c>
      <c r="D2" s="24" t="e">
        <f ca="1">IF(AND(ABS(SUM(C2:C4))&gt;4,P2&lt;ROWS(DTARange)),Demand!C13,NA())</f>
        <v>#REF!</v>
      </c>
      <c r="E2" s="24">
        <f ca="1">IF(Split=0,IF(Demand!C13&gt;Sigma1Plus,2,IF(Demand!C13&lt;Sigma1Minus,-2,IF(Demand!C13&lt;Mean,-1,1))),IF(Split&gt;=P2,IF(Demand!C13&gt;Sigma1Plus1,2,IF(Demand!C13&lt;Sigma1Minus1,-2,IF(Demand!C13&lt;Mean1,-1,1))),IF(Demand!C13&gt;Sigma1Plus2,2,IF(Demand!C13&lt;Sigma1Minus2,-2,IF(Demand!C13&lt;Mean,-1,1)))))</f>
        <v>1</v>
      </c>
      <c r="F2" s="24" t="e">
        <f ca="1">IF(AND(ABS(SUM(E2:E6))&gt;8,P2&lt;ROWS(DTARange)),Demand!C13,NA())</f>
        <v>#REF!</v>
      </c>
      <c r="G2" s="24">
        <f ca="1">IF(Split=0,IF(Demand!C13&gt;Mean,1,IF(Demand!C13&lt;Mean,-1,0)),IF(Split&gt;=P2,IF(Demand!C13&gt;Mean1,1,IF(Demand!C13&lt;Mean1,-1,0)),IF(Demand!C13&gt;Mean2,1,IF(Demand!C13&lt;Mean2,-1,0))))</f>
        <v>0</v>
      </c>
      <c r="H2" s="24" t="e">
        <f ca="1">IF(AND(ABS(G10)=8,P2&lt;ROWS(DTARange)),Demand!C13,NA())</f>
        <v>#REF!</v>
      </c>
      <c r="I2" s="24">
        <f t="array" aca="1" ref="I2:I53" ca="1">IF(Split=0,UCL,IF(Split&gt;=P2:P53,_UCL1,_UCL2))</f>
        <v>0</v>
      </c>
      <c r="J2" s="24">
        <f t="array" aca="1" ref="J2:J53" ca="1">IF(Split=0,Sigma2Plus,IF(Split&gt;=P2:P53,Sigma2Plus1,Sigma2Plus2))</f>
        <v>0</v>
      </c>
      <c r="K2" s="24">
        <f t="array" aca="1" ref="K2:K53" ca="1">IF(Split=0,Sigma1Plus,IF(Split&gt;=P2:P53,Sigma1Plus1,Sigma1Plus2))</f>
        <v>0</v>
      </c>
      <c r="L2" s="24">
        <f t="array" aca="1" ref="L2:L53" ca="1">IF(Split=0,Mean,IF(Split&gt;=P2:P53,Mean1,Mean2))</f>
        <v>0</v>
      </c>
      <c r="M2" s="24">
        <f t="array" aca="1" ref="M2:M53" ca="1">IF(Split=0,Sigma1Minus,IF(Split&gt;=P2:P53,Sigma1Minus1,Sigma1Minus2))</f>
        <v>0</v>
      </c>
      <c r="N2" s="24">
        <f t="array" aca="1" ref="N2:N53" ca="1">IF(Split=0,Sigma2Minus,IF(Split&gt;=P2:P53,Sigma2Minus1,Sigma2Minus2))</f>
        <v>0</v>
      </c>
      <c r="O2" s="24">
        <f t="array" aca="1" ref="O2:O53" ca="1">IF(Split=0,LCL,IF(Split&gt;=P2:P53,_LCL1,_LCL2))</f>
        <v>0</v>
      </c>
      <c r="P2" s="24">
        <f t="array" aca="1" ref="P2:P53" ca="1">ROW(INDIRECT("1:52"))</f>
        <v>1</v>
      </c>
      <c r="Q2" s="347" t="str">
        <f>"SPC - " &amp; ModelName</f>
        <v>SPC - The NHS IMAS IST Admitted Care Demand and Capacity (D&amp;C) Model</v>
      </c>
      <c r="R2" s="348"/>
      <c r="S2" s="348"/>
      <c r="T2" s="348"/>
      <c r="U2" s="348"/>
      <c r="V2" s="348"/>
      <c r="W2" s="348"/>
      <c r="X2" s="348"/>
      <c r="Y2" s="348"/>
      <c r="Z2" s="348"/>
      <c r="AA2" s="348"/>
      <c r="AB2" s="348"/>
      <c r="AC2" s="348"/>
      <c r="AD2" s="348"/>
      <c r="AE2" s="349"/>
    </row>
    <row r="3" spans="1:31" ht="23.25" customHeight="1" x14ac:dyDescent="0.25">
      <c r="A3" s="24">
        <f t="array" ref="A3:A53">ABS(Demand!C14:C64-Demand!C13:C63)</f>
        <v>0</v>
      </c>
      <c r="B3" s="24" t="e">
        <f ca="1">IF(Split=0,IF(OR(Demand!C14&gt;UCL,Demand!C14&lt;LCL),Demand!C14,NA()),IF(Split&gt;=P3,IF(OR(Demand!C14&gt;_UCL1,Demand!C14&lt;_LCL1),Demand!C14,NA()),IF(OR(Demand!C14&gt;_UCL2,Demand!C14&lt;_LCL2),Demand!C14,NA())))</f>
        <v>#N/A</v>
      </c>
      <c r="C3" s="24">
        <f ca="1">IF(Split=0,IF(Demand!C14&gt;Sigma2Plus,2,IF(Demand!C14&lt;Sigma2Minus,-2,IF(Demand!C14&lt;Mean,-1,1))),IF(Split&gt;=P3,IF(Demand!C14&gt;Sigma2Plus1,2,IF(Demand!C14&lt;Sigma2Minus1,-2,IF(Demand!C14&lt;Mean1,-1,1))),IF(Demand!C14&gt;Sigma2Plus2,2,IF(Demand!C14&lt;Sigma2Minus2,-2,IF(Demand!C14&lt;Mean2,-1,1)))))</f>
        <v>1</v>
      </c>
      <c r="D3" s="24" t="e">
        <f ca="1">IF(AND(ABS(SUM(C3:C5))&gt;4,P3&lt;ROWS(DTARange)),Demand!C14,NA())</f>
        <v>#REF!</v>
      </c>
      <c r="E3" s="24">
        <f ca="1">IF(Split=0,IF(Demand!C14&gt;Sigma1Plus,2,IF(Demand!C14&lt;Sigma1Minus,-2,IF(Demand!C14&lt;Mean,-1,1))),IF(Split&gt;=P3,IF(Demand!C14&gt;Sigma1Plus1,2,IF(Demand!C14&lt;Sigma1Minus1,-2,IF(Demand!C14&lt;Mean1,-1,1))),IF(Demand!C14&gt;Sigma1Plus2,2,IF(Demand!C14&lt;Sigma1Minus2,-2,IF(Demand!C14&lt;Mean,-1,1)))))</f>
        <v>1</v>
      </c>
      <c r="F3" s="24" t="e">
        <f ca="1">IF(AND(ABS(SUM(E3:E7))&gt;8,P3&lt;ROWS(DTARange)),Demand!C14,NA())</f>
        <v>#REF!</v>
      </c>
      <c r="G3" s="24">
        <f ca="1">IF(Split=0,IF(Demand!C14&gt;Mean,IF(G2&gt;=0,G2+1,0),IF(Demand!C14&lt;Mean,IF(G2&lt;=0,G2-1,0),0)),IF(Split&gt;=P2,IF(Demand!C14&gt;Mean1,IF(G2&gt;=0,G2+1,0),IF(Demand!C14&lt;Mean1,IF(G2&lt;=0,G2-1,0),0)),IF(Demand!C14&gt;Mean2,IF(G2&gt;=0,G2+1,0),IF(Demand!C14&lt;Mean2,IF(G2&lt;=0,G2-1,0),0))))</f>
        <v>0</v>
      </c>
      <c r="H3" s="24" t="e">
        <f ca="1">IF(AND(ABS(G11)=8,P3&lt;ROWS(DTARange)),Demand!C14,NA())</f>
        <v>#REF!</v>
      </c>
      <c r="I3" s="24">
        <f ca="1"/>
        <v>0</v>
      </c>
      <c r="J3" s="24">
        <f ca="1"/>
        <v>0</v>
      </c>
      <c r="K3" s="24">
        <f ca="1"/>
        <v>0</v>
      </c>
      <c r="L3" s="24">
        <f ca="1"/>
        <v>0</v>
      </c>
      <c r="M3" s="24">
        <f ca="1"/>
        <v>0</v>
      </c>
      <c r="N3" s="24">
        <f ca="1"/>
        <v>0</v>
      </c>
      <c r="O3" s="24">
        <f ca="1"/>
        <v>0</v>
      </c>
      <c r="P3" s="115">
        <f ca="1"/>
        <v>2</v>
      </c>
      <c r="Q3" s="350" t="s">
        <v>385</v>
      </c>
      <c r="R3" s="312"/>
      <c r="S3" s="312"/>
      <c r="T3" s="312"/>
      <c r="U3" s="312"/>
      <c r="V3" s="312"/>
      <c r="W3" s="312"/>
      <c r="X3" s="312"/>
      <c r="Y3" s="312"/>
      <c r="Z3" s="312"/>
      <c r="AA3" s="312"/>
      <c r="AB3" s="312"/>
      <c r="AC3" s="312"/>
      <c r="AD3" s="312"/>
      <c r="AE3" s="351"/>
    </row>
    <row r="4" spans="1:31" x14ac:dyDescent="0.25">
      <c r="A4" s="24">
        <v>0</v>
      </c>
      <c r="B4" s="24" t="e">
        <f ca="1">IF(Split=0,IF(OR(Demand!C15&gt;UCL,Demand!C15&lt;LCL),Demand!C15,NA()),IF(Split&gt;=P4,IF(OR(Demand!C15&gt;_UCL1,Demand!C15&lt;_LCL1),Demand!C15,NA()),IF(OR(Demand!C15&gt;_UCL2,Demand!C15&lt;_LCL2),Demand!C15,NA())))</f>
        <v>#N/A</v>
      </c>
      <c r="C4" s="24">
        <f ca="1">IF(Split=0,IF(Demand!C15&gt;Sigma2Plus,2,IF(Demand!C15&lt;Sigma2Minus,-2,IF(Demand!C15&lt;Mean,-1,1))),IF(Split&gt;=P4,IF(Demand!C15&gt;Sigma2Plus1,2,IF(Demand!C15&lt;Sigma2Minus1,-2,IF(Demand!C15&lt;Mean1,-1,1))),IF(Demand!C15&gt;Sigma2Plus2,2,IF(Demand!C15&lt;Sigma2Minus2,-2,IF(Demand!C15&lt;Mean2,-1,1)))))</f>
        <v>1</v>
      </c>
      <c r="D4" s="24" t="e">
        <f ca="1">IF(AND(ABS(SUM(C4:C6))&gt;4,P4&lt;ROWS(DTARange)),Demand!C15,NA())</f>
        <v>#REF!</v>
      </c>
      <c r="E4" s="24">
        <f ca="1">IF(Split=0,IF(Demand!C15&gt;Sigma1Plus,2,IF(Demand!C15&lt;Sigma1Minus,-2,IF(Demand!C15&lt;Mean,-1,1))),IF(Split&gt;=P4,IF(Demand!C15&gt;Sigma1Plus1,2,IF(Demand!C15&lt;Sigma1Minus1,-2,IF(Demand!C15&lt;Mean1,-1,1))),IF(Demand!C15&gt;Sigma1Plus2,2,IF(Demand!C15&lt;Sigma1Minus2,-2,IF(Demand!C15&lt;Mean,-1,1)))))</f>
        <v>1</v>
      </c>
      <c r="F4" s="24" t="e">
        <f ca="1">IF(AND(ABS(SUM(E4:E8))&gt;8,P4&lt;ROWS(DTARange)),Demand!C15,NA())</f>
        <v>#REF!</v>
      </c>
      <c r="G4" s="24">
        <f ca="1">IF(Split=0,IF(Demand!C15&gt;Mean,IF(G3&gt;=0,G3+1,0),IF(Demand!C15&lt;Mean,IF(G3&lt;=0,G3-1,0),0)),IF(Split&gt;=P3,IF(Demand!C15&gt;Mean1,IF(G3&gt;=0,G3+1,0),IF(Demand!C15&lt;Mean1,IF(G3&lt;=0,G3-1,0),0)),IF(Demand!C15&gt;Mean2,IF(G3&gt;=0,G3+1,0),IF(Demand!C15&lt;Mean2,IF(G3&lt;=0,G3-1,0),0))))</f>
        <v>0</v>
      </c>
      <c r="H4" s="24" t="e">
        <f ca="1">IF(AND(ABS(G12)=8,P4&lt;ROWS(DTARange)),Demand!C15,NA())</f>
        <v>#REF!</v>
      </c>
      <c r="I4" s="24">
        <f ca="1"/>
        <v>0</v>
      </c>
      <c r="J4" s="24">
        <f ca="1"/>
        <v>0</v>
      </c>
      <c r="K4" s="24">
        <f ca="1"/>
        <v>0</v>
      </c>
      <c r="L4" s="24">
        <f ca="1"/>
        <v>0</v>
      </c>
      <c r="M4" s="24">
        <f ca="1"/>
        <v>0</v>
      </c>
      <c r="N4" s="24">
        <f ca="1"/>
        <v>0</v>
      </c>
      <c r="O4" s="24">
        <f ca="1"/>
        <v>0</v>
      </c>
      <c r="P4" s="115">
        <f ca="1"/>
        <v>3</v>
      </c>
      <c r="Q4" s="119"/>
      <c r="R4" s="120"/>
      <c r="S4" s="120"/>
      <c r="T4" s="120"/>
      <c r="U4" s="120"/>
      <c r="V4" s="120"/>
      <c r="W4" s="120"/>
      <c r="X4" s="120"/>
      <c r="Y4" s="120"/>
      <c r="Z4" s="120"/>
      <c r="AA4" s="120"/>
      <c r="AB4" s="120"/>
      <c r="AC4" s="120"/>
      <c r="AD4" s="120"/>
      <c r="AE4" s="121"/>
    </row>
    <row r="5" spans="1:31" x14ac:dyDescent="0.25">
      <c r="A5" s="24">
        <v>0</v>
      </c>
      <c r="B5" s="24" t="e">
        <f ca="1">IF(Split=0,IF(OR(Demand!C16&gt;UCL,Demand!C16&lt;LCL),Demand!C16,NA()),IF(Split&gt;=P5,IF(OR(Demand!C16&gt;_UCL1,Demand!C16&lt;_LCL1),Demand!C16,NA()),IF(OR(Demand!C16&gt;_UCL2,Demand!C16&lt;_LCL2),Demand!C16,NA())))</f>
        <v>#N/A</v>
      </c>
      <c r="C5" s="24">
        <f ca="1">IF(Split=0,IF(Demand!C16&gt;Sigma2Plus,2,IF(Demand!C16&lt;Sigma2Minus,-2,IF(Demand!C16&lt;Mean,-1,1))),IF(Split&gt;=P5,IF(Demand!C16&gt;Sigma2Plus1,2,IF(Demand!C16&lt;Sigma2Minus1,-2,IF(Demand!C16&lt;Mean1,-1,1))),IF(Demand!C16&gt;Sigma2Plus2,2,IF(Demand!C16&lt;Sigma2Minus2,-2,IF(Demand!C16&lt;Mean2,-1,1)))))</f>
        <v>1</v>
      </c>
      <c r="D5" s="24" t="e">
        <f ca="1">IF(AND(ABS(SUM(C5:C7))&gt;4,P5&lt;ROWS(DTARange)),Demand!C16,NA())</f>
        <v>#REF!</v>
      </c>
      <c r="E5" s="24">
        <f ca="1">IF(Split=0,IF(Demand!C16&gt;Sigma1Plus,2,IF(Demand!C16&lt;Sigma1Minus,-2,IF(Demand!C16&lt;Mean,-1,1))),IF(Split&gt;=P5,IF(Demand!C16&gt;Sigma1Plus1,2,IF(Demand!C16&lt;Sigma1Minus1,-2,IF(Demand!C16&lt;Mean1,-1,1))),IF(Demand!C16&gt;Sigma1Plus2,2,IF(Demand!C16&lt;Sigma1Minus2,-2,IF(Demand!C16&lt;Mean,-1,1)))))</f>
        <v>1</v>
      </c>
      <c r="F5" s="24" t="e">
        <f ca="1">IF(AND(ABS(SUM(E5:E9))&gt;8,P5&lt;ROWS(DTARange)),Demand!C16,NA())</f>
        <v>#REF!</v>
      </c>
      <c r="G5" s="24">
        <f ca="1">IF(Split=0,IF(Demand!C16&gt;Mean,IF(G4&gt;=0,G4+1,0),IF(Demand!C16&lt;Mean,IF(G4&lt;=0,G4-1,0),0)),IF(Split&gt;=P4,IF(Demand!C16&gt;Mean1,IF(G4&gt;=0,G4+1,0),IF(Demand!C16&lt;Mean1,IF(G4&lt;=0,G4-1,0),0)),IF(Demand!C16&gt;Mean2,IF(G4&gt;=0,G4+1,0),IF(Demand!C16&lt;Mean2,IF(G4&lt;=0,G4-1,0),0))))</f>
        <v>0</v>
      </c>
      <c r="H5" s="24" t="e">
        <f ca="1">IF(AND(ABS(G13)=8,P5&lt;ROWS(DTARange)),Demand!C16,NA())</f>
        <v>#REF!</v>
      </c>
      <c r="I5" s="24">
        <f ca="1"/>
        <v>0</v>
      </c>
      <c r="J5" s="24">
        <f ca="1"/>
        <v>0</v>
      </c>
      <c r="K5" s="24">
        <f ca="1"/>
        <v>0</v>
      </c>
      <c r="L5" s="24">
        <f ca="1"/>
        <v>0</v>
      </c>
      <c r="M5" s="24">
        <f ca="1"/>
        <v>0</v>
      </c>
      <c r="N5" s="24">
        <f ca="1"/>
        <v>0</v>
      </c>
      <c r="O5" s="24">
        <f ca="1"/>
        <v>0</v>
      </c>
      <c r="P5" s="115">
        <f ca="1"/>
        <v>4</v>
      </c>
      <c r="Q5" s="119"/>
      <c r="R5" s="120"/>
      <c r="S5" s="120"/>
      <c r="T5" s="120"/>
      <c r="U5" s="120"/>
      <c r="V5" s="120"/>
      <c r="W5" s="120"/>
      <c r="X5" s="120"/>
      <c r="Y5" s="120"/>
      <c r="Z5" s="120"/>
      <c r="AA5" s="120"/>
      <c r="AB5" s="120"/>
      <c r="AC5" s="120"/>
      <c r="AD5" s="120"/>
      <c r="AE5" s="121"/>
    </row>
    <row r="6" spans="1:31" x14ac:dyDescent="0.25">
      <c r="A6" s="24">
        <v>0</v>
      </c>
      <c r="B6" s="24" t="e">
        <f ca="1">IF(Split=0,IF(OR(Demand!C17&gt;UCL,Demand!C17&lt;LCL),Demand!C17,NA()),IF(Split&gt;=P6,IF(OR(Demand!C17&gt;_UCL1,Demand!C17&lt;_LCL1),Demand!C17,NA()),IF(OR(Demand!C17&gt;_UCL2,Demand!C17&lt;_LCL2),Demand!C17,NA())))</f>
        <v>#N/A</v>
      </c>
      <c r="C6" s="24">
        <f ca="1">IF(Split=0,IF(Demand!C17&gt;Sigma2Plus,2,IF(Demand!C17&lt;Sigma2Minus,-2,IF(Demand!C17&lt;Mean,-1,1))),IF(Split&gt;=P6,IF(Demand!C17&gt;Sigma2Plus1,2,IF(Demand!C17&lt;Sigma2Minus1,-2,IF(Demand!C17&lt;Mean1,-1,1))),IF(Demand!C17&gt;Sigma2Plus2,2,IF(Demand!C17&lt;Sigma2Minus2,-2,IF(Demand!C17&lt;Mean2,-1,1)))))</f>
        <v>1</v>
      </c>
      <c r="D6" s="24" t="e">
        <f ca="1">IF(AND(ABS(SUM(C6:C8))&gt;4,P6&lt;ROWS(DTARange)),Demand!C17,NA())</f>
        <v>#REF!</v>
      </c>
      <c r="E6" s="24">
        <f ca="1">IF(Split=0,IF(Demand!C17&gt;Sigma1Plus,2,IF(Demand!C17&lt;Sigma1Minus,-2,IF(Demand!C17&lt;Mean,-1,1))),IF(Split&gt;=P6,IF(Demand!C17&gt;Sigma1Plus1,2,IF(Demand!C17&lt;Sigma1Minus1,-2,IF(Demand!C17&lt;Mean1,-1,1))),IF(Demand!C17&gt;Sigma1Plus2,2,IF(Demand!C17&lt;Sigma1Minus2,-2,IF(Demand!C17&lt;Mean,-1,1)))))</f>
        <v>1</v>
      </c>
      <c r="F6" s="24" t="e">
        <f ca="1">IF(AND(ABS(SUM(E6:E10))&gt;8,P6&lt;ROWS(DTARange)),Demand!C17,NA())</f>
        <v>#REF!</v>
      </c>
      <c r="G6" s="24">
        <f ca="1">IF(Split=0,IF(Demand!C17&gt;Mean,IF(G5&gt;=0,G5+1,0),IF(Demand!C17&lt;Mean,IF(G5&lt;=0,G5-1,0),0)),IF(Split&gt;=P5,IF(Demand!C17&gt;Mean1,IF(G5&gt;=0,G5+1,0),IF(Demand!C17&lt;Mean1,IF(G5&lt;=0,G5-1,0),0)),IF(Demand!C17&gt;Mean2,IF(G5&gt;=0,G5+1,0),IF(Demand!C17&lt;Mean2,IF(G5&lt;=0,G5-1,0),0))))</f>
        <v>0</v>
      </c>
      <c r="H6" s="24" t="e">
        <f ca="1">IF(AND(ABS(G14)=8,P6&lt;ROWS(DTARange)),Demand!C17,NA())</f>
        <v>#REF!</v>
      </c>
      <c r="I6" s="24">
        <f ca="1"/>
        <v>0</v>
      </c>
      <c r="J6" s="24">
        <f ca="1"/>
        <v>0</v>
      </c>
      <c r="K6" s="24">
        <f ca="1"/>
        <v>0</v>
      </c>
      <c r="L6" s="24">
        <f ca="1"/>
        <v>0</v>
      </c>
      <c r="M6" s="24">
        <f ca="1"/>
        <v>0</v>
      </c>
      <c r="N6" s="24">
        <f ca="1"/>
        <v>0</v>
      </c>
      <c r="O6" s="24">
        <f ca="1"/>
        <v>0</v>
      </c>
      <c r="P6" s="115">
        <f ca="1"/>
        <v>5</v>
      </c>
      <c r="Q6" s="119"/>
      <c r="R6" s="120"/>
      <c r="S6" s="120"/>
      <c r="T6" s="120"/>
      <c r="U6" s="120"/>
      <c r="V6" s="120"/>
      <c r="W6" s="120"/>
      <c r="X6" s="120"/>
      <c r="Y6" s="120"/>
      <c r="Z6" s="120"/>
      <c r="AA6" s="120"/>
      <c r="AB6" s="120"/>
      <c r="AC6" s="120"/>
      <c r="AD6" s="120"/>
      <c r="AE6" s="121"/>
    </row>
    <row r="7" spans="1:31" x14ac:dyDescent="0.25">
      <c r="A7" s="24">
        <v>0</v>
      </c>
      <c r="B7" s="24" t="e">
        <f ca="1">IF(Split=0,IF(OR(Demand!C18&gt;UCL,Demand!C18&lt;LCL),Demand!C18,NA()),IF(Split&gt;=P7,IF(OR(Demand!C18&gt;_UCL1,Demand!C18&lt;_LCL1),Demand!C18,NA()),IF(OR(Demand!C18&gt;_UCL2,Demand!C18&lt;_LCL2),Demand!C18,NA())))</f>
        <v>#N/A</v>
      </c>
      <c r="C7" s="24">
        <f ca="1">IF(Split=0,IF(Demand!C18&gt;Sigma2Plus,2,IF(Demand!C18&lt;Sigma2Minus,-2,IF(Demand!C18&lt;Mean,-1,1))),IF(Split&gt;=P7,IF(Demand!C18&gt;Sigma2Plus1,2,IF(Demand!C18&lt;Sigma2Minus1,-2,IF(Demand!C18&lt;Mean1,-1,1))),IF(Demand!C18&gt;Sigma2Plus2,2,IF(Demand!C18&lt;Sigma2Minus2,-2,IF(Demand!C18&lt;Mean2,-1,1)))))</f>
        <v>1</v>
      </c>
      <c r="D7" s="24" t="e">
        <f ca="1">IF(AND(ABS(SUM(C7:C9))&gt;4,P7&lt;ROWS(DTARange)),Demand!C18,NA())</f>
        <v>#REF!</v>
      </c>
      <c r="E7" s="24">
        <f ca="1">IF(Split=0,IF(Demand!C18&gt;Sigma1Plus,2,IF(Demand!C18&lt;Sigma1Minus,-2,IF(Demand!C18&lt;Mean,-1,1))),IF(Split&gt;=P7,IF(Demand!C18&gt;Sigma1Plus1,2,IF(Demand!C18&lt;Sigma1Minus1,-2,IF(Demand!C18&lt;Mean1,-1,1))),IF(Demand!C18&gt;Sigma1Plus2,2,IF(Demand!C18&lt;Sigma1Minus2,-2,IF(Demand!C18&lt;Mean,-1,1)))))</f>
        <v>1</v>
      </c>
      <c r="F7" s="24" t="e">
        <f ca="1">IF(AND(ABS(SUM(E7:E11))&gt;8,P7&lt;ROWS(DTARange)),Demand!C18,NA())</f>
        <v>#REF!</v>
      </c>
      <c r="G7" s="24">
        <f ca="1">IF(Split=0,IF(Demand!C18&gt;Mean,IF(G6&gt;=0,G6+1,0),IF(Demand!C18&lt;Mean,IF(G6&lt;=0,G6-1,0),0)),IF(Split&gt;=P6,IF(Demand!C18&gt;Mean1,IF(G6&gt;=0,G6+1,0),IF(Demand!C18&lt;Mean1,IF(G6&lt;=0,G6-1,0),0)),IF(Demand!C18&gt;Mean2,IF(G6&gt;=0,G6+1,0),IF(Demand!C18&lt;Mean2,IF(G6&lt;=0,G6-1,0),0))))</f>
        <v>0</v>
      </c>
      <c r="H7" s="24" t="e">
        <f ca="1">IF(AND(ABS(G15)=8,P7&lt;ROWS(DTARange)),Demand!C18,NA())</f>
        <v>#REF!</v>
      </c>
      <c r="I7" s="24">
        <f ca="1"/>
        <v>0</v>
      </c>
      <c r="J7" s="24">
        <f ca="1"/>
        <v>0</v>
      </c>
      <c r="K7" s="24">
        <f ca="1"/>
        <v>0</v>
      </c>
      <c r="L7" s="24">
        <f ca="1"/>
        <v>0</v>
      </c>
      <c r="M7" s="24">
        <f ca="1"/>
        <v>0</v>
      </c>
      <c r="N7" s="24">
        <f ca="1"/>
        <v>0</v>
      </c>
      <c r="O7" s="24">
        <f ca="1"/>
        <v>0</v>
      </c>
      <c r="P7" s="115">
        <f ca="1"/>
        <v>6</v>
      </c>
      <c r="Q7" s="119"/>
      <c r="R7" s="120"/>
      <c r="S7" s="120"/>
      <c r="T7" s="120"/>
      <c r="U7" s="120"/>
      <c r="V7" s="120"/>
      <c r="W7" s="120"/>
      <c r="X7" s="120"/>
      <c r="Y7" s="120"/>
      <c r="Z7" s="120"/>
      <c r="AA7" s="120"/>
      <c r="AB7" s="120"/>
      <c r="AC7" s="120"/>
      <c r="AD7" s="120"/>
      <c r="AE7" s="121"/>
    </row>
    <row r="8" spans="1:31" x14ac:dyDescent="0.25">
      <c r="A8" s="24">
        <v>0</v>
      </c>
      <c r="B8" s="24" t="e">
        <f ca="1">IF(Split=0,IF(OR(Demand!C19&gt;UCL,Demand!C19&lt;LCL),Demand!C19,NA()),IF(Split&gt;=P8,IF(OR(Demand!C19&gt;_UCL1,Demand!C19&lt;_LCL1),Demand!C19,NA()),IF(OR(Demand!C19&gt;_UCL2,Demand!C19&lt;_LCL2),Demand!C19,NA())))</f>
        <v>#N/A</v>
      </c>
      <c r="C8" s="24">
        <f ca="1">IF(Split=0,IF(Demand!C19&gt;Sigma2Plus,2,IF(Demand!C19&lt;Sigma2Minus,-2,IF(Demand!C19&lt;Mean,-1,1))),IF(Split&gt;=P8,IF(Demand!C19&gt;Sigma2Plus1,2,IF(Demand!C19&lt;Sigma2Minus1,-2,IF(Demand!C19&lt;Mean1,-1,1))),IF(Demand!C19&gt;Sigma2Plus2,2,IF(Demand!C19&lt;Sigma2Minus2,-2,IF(Demand!C19&lt;Mean2,-1,1)))))</f>
        <v>1</v>
      </c>
      <c r="D8" s="24" t="e">
        <f ca="1">IF(AND(ABS(SUM(C8:C10))&gt;4,P8&lt;ROWS(DTARange)),Demand!C19,NA())</f>
        <v>#REF!</v>
      </c>
      <c r="E8" s="24">
        <f ca="1">IF(Split=0,IF(Demand!C19&gt;Sigma1Plus,2,IF(Demand!C19&lt;Sigma1Minus,-2,IF(Demand!C19&lt;Mean,-1,1))),IF(Split&gt;=P8,IF(Demand!C19&gt;Sigma1Plus1,2,IF(Demand!C19&lt;Sigma1Minus1,-2,IF(Demand!C19&lt;Mean1,-1,1))),IF(Demand!C19&gt;Sigma1Plus2,2,IF(Demand!C19&lt;Sigma1Minus2,-2,IF(Demand!C19&lt;Mean,-1,1)))))</f>
        <v>1</v>
      </c>
      <c r="F8" s="24" t="e">
        <f ca="1">IF(AND(ABS(SUM(E8:E12))&gt;8,P8&lt;ROWS(DTARange)),Demand!C19,NA())</f>
        <v>#REF!</v>
      </c>
      <c r="G8" s="24">
        <f ca="1">IF(Split=0,IF(Demand!C19&gt;Mean,IF(G7&gt;=0,G7+1,0),IF(Demand!C19&lt;Mean,IF(G7&lt;=0,G7-1,0),0)),IF(Split&gt;=P7,IF(Demand!C19&gt;Mean1,IF(G7&gt;=0,G7+1,0),IF(Demand!C19&lt;Mean1,IF(G7&lt;=0,G7-1,0),0)),IF(Demand!C19&gt;Mean2,IF(G7&gt;=0,G7+1,0),IF(Demand!C19&lt;Mean2,IF(G7&lt;=0,G7-1,0),0))))</f>
        <v>0</v>
      </c>
      <c r="H8" s="24" t="e">
        <f ca="1">IF(AND(ABS(G16)=8,P8&lt;ROWS(DTARange)),Demand!C19,NA())</f>
        <v>#REF!</v>
      </c>
      <c r="I8" s="24">
        <f ca="1"/>
        <v>0</v>
      </c>
      <c r="J8" s="24">
        <f ca="1"/>
        <v>0</v>
      </c>
      <c r="K8" s="24">
        <f ca="1"/>
        <v>0</v>
      </c>
      <c r="L8" s="24">
        <f ca="1"/>
        <v>0</v>
      </c>
      <c r="M8" s="24">
        <f ca="1"/>
        <v>0</v>
      </c>
      <c r="N8" s="24">
        <f ca="1"/>
        <v>0</v>
      </c>
      <c r="O8" s="24">
        <f ca="1"/>
        <v>0</v>
      </c>
      <c r="P8" s="115">
        <f ca="1"/>
        <v>7</v>
      </c>
      <c r="Q8" s="119"/>
      <c r="R8" s="120"/>
      <c r="S8" s="120"/>
      <c r="T8" s="120"/>
      <c r="U8" s="120"/>
      <c r="V8" s="120"/>
      <c r="W8" s="120"/>
      <c r="X8" s="120"/>
      <c r="Y8" s="120"/>
      <c r="Z8" s="120"/>
      <c r="AA8" s="120"/>
      <c r="AB8" s="120"/>
      <c r="AC8" s="120"/>
      <c r="AD8" s="120"/>
      <c r="AE8" s="121"/>
    </row>
    <row r="9" spans="1:31" x14ac:dyDescent="0.25">
      <c r="A9" s="24">
        <v>0</v>
      </c>
      <c r="B9" s="24" t="e">
        <f ca="1">IF(Split=0,IF(OR(Demand!C20&gt;UCL,Demand!C20&lt;LCL),Demand!C20,NA()),IF(Split&gt;=P9,IF(OR(Demand!C20&gt;_UCL1,Demand!C20&lt;_LCL1),Demand!C20,NA()),IF(OR(Demand!C20&gt;_UCL2,Demand!C20&lt;_LCL2),Demand!C20,NA())))</f>
        <v>#N/A</v>
      </c>
      <c r="C9" s="24">
        <f ca="1">IF(Split=0,IF(Demand!C20&gt;Sigma2Plus,2,IF(Demand!C20&lt;Sigma2Minus,-2,IF(Demand!C20&lt;Mean,-1,1))),IF(Split&gt;=P9,IF(Demand!C20&gt;Sigma2Plus1,2,IF(Demand!C20&lt;Sigma2Minus1,-2,IF(Demand!C20&lt;Mean1,-1,1))),IF(Demand!C20&gt;Sigma2Plus2,2,IF(Demand!C20&lt;Sigma2Minus2,-2,IF(Demand!C20&lt;Mean2,-1,1)))))</f>
        <v>1</v>
      </c>
      <c r="D9" s="24" t="e">
        <f ca="1">IF(AND(ABS(SUM(C9:C11))&gt;4,P9&lt;ROWS(DTARange)),Demand!C20,NA())</f>
        <v>#REF!</v>
      </c>
      <c r="E9" s="24">
        <f ca="1">IF(Split=0,IF(Demand!C20&gt;Sigma1Plus,2,IF(Demand!C20&lt;Sigma1Minus,-2,IF(Demand!C20&lt;Mean,-1,1))),IF(Split&gt;=P9,IF(Demand!C20&gt;Sigma1Plus1,2,IF(Demand!C20&lt;Sigma1Minus1,-2,IF(Demand!C20&lt;Mean1,-1,1))),IF(Demand!C20&gt;Sigma1Plus2,2,IF(Demand!C20&lt;Sigma1Minus2,-2,IF(Demand!C20&lt;Mean,-1,1)))))</f>
        <v>1</v>
      </c>
      <c r="F9" s="24" t="e">
        <f ca="1">IF(AND(ABS(SUM(E9:E13))&gt;8,P9&lt;ROWS(DTARange)),Demand!C20,NA())</f>
        <v>#REF!</v>
      </c>
      <c r="G9" s="24">
        <f ca="1">IF(Split=0,IF(Demand!C20&gt;Mean,IF(G8&gt;=0,G8+1,0),IF(Demand!C20&lt;Mean,IF(G8&lt;=0,G8-1,0),0)),IF(Split&gt;=P8,IF(Demand!C20&gt;Mean1,IF(G8&gt;=0,G8+1,0),IF(Demand!C20&lt;Mean1,IF(G8&lt;=0,G8-1,0),0)),IF(Demand!C20&gt;Mean2,IF(G8&gt;=0,G8+1,0),IF(Demand!C20&lt;Mean2,IF(G8&lt;=0,G8-1,0),0))))</f>
        <v>0</v>
      </c>
      <c r="H9" s="24" t="e">
        <f ca="1">IF(AND(ABS(G17)=8,P9&lt;ROWS(DTARange)),Demand!C20,NA())</f>
        <v>#REF!</v>
      </c>
      <c r="I9" s="24">
        <f ca="1"/>
        <v>0</v>
      </c>
      <c r="J9" s="24">
        <f ca="1"/>
        <v>0</v>
      </c>
      <c r="K9" s="24">
        <f ca="1"/>
        <v>0</v>
      </c>
      <c r="L9" s="24">
        <f ca="1"/>
        <v>0</v>
      </c>
      <c r="M9" s="24">
        <f ca="1"/>
        <v>0</v>
      </c>
      <c r="N9" s="24">
        <f ca="1"/>
        <v>0</v>
      </c>
      <c r="O9" s="24">
        <f ca="1"/>
        <v>0</v>
      </c>
      <c r="P9" s="115">
        <f ca="1"/>
        <v>8</v>
      </c>
      <c r="Q9" s="119"/>
      <c r="R9" s="120"/>
      <c r="S9" s="120"/>
      <c r="T9" s="120"/>
      <c r="U9" s="120"/>
      <c r="V9" s="120"/>
      <c r="W9" s="120"/>
      <c r="X9" s="120"/>
      <c r="Y9" s="120"/>
      <c r="Z9" s="120"/>
      <c r="AA9" s="120"/>
      <c r="AB9" s="120"/>
      <c r="AC9" s="120"/>
      <c r="AD9" s="120"/>
      <c r="AE9" s="121"/>
    </row>
    <row r="10" spans="1:31" x14ac:dyDescent="0.25">
      <c r="A10" s="24">
        <v>0</v>
      </c>
      <c r="B10" s="24" t="e">
        <f ca="1">IF(Split=0,IF(OR(Demand!C21&gt;UCL,Demand!C21&lt;LCL),Demand!C21,NA()),IF(Split&gt;=P10,IF(OR(Demand!C21&gt;_UCL1,Demand!C21&lt;_LCL1),Demand!C21,NA()),IF(OR(Demand!C21&gt;_UCL2,Demand!C21&lt;_LCL2),Demand!C21,NA())))</f>
        <v>#N/A</v>
      </c>
      <c r="C10" s="24">
        <f ca="1">IF(Split=0,IF(Demand!C21&gt;Sigma2Plus,2,IF(Demand!C21&lt;Sigma2Minus,-2,IF(Demand!C21&lt;Mean,-1,1))),IF(Split&gt;=P10,IF(Demand!C21&gt;Sigma2Plus1,2,IF(Demand!C21&lt;Sigma2Minus1,-2,IF(Demand!C21&lt;Mean1,-1,1))),IF(Demand!C21&gt;Sigma2Plus2,2,IF(Demand!C21&lt;Sigma2Minus2,-2,IF(Demand!C21&lt;Mean2,-1,1)))))</f>
        <v>1</v>
      </c>
      <c r="D10" s="24" t="e">
        <f ca="1">IF(AND(ABS(SUM(C10:C12))&gt;4,P10&lt;ROWS(DTARange)),Demand!C21,NA())</f>
        <v>#REF!</v>
      </c>
      <c r="E10" s="24">
        <f ca="1">IF(Split=0,IF(Demand!C21&gt;Sigma1Plus,2,IF(Demand!C21&lt;Sigma1Minus,-2,IF(Demand!C21&lt;Mean,-1,1))),IF(Split&gt;=P10,IF(Demand!C21&gt;Sigma1Plus1,2,IF(Demand!C21&lt;Sigma1Minus1,-2,IF(Demand!C21&lt;Mean1,-1,1))),IF(Demand!C21&gt;Sigma1Plus2,2,IF(Demand!C21&lt;Sigma1Minus2,-2,IF(Demand!C21&lt;Mean,-1,1)))))</f>
        <v>1</v>
      </c>
      <c r="F10" s="24" t="e">
        <f ca="1">IF(AND(ABS(SUM(E10:E14))&gt;8,P10&lt;ROWS(DTARange)),Demand!C21,NA())</f>
        <v>#REF!</v>
      </c>
      <c r="G10" s="24">
        <f ca="1">IF(Split=0,IF(Demand!C21&gt;Mean,IF(G9&gt;=0,G9+1,0),IF(Demand!C21&lt;Mean,IF(G9&lt;=0,G9-1,0),0)),IF(Split&gt;=P9,IF(Demand!C21&gt;Mean1,IF(G9&gt;=0,G9+1,0),IF(Demand!C21&lt;Mean1,IF(G9&lt;=0,G9-1,0),0)),IF(Demand!C21&gt;Mean2,IF(G9&gt;=0,G9+1,0),IF(Demand!C21&lt;Mean2,IF(G9&lt;=0,G9-1,0),0))))</f>
        <v>0</v>
      </c>
      <c r="H10" s="24" t="e">
        <f ca="1">IF(AND(ABS(G18)=8,P10&lt;ROWS(DTARange)),Demand!C21,NA())</f>
        <v>#REF!</v>
      </c>
      <c r="I10" s="24">
        <f ca="1"/>
        <v>0</v>
      </c>
      <c r="J10" s="24">
        <f ca="1"/>
        <v>0</v>
      </c>
      <c r="K10" s="24">
        <f ca="1"/>
        <v>0</v>
      </c>
      <c r="L10" s="24">
        <f ca="1"/>
        <v>0</v>
      </c>
      <c r="M10" s="24">
        <f ca="1"/>
        <v>0</v>
      </c>
      <c r="N10" s="24">
        <f ca="1"/>
        <v>0</v>
      </c>
      <c r="O10" s="24">
        <f ca="1"/>
        <v>0</v>
      </c>
      <c r="P10" s="115">
        <f ca="1"/>
        <v>9</v>
      </c>
      <c r="Q10" s="119"/>
      <c r="R10" s="120"/>
      <c r="S10" s="120"/>
      <c r="T10" s="120"/>
      <c r="U10" s="120"/>
      <c r="V10" s="120"/>
      <c r="W10" s="120"/>
      <c r="X10" s="120"/>
      <c r="Y10" s="120"/>
      <c r="Z10" s="120"/>
      <c r="AA10" s="120"/>
      <c r="AB10" s="120"/>
      <c r="AC10" s="120"/>
      <c r="AD10" s="120"/>
      <c r="AE10" s="121"/>
    </row>
    <row r="11" spans="1:31" x14ac:dyDescent="0.25">
      <c r="A11" s="24">
        <v>0</v>
      </c>
      <c r="B11" s="24" t="e">
        <f ca="1">IF(Split=0,IF(OR(Demand!C22&gt;UCL,Demand!C22&lt;LCL),Demand!C22,NA()),IF(Split&gt;=P11,IF(OR(Demand!C22&gt;_UCL1,Demand!C22&lt;_LCL1),Demand!C22,NA()),IF(OR(Demand!C22&gt;_UCL2,Demand!C22&lt;_LCL2),Demand!C22,NA())))</f>
        <v>#N/A</v>
      </c>
      <c r="C11" s="24">
        <f ca="1">IF(Split=0,IF(Demand!C22&gt;Sigma2Plus,2,IF(Demand!C22&lt;Sigma2Minus,-2,IF(Demand!C22&lt;Mean,-1,1))),IF(Split&gt;=P11,IF(Demand!C22&gt;Sigma2Plus1,2,IF(Demand!C22&lt;Sigma2Minus1,-2,IF(Demand!C22&lt;Mean1,-1,1))),IF(Demand!C22&gt;Sigma2Plus2,2,IF(Demand!C22&lt;Sigma2Minus2,-2,IF(Demand!C22&lt;Mean2,-1,1)))))</f>
        <v>1</v>
      </c>
      <c r="D11" s="24" t="e">
        <f ca="1">IF(AND(ABS(SUM(C11:C13))&gt;4,P11&lt;ROWS(DTARange)),Demand!C22,NA())</f>
        <v>#REF!</v>
      </c>
      <c r="E11" s="24">
        <f ca="1">IF(Split=0,IF(Demand!C22&gt;Sigma1Plus,2,IF(Demand!C22&lt;Sigma1Minus,-2,IF(Demand!C22&lt;Mean,-1,1))),IF(Split&gt;=P11,IF(Demand!C22&gt;Sigma1Plus1,2,IF(Demand!C22&lt;Sigma1Minus1,-2,IF(Demand!C22&lt;Mean1,-1,1))),IF(Demand!C22&gt;Sigma1Plus2,2,IF(Demand!C22&lt;Sigma1Minus2,-2,IF(Demand!C22&lt;Mean,-1,1)))))</f>
        <v>1</v>
      </c>
      <c r="F11" s="24" t="e">
        <f ca="1">IF(AND(ABS(SUM(E11:E15))&gt;8,P11&lt;ROWS(DTARange)),Demand!C22,NA())</f>
        <v>#REF!</v>
      </c>
      <c r="G11" s="24">
        <f ca="1">IF(Split=0,IF(Demand!C22&gt;Mean,IF(G10&gt;=0,G10+1,0),IF(Demand!C22&lt;Mean,IF(G10&lt;=0,G10-1,0),0)),IF(Split&gt;=P10,IF(Demand!C22&gt;Mean1,IF(G10&gt;=0,G10+1,0),IF(Demand!C22&lt;Mean1,IF(G10&lt;=0,G10-1,0),0)),IF(Demand!C22&gt;Mean2,IF(G10&gt;=0,G10+1,0),IF(Demand!C22&lt;Mean2,IF(G10&lt;=0,G10-1,0),0))))</f>
        <v>0</v>
      </c>
      <c r="H11" s="24" t="e">
        <f ca="1">IF(AND(ABS(G19)=8,P11&lt;ROWS(DTARange)),Demand!C22,NA())</f>
        <v>#REF!</v>
      </c>
      <c r="I11" s="24">
        <f ca="1"/>
        <v>0</v>
      </c>
      <c r="J11" s="24">
        <f ca="1"/>
        <v>0</v>
      </c>
      <c r="K11" s="24">
        <f ca="1"/>
        <v>0</v>
      </c>
      <c r="L11" s="24">
        <f ca="1"/>
        <v>0</v>
      </c>
      <c r="M11" s="24">
        <f ca="1"/>
        <v>0</v>
      </c>
      <c r="N11" s="24">
        <f ca="1"/>
        <v>0</v>
      </c>
      <c r="O11" s="24">
        <f ca="1"/>
        <v>0</v>
      </c>
      <c r="P11" s="115">
        <f ca="1"/>
        <v>10</v>
      </c>
      <c r="Q11" s="119"/>
      <c r="R11" s="120"/>
      <c r="S11" s="120"/>
      <c r="T11" s="120"/>
      <c r="U11" s="120"/>
      <c r="V11" s="120"/>
      <c r="W11" s="120"/>
      <c r="X11" s="120"/>
      <c r="Y11" s="120"/>
      <c r="Z11" s="120"/>
      <c r="AA11" s="120"/>
      <c r="AB11" s="120"/>
      <c r="AC11" s="120"/>
      <c r="AD11" s="120"/>
      <c r="AE11" s="121"/>
    </row>
    <row r="12" spans="1:31" x14ac:dyDescent="0.25">
      <c r="A12" s="24">
        <v>0</v>
      </c>
      <c r="B12" s="24" t="e">
        <f ca="1">IF(Split=0,IF(OR(Demand!C23&gt;UCL,Demand!C23&lt;LCL),Demand!C23,NA()),IF(Split&gt;=P12,IF(OR(Demand!C23&gt;_UCL1,Demand!C23&lt;_LCL1),Demand!C23,NA()),IF(OR(Demand!C23&gt;_UCL2,Demand!C23&lt;_LCL2),Demand!C23,NA())))</f>
        <v>#N/A</v>
      </c>
      <c r="C12" s="24">
        <f ca="1">IF(Split=0,IF(Demand!C23&gt;Sigma2Plus,2,IF(Demand!C23&lt;Sigma2Minus,-2,IF(Demand!C23&lt;Mean,-1,1))),IF(Split&gt;=P12,IF(Demand!C23&gt;Sigma2Plus1,2,IF(Demand!C23&lt;Sigma2Minus1,-2,IF(Demand!C23&lt;Mean1,-1,1))),IF(Demand!C23&gt;Sigma2Plus2,2,IF(Demand!C23&lt;Sigma2Minus2,-2,IF(Demand!C23&lt;Mean2,-1,1)))))</f>
        <v>1</v>
      </c>
      <c r="D12" s="24" t="e">
        <f ca="1">IF(AND(ABS(SUM(C12:C14))&gt;4,P12&lt;ROWS(DTARange)),Demand!C23,NA())</f>
        <v>#REF!</v>
      </c>
      <c r="E12" s="24">
        <f ca="1">IF(Split=0,IF(Demand!C23&gt;Sigma1Plus,2,IF(Demand!C23&lt;Sigma1Minus,-2,IF(Demand!C23&lt;Mean,-1,1))),IF(Split&gt;=P12,IF(Demand!C23&gt;Sigma1Plus1,2,IF(Demand!C23&lt;Sigma1Minus1,-2,IF(Demand!C23&lt;Mean1,-1,1))),IF(Demand!C23&gt;Sigma1Plus2,2,IF(Demand!C23&lt;Sigma1Minus2,-2,IF(Demand!C23&lt;Mean,-1,1)))))</f>
        <v>1</v>
      </c>
      <c r="F12" s="24" t="e">
        <f ca="1">IF(AND(ABS(SUM(E12:E16))&gt;8,P12&lt;ROWS(DTARange)),Demand!C23,NA())</f>
        <v>#REF!</v>
      </c>
      <c r="G12" s="24">
        <f ca="1">IF(Split=0,IF(Demand!C23&gt;Mean,IF(G11&gt;=0,G11+1,0),IF(Demand!C23&lt;Mean,IF(G11&lt;=0,G11-1,0),0)),IF(Split&gt;=P11,IF(Demand!C23&gt;Mean1,IF(G11&gt;=0,G11+1,0),IF(Demand!C23&lt;Mean1,IF(G11&lt;=0,G11-1,0),0)),IF(Demand!C23&gt;Mean2,IF(G11&gt;=0,G11+1,0),IF(Demand!C23&lt;Mean2,IF(G11&lt;=0,G11-1,0),0))))</f>
        <v>0</v>
      </c>
      <c r="H12" s="24" t="e">
        <f ca="1">IF(AND(ABS(G20)=8,P12&lt;ROWS(DTARange)),Demand!C23,NA())</f>
        <v>#REF!</v>
      </c>
      <c r="I12" s="24">
        <f ca="1"/>
        <v>0</v>
      </c>
      <c r="J12" s="24">
        <f ca="1"/>
        <v>0</v>
      </c>
      <c r="K12" s="24">
        <f ca="1"/>
        <v>0</v>
      </c>
      <c r="L12" s="24">
        <f ca="1"/>
        <v>0</v>
      </c>
      <c r="M12" s="24">
        <f ca="1"/>
        <v>0</v>
      </c>
      <c r="N12" s="24">
        <f ca="1"/>
        <v>0</v>
      </c>
      <c r="O12" s="24">
        <f ca="1"/>
        <v>0</v>
      </c>
      <c r="P12" s="115">
        <f ca="1"/>
        <v>11</v>
      </c>
      <c r="Q12" s="119"/>
      <c r="R12" s="120"/>
      <c r="S12" s="120"/>
      <c r="T12" s="120"/>
      <c r="U12" s="120"/>
      <c r="V12" s="120"/>
      <c r="W12" s="120"/>
      <c r="X12" s="120"/>
      <c r="Y12" s="120"/>
      <c r="Z12" s="120"/>
      <c r="AA12" s="120"/>
      <c r="AB12" s="120"/>
      <c r="AC12" s="120"/>
      <c r="AD12" s="120"/>
      <c r="AE12" s="121"/>
    </row>
    <row r="13" spans="1:31" x14ac:dyDescent="0.25">
      <c r="A13" s="24">
        <v>0</v>
      </c>
      <c r="B13" s="24" t="e">
        <f ca="1">IF(Split=0,IF(OR(Demand!C24&gt;UCL,Demand!C24&lt;LCL),Demand!C24,NA()),IF(Split&gt;=P13,IF(OR(Demand!C24&gt;_UCL1,Demand!C24&lt;_LCL1),Demand!C24,NA()),IF(OR(Demand!C24&gt;_UCL2,Demand!C24&lt;_LCL2),Demand!C24,NA())))</f>
        <v>#N/A</v>
      </c>
      <c r="C13" s="24">
        <f ca="1">IF(Split=0,IF(Demand!C24&gt;Sigma2Plus,2,IF(Demand!C24&lt;Sigma2Minus,-2,IF(Demand!C24&lt;Mean,-1,1))),IF(Split&gt;=P13,IF(Demand!C24&gt;Sigma2Plus1,2,IF(Demand!C24&lt;Sigma2Minus1,-2,IF(Demand!C24&lt;Mean1,-1,1))),IF(Demand!C24&gt;Sigma2Plus2,2,IF(Demand!C24&lt;Sigma2Minus2,-2,IF(Demand!C24&lt;Mean2,-1,1)))))</f>
        <v>1</v>
      </c>
      <c r="D13" s="24" t="e">
        <f ca="1">IF(AND(ABS(SUM(C13:C15))&gt;4,P13&lt;ROWS(DTARange)),Demand!C24,NA())</f>
        <v>#REF!</v>
      </c>
      <c r="E13" s="24">
        <f ca="1">IF(Split=0,IF(Demand!C24&gt;Sigma1Plus,2,IF(Demand!C24&lt;Sigma1Minus,-2,IF(Demand!C24&lt;Mean,-1,1))),IF(Split&gt;=P13,IF(Demand!C24&gt;Sigma1Plus1,2,IF(Demand!C24&lt;Sigma1Minus1,-2,IF(Demand!C24&lt;Mean1,-1,1))),IF(Demand!C24&gt;Sigma1Plus2,2,IF(Demand!C24&lt;Sigma1Minus2,-2,IF(Demand!C24&lt;Mean,-1,1)))))</f>
        <v>1</v>
      </c>
      <c r="F13" s="24" t="e">
        <f ca="1">IF(AND(ABS(SUM(E13:E17))&gt;8,P13&lt;ROWS(DTARange)),Demand!C24,NA())</f>
        <v>#REF!</v>
      </c>
      <c r="G13" s="24">
        <f ca="1">IF(Split=0,IF(Demand!C24&gt;Mean,IF(G12&gt;=0,G12+1,0),IF(Demand!C24&lt;Mean,IF(G12&lt;=0,G12-1,0),0)),IF(Split&gt;=P12,IF(Demand!C24&gt;Mean1,IF(G12&gt;=0,G12+1,0),IF(Demand!C24&lt;Mean1,IF(G12&lt;=0,G12-1,0),0)),IF(Demand!C24&gt;Mean2,IF(G12&gt;=0,G12+1,0),IF(Demand!C24&lt;Mean2,IF(G12&lt;=0,G12-1,0),0))))</f>
        <v>0</v>
      </c>
      <c r="H13" s="24" t="e">
        <f ca="1">IF(AND(ABS(G21)=8,P13&lt;ROWS(DTARange)),Demand!C24,NA())</f>
        <v>#REF!</v>
      </c>
      <c r="I13" s="24">
        <f ca="1"/>
        <v>0</v>
      </c>
      <c r="J13" s="24">
        <f ca="1"/>
        <v>0</v>
      </c>
      <c r="K13" s="24">
        <f ca="1"/>
        <v>0</v>
      </c>
      <c r="L13" s="24">
        <f ca="1"/>
        <v>0</v>
      </c>
      <c r="M13" s="24">
        <f ca="1"/>
        <v>0</v>
      </c>
      <c r="N13" s="24">
        <f ca="1"/>
        <v>0</v>
      </c>
      <c r="O13" s="24">
        <f ca="1"/>
        <v>0</v>
      </c>
      <c r="P13" s="115">
        <f ca="1"/>
        <v>12</v>
      </c>
      <c r="Q13" s="119"/>
      <c r="R13" s="120"/>
      <c r="S13" s="120"/>
      <c r="T13" s="120"/>
      <c r="U13" s="120"/>
      <c r="V13" s="120"/>
      <c r="W13" s="120"/>
      <c r="X13" s="120"/>
      <c r="Y13" s="120"/>
      <c r="Z13" s="120"/>
      <c r="AA13" s="120"/>
      <c r="AB13" s="120"/>
      <c r="AC13" s="120"/>
      <c r="AD13" s="120"/>
      <c r="AE13" s="121"/>
    </row>
    <row r="14" spans="1:31" x14ac:dyDescent="0.25">
      <c r="A14" s="24">
        <v>0</v>
      </c>
      <c r="B14" s="24" t="e">
        <f ca="1">IF(Split=0,IF(OR(Demand!C25&gt;UCL,Demand!C25&lt;LCL),Demand!C25,NA()),IF(Split&gt;=P14,IF(OR(Demand!C25&gt;_UCL1,Demand!C25&lt;_LCL1),Demand!C25,NA()),IF(OR(Demand!C25&gt;_UCL2,Demand!C25&lt;_LCL2),Demand!C25,NA())))</f>
        <v>#N/A</v>
      </c>
      <c r="C14" s="24">
        <f ca="1">IF(Split=0,IF(Demand!C25&gt;Sigma2Plus,2,IF(Demand!C25&lt;Sigma2Minus,-2,IF(Demand!C25&lt;Mean,-1,1))),IF(Split&gt;=P14,IF(Demand!C25&gt;Sigma2Plus1,2,IF(Demand!C25&lt;Sigma2Minus1,-2,IF(Demand!C25&lt;Mean1,-1,1))),IF(Demand!C25&gt;Sigma2Plus2,2,IF(Demand!C25&lt;Sigma2Minus2,-2,IF(Demand!C25&lt;Mean2,-1,1)))))</f>
        <v>1</v>
      </c>
      <c r="D14" s="24" t="e">
        <f ca="1">IF(AND(ABS(SUM(C14:C16))&gt;4,P14&lt;ROWS(DTARange)),Demand!C25,NA())</f>
        <v>#REF!</v>
      </c>
      <c r="E14" s="24">
        <f ca="1">IF(Split=0,IF(Demand!C25&gt;Sigma1Plus,2,IF(Demand!C25&lt;Sigma1Minus,-2,IF(Demand!C25&lt;Mean,-1,1))),IF(Split&gt;=P14,IF(Demand!C25&gt;Sigma1Plus1,2,IF(Demand!C25&lt;Sigma1Minus1,-2,IF(Demand!C25&lt;Mean1,-1,1))),IF(Demand!C25&gt;Sigma1Plus2,2,IF(Demand!C25&lt;Sigma1Minus2,-2,IF(Demand!C25&lt;Mean,-1,1)))))</f>
        <v>1</v>
      </c>
      <c r="F14" s="24" t="e">
        <f ca="1">IF(AND(ABS(SUM(E14:E18))&gt;8,P14&lt;ROWS(DTARange)),Demand!C25,NA())</f>
        <v>#REF!</v>
      </c>
      <c r="G14" s="24">
        <f ca="1">IF(Split=0,IF(Demand!C25&gt;Mean,IF(G13&gt;=0,G13+1,0),IF(Demand!C25&lt;Mean,IF(G13&lt;=0,G13-1,0),0)),IF(Split&gt;=P13,IF(Demand!C25&gt;Mean1,IF(G13&gt;=0,G13+1,0),IF(Demand!C25&lt;Mean1,IF(G13&lt;=0,G13-1,0),0)),IF(Demand!C25&gt;Mean2,IF(G13&gt;=0,G13+1,0),IF(Demand!C25&lt;Mean2,IF(G13&lt;=0,G13-1,0),0))))</f>
        <v>0</v>
      </c>
      <c r="H14" s="24" t="e">
        <f ca="1">IF(AND(ABS(G22)=8,P14&lt;ROWS(DTARange)),Demand!C25,NA())</f>
        <v>#REF!</v>
      </c>
      <c r="I14" s="24">
        <f ca="1"/>
        <v>0</v>
      </c>
      <c r="J14" s="24">
        <f ca="1"/>
        <v>0</v>
      </c>
      <c r="K14" s="24">
        <f ca="1"/>
        <v>0</v>
      </c>
      <c r="L14" s="24">
        <f ca="1"/>
        <v>0</v>
      </c>
      <c r="M14" s="24">
        <f ca="1"/>
        <v>0</v>
      </c>
      <c r="N14" s="24">
        <f ca="1"/>
        <v>0</v>
      </c>
      <c r="O14" s="24">
        <f ca="1"/>
        <v>0</v>
      </c>
      <c r="P14" s="115">
        <f ca="1"/>
        <v>13</v>
      </c>
      <c r="Q14" s="119"/>
      <c r="R14" s="120"/>
      <c r="S14" s="120"/>
      <c r="T14" s="120"/>
      <c r="U14" s="120"/>
      <c r="V14" s="120"/>
      <c r="W14" s="120"/>
      <c r="X14" s="120"/>
      <c r="Y14" s="120"/>
      <c r="Z14" s="120"/>
      <c r="AA14" s="120"/>
      <c r="AB14" s="120"/>
      <c r="AC14" s="120"/>
      <c r="AD14" s="120"/>
      <c r="AE14" s="121"/>
    </row>
    <row r="15" spans="1:31" x14ac:dyDescent="0.25">
      <c r="A15" s="24">
        <v>0</v>
      </c>
      <c r="B15" s="24" t="e">
        <f ca="1">IF(Split=0,IF(OR(Demand!C26&gt;UCL,Demand!C26&lt;LCL),Demand!C26,NA()),IF(Split&gt;=P15,IF(OR(Demand!C26&gt;_UCL1,Demand!C26&lt;_LCL1),Demand!C26,NA()),IF(OR(Demand!C26&gt;_UCL2,Demand!C26&lt;_LCL2),Demand!C26,NA())))</f>
        <v>#N/A</v>
      </c>
      <c r="C15" s="24">
        <f ca="1">IF(Split=0,IF(Demand!C26&gt;Sigma2Plus,2,IF(Demand!C26&lt;Sigma2Minus,-2,IF(Demand!C26&lt;Mean,-1,1))),IF(Split&gt;=P15,IF(Demand!C26&gt;Sigma2Plus1,2,IF(Demand!C26&lt;Sigma2Minus1,-2,IF(Demand!C26&lt;Mean1,-1,1))),IF(Demand!C26&gt;Sigma2Plus2,2,IF(Demand!C26&lt;Sigma2Minus2,-2,IF(Demand!C26&lt;Mean2,-1,1)))))</f>
        <v>1</v>
      </c>
      <c r="D15" s="24" t="e">
        <f ca="1">IF(AND(ABS(SUM(C15:C17))&gt;4,P15&lt;ROWS(DTARange)),Demand!C26,NA())</f>
        <v>#REF!</v>
      </c>
      <c r="E15" s="24">
        <f ca="1">IF(Split=0,IF(Demand!C26&gt;Sigma1Plus,2,IF(Demand!C26&lt;Sigma1Minus,-2,IF(Demand!C26&lt;Mean,-1,1))),IF(Split&gt;=P15,IF(Demand!C26&gt;Sigma1Plus1,2,IF(Demand!C26&lt;Sigma1Minus1,-2,IF(Demand!C26&lt;Mean1,-1,1))),IF(Demand!C26&gt;Sigma1Plus2,2,IF(Demand!C26&lt;Sigma1Minus2,-2,IF(Demand!C26&lt;Mean,-1,1)))))</f>
        <v>1</v>
      </c>
      <c r="F15" s="24" t="e">
        <f ca="1">IF(AND(ABS(SUM(E15:E19))&gt;8,P15&lt;ROWS(DTARange)),Demand!C26,NA())</f>
        <v>#REF!</v>
      </c>
      <c r="G15" s="24">
        <f ca="1">IF(Split=0,IF(Demand!C26&gt;Mean,IF(G14&gt;=0,G14+1,0),IF(Demand!C26&lt;Mean,IF(G14&lt;=0,G14-1,0),0)),IF(Split&gt;=P14,IF(Demand!C26&gt;Mean1,IF(G14&gt;=0,G14+1,0),IF(Demand!C26&lt;Mean1,IF(G14&lt;=0,G14-1,0),0)),IF(Demand!C26&gt;Mean2,IF(G14&gt;=0,G14+1,0),IF(Demand!C26&lt;Mean2,IF(G14&lt;=0,G14-1,0),0))))</f>
        <v>0</v>
      </c>
      <c r="H15" s="24" t="e">
        <f ca="1">IF(AND(ABS(G23)=8,P15&lt;ROWS(DTARange)),Demand!C26,NA())</f>
        <v>#REF!</v>
      </c>
      <c r="I15" s="24">
        <f ca="1"/>
        <v>0</v>
      </c>
      <c r="J15" s="24">
        <f ca="1"/>
        <v>0</v>
      </c>
      <c r="K15" s="24">
        <f ca="1"/>
        <v>0</v>
      </c>
      <c r="L15" s="24">
        <f ca="1"/>
        <v>0</v>
      </c>
      <c r="M15" s="24">
        <f ca="1"/>
        <v>0</v>
      </c>
      <c r="N15" s="24">
        <f ca="1"/>
        <v>0</v>
      </c>
      <c r="O15" s="24">
        <f ca="1"/>
        <v>0</v>
      </c>
      <c r="P15" s="115">
        <f ca="1"/>
        <v>14</v>
      </c>
      <c r="Q15" s="119"/>
      <c r="R15" s="120"/>
      <c r="S15" s="120"/>
      <c r="T15" s="120"/>
      <c r="U15" s="120"/>
      <c r="V15" s="120"/>
      <c r="W15" s="120"/>
      <c r="X15" s="120"/>
      <c r="Y15" s="120"/>
      <c r="Z15" s="120"/>
      <c r="AA15" s="120"/>
      <c r="AB15" s="120"/>
      <c r="AC15" s="120"/>
      <c r="AD15" s="120"/>
      <c r="AE15" s="121"/>
    </row>
    <row r="16" spans="1:31" x14ac:dyDescent="0.25">
      <c r="A16" s="24">
        <v>0</v>
      </c>
      <c r="B16" s="24" t="e">
        <f ca="1">IF(Split=0,IF(OR(Demand!C27&gt;UCL,Demand!C27&lt;LCL),Demand!C27,NA()),IF(Split&gt;=P16,IF(OR(Demand!C27&gt;_UCL1,Demand!C27&lt;_LCL1),Demand!C27,NA()),IF(OR(Demand!C27&gt;_UCL2,Demand!C27&lt;_LCL2),Demand!C27,NA())))</f>
        <v>#N/A</v>
      </c>
      <c r="C16" s="24">
        <f ca="1">IF(Split=0,IF(Demand!C27&gt;Sigma2Plus,2,IF(Demand!C27&lt;Sigma2Minus,-2,IF(Demand!C27&lt;Mean,-1,1))),IF(Split&gt;=P16,IF(Demand!C27&gt;Sigma2Plus1,2,IF(Demand!C27&lt;Sigma2Minus1,-2,IF(Demand!C27&lt;Mean1,-1,1))),IF(Demand!C27&gt;Sigma2Plus2,2,IF(Demand!C27&lt;Sigma2Minus2,-2,IF(Demand!C27&lt;Mean2,-1,1)))))</f>
        <v>1</v>
      </c>
      <c r="D16" s="24" t="e">
        <f ca="1">IF(AND(ABS(SUM(C16:C18))&gt;4,P16&lt;ROWS(DTARange)),Demand!C27,NA())</f>
        <v>#REF!</v>
      </c>
      <c r="E16" s="24">
        <f ca="1">IF(Split=0,IF(Demand!C27&gt;Sigma1Plus,2,IF(Demand!C27&lt;Sigma1Minus,-2,IF(Demand!C27&lt;Mean,-1,1))),IF(Split&gt;=P16,IF(Demand!C27&gt;Sigma1Plus1,2,IF(Demand!C27&lt;Sigma1Minus1,-2,IF(Demand!C27&lt;Mean1,-1,1))),IF(Demand!C27&gt;Sigma1Plus2,2,IF(Demand!C27&lt;Sigma1Minus2,-2,IF(Demand!C27&lt;Mean,-1,1)))))</f>
        <v>1</v>
      </c>
      <c r="F16" s="24" t="e">
        <f ca="1">IF(AND(ABS(SUM(E16:E20))&gt;8,P16&lt;ROWS(DTARange)),Demand!C27,NA())</f>
        <v>#REF!</v>
      </c>
      <c r="G16" s="24">
        <f ca="1">IF(Split=0,IF(Demand!C27&gt;Mean,IF(G15&gt;=0,G15+1,0),IF(Demand!C27&lt;Mean,IF(G15&lt;=0,G15-1,0),0)),IF(Split&gt;=P15,IF(Demand!C27&gt;Mean1,IF(G15&gt;=0,G15+1,0),IF(Demand!C27&lt;Mean1,IF(G15&lt;=0,G15-1,0),0)),IF(Demand!C27&gt;Mean2,IF(G15&gt;=0,G15+1,0),IF(Demand!C27&lt;Mean2,IF(G15&lt;=0,G15-1,0),0))))</f>
        <v>0</v>
      </c>
      <c r="H16" s="24" t="e">
        <f ca="1">IF(AND(ABS(G24)=8,P16&lt;ROWS(DTARange)),Demand!C27,NA())</f>
        <v>#REF!</v>
      </c>
      <c r="I16" s="24">
        <f ca="1"/>
        <v>0</v>
      </c>
      <c r="J16" s="24">
        <f ca="1"/>
        <v>0</v>
      </c>
      <c r="K16" s="24">
        <f ca="1"/>
        <v>0</v>
      </c>
      <c r="L16" s="24">
        <f ca="1"/>
        <v>0</v>
      </c>
      <c r="M16" s="24">
        <f ca="1"/>
        <v>0</v>
      </c>
      <c r="N16" s="24">
        <f ca="1"/>
        <v>0</v>
      </c>
      <c r="O16" s="24">
        <f ca="1"/>
        <v>0</v>
      </c>
      <c r="P16" s="115">
        <f ca="1"/>
        <v>15</v>
      </c>
      <c r="Q16" s="119"/>
      <c r="R16" s="120"/>
      <c r="S16" s="120"/>
      <c r="T16" s="120"/>
      <c r="U16" s="120"/>
      <c r="V16" s="120"/>
      <c r="W16" s="120"/>
      <c r="X16" s="120"/>
      <c r="Y16" s="120"/>
      <c r="Z16" s="120"/>
      <c r="AA16" s="120"/>
      <c r="AB16" s="120"/>
      <c r="AC16" s="120"/>
      <c r="AD16" s="120"/>
      <c r="AE16" s="121"/>
    </row>
    <row r="17" spans="1:31" x14ac:dyDescent="0.25">
      <c r="A17" s="24">
        <v>0</v>
      </c>
      <c r="B17" s="24" t="e">
        <f ca="1">IF(Split=0,IF(OR(Demand!C28&gt;UCL,Demand!C28&lt;LCL),Demand!C28,NA()),IF(Split&gt;=P17,IF(OR(Demand!C28&gt;_UCL1,Demand!C28&lt;_LCL1),Demand!C28,NA()),IF(OR(Demand!C28&gt;_UCL2,Demand!C28&lt;_LCL2),Demand!C28,NA())))</f>
        <v>#N/A</v>
      </c>
      <c r="C17" s="24">
        <f ca="1">IF(Split=0,IF(Demand!C28&gt;Sigma2Plus,2,IF(Demand!C28&lt;Sigma2Minus,-2,IF(Demand!C28&lt;Mean,-1,1))),IF(Split&gt;=P17,IF(Demand!C28&gt;Sigma2Plus1,2,IF(Demand!C28&lt;Sigma2Minus1,-2,IF(Demand!C28&lt;Mean1,-1,1))),IF(Demand!C28&gt;Sigma2Plus2,2,IF(Demand!C28&lt;Sigma2Minus2,-2,IF(Demand!C28&lt;Mean2,-1,1)))))</f>
        <v>1</v>
      </c>
      <c r="D17" s="24" t="e">
        <f ca="1">IF(AND(ABS(SUM(C17:C19))&gt;4,P17&lt;ROWS(DTARange)),Demand!C28,NA())</f>
        <v>#REF!</v>
      </c>
      <c r="E17" s="24">
        <f ca="1">IF(Split=0,IF(Demand!C28&gt;Sigma1Plus,2,IF(Demand!C28&lt;Sigma1Minus,-2,IF(Demand!C28&lt;Mean,-1,1))),IF(Split&gt;=P17,IF(Demand!C28&gt;Sigma1Plus1,2,IF(Demand!C28&lt;Sigma1Minus1,-2,IF(Demand!C28&lt;Mean1,-1,1))),IF(Demand!C28&gt;Sigma1Plus2,2,IF(Demand!C28&lt;Sigma1Minus2,-2,IF(Demand!C28&lt;Mean,-1,1)))))</f>
        <v>1</v>
      </c>
      <c r="F17" s="24" t="e">
        <f ca="1">IF(AND(ABS(SUM(E17:E21))&gt;8,P17&lt;ROWS(DTARange)),Demand!C28,NA())</f>
        <v>#REF!</v>
      </c>
      <c r="G17" s="24">
        <f ca="1">IF(Split=0,IF(Demand!C28&gt;Mean,IF(G16&gt;=0,G16+1,0),IF(Demand!C28&lt;Mean,IF(G16&lt;=0,G16-1,0),0)),IF(Split&gt;=P16,IF(Demand!C28&gt;Mean1,IF(G16&gt;=0,G16+1,0),IF(Demand!C28&lt;Mean1,IF(G16&lt;=0,G16-1,0),0)),IF(Demand!C28&gt;Mean2,IF(G16&gt;=0,G16+1,0),IF(Demand!C28&lt;Mean2,IF(G16&lt;=0,G16-1,0),0))))</f>
        <v>0</v>
      </c>
      <c r="H17" s="24" t="e">
        <f ca="1">IF(AND(ABS(G25)=8,P17&lt;ROWS(DTARange)),Demand!C28,NA())</f>
        <v>#REF!</v>
      </c>
      <c r="I17" s="24">
        <f ca="1"/>
        <v>0</v>
      </c>
      <c r="J17" s="24">
        <f ca="1"/>
        <v>0</v>
      </c>
      <c r="K17" s="24">
        <f ca="1"/>
        <v>0</v>
      </c>
      <c r="L17" s="24">
        <f ca="1"/>
        <v>0</v>
      </c>
      <c r="M17" s="24">
        <f ca="1"/>
        <v>0</v>
      </c>
      <c r="N17" s="24">
        <f ca="1"/>
        <v>0</v>
      </c>
      <c r="O17" s="24">
        <f ca="1"/>
        <v>0</v>
      </c>
      <c r="P17" s="115">
        <f ca="1"/>
        <v>16</v>
      </c>
      <c r="Q17" s="119"/>
      <c r="R17" s="120"/>
      <c r="S17" s="120"/>
      <c r="T17" s="120"/>
      <c r="U17" s="120"/>
      <c r="V17" s="120"/>
      <c r="W17" s="120"/>
      <c r="X17" s="120"/>
      <c r="Y17" s="120"/>
      <c r="Z17" s="120"/>
      <c r="AA17" s="120"/>
      <c r="AB17" s="120"/>
      <c r="AC17" s="120"/>
      <c r="AD17" s="120"/>
      <c r="AE17" s="121"/>
    </row>
    <row r="18" spans="1:31" x14ac:dyDescent="0.25">
      <c r="A18" s="24">
        <v>0</v>
      </c>
      <c r="B18" s="24" t="e">
        <f ca="1">IF(Split=0,IF(OR(Demand!C29&gt;UCL,Demand!C29&lt;LCL),Demand!C29,NA()),IF(Split&gt;=P18,IF(OR(Demand!C29&gt;_UCL1,Demand!C29&lt;_LCL1),Demand!C29,NA()),IF(OR(Demand!C29&gt;_UCL2,Demand!C29&lt;_LCL2),Demand!C29,NA())))</f>
        <v>#N/A</v>
      </c>
      <c r="C18" s="24">
        <f ca="1">IF(Split=0,IF(Demand!C29&gt;Sigma2Plus,2,IF(Demand!C29&lt;Sigma2Minus,-2,IF(Demand!C29&lt;Mean,-1,1))),IF(Split&gt;=P18,IF(Demand!C29&gt;Sigma2Plus1,2,IF(Demand!C29&lt;Sigma2Minus1,-2,IF(Demand!C29&lt;Mean1,-1,1))),IF(Demand!C29&gt;Sigma2Plus2,2,IF(Demand!C29&lt;Sigma2Minus2,-2,IF(Demand!C29&lt;Mean2,-1,1)))))</f>
        <v>1</v>
      </c>
      <c r="D18" s="24" t="e">
        <f ca="1">IF(AND(ABS(SUM(C18:C20))&gt;4,P18&lt;ROWS(DTARange)),Demand!C29,NA())</f>
        <v>#REF!</v>
      </c>
      <c r="E18" s="24">
        <f ca="1">IF(Split=0,IF(Demand!C29&gt;Sigma1Plus,2,IF(Demand!C29&lt;Sigma1Minus,-2,IF(Demand!C29&lt;Mean,-1,1))),IF(Split&gt;=P18,IF(Demand!C29&gt;Sigma1Plus1,2,IF(Demand!C29&lt;Sigma1Minus1,-2,IF(Demand!C29&lt;Mean1,-1,1))),IF(Demand!C29&gt;Sigma1Plus2,2,IF(Demand!C29&lt;Sigma1Minus2,-2,IF(Demand!C29&lt;Mean,-1,1)))))</f>
        <v>1</v>
      </c>
      <c r="F18" s="24" t="e">
        <f ca="1">IF(AND(ABS(SUM(E18:E22))&gt;8,P18&lt;ROWS(DTARange)),Demand!C29,NA())</f>
        <v>#REF!</v>
      </c>
      <c r="G18" s="24">
        <f ca="1">IF(Split=0,IF(Demand!C29&gt;Mean,IF(G17&gt;=0,G17+1,0),IF(Demand!C29&lt;Mean,IF(G17&lt;=0,G17-1,0),0)),IF(Split&gt;=P17,IF(Demand!C29&gt;Mean1,IF(G17&gt;=0,G17+1,0),IF(Demand!C29&lt;Mean1,IF(G17&lt;=0,G17-1,0),0)),IF(Demand!C29&gt;Mean2,IF(G17&gt;=0,G17+1,0),IF(Demand!C29&lt;Mean2,IF(G17&lt;=0,G17-1,0),0))))</f>
        <v>0</v>
      </c>
      <c r="H18" s="24" t="e">
        <f ca="1">IF(AND(ABS(G26)=8,P18&lt;ROWS(DTARange)),Demand!C29,NA())</f>
        <v>#REF!</v>
      </c>
      <c r="I18" s="24">
        <f ca="1"/>
        <v>0</v>
      </c>
      <c r="J18" s="24">
        <f ca="1"/>
        <v>0</v>
      </c>
      <c r="K18" s="24">
        <f ca="1"/>
        <v>0</v>
      </c>
      <c r="L18" s="24">
        <f ca="1"/>
        <v>0</v>
      </c>
      <c r="M18" s="24">
        <f ca="1"/>
        <v>0</v>
      </c>
      <c r="N18" s="24">
        <f ca="1"/>
        <v>0</v>
      </c>
      <c r="O18" s="24">
        <f ca="1"/>
        <v>0</v>
      </c>
      <c r="P18" s="115">
        <f ca="1"/>
        <v>17</v>
      </c>
      <c r="Q18" s="119"/>
      <c r="R18" s="120"/>
      <c r="S18" s="120"/>
      <c r="T18" s="120"/>
      <c r="U18" s="120"/>
      <c r="V18" s="120"/>
      <c r="W18" s="120"/>
      <c r="X18" s="120"/>
      <c r="Y18" s="120"/>
      <c r="Z18" s="120"/>
      <c r="AA18" s="120"/>
      <c r="AB18" s="120"/>
      <c r="AC18" s="120"/>
      <c r="AD18" s="120"/>
      <c r="AE18" s="121"/>
    </row>
    <row r="19" spans="1:31" x14ac:dyDescent="0.25">
      <c r="A19" s="24">
        <v>0</v>
      </c>
      <c r="B19" s="24" t="e">
        <f ca="1">IF(Split=0,IF(OR(Demand!C30&gt;UCL,Demand!C30&lt;LCL),Demand!C30,NA()),IF(Split&gt;=P19,IF(OR(Demand!C30&gt;_UCL1,Demand!C30&lt;_LCL1),Demand!C30,NA()),IF(OR(Demand!C30&gt;_UCL2,Demand!C30&lt;_LCL2),Demand!C30,NA())))</f>
        <v>#N/A</v>
      </c>
      <c r="C19" s="24">
        <f ca="1">IF(Split=0,IF(Demand!C30&gt;Sigma2Plus,2,IF(Demand!C30&lt;Sigma2Minus,-2,IF(Demand!C30&lt;Mean,-1,1))),IF(Split&gt;=P19,IF(Demand!C30&gt;Sigma2Plus1,2,IF(Demand!C30&lt;Sigma2Minus1,-2,IF(Demand!C30&lt;Mean1,-1,1))),IF(Demand!C30&gt;Sigma2Plus2,2,IF(Demand!C30&lt;Sigma2Minus2,-2,IF(Demand!C30&lt;Mean2,-1,1)))))</f>
        <v>1</v>
      </c>
      <c r="D19" s="24" t="e">
        <f ca="1">IF(AND(ABS(SUM(C19:C21))&gt;4,P19&lt;ROWS(DTARange)),Demand!C30,NA())</f>
        <v>#REF!</v>
      </c>
      <c r="E19" s="24">
        <f ca="1">IF(Split=0,IF(Demand!C30&gt;Sigma1Plus,2,IF(Demand!C30&lt;Sigma1Minus,-2,IF(Demand!C30&lt;Mean,-1,1))),IF(Split&gt;=P19,IF(Demand!C30&gt;Sigma1Plus1,2,IF(Demand!C30&lt;Sigma1Minus1,-2,IF(Demand!C30&lt;Mean1,-1,1))),IF(Demand!C30&gt;Sigma1Plus2,2,IF(Demand!C30&lt;Sigma1Minus2,-2,IF(Demand!C30&lt;Mean,-1,1)))))</f>
        <v>1</v>
      </c>
      <c r="F19" s="24" t="e">
        <f ca="1">IF(AND(ABS(SUM(E19:E23))&gt;8,P19&lt;ROWS(DTARange)),Demand!C30,NA())</f>
        <v>#REF!</v>
      </c>
      <c r="G19" s="24">
        <f ca="1">IF(Split=0,IF(Demand!C30&gt;Mean,IF(G18&gt;=0,G18+1,0),IF(Demand!C30&lt;Mean,IF(G18&lt;=0,G18-1,0),0)),IF(Split&gt;=P18,IF(Demand!C30&gt;Mean1,IF(G18&gt;=0,G18+1,0),IF(Demand!C30&lt;Mean1,IF(G18&lt;=0,G18-1,0),0)),IF(Demand!C30&gt;Mean2,IF(G18&gt;=0,G18+1,0),IF(Demand!C30&lt;Mean2,IF(G18&lt;=0,G18-1,0),0))))</f>
        <v>0</v>
      </c>
      <c r="H19" s="24" t="e">
        <f ca="1">IF(AND(ABS(G27)=8,P19&lt;ROWS(DTARange)),Demand!C30,NA())</f>
        <v>#REF!</v>
      </c>
      <c r="I19" s="24">
        <f ca="1"/>
        <v>0</v>
      </c>
      <c r="J19" s="24">
        <f ca="1"/>
        <v>0</v>
      </c>
      <c r="K19" s="24">
        <f ca="1"/>
        <v>0</v>
      </c>
      <c r="L19" s="24">
        <f ca="1"/>
        <v>0</v>
      </c>
      <c r="M19" s="24">
        <f ca="1"/>
        <v>0</v>
      </c>
      <c r="N19" s="24">
        <f ca="1"/>
        <v>0</v>
      </c>
      <c r="O19" s="24">
        <f ca="1"/>
        <v>0</v>
      </c>
      <c r="P19" s="115">
        <f ca="1"/>
        <v>18</v>
      </c>
      <c r="Q19" s="119"/>
      <c r="R19" s="120"/>
      <c r="S19" s="120"/>
      <c r="T19" s="120"/>
      <c r="U19" s="120"/>
      <c r="V19" s="120"/>
      <c r="W19" s="120"/>
      <c r="X19" s="120"/>
      <c r="Y19" s="120"/>
      <c r="Z19" s="120"/>
      <c r="AA19" s="120"/>
      <c r="AB19" s="120"/>
      <c r="AC19" s="120"/>
      <c r="AD19" s="120"/>
      <c r="AE19" s="121"/>
    </row>
    <row r="20" spans="1:31" x14ac:dyDescent="0.25">
      <c r="A20" s="24">
        <v>0</v>
      </c>
      <c r="B20" s="24" t="e">
        <f ca="1">IF(Split=0,IF(OR(Demand!C31&gt;UCL,Demand!C31&lt;LCL),Demand!C31,NA()),IF(Split&gt;=P20,IF(OR(Demand!C31&gt;_UCL1,Demand!C31&lt;_LCL1),Demand!C31,NA()),IF(OR(Demand!C31&gt;_UCL2,Demand!C31&lt;_LCL2),Demand!C31,NA())))</f>
        <v>#N/A</v>
      </c>
      <c r="C20" s="24">
        <f ca="1">IF(Split=0,IF(Demand!C31&gt;Sigma2Plus,2,IF(Demand!C31&lt;Sigma2Minus,-2,IF(Demand!C31&lt;Mean,-1,1))),IF(Split&gt;=P20,IF(Demand!C31&gt;Sigma2Plus1,2,IF(Demand!C31&lt;Sigma2Minus1,-2,IF(Demand!C31&lt;Mean1,-1,1))),IF(Demand!C31&gt;Sigma2Plus2,2,IF(Demand!C31&lt;Sigma2Minus2,-2,IF(Demand!C31&lt;Mean2,-1,1)))))</f>
        <v>1</v>
      </c>
      <c r="D20" s="24" t="e">
        <f ca="1">IF(AND(ABS(SUM(C20:C22))&gt;4,P20&lt;ROWS(DTARange)),Demand!C31,NA())</f>
        <v>#REF!</v>
      </c>
      <c r="E20" s="24">
        <f ca="1">IF(Split=0,IF(Demand!C31&gt;Sigma1Plus,2,IF(Demand!C31&lt;Sigma1Minus,-2,IF(Demand!C31&lt;Mean,-1,1))),IF(Split&gt;=P20,IF(Demand!C31&gt;Sigma1Plus1,2,IF(Demand!C31&lt;Sigma1Minus1,-2,IF(Demand!C31&lt;Mean1,-1,1))),IF(Demand!C31&gt;Sigma1Plus2,2,IF(Demand!C31&lt;Sigma1Minus2,-2,IF(Demand!C31&lt;Mean,-1,1)))))</f>
        <v>1</v>
      </c>
      <c r="F20" s="24" t="e">
        <f ca="1">IF(AND(ABS(SUM(E20:E24))&gt;8,P20&lt;ROWS(DTARange)),Demand!C31,NA())</f>
        <v>#REF!</v>
      </c>
      <c r="G20" s="24">
        <f ca="1">IF(Split=0,IF(Demand!C31&gt;Mean,IF(G19&gt;=0,G19+1,0),IF(Demand!C31&lt;Mean,IF(G19&lt;=0,G19-1,0),0)),IF(Split&gt;=P19,IF(Demand!C31&gt;Mean1,IF(G19&gt;=0,G19+1,0),IF(Demand!C31&lt;Mean1,IF(G19&lt;=0,G19-1,0),0)),IF(Demand!C31&gt;Mean2,IF(G19&gt;=0,G19+1,0),IF(Demand!C31&lt;Mean2,IF(G19&lt;=0,G19-1,0),0))))</f>
        <v>0</v>
      </c>
      <c r="H20" s="24" t="e">
        <f ca="1">IF(AND(ABS(G28)=8,P20&lt;ROWS(DTARange)),Demand!C31,NA())</f>
        <v>#REF!</v>
      </c>
      <c r="I20" s="24">
        <f ca="1"/>
        <v>0</v>
      </c>
      <c r="J20" s="24">
        <f ca="1"/>
        <v>0</v>
      </c>
      <c r="K20" s="24">
        <f ca="1"/>
        <v>0</v>
      </c>
      <c r="L20" s="24">
        <f ca="1"/>
        <v>0</v>
      </c>
      <c r="M20" s="24">
        <f ca="1"/>
        <v>0</v>
      </c>
      <c r="N20" s="24">
        <f ca="1"/>
        <v>0</v>
      </c>
      <c r="O20" s="24">
        <f ca="1"/>
        <v>0</v>
      </c>
      <c r="P20" s="115">
        <f ca="1"/>
        <v>19</v>
      </c>
      <c r="Q20" s="119"/>
      <c r="R20" s="120"/>
      <c r="S20" s="120"/>
      <c r="T20" s="120"/>
      <c r="U20" s="120"/>
      <c r="V20" s="120"/>
      <c r="W20" s="120"/>
      <c r="X20" s="120"/>
      <c r="Y20" s="120"/>
      <c r="Z20" s="120"/>
      <c r="AA20" s="120"/>
      <c r="AB20" s="120"/>
      <c r="AC20" s="120"/>
      <c r="AD20" s="120"/>
      <c r="AE20" s="121"/>
    </row>
    <row r="21" spans="1:31" x14ac:dyDescent="0.25">
      <c r="A21" s="24">
        <v>0</v>
      </c>
      <c r="B21" s="24" t="e">
        <f ca="1">IF(Split=0,IF(OR(Demand!C32&gt;UCL,Demand!C32&lt;LCL),Demand!C32,NA()),IF(Split&gt;=P21,IF(OR(Demand!C32&gt;_UCL1,Demand!C32&lt;_LCL1),Demand!C32,NA()),IF(OR(Demand!C32&gt;_UCL2,Demand!C32&lt;_LCL2),Demand!C32,NA())))</f>
        <v>#N/A</v>
      </c>
      <c r="C21" s="24">
        <f ca="1">IF(Split=0,IF(Demand!C32&gt;Sigma2Plus,2,IF(Demand!C32&lt;Sigma2Minus,-2,IF(Demand!C32&lt;Mean,-1,1))),IF(Split&gt;=P21,IF(Demand!C32&gt;Sigma2Plus1,2,IF(Demand!C32&lt;Sigma2Minus1,-2,IF(Demand!C32&lt;Mean1,-1,1))),IF(Demand!C32&gt;Sigma2Plus2,2,IF(Demand!C32&lt;Sigma2Minus2,-2,IF(Demand!C32&lt;Mean2,-1,1)))))</f>
        <v>1</v>
      </c>
      <c r="D21" s="24" t="e">
        <f ca="1">IF(AND(ABS(SUM(C21:C23))&gt;4,P21&lt;ROWS(DTARange)),Demand!C32,NA())</f>
        <v>#REF!</v>
      </c>
      <c r="E21" s="24">
        <f ca="1">IF(Split=0,IF(Demand!C32&gt;Sigma1Plus,2,IF(Demand!C32&lt;Sigma1Minus,-2,IF(Demand!C32&lt;Mean,-1,1))),IF(Split&gt;=P21,IF(Demand!C32&gt;Sigma1Plus1,2,IF(Demand!C32&lt;Sigma1Minus1,-2,IF(Demand!C32&lt;Mean1,-1,1))),IF(Demand!C32&gt;Sigma1Plus2,2,IF(Demand!C32&lt;Sigma1Minus2,-2,IF(Demand!C32&lt;Mean,-1,1)))))</f>
        <v>1</v>
      </c>
      <c r="F21" s="24" t="e">
        <f ca="1">IF(AND(ABS(SUM(E21:E25))&gt;8,P21&lt;ROWS(DTARange)),Demand!C32,NA())</f>
        <v>#REF!</v>
      </c>
      <c r="G21" s="24">
        <f ca="1">IF(Split=0,IF(Demand!C32&gt;Mean,IF(G20&gt;=0,G20+1,0),IF(Demand!C32&lt;Mean,IF(G20&lt;=0,G20-1,0),0)),IF(Split&gt;=P20,IF(Demand!C32&gt;Mean1,IF(G20&gt;=0,G20+1,0),IF(Demand!C32&lt;Mean1,IF(G20&lt;=0,G20-1,0),0)),IF(Demand!C32&gt;Mean2,IF(G20&gt;=0,G20+1,0),IF(Demand!C32&lt;Mean2,IF(G20&lt;=0,G20-1,0),0))))</f>
        <v>0</v>
      </c>
      <c r="H21" s="24" t="e">
        <f ca="1">IF(AND(ABS(G29)=8,P21&lt;ROWS(DTARange)),Demand!C32,NA())</f>
        <v>#REF!</v>
      </c>
      <c r="I21" s="24">
        <f ca="1"/>
        <v>0</v>
      </c>
      <c r="J21" s="24">
        <f ca="1"/>
        <v>0</v>
      </c>
      <c r="K21" s="24">
        <f ca="1"/>
        <v>0</v>
      </c>
      <c r="L21" s="24">
        <f ca="1"/>
        <v>0</v>
      </c>
      <c r="M21" s="24">
        <f ca="1"/>
        <v>0</v>
      </c>
      <c r="N21" s="24">
        <f ca="1"/>
        <v>0</v>
      </c>
      <c r="O21" s="24">
        <f ca="1"/>
        <v>0</v>
      </c>
      <c r="P21" s="115">
        <f ca="1"/>
        <v>20</v>
      </c>
      <c r="Q21" s="119"/>
      <c r="R21" s="120"/>
      <c r="S21" s="120"/>
      <c r="T21" s="120"/>
      <c r="U21" s="120"/>
      <c r="V21" s="120"/>
      <c r="W21" s="120"/>
      <c r="X21" s="120"/>
      <c r="Y21" s="120"/>
      <c r="Z21" s="120"/>
      <c r="AA21" s="120"/>
      <c r="AB21" s="120"/>
      <c r="AC21" s="120"/>
      <c r="AD21" s="120"/>
      <c r="AE21" s="121"/>
    </row>
    <row r="22" spans="1:31" x14ac:dyDescent="0.25">
      <c r="A22" s="24">
        <v>0</v>
      </c>
      <c r="B22" s="24" t="e">
        <f ca="1">IF(Split=0,IF(OR(Demand!C33&gt;UCL,Demand!C33&lt;LCL),Demand!C33,NA()),IF(Split&gt;=P22,IF(OR(Demand!C33&gt;_UCL1,Demand!C33&lt;_LCL1),Demand!C33,NA()),IF(OR(Demand!C33&gt;_UCL2,Demand!C33&lt;_LCL2),Demand!C33,NA())))</f>
        <v>#N/A</v>
      </c>
      <c r="C22" s="24">
        <f ca="1">IF(Split=0,IF(Demand!C33&gt;Sigma2Plus,2,IF(Demand!C33&lt;Sigma2Minus,-2,IF(Demand!C33&lt;Mean,-1,1))),IF(Split&gt;=P22,IF(Demand!C33&gt;Sigma2Plus1,2,IF(Demand!C33&lt;Sigma2Minus1,-2,IF(Demand!C33&lt;Mean1,-1,1))),IF(Demand!C33&gt;Sigma2Plus2,2,IF(Demand!C33&lt;Sigma2Minus2,-2,IF(Demand!C33&lt;Mean2,-1,1)))))</f>
        <v>1</v>
      </c>
      <c r="D22" s="24" t="e">
        <f ca="1">IF(AND(ABS(SUM(C22:C24))&gt;4,P22&lt;ROWS(DTARange)),Demand!C33,NA())</f>
        <v>#REF!</v>
      </c>
      <c r="E22" s="24">
        <f ca="1">IF(Split=0,IF(Demand!C33&gt;Sigma1Plus,2,IF(Demand!C33&lt;Sigma1Minus,-2,IF(Demand!C33&lt;Mean,-1,1))),IF(Split&gt;=P22,IF(Demand!C33&gt;Sigma1Plus1,2,IF(Demand!C33&lt;Sigma1Minus1,-2,IF(Demand!C33&lt;Mean1,-1,1))),IF(Demand!C33&gt;Sigma1Plus2,2,IF(Demand!C33&lt;Sigma1Minus2,-2,IF(Demand!C33&lt;Mean,-1,1)))))</f>
        <v>1</v>
      </c>
      <c r="F22" s="24" t="e">
        <f ca="1">IF(AND(ABS(SUM(E22:E26))&gt;8,P22&lt;ROWS(DTARange)),Demand!C33,NA())</f>
        <v>#REF!</v>
      </c>
      <c r="G22" s="24">
        <f ca="1">IF(Split=0,IF(Demand!C33&gt;Mean,IF(G21&gt;=0,G21+1,0),IF(Demand!C33&lt;Mean,IF(G21&lt;=0,G21-1,0),0)),IF(Split&gt;=P21,IF(Demand!C33&gt;Mean1,IF(G21&gt;=0,G21+1,0),IF(Demand!C33&lt;Mean1,IF(G21&lt;=0,G21-1,0),0)),IF(Demand!C33&gt;Mean2,IF(G21&gt;=0,G21+1,0),IF(Demand!C33&lt;Mean2,IF(G21&lt;=0,G21-1,0),0))))</f>
        <v>0</v>
      </c>
      <c r="H22" s="24" t="e">
        <f ca="1">IF(AND(ABS(G30)=8,P22&lt;ROWS(DTARange)),Demand!C33,NA())</f>
        <v>#REF!</v>
      </c>
      <c r="I22" s="24">
        <f ca="1"/>
        <v>0</v>
      </c>
      <c r="J22" s="24">
        <f ca="1"/>
        <v>0</v>
      </c>
      <c r="K22" s="24">
        <f ca="1"/>
        <v>0</v>
      </c>
      <c r="L22" s="24">
        <f ca="1"/>
        <v>0</v>
      </c>
      <c r="M22" s="24">
        <f ca="1"/>
        <v>0</v>
      </c>
      <c r="N22" s="24">
        <f ca="1"/>
        <v>0</v>
      </c>
      <c r="O22" s="24">
        <f ca="1"/>
        <v>0</v>
      </c>
      <c r="P22" s="115">
        <f ca="1"/>
        <v>21</v>
      </c>
      <c r="Q22" s="119"/>
      <c r="R22" s="120"/>
      <c r="S22" s="120"/>
      <c r="T22" s="120"/>
      <c r="U22" s="120"/>
      <c r="V22" s="120"/>
      <c r="W22" s="120"/>
      <c r="X22" s="120"/>
      <c r="Y22" s="120"/>
      <c r="Z22" s="120"/>
      <c r="AA22" s="120"/>
      <c r="AB22" s="120"/>
      <c r="AC22" s="120"/>
      <c r="AD22" s="120"/>
      <c r="AE22" s="121"/>
    </row>
    <row r="23" spans="1:31" x14ac:dyDescent="0.25">
      <c r="A23" s="24">
        <v>0</v>
      </c>
      <c r="B23" s="24" t="e">
        <f ca="1">IF(Split=0,IF(OR(Demand!C34&gt;UCL,Demand!C34&lt;LCL),Demand!C34,NA()),IF(Split&gt;=P23,IF(OR(Demand!C34&gt;_UCL1,Demand!C34&lt;_LCL1),Demand!C34,NA()),IF(OR(Demand!C34&gt;_UCL2,Demand!C34&lt;_LCL2),Demand!C34,NA())))</f>
        <v>#N/A</v>
      </c>
      <c r="C23" s="24">
        <f ca="1">IF(Split=0,IF(Demand!C34&gt;Sigma2Plus,2,IF(Demand!C34&lt;Sigma2Minus,-2,IF(Demand!C34&lt;Mean,-1,1))),IF(Split&gt;=P23,IF(Demand!C34&gt;Sigma2Plus1,2,IF(Demand!C34&lt;Sigma2Minus1,-2,IF(Demand!C34&lt;Mean1,-1,1))),IF(Demand!C34&gt;Sigma2Plus2,2,IF(Demand!C34&lt;Sigma2Minus2,-2,IF(Demand!C34&lt;Mean2,-1,1)))))</f>
        <v>1</v>
      </c>
      <c r="D23" s="24" t="e">
        <f ca="1">IF(AND(ABS(SUM(C23:C25))&gt;4,P23&lt;ROWS(DTARange)),Demand!C34,NA())</f>
        <v>#REF!</v>
      </c>
      <c r="E23" s="24">
        <f ca="1">IF(Split=0,IF(Demand!C34&gt;Sigma1Plus,2,IF(Demand!C34&lt;Sigma1Minus,-2,IF(Demand!C34&lt;Mean,-1,1))),IF(Split&gt;=P23,IF(Demand!C34&gt;Sigma1Plus1,2,IF(Demand!C34&lt;Sigma1Minus1,-2,IF(Demand!C34&lt;Mean1,-1,1))),IF(Demand!C34&gt;Sigma1Plus2,2,IF(Demand!C34&lt;Sigma1Minus2,-2,IF(Demand!C34&lt;Mean,-1,1)))))</f>
        <v>1</v>
      </c>
      <c r="F23" s="24" t="e">
        <f ca="1">IF(AND(ABS(SUM(E23:E27))&gt;8,P23&lt;ROWS(DTARange)),Demand!C34,NA())</f>
        <v>#REF!</v>
      </c>
      <c r="G23" s="24">
        <f ca="1">IF(Split=0,IF(Demand!C34&gt;Mean,IF(G22&gt;=0,G22+1,0),IF(Demand!C34&lt;Mean,IF(G22&lt;=0,G22-1,0),0)),IF(Split&gt;=P22,IF(Demand!C34&gt;Mean1,IF(G22&gt;=0,G22+1,0),IF(Demand!C34&lt;Mean1,IF(G22&lt;=0,G22-1,0),0)),IF(Demand!C34&gt;Mean2,IF(G22&gt;=0,G22+1,0),IF(Demand!C34&lt;Mean2,IF(G22&lt;=0,G22-1,0),0))))</f>
        <v>0</v>
      </c>
      <c r="H23" s="24" t="e">
        <f ca="1">IF(AND(ABS(G31)=8,P23&lt;ROWS(DTARange)),Demand!C34,NA())</f>
        <v>#REF!</v>
      </c>
      <c r="I23" s="24">
        <f ca="1"/>
        <v>0</v>
      </c>
      <c r="J23" s="24">
        <f ca="1"/>
        <v>0</v>
      </c>
      <c r="K23" s="24">
        <f ca="1"/>
        <v>0</v>
      </c>
      <c r="L23" s="24">
        <f ca="1"/>
        <v>0</v>
      </c>
      <c r="M23" s="24">
        <f ca="1"/>
        <v>0</v>
      </c>
      <c r="N23" s="24">
        <f ca="1"/>
        <v>0</v>
      </c>
      <c r="O23" s="24">
        <f ca="1"/>
        <v>0</v>
      </c>
      <c r="P23" s="115">
        <f ca="1"/>
        <v>22</v>
      </c>
      <c r="Q23" s="119"/>
      <c r="R23" s="120"/>
      <c r="S23" s="120"/>
      <c r="T23" s="120"/>
      <c r="U23" s="120"/>
      <c r="V23" s="120"/>
      <c r="W23" s="120"/>
      <c r="X23" s="120"/>
      <c r="Y23" s="120"/>
      <c r="Z23" s="120"/>
      <c r="AA23" s="120"/>
      <c r="AB23" s="120"/>
      <c r="AC23" s="120"/>
      <c r="AD23" s="120"/>
      <c r="AE23" s="121"/>
    </row>
    <row r="24" spans="1:31" x14ac:dyDescent="0.25">
      <c r="A24" s="24">
        <v>0</v>
      </c>
      <c r="B24" s="24" t="e">
        <f ca="1">IF(Split=0,IF(OR(Demand!C35&gt;UCL,Demand!C35&lt;LCL),Demand!C35,NA()),IF(Split&gt;=P24,IF(OR(Demand!C35&gt;_UCL1,Demand!C35&lt;_LCL1),Demand!C35,NA()),IF(OR(Demand!C35&gt;_UCL2,Demand!C35&lt;_LCL2),Demand!C35,NA())))</f>
        <v>#N/A</v>
      </c>
      <c r="C24" s="24">
        <f ca="1">IF(Split=0,IF(Demand!C35&gt;Sigma2Plus,2,IF(Demand!C35&lt;Sigma2Minus,-2,IF(Demand!C35&lt;Mean,-1,1))),IF(Split&gt;=P24,IF(Demand!C35&gt;Sigma2Plus1,2,IF(Demand!C35&lt;Sigma2Minus1,-2,IF(Demand!C35&lt;Mean1,-1,1))),IF(Demand!C35&gt;Sigma2Plus2,2,IF(Demand!C35&lt;Sigma2Minus2,-2,IF(Demand!C35&lt;Mean2,-1,1)))))</f>
        <v>1</v>
      </c>
      <c r="D24" s="24" t="e">
        <f ca="1">IF(AND(ABS(SUM(C24:C26))&gt;4,P24&lt;ROWS(DTARange)),Demand!C35,NA())</f>
        <v>#REF!</v>
      </c>
      <c r="E24" s="24">
        <f ca="1">IF(Split=0,IF(Demand!C35&gt;Sigma1Plus,2,IF(Demand!C35&lt;Sigma1Minus,-2,IF(Demand!C35&lt;Mean,-1,1))),IF(Split&gt;=P24,IF(Demand!C35&gt;Sigma1Plus1,2,IF(Demand!C35&lt;Sigma1Minus1,-2,IF(Demand!C35&lt;Mean1,-1,1))),IF(Demand!C35&gt;Sigma1Plus2,2,IF(Demand!C35&lt;Sigma1Minus2,-2,IF(Demand!C35&lt;Mean,-1,1)))))</f>
        <v>1</v>
      </c>
      <c r="F24" s="24" t="e">
        <f ca="1">IF(AND(ABS(SUM(E24:E28))&gt;8,P24&lt;ROWS(DTARange)),Demand!C35,NA())</f>
        <v>#REF!</v>
      </c>
      <c r="G24" s="24">
        <f ca="1">IF(Split=0,IF(Demand!C35&gt;Mean,IF(G23&gt;=0,G23+1,0),IF(Demand!C35&lt;Mean,IF(G23&lt;=0,G23-1,0),0)),IF(Split&gt;=P23,IF(Demand!C35&gt;Mean1,IF(G23&gt;=0,G23+1,0),IF(Demand!C35&lt;Mean1,IF(G23&lt;=0,G23-1,0),0)),IF(Demand!C35&gt;Mean2,IF(G23&gt;=0,G23+1,0),IF(Demand!C35&lt;Mean2,IF(G23&lt;=0,G23-1,0),0))))</f>
        <v>0</v>
      </c>
      <c r="H24" s="24" t="e">
        <f ca="1">IF(AND(ABS(G32)=8,P24&lt;ROWS(DTARange)),Demand!C35,NA())</f>
        <v>#REF!</v>
      </c>
      <c r="I24" s="24">
        <f ca="1"/>
        <v>0</v>
      </c>
      <c r="J24" s="24">
        <f ca="1"/>
        <v>0</v>
      </c>
      <c r="K24" s="24">
        <f ca="1"/>
        <v>0</v>
      </c>
      <c r="L24" s="24">
        <f ca="1"/>
        <v>0</v>
      </c>
      <c r="M24" s="24">
        <f ca="1"/>
        <v>0</v>
      </c>
      <c r="N24" s="24">
        <f ca="1"/>
        <v>0</v>
      </c>
      <c r="O24" s="24">
        <f ca="1"/>
        <v>0</v>
      </c>
      <c r="P24" s="115">
        <f ca="1"/>
        <v>23</v>
      </c>
      <c r="Q24" s="119"/>
      <c r="R24" s="120"/>
      <c r="S24" s="120"/>
      <c r="T24" s="120"/>
      <c r="U24" s="120"/>
      <c r="V24" s="120"/>
      <c r="W24" s="120"/>
      <c r="X24" s="120"/>
      <c r="Y24" s="120"/>
      <c r="Z24" s="120"/>
      <c r="AA24" s="120"/>
      <c r="AB24" s="120"/>
      <c r="AC24" s="120"/>
      <c r="AD24" s="120"/>
      <c r="AE24" s="121"/>
    </row>
    <row r="25" spans="1:31" x14ac:dyDescent="0.25">
      <c r="A25" s="24">
        <v>0</v>
      </c>
      <c r="B25" s="24" t="e">
        <f ca="1">IF(Split=0,IF(OR(Demand!C36&gt;UCL,Demand!C36&lt;LCL),Demand!C36,NA()),IF(Split&gt;=P25,IF(OR(Demand!C36&gt;_UCL1,Demand!C36&lt;_LCL1),Demand!C36,NA()),IF(OR(Demand!C36&gt;_UCL2,Demand!C36&lt;_LCL2),Demand!C36,NA())))</f>
        <v>#N/A</v>
      </c>
      <c r="C25" s="24">
        <f ca="1">IF(Split=0,IF(Demand!C36&gt;Sigma2Plus,2,IF(Demand!C36&lt;Sigma2Minus,-2,IF(Demand!C36&lt;Mean,-1,1))),IF(Split&gt;=P25,IF(Demand!C36&gt;Sigma2Plus1,2,IF(Demand!C36&lt;Sigma2Minus1,-2,IF(Demand!C36&lt;Mean1,-1,1))),IF(Demand!C36&gt;Sigma2Plus2,2,IF(Demand!C36&lt;Sigma2Minus2,-2,IF(Demand!C36&lt;Mean2,-1,1)))))</f>
        <v>1</v>
      </c>
      <c r="D25" s="24" t="e">
        <f ca="1">IF(AND(ABS(SUM(C25:C27))&gt;4,P25&lt;ROWS(DTARange)),Demand!C36,NA())</f>
        <v>#REF!</v>
      </c>
      <c r="E25" s="24">
        <f ca="1">IF(Split=0,IF(Demand!C36&gt;Sigma1Plus,2,IF(Demand!C36&lt;Sigma1Minus,-2,IF(Demand!C36&lt;Mean,-1,1))),IF(Split&gt;=P25,IF(Demand!C36&gt;Sigma1Plus1,2,IF(Demand!C36&lt;Sigma1Minus1,-2,IF(Demand!C36&lt;Mean1,-1,1))),IF(Demand!C36&gt;Sigma1Plus2,2,IF(Demand!C36&lt;Sigma1Minus2,-2,IF(Demand!C36&lt;Mean,-1,1)))))</f>
        <v>1</v>
      </c>
      <c r="F25" s="24" t="e">
        <f ca="1">IF(AND(ABS(SUM(E25:E29))&gt;8,P25&lt;ROWS(DTARange)),Demand!C36,NA())</f>
        <v>#REF!</v>
      </c>
      <c r="G25" s="24">
        <f ca="1">IF(Split=0,IF(Demand!C36&gt;Mean,IF(G24&gt;=0,G24+1,0),IF(Demand!C36&lt;Mean,IF(G24&lt;=0,G24-1,0),0)),IF(Split&gt;=P24,IF(Demand!C36&gt;Mean1,IF(G24&gt;=0,G24+1,0),IF(Demand!C36&lt;Mean1,IF(G24&lt;=0,G24-1,0),0)),IF(Demand!C36&gt;Mean2,IF(G24&gt;=0,G24+1,0),IF(Demand!C36&lt;Mean2,IF(G24&lt;=0,G24-1,0),0))))</f>
        <v>0</v>
      </c>
      <c r="H25" s="24" t="e">
        <f ca="1">IF(AND(ABS(G33)=8,P25&lt;ROWS(DTARange)),Demand!C36,NA())</f>
        <v>#REF!</v>
      </c>
      <c r="I25" s="24">
        <f ca="1"/>
        <v>0</v>
      </c>
      <c r="J25" s="24">
        <f ca="1"/>
        <v>0</v>
      </c>
      <c r="K25" s="24">
        <f ca="1"/>
        <v>0</v>
      </c>
      <c r="L25" s="24">
        <f ca="1"/>
        <v>0</v>
      </c>
      <c r="M25" s="24">
        <f ca="1"/>
        <v>0</v>
      </c>
      <c r="N25" s="24">
        <f ca="1"/>
        <v>0</v>
      </c>
      <c r="O25" s="24">
        <f ca="1"/>
        <v>0</v>
      </c>
      <c r="P25" s="115">
        <f ca="1"/>
        <v>24</v>
      </c>
      <c r="Q25" s="119"/>
      <c r="R25" s="120"/>
      <c r="S25" s="120"/>
      <c r="T25" s="120"/>
      <c r="U25" s="120"/>
      <c r="V25" s="120"/>
      <c r="W25" s="120"/>
      <c r="X25" s="120"/>
      <c r="Y25" s="120"/>
      <c r="Z25" s="120"/>
      <c r="AA25" s="120"/>
      <c r="AB25" s="120"/>
      <c r="AC25" s="120"/>
      <c r="AD25" s="120"/>
      <c r="AE25" s="121"/>
    </row>
    <row r="26" spans="1:31" x14ac:dyDescent="0.25">
      <c r="A26" s="24">
        <v>0</v>
      </c>
      <c r="B26" s="24" t="e">
        <f ca="1">IF(Split=0,IF(OR(Demand!C37&gt;UCL,Demand!C37&lt;LCL),Demand!C37,NA()),IF(Split&gt;=P26,IF(OR(Demand!C37&gt;_UCL1,Demand!C37&lt;_LCL1),Demand!C37,NA()),IF(OR(Demand!C37&gt;_UCL2,Demand!C37&lt;_LCL2),Demand!C37,NA())))</f>
        <v>#N/A</v>
      </c>
      <c r="C26" s="24">
        <f ca="1">IF(Split=0,IF(Demand!C37&gt;Sigma2Plus,2,IF(Demand!C37&lt;Sigma2Minus,-2,IF(Demand!C37&lt;Mean,-1,1))),IF(Split&gt;=P26,IF(Demand!C37&gt;Sigma2Plus1,2,IF(Demand!C37&lt;Sigma2Minus1,-2,IF(Demand!C37&lt;Mean1,-1,1))),IF(Demand!C37&gt;Sigma2Plus2,2,IF(Demand!C37&lt;Sigma2Minus2,-2,IF(Demand!C37&lt;Mean2,-1,1)))))</f>
        <v>1</v>
      </c>
      <c r="D26" s="24" t="e">
        <f ca="1">IF(AND(ABS(SUM(C26:C28))&gt;4,P26&lt;ROWS(DTARange)),Demand!C37,NA())</f>
        <v>#REF!</v>
      </c>
      <c r="E26" s="24">
        <f ca="1">IF(Split=0,IF(Demand!C37&gt;Sigma1Plus,2,IF(Demand!C37&lt;Sigma1Minus,-2,IF(Demand!C37&lt;Mean,-1,1))),IF(Split&gt;=P26,IF(Demand!C37&gt;Sigma1Plus1,2,IF(Demand!C37&lt;Sigma1Minus1,-2,IF(Demand!C37&lt;Mean1,-1,1))),IF(Demand!C37&gt;Sigma1Plus2,2,IF(Demand!C37&lt;Sigma1Minus2,-2,IF(Demand!C37&lt;Mean,-1,1)))))</f>
        <v>1</v>
      </c>
      <c r="F26" s="24" t="e">
        <f ca="1">IF(AND(ABS(SUM(E26:E30))&gt;8,P26&lt;ROWS(DTARange)),Demand!C37,NA())</f>
        <v>#REF!</v>
      </c>
      <c r="G26" s="24">
        <f ca="1">IF(Split=0,IF(Demand!C37&gt;Mean,IF(G25&gt;=0,G25+1,0),IF(Demand!C37&lt;Mean,IF(G25&lt;=0,G25-1,0),0)),IF(Split&gt;=P25,IF(Demand!C37&gt;Mean1,IF(G25&gt;=0,G25+1,0),IF(Demand!C37&lt;Mean1,IF(G25&lt;=0,G25-1,0),0)),IF(Demand!C37&gt;Mean2,IF(G25&gt;=0,G25+1,0),IF(Demand!C37&lt;Mean2,IF(G25&lt;=0,G25-1,0),0))))</f>
        <v>0</v>
      </c>
      <c r="H26" s="24" t="e">
        <f ca="1">IF(AND(ABS(G34)=8,P26&lt;ROWS(DTARange)),Demand!C37,NA())</f>
        <v>#REF!</v>
      </c>
      <c r="I26" s="24">
        <f ca="1"/>
        <v>0</v>
      </c>
      <c r="J26" s="24">
        <f ca="1"/>
        <v>0</v>
      </c>
      <c r="K26" s="24">
        <f ca="1"/>
        <v>0</v>
      </c>
      <c r="L26" s="24">
        <f ca="1"/>
        <v>0</v>
      </c>
      <c r="M26" s="24">
        <f ca="1"/>
        <v>0</v>
      </c>
      <c r="N26" s="24">
        <f ca="1"/>
        <v>0</v>
      </c>
      <c r="O26" s="24">
        <f ca="1"/>
        <v>0</v>
      </c>
      <c r="P26" s="115">
        <f ca="1"/>
        <v>25</v>
      </c>
      <c r="Q26" s="119"/>
      <c r="R26" s="120"/>
      <c r="S26" s="120"/>
      <c r="T26" s="120"/>
      <c r="U26" s="120"/>
      <c r="V26" s="120"/>
      <c r="W26" s="120"/>
      <c r="X26" s="120"/>
      <c r="Y26" s="120"/>
      <c r="Z26" s="120"/>
      <c r="AA26" s="120"/>
      <c r="AB26" s="120"/>
      <c r="AC26" s="120"/>
      <c r="AD26" s="120"/>
      <c r="AE26" s="121"/>
    </row>
    <row r="27" spans="1:31" x14ac:dyDescent="0.25">
      <c r="A27" s="24">
        <v>0</v>
      </c>
      <c r="B27" s="24" t="e">
        <f ca="1">IF(Split=0,IF(OR(Demand!C38&gt;UCL,Demand!C38&lt;LCL),Demand!C38,NA()),IF(Split&gt;=P27,IF(OR(Demand!C38&gt;_UCL1,Demand!C38&lt;_LCL1),Demand!C38,NA()),IF(OR(Demand!C38&gt;_UCL2,Demand!C38&lt;_LCL2),Demand!C38,NA())))</f>
        <v>#N/A</v>
      </c>
      <c r="C27" s="24">
        <f ca="1">IF(Split=0,IF(Demand!C38&gt;Sigma2Plus,2,IF(Demand!C38&lt;Sigma2Minus,-2,IF(Demand!C38&lt;Mean,-1,1))),IF(Split&gt;=P27,IF(Demand!C38&gt;Sigma2Plus1,2,IF(Demand!C38&lt;Sigma2Minus1,-2,IF(Demand!C38&lt;Mean1,-1,1))),IF(Demand!C38&gt;Sigma2Plus2,2,IF(Demand!C38&lt;Sigma2Minus2,-2,IF(Demand!C38&lt;Mean2,-1,1)))))</f>
        <v>1</v>
      </c>
      <c r="D27" s="24" t="e">
        <f ca="1">IF(AND(ABS(SUM(C27:C29))&gt;4,P27&lt;ROWS(DTARange)),Demand!C38,NA())</f>
        <v>#REF!</v>
      </c>
      <c r="E27" s="24">
        <f ca="1">IF(Split=0,IF(Demand!C38&gt;Sigma1Plus,2,IF(Demand!C38&lt;Sigma1Minus,-2,IF(Demand!C38&lt;Mean,-1,1))),IF(Split&gt;=P27,IF(Demand!C38&gt;Sigma1Plus1,2,IF(Demand!C38&lt;Sigma1Minus1,-2,IF(Demand!C38&lt;Mean1,-1,1))),IF(Demand!C38&gt;Sigma1Plus2,2,IF(Demand!C38&lt;Sigma1Minus2,-2,IF(Demand!C38&lt;Mean,-1,1)))))</f>
        <v>1</v>
      </c>
      <c r="F27" s="24" t="e">
        <f ca="1">IF(AND(ABS(SUM(E27:E31))&gt;8,P27&lt;ROWS(DTARange)),Demand!C38,NA())</f>
        <v>#REF!</v>
      </c>
      <c r="G27" s="24">
        <f ca="1">IF(Split=0,IF(Demand!C38&gt;Mean,IF(G26&gt;=0,G26+1,0),IF(Demand!C38&lt;Mean,IF(G26&lt;=0,G26-1,0),0)),IF(Split&gt;=P26,IF(Demand!C38&gt;Mean1,IF(G26&gt;=0,G26+1,0),IF(Demand!C38&lt;Mean1,IF(G26&lt;=0,G26-1,0),0)),IF(Demand!C38&gt;Mean2,IF(G26&gt;=0,G26+1,0),IF(Demand!C38&lt;Mean2,IF(G26&lt;=0,G26-1,0),0))))</f>
        <v>0</v>
      </c>
      <c r="H27" s="24" t="e">
        <f ca="1">IF(AND(ABS(G35)=8,P27&lt;ROWS(DTARange)),Demand!C38,NA())</f>
        <v>#REF!</v>
      </c>
      <c r="I27" s="24">
        <f ca="1"/>
        <v>0</v>
      </c>
      <c r="J27" s="24">
        <f ca="1"/>
        <v>0</v>
      </c>
      <c r="K27" s="24">
        <f ca="1"/>
        <v>0</v>
      </c>
      <c r="L27" s="24">
        <f ca="1"/>
        <v>0</v>
      </c>
      <c r="M27" s="24">
        <f ca="1"/>
        <v>0</v>
      </c>
      <c r="N27" s="24">
        <f ca="1"/>
        <v>0</v>
      </c>
      <c r="O27" s="24">
        <f ca="1"/>
        <v>0</v>
      </c>
      <c r="P27" s="115">
        <f ca="1"/>
        <v>26</v>
      </c>
      <c r="Q27" s="119"/>
      <c r="R27" s="120"/>
      <c r="S27" s="120"/>
      <c r="T27" s="120"/>
      <c r="U27" s="120"/>
      <c r="V27" s="120"/>
      <c r="W27" s="120"/>
      <c r="X27" s="120"/>
      <c r="Y27" s="120"/>
      <c r="Z27" s="120"/>
      <c r="AA27" s="120"/>
      <c r="AB27" s="120"/>
      <c r="AC27" s="120"/>
      <c r="AD27" s="120"/>
      <c r="AE27" s="121"/>
    </row>
    <row r="28" spans="1:31" x14ac:dyDescent="0.25">
      <c r="A28" s="24">
        <v>0</v>
      </c>
      <c r="B28" s="24" t="e">
        <f ca="1">IF(Split=0,IF(OR(Demand!C39&gt;UCL,Demand!C39&lt;LCL),Demand!C39,NA()),IF(Split&gt;=P28,IF(OR(Demand!C39&gt;_UCL1,Demand!C39&lt;_LCL1),Demand!C39,NA()),IF(OR(Demand!C39&gt;_UCL2,Demand!C39&lt;_LCL2),Demand!C39,NA())))</f>
        <v>#N/A</v>
      </c>
      <c r="C28" s="24">
        <f ca="1">IF(Split=0,IF(Demand!C39&gt;Sigma2Plus,2,IF(Demand!C39&lt;Sigma2Minus,-2,IF(Demand!C39&lt;Mean,-1,1))),IF(Split&gt;=P28,IF(Demand!C39&gt;Sigma2Plus1,2,IF(Demand!C39&lt;Sigma2Minus1,-2,IF(Demand!C39&lt;Mean1,-1,1))),IF(Demand!C39&gt;Sigma2Plus2,2,IF(Demand!C39&lt;Sigma2Minus2,-2,IF(Demand!C39&lt;Mean2,-1,1)))))</f>
        <v>1</v>
      </c>
      <c r="D28" s="24" t="e">
        <f ca="1">IF(AND(ABS(SUM(C28:C30))&gt;4,P28&lt;ROWS(DTARange)),Demand!C39,NA())</f>
        <v>#REF!</v>
      </c>
      <c r="E28" s="24">
        <f ca="1">IF(Split=0,IF(Demand!C39&gt;Sigma1Plus,2,IF(Demand!C39&lt;Sigma1Minus,-2,IF(Demand!C39&lt;Mean,-1,1))),IF(Split&gt;=P28,IF(Demand!C39&gt;Sigma1Plus1,2,IF(Demand!C39&lt;Sigma1Minus1,-2,IF(Demand!C39&lt;Mean1,-1,1))),IF(Demand!C39&gt;Sigma1Plus2,2,IF(Demand!C39&lt;Sigma1Minus2,-2,IF(Demand!C39&lt;Mean,-1,1)))))</f>
        <v>1</v>
      </c>
      <c r="F28" s="24" t="e">
        <f ca="1">IF(AND(ABS(SUM(E28:E32))&gt;8,P28&lt;ROWS(DTARange)),Demand!C39,NA())</f>
        <v>#REF!</v>
      </c>
      <c r="G28" s="24">
        <f ca="1">IF(Split=0,IF(Demand!C39&gt;Mean,IF(G27&gt;=0,G27+1,0),IF(Demand!C39&lt;Mean,IF(G27&lt;=0,G27-1,0),0)),IF(Split&gt;=P27,IF(Demand!C39&gt;Mean1,IF(G27&gt;=0,G27+1,0),IF(Demand!C39&lt;Mean1,IF(G27&lt;=0,G27-1,0),0)),IF(Demand!C39&gt;Mean2,IF(G27&gt;=0,G27+1,0),IF(Demand!C39&lt;Mean2,IF(G27&lt;=0,G27-1,0),0))))</f>
        <v>0</v>
      </c>
      <c r="H28" s="24" t="e">
        <f ca="1">IF(AND(ABS(G36)=8,P28&lt;ROWS(DTARange)),Demand!C39,NA())</f>
        <v>#REF!</v>
      </c>
      <c r="I28" s="24">
        <f ca="1"/>
        <v>0</v>
      </c>
      <c r="J28" s="24">
        <f ca="1"/>
        <v>0</v>
      </c>
      <c r="K28" s="24">
        <f ca="1"/>
        <v>0</v>
      </c>
      <c r="L28" s="24">
        <f ca="1"/>
        <v>0</v>
      </c>
      <c r="M28" s="24">
        <f ca="1"/>
        <v>0</v>
      </c>
      <c r="N28" s="24">
        <f ca="1"/>
        <v>0</v>
      </c>
      <c r="O28" s="24">
        <f ca="1"/>
        <v>0</v>
      </c>
      <c r="P28" s="115">
        <f ca="1"/>
        <v>27</v>
      </c>
      <c r="Q28" s="119"/>
      <c r="R28" s="120"/>
      <c r="S28" s="120"/>
      <c r="T28" s="120"/>
      <c r="U28" s="120"/>
      <c r="V28" s="120"/>
      <c r="W28" s="120"/>
      <c r="X28" s="120"/>
      <c r="Y28" s="120"/>
      <c r="Z28" s="120"/>
      <c r="AA28" s="120"/>
      <c r="AB28" s="120"/>
      <c r="AC28" s="120"/>
      <c r="AD28" s="120"/>
      <c r="AE28" s="121"/>
    </row>
    <row r="29" spans="1:31" x14ac:dyDescent="0.25">
      <c r="A29" s="24">
        <v>0</v>
      </c>
      <c r="B29" s="24" t="e">
        <f ca="1">IF(Split=0,IF(OR(Demand!C40&gt;UCL,Demand!C40&lt;LCL),Demand!C40,NA()),IF(Split&gt;=P29,IF(OR(Demand!C40&gt;_UCL1,Demand!C40&lt;_LCL1),Demand!C40,NA()),IF(OR(Demand!C40&gt;_UCL2,Demand!C40&lt;_LCL2),Demand!C40,NA())))</f>
        <v>#N/A</v>
      </c>
      <c r="C29" s="24">
        <f ca="1">IF(Split=0,IF(Demand!C40&gt;Sigma2Plus,2,IF(Demand!C40&lt;Sigma2Minus,-2,IF(Demand!C40&lt;Mean,-1,1))),IF(Split&gt;=P29,IF(Demand!C40&gt;Sigma2Plus1,2,IF(Demand!C40&lt;Sigma2Minus1,-2,IF(Demand!C40&lt;Mean1,-1,1))),IF(Demand!C40&gt;Sigma2Plus2,2,IF(Demand!C40&lt;Sigma2Minus2,-2,IF(Demand!C40&lt;Mean2,-1,1)))))</f>
        <v>1</v>
      </c>
      <c r="D29" s="24" t="e">
        <f ca="1">IF(AND(ABS(SUM(C29:C31))&gt;4,P29&lt;ROWS(DTARange)),Demand!C40,NA())</f>
        <v>#REF!</v>
      </c>
      <c r="E29" s="24">
        <f ca="1">IF(Split=0,IF(Demand!C40&gt;Sigma1Plus,2,IF(Demand!C40&lt;Sigma1Minus,-2,IF(Demand!C40&lt;Mean,-1,1))),IF(Split&gt;=P29,IF(Demand!C40&gt;Sigma1Plus1,2,IF(Demand!C40&lt;Sigma1Minus1,-2,IF(Demand!C40&lt;Mean1,-1,1))),IF(Demand!C40&gt;Sigma1Plus2,2,IF(Demand!C40&lt;Sigma1Minus2,-2,IF(Demand!C40&lt;Mean,-1,1)))))</f>
        <v>1</v>
      </c>
      <c r="F29" s="24" t="e">
        <f ca="1">IF(AND(ABS(SUM(E29:E33))&gt;8,P29&lt;ROWS(DTARange)),Demand!C40,NA())</f>
        <v>#REF!</v>
      </c>
      <c r="G29" s="24">
        <f ca="1">IF(Split=0,IF(Demand!C40&gt;Mean,IF(G28&gt;=0,G28+1,0),IF(Demand!C40&lt;Mean,IF(G28&lt;=0,G28-1,0),0)),IF(Split&gt;=P28,IF(Demand!C40&gt;Mean1,IF(G28&gt;=0,G28+1,0),IF(Demand!C40&lt;Mean1,IF(G28&lt;=0,G28-1,0),0)),IF(Demand!C40&gt;Mean2,IF(G28&gt;=0,G28+1,0),IF(Demand!C40&lt;Mean2,IF(G28&lt;=0,G28-1,0),0))))</f>
        <v>0</v>
      </c>
      <c r="H29" s="24" t="e">
        <f ca="1">IF(AND(ABS(G37)=8,P29&lt;ROWS(DTARange)),Demand!C40,NA())</f>
        <v>#REF!</v>
      </c>
      <c r="I29" s="24">
        <f ca="1"/>
        <v>0</v>
      </c>
      <c r="J29" s="24">
        <f ca="1"/>
        <v>0</v>
      </c>
      <c r="K29" s="24">
        <f ca="1"/>
        <v>0</v>
      </c>
      <c r="L29" s="24">
        <f ca="1"/>
        <v>0</v>
      </c>
      <c r="M29" s="24">
        <f ca="1"/>
        <v>0</v>
      </c>
      <c r="N29" s="24">
        <f ca="1"/>
        <v>0</v>
      </c>
      <c r="O29" s="24">
        <f ca="1"/>
        <v>0</v>
      </c>
      <c r="P29" s="115">
        <f ca="1"/>
        <v>28</v>
      </c>
      <c r="Q29" s="119"/>
      <c r="R29" s="120"/>
      <c r="S29" s="120"/>
      <c r="T29" s="120"/>
      <c r="U29" s="120"/>
      <c r="V29" s="120"/>
      <c r="W29" s="120"/>
      <c r="X29" s="120"/>
      <c r="Y29" s="120"/>
      <c r="Z29" s="120"/>
      <c r="AA29" s="120"/>
      <c r="AB29" s="120"/>
      <c r="AC29" s="120"/>
      <c r="AD29" s="120"/>
      <c r="AE29" s="121"/>
    </row>
    <row r="30" spans="1:31" x14ac:dyDescent="0.25">
      <c r="A30" s="24">
        <v>0</v>
      </c>
      <c r="B30" s="24" t="e">
        <f ca="1">IF(Split=0,IF(OR(Demand!C41&gt;UCL,Demand!C41&lt;LCL),Demand!C41,NA()),IF(Split&gt;=P30,IF(OR(Demand!C41&gt;_UCL1,Demand!C41&lt;_LCL1),Demand!C41,NA()),IF(OR(Demand!C41&gt;_UCL2,Demand!C41&lt;_LCL2),Demand!C41,NA())))</f>
        <v>#N/A</v>
      </c>
      <c r="C30" s="24">
        <f ca="1">IF(Split=0,IF(Demand!C41&gt;Sigma2Plus,2,IF(Demand!C41&lt;Sigma2Minus,-2,IF(Demand!C41&lt;Mean,-1,1))),IF(Split&gt;=P30,IF(Demand!C41&gt;Sigma2Plus1,2,IF(Demand!C41&lt;Sigma2Minus1,-2,IF(Demand!C41&lt;Mean1,-1,1))),IF(Demand!C41&gt;Sigma2Plus2,2,IF(Demand!C41&lt;Sigma2Minus2,-2,IF(Demand!C41&lt;Mean2,-1,1)))))</f>
        <v>1</v>
      </c>
      <c r="D30" s="24" t="e">
        <f ca="1">IF(AND(ABS(SUM(C30:C32))&gt;4,P30&lt;ROWS(DTARange)),Demand!C41,NA())</f>
        <v>#REF!</v>
      </c>
      <c r="E30" s="24">
        <f ca="1">IF(Split=0,IF(Demand!C41&gt;Sigma1Plus,2,IF(Demand!C41&lt;Sigma1Minus,-2,IF(Demand!C41&lt;Mean,-1,1))),IF(Split&gt;=P30,IF(Demand!C41&gt;Sigma1Plus1,2,IF(Demand!C41&lt;Sigma1Minus1,-2,IF(Demand!C41&lt;Mean1,-1,1))),IF(Demand!C41&gt;Sigma1Plus2,2,IF(Demand!C41&lt;Sigma1Minus2,-2,IF(Demand!C41&lt;Mean,-1,1)))))</f>
        <v>1</v>
      </c>
      <c r="F30" s="24" t="e">
        <f ca="1">IF(AND(ABS(SUM(E30:E34))&gt;8,P30&lt;ROWS(DTARange)),Demand!C41,NA())</f>
        <v>#REF!</v>
      </c>
      <c r="G30" s="24">
        <f ca="1">IF(Split=0,IF(Demand!C41&gt;Mean,IF(G29&gt;=0,G29+1,0),IF(Demand!C41&lt;Mean,IF(G29&lt;=0,G29-1,0),0)),IF(Split&gt;=P29,IF(Demand!C41&gt;Mean1,IF(G29&gt;=0,G29+1,0),IF(Demand!C41&lt;Mean1,IF(G29&lt;=0,G29-1,0),0)),IF(Demand!C41&gt;Mean2,IF(G29&gt;=0,G29+1,0),IF(Demand!C41&lt;Mean2,IF(G29&lt;=0,G29-1,0),0))))</f>
        <v>0</v>
      </c>
      <c r="H30" s="24" t="e">
        <f ca="1">IF(AND(ABS(G38)=8,P30&lt;ROWS(DTARange)),Demand!C41,NA())</f>
        <v>#REF!</v>
      </c>
      <c r="I30" s="24">
        <f ca="1"/>
        <v>0</v>
      </c>
      <c r="J30" s="24">
        <f ca="1"/>
        <v>0</v>
      </c>
      <c r="K30" s="24">
        <f ca="1"/>
        <v>0</v>
      </c>
      <c r="L30" s="24">
        <f ca="1"/>
        <v>0</v>
      </c>
      <c r="M30" s="24">
        <f ca="1"/>
        <v>0</v>
      </c>
      <c r="N30" s="24">
        <f ca="1"/>
        <v>0</v>
      </c>
      <c r="O30" s="24">
        <f ca="1"/>
        <v>0</v>
      </c>
      <c r="P30" s="115">
        <f ca="1"/>
        <v>29</v>
      </c>
      <c r="Q30" s="119"/>
      <c r="R30" s="120"/>
      <c r="S30" s="120"/>
      <c r="T30" s="120"/>
      <c r="U30" s="120"/>
      <c r="V30" s="120"/>
      <c r="W30" s="120"/>
      <c r="X30" s="120"/>
      <c r="Y30" s="120"/>
      <c r="Z30" s="120"/>
      <c r="AA30" s="120"/>
      <c r="AB30" s="120"/>
      <c r="AC30" s="120"/>
      <c r="AD30" s="120"/>
      <c r="AE30" s="121"/>
    </row>
    <row r="31" spans="1:31" x14ac:dyDescent="0.25">
      <c r="A31" s="24">
        <v>0</v>
      </c>
      <c r="B31" s="24" t="e">
        <f ca="1">IF(Split=0,IF(OR(Demand!C42&gt;UCL,Demand!C42&lt;LCL),Demand!C42,NA()),IF(Split&gt;=P31,IF(OR(Demand!C42&gt;_UCL1,Demand!C42&lt;_LCL1),Demand!C42,NA()),IF(OR(Demand!C42&gt;_UCL2,Demand!C42&lt;_LCL2),Demand!C42,NA())))</f>
        <v>#N/A</v>
      </c>
      <c r="C31" s="24">
        <f ca="1">IF(Split=0,IF(Demand!C42&gt;Sigma2Plus,2,IF(Demand!C42&lt;Sigma2Minus,-2,IF(Demand!C42&lt;Mean,-1,1))),IF(Split&gt;=P31,IF(Demand!C42&gt;Sigma2Plus1,2,IF(Demand!C42&lt;Sigma2Minus1,-2,IF(Demand!C42&lt;Mean1,-1,1))),IF(Demand!C42&gt;Sigma2Plus2,2,IF(Demand!C42&lt;Sigma2Minus2,-2,IF(Demand!C42&lt;Mean2,-1,1)))))</f>
        <v>1</v>
      </c>
      <c r="D31" s="24" t="e">
        <f ca="1">IF(AND(ABS(SUM(C31:C33))&gt;4,P31&lt;ROWS(DTARange)),Demand!C42,NA())</f>
        <v>#REF!</v>
      </c>
      <c r="E31" s="24">
        <f ca="1">IF(Split=0,IF(Demand!C42&gt;Sigma1Plus,2,IF(Demand!C42&lt;Sigma1Minus,-2,IF(Demand!C42&lt;Mean,-1,1))),IF(Split&gt;=P31,IF(Demand!C42&gt;Sigma1Plus1,2,IF(Demand!C42&lt;Sigma1Minus1,-2,IF(Demand!C42&lt;Mean1,-1,1))),IF(Demand!C42&gt;Sigma1Plus2,2,IF(Demand!C42&lt;Sigma1Minus2,-2,IF(Demand!C42&lt;Mean,-1,1)))))</f>
        <v>1</v>
      </c>
      <c r="F31" s="24" t="e">
        <f ca="1">IF(AND(ABS(SUM(E31:E35))&gt;8,P31&lt;ROWS(DTARange)),Demand!C42,NA())</f>
        <v>#REF!</v>
      </c>
      <c r="G31" s="24">
        <f ca="1">IF(Split=0,IF(Demand!C42&gt;Mean,IF(G30&gt;=0,G30+1,0),IF(Demand!C42&lt;Mean,IF(G30&lt;=0,G30-1,0),0)),IF(Split&gt;=P30,IF(Demand!C42&gt;Mean1,IF(G30&gt;=0,G30+1,0),IF(Demand!C42&lt;Mean1,IF(G30&lt;=0,G30-1,0),0)),IF(Demand!C42&gt;Mean2,IF(G30&gt;=0,G30+1,0),IF(Demand!C42&lt;Mean2,IF(G30&lt;=0,G30-1,0),0))))</f>
        <v>0</v>
      </c>
      <c r="H31" s="24" t="e">
        <f ca="1">IF(AND(ABS(G39)=8,P31&lt;ROWS(DTARange)),Demand!C42,NA())</f>
        <v>#REF!</v>
      </c>
      <c r="I31" s="24">
        <f ca="1"/>
        <v>0</v>
      </c>
      <c r="J31" s="24">
        <f ca="1"/>
        <v>0</v>
      </c>
      <c r="K31" s="24">
        <f ca="1"/>
        <v>0</v>
      </c>
      <c r="L31" s="24">
        <f ca="1"/>
        <v>0</v>
      </c>
      <c r="M31" s="24">
        <f ca="1"/>
        <v>0</v>
      </c>
      <c r="N31" s="24">
        <f ca="1"/>
        <v>0</v>
      </c>
      <c r="O31" s="24">
        <f ca="1"/>
        <v>0</v>
      </c>
      <c r="P31" s="115">
        <f ca="1"/>
        <v>30</v>
      </c>
      <c r="Q31" s="122" t="s">
        <v>305</v>
      </c>
      <c r="R31" s="120"/>
      <c r="S31" s="123">
        <v>1</v>
      </c>
      <c r="T31" s="124" t="s">
        <v>300</v>
      </c>
      <c r="U31" s="120"/>
      <c r="V31" s="120"/>
      <c r="W31" s="120"/>
      <c r="X31" s="120"/>
      <c r="Y31" s="120"/>
      <c r="Z31" s="120"/>
      <c r="AA31" s="120"/>
      <c r="AB31" s="120"/>
      <c r="AC31" s="120"/>
      <c r="AD31" s="120"/>
      <c r="AE31" s="121"/>
    </row>
    <row r="32" spans="1:31" x14ac:dyDescent="0.25">
      <c r="A32" s="24">
        <v>0</v>
      </c>
      <c r="B32" s="24" t="e">
        <f ca="1">IF(Split=0,IF(OR(Demand!C43&gt;UCL,Demand!C43&lt;LCL),Demand!C43,NA()),IF(Split&gt;=P32,IF(OR(Demand!C43&gt;_UCL1,Demand!C43&lt;_LCL1),Demand!C43,NA()),IF(OR(Demand!C43&gt;_UCL2,Demand!C43&lt;_LCL2),Demand!C43,NA())))</f>
        <v>#N/A</v>
      </c>
      <c r="C32" s="24">
        <f ca="1">IF(Split=0,IF(Demand!C43&gt;Sigma2Plus,2,IF(Demand!C43&lt;Sigma2Minus,-2,IF(Demand!C43&lt;Mean,-1,1))),IF(Split&gt;=P32,IF(Demand!C43&gt;Sigma2Plus1,2,IF(Demand!C43&lt;Sigma2Minus1,-2,IF(Demand!C43&lt;Mean1,-1,1))),IF(Demand!C43&gt;Sigma2Plus2,2,IF(Demand!C43&lt;Sigma2Minus2,-2,IF(Demand!C43&lt;Mean2,-1,1)))))</f>
        <v>1</v>
      </c>
      <c r="D32" s="24" t="e">
        <f ca="1">IF(AND(ABS(SUM(C32:C34))&gt;4,P32&lt;ROWS(DTARange)),Demand!C43,NA())</f>
        <v>#REF!</v>
      </c>
      <c r="E32" s="24">
        <f ca="1">IF(Split=0,IF(Demand!C43&gt;Sigma1Plus,2,IF(Demand!C43&lt;Sigma1Minus,-2,IF(Demand!C43&lt;Mean,-1,1))),IF(Split&gt;=P32,IF(Demand!C43&gt;Sigma1Plus1,2,IF(Demand!C43&lt;Sigma1Minus1,-2,IF(Demand!C43&lt;Mean1,-1,1))),IF(Demand!C43&gt;Sigma1Plus2,2,IF(Demand!C43&lt;Sigma1Minus2,-2,IF(Demand!C43&lt;Mean,-1,1)))))</f>
        <v>1</v>
      </c>
      <c r="F32" s="24" t="e">
        <f ca="1">IF(AND(ABS(SUM(E32:E36))&gt;8,P32&lt;ROWS(DTARange)),Demand!C43,NA())</f>
        <v>#REF!</v>
      </c>
      <c r="G32" s="24">
        <f ca="1">IF(Split=0,IF(Demand!C43&gt;Mean,IF(G31&gt;=0,G31+1,0),IF(Demand!C43&lt;Mean,IF(G31&lt;=0,G31-1,0),0)),IF(Split&gt;=P31,IF(Demand!C43&gt;Mean1,IF(G31&gt;=0,G31+1,0),IF(Demand!C43&lt;Mean1,IF(G31&lt;=0,G31-1,0),0)),IF(Demand!C43&gt;Mean2,IF(G31&gt;=0,G31+1,0),IF(Demand!C43&lt;Mean2,IF(G31&lt;=0,G31-1,0),0))))</f>
        <v>0</v>
      </c>
      <c r="H32" s="24" t="e">
        <f ca="1">IF(AND(ABS(G40)=8,P32&lt;ROWS(DTARange)),Demand!C43,NA())</f>
        <v>#REF!</v>
      </c>
      <c r="I32" s="24">
        <f ca="1"/>
        <v>0</v>
      </c>
      <c r="J32" s="24">
        <f ca="1"/>
        <v>0</v>
      </c>
      <c r="K32" s="24">
        <f ca="1"/>
        <v>0</v>
      </c>
      <c r="L32" s="24">
        <f ca="1"/>
        <v>0</v>
      </c>
      <c r="M32" s="24">
        <f ca="1"/>
        <v>0</v>
      </c>
      <c r="N32" s="24">
        <f ca="1"/>
        <v>0</v>
      </c>
      <c r="O32" s="24">
        <f ca="1"/>
        <v>0</v>
      </c>
      <c r="P32" s="115">
        <f ca="1"/>
        <v>31</v>
      </c>
      <c r="Q32" s="119"/>
      <c r="R32" s="120"/>
      <c r="S32" s="120"/>
      <c r="T32" s="125" t="s">
        <v>301</v>
      </c>
      <c r="U32" s="120"/>
      <c r="V32" s="120"/>
      <c r="W32" s="120"/>
      <c r="X32" s="120"/>
      <c r="Y32" s="120"/>
      <c r="Z32" s="120"/>
      <c r="AA32" s="120"/>
      <c r="AB32" s="120"/>
      <c r="AC32" s="120"/>
      <c r="AD32" s="120"/>
      <c r="AE32" s="121"/>
    </row>
    <row r="33" spans="1:31" x14ac:dyDescent="0.25">
      <c r="A33" s="24">
        <v>0</v>
      </c>
      <c r="B33" s="24" t="e">
        <f ca="1">IF(Split=0,IF(OR(Demand!C44&gt;UCL,Demand!C44&lt;LCL),Demand!C44,NA()),IF(Split&gt;=P33,IF(OR(Demand!C44&gt;_UCL1,Demand!C44&lt;_LCL1),Demand!C44,NA()),IF(OR(Demand!C44&gt;_UCL2,Demand!C44&lt;_LCL2),Demand!C44,NA())))</f>
        <v>#N/A</v>
      </c>
      <c r="C33" s="24">
        <f ca="1">IF(Split=0,IF(Demand!C44&gt;Sigma2Plus,2,IF(Demand!C44&lt;Sigma2Minus,-2,IF(Demand!C44&lt;Mean,-1,1))),IF(Split&gt;=P33,IF(Demand!C44&gt;Sigma2Plus1,2,IF(Demand!C44&lt;Sigma2Minus1,-2,IF(Demand!C44&lt;Mean1,-1,1))),IF(Demand!C44&gt;Sigma2Plus2,2,IF(Demand!C44&lt;Sigma2Minus2,-2,IF(Demand!C44&lt;Mean2,-1,1)))))</f>
        <v>1</v>
      </c>
      <c r="D33" s="24" t="e">
        <f ca="1">IF(AND(ABS(SUM(C33:C35))&gt;4,P33&lt;ROWS(DTARange)),Demand!C44,NA())</f>
        <v>#REF!</v>
      </c>
      <c r="E33" s="24">
        <f ca="1">IF(Split=0,IF(Demand!C44&gt;Sigma1Plus,2,IF(Demand!C44&lt;Sigma1Minus,-2,IF(Demand!C44&lt;Mean,-1,1))),IF(Split&gt;=P33,IF(Demand!C44&gt;Sigma1Plus1,2,IF(Demand!C44&lt;Sigma1Minus1,-2,IF(Demand!C44&lt;Mean1,-1,1))),IF(Demand!C44&gt;Sigma1Plus2,2,IF(Demand!C44&lt;Sigma1Minus2,-2,IF(Demand!C44&lt;Mean,-1,1)))))</f>
        <v>1</v>
      </c>
      <c r="F33" s="24" t="e">
        <f ca="1">IF(AND(ABS(SUM(E33:E37))&gt;8,P33&lt;ROWS(DTARange)),Demand!C44,NA())</f>
        <v>#REF!</v>
      </c>
      <c r="G33" s="24">
        <f ca="1">IF(Split=0,IF(Demand!C44&gt;Mean,IF(G32&gt;=0,G32+1,0),IF(Demand!C44&lt;Mean,IF(G32&lt;=0,G32-1,0),0)),IF(Split&gt;=P32,IF(Demand!C44&gt;Mean1,IF(G32&gt;=0,G32+1,0),IF(Demand!C44&lt;Mean1,IF(G32&lt;=0,G32-1,0),0)),IF(Demand!C44&gt;Mean2,IF(G32&gt;=0,G32+1,0),IF(Demand!C44&lt;Mean2,IF(G32&lt;=0,G32-1,0),0))))</f>
        <v>0</v>
      </c>
      <c r="H33" s="24" t="e">
        <f ca="1">IF(AND(ABS(G41)=8,P33&lt;ROWS(DTARange)),Demand!C44,NA())</f>
        <v>#REF!</v>
      </c>
      <c r="I33" s="24">
        <f ca="1"/>
        <v>0</v>
      </c>
      <c r="J33" s="24">
        <f ca="1"/>
        <v>0</v>
      </c>
      <c r="K33" s="24">
        <f ca="1"/>
        <v>0</v>
      </c>
      <c r="L33" s="24">
        <f ca="1"/>
        <v>0</v>
      </c>
      <c r="M33" s="24">
        <f ca="1"/>
        <v>0</v>
      </c>
      <c r="N33" s="24">
        <f ca="1"/>
        <v>0</v>
      </c>
      <c r="O33" s="24">
        <f ca="1"/>
        <v>0</v>
      </c>
      <c r="P33" s="115">
        <f ca="1"/>
        <v>32</v>
      </c>
      <c r="Q33" s="119"/>
      <c r="R33" s="120"/>
      <c r="S33" s="120"/>
      <c r="T33" s="125" t="s">
        <v>302</v>
      </c>
      <c r="U33" s="120"/>
      <c r="V33" s="120"/>
      <c r="W33" s="120"/>
      <c r="X33" s="120"/>
      <c r="Y33" s="120"/>
      <c r="Z33" s="120"/>
      <c r="AA33" s="120"/>
      <c r="AB33" s="120"/>
      <c r="AC33" s="120"/>
      <c r="AD33" s="120"/>
      <c r="AE33" s="121"/>
    </row>
    <row r="34" spans="1:31" x14ac:dyDescent="0.25">
      <c r="A34" s="24">
        <v>0</v>
      </c>
      <c r="B34" s="24" t="e">
        <f ca="1">IF(Split=0,IF(OR(Demand!C45&gt;UCL,Demand!C45&lt;LCL),Demand!C45,NA()),IF(Split&gt;=P34,IF(OR(Demand!C45&gt;_UCL1,Demand!C45&lt;_LCL1),Demand!C45,NA()),IF(OR(Demand!C45&gt;_UCL2,Demand!C45&lt;_LCL2),Demand!C45,NA())))</f>
        <v>#N/A</v>
      </c>
      <c r="C34" s="24">
        <f ca="1">IF(Split=0,IF(Demand!C45&gt;Sigma2Plus,2,IF(Demand!C45&lt;Sigma2Minus,-2,IF(Demand!C45&lt;Mean,-1,1))),IF(Split&gt;=P34,IF(Demand!C45&gt;Sigma2Plus1,2,IF(Demand!C45&lt;Sigma2Minus1,-2,IF(Demand!C45&lt;Mean1,-1,1))),IF(Demand!C45&gt;Sigma2Plus2,2,IF(Demand!C45&lt;Sigma2Minus2,-2,IF(Demand!C45&lt;Mean2,-1,1)))))</f>
        <v>1</v>
      </c>
      <c r="D34" s="24" t="e">
        <f ca="1">IF(AND(ABS(SUM(C34:C36))&gt;4,P34&lt;ROWS(DTARange)),Demand!C45,NA())</f>
        <v>#REF!</v>
      </c>
      <c r="E34" s="24">
        <f ca="1">IF(Split=0,IF(Demand!C45&gt;Sigma1Plus,2,IF(Demand!C45&lt;Sigma1Minus,-2,IF(Demand!C45&lt;Mean,-1,1))),IF(Split&gt;=P34,IF(Demand!C45&gt;Sigma1Plus1,2,IF(Demand!C45&lt;Sigma1Minus1,-2,IF(Demand!C45&lt;Mean1,-1,1))),IF(Demand!C45&gt;Sigma1Plus2,2,IF(Demand!C45&lt;Sigma1Minus2,-2,IF(Demand!C45&lt;Mean,-1,1)))))</f>
        <v>1</v>
      </c>
      <c r="F34" s="24" t="e">
        <f ca="1">IF(AND(ABS(SUM(E34:E38))&gt;8,P34&lt;ROWS(DTARange)),Demand!C45,NA())</f>
        <v>#REF!</v>
      </c>
      <c r="G34" s="24">
        <f ca="1">IF(Split=0,IF(Demand!C45&gt;Mean,IF(G33&gt;=0,G33+1,0),IF(Demand!C45&lt;Mean,IF(G33&lt;=0,G33-1,0),0)),IF(Split&gt;=P33,IF(Demand!C45&gt;Mean1,IF(G33&gt;=0,G33+1,0),IF(Demand!C45&lt;Mean1,IF(G33&lt;=0,G33-1,0),0)),IF(Demand!C45&gt;Mean2,IF(G33&gt;=0,G33+1,0),IF(Demand!C45&lt;Mean2,IF(G33&lt;=0,G33-1,0),0))))</f>
        <v>0</v>
      </c>
      <c r="H34" s="24" t="e">
        <f ca="1">IF(AND(ABS(G42)=8,P34&lt;ROWS(DTARange)),Demand!C45,NA())</f>
        <v>#REF!</v>
      </c>
      <c r="I34" s="24">
        <f ca="1"/>
        <v>0</v>
      </c>
      <c r="J34" s="24">
        <f ca="1"/>
        <v>0</v>
      </c>
      <c r="K34" s="24">
        <f ca="1"/>
        <v>0</v>
      </c>
      <c r="L34" s="24">
        <f ca="1"/>
        <v>0</v>
      </c>
      <c r="M34" s="24">
        <f ca="1"/>
        <v>0</v>
      </c>
      <c r="N34" s="24">
        <f ca="1"/>
        <v>0</v>
      </c>
      <c r="O34" s="24">
        <f ca="1"/>
        <v>0</v>
      </c>
      <c r="P34" s="115">
        <f ca="1"/>
        <v>33</v>
      </c>
      <c r="Q34" s="119"/>
      <c r="R34" s="120"/>
      <c r="S34" s="120"/>
      <c r="T34" s="125" t="s">
        <v>303</v>
      </c>
      <c r="U34" s="120"/>
      <c r="V34" s="120"/>
      <c r="W34" s="120"/>
      <c r="X34" s="120"/>
      <c r="Y34" s="120"/>
      <c r="Z34" s="120"/>
      <c r="AA34" s="120"/>
      <c r="AB34" s="120"/>
      <c r="AC34" s="120"/>
      <c r="AD34" s="120"/>
      <c r="AE34" s="121"/>
    </row>
    <row r="35" spans="1:31" x14ac:dyDescent="0.25">
      <c r="A35" s="24">
        <v>0</v>
      </c>
      <c r="B35" s="24" t="e">
        <f ca="1">IF(Split=0,IF(OR(Demand!C46&gt;UCL,Demand!C46&lt;LCL),Demand!C46,NA()),IF(Split&gt;=P35,IF(OR(Demand!C46&gt;_UCL1,Demand!C46&lt;_LCL1),Demand!C46,NA()),IF(OR(Demand!C46&gt;_UCL2,Demand!C46&lt;_LCL2),Demand!C46,NA())))</f>
        <v>#N/A</v>
      </c>
      <c r="C35" s="24">
        <f ca="1">IF(Split=0,IF(Demand!C46&gt;Sigma2Plus,2,IF(Demand!C46&lt;Sigma2Minus,-2,IF(Demand!C46&lt;Mean,-1,1))),IF(Split&gt;=P35,IF(Demand!C46&gt;Sigma2Plus1,2,IF(Demand!C46&lt;Sigma2Minus1,-2,IF(Demand!C46&lt;Mean1,-1,1))),IF(Demand!C46&gt;Sigma2Plus2,2,IF(Demand!C46&lt;Sigma2Minus2,-2,IF(Demand!C46&lt;Mean2,-1,1)))))</f>
        <v>1</v>
      </c>
      <c r="D35" s="24" t="e">
        <f ca="1">IF(AND(ABS(SUM(C35:C37))&gt;4,P35&lt;ROWS(DTARange)),Demand!C46,NA())</f>
        <v>#REF!</v>
      </c>
      <c r="E35" s="24">
        <f ca="1">IF(Split=0,IF(Demand!C46&gt;Sigma1Plus,2,IF(Demand!C46&lt;Sigma1Minus,-2,IF(Demand!C46&lt;Mean,-1,1))),IF(Split&gt;=P35,IF(Demand!C46&gt;Sigma1Plus1,2,IF(Demand!C46&lt;Sigma1Minus1,-2,IF(Demand!C46&lt;Mean1,-1,1))),IF(Demand!C46&gt;Sigma1Plus2,2,IF(Demand!C46&lt;Sigma1Minus2,-2,IF(Demand!C46&lt;Mean,-1,1)))))</f>
        <v>1</v>
      </c>
      <c r="F35" s="24" t="e">
        <f ca="1">IF(AND(ABS(SUM(E35:E39))&gt;8,P35&lt;ROWS(DTARange)),Demand!C46,NA())</f>
        <v>#REF!</v>
      </c>
      <c r="G35" s="24">
        <f ca="1">IF(Split=0,IF(Demand!C46&gt;Mean,IF(G34&gt;=0,G34+1,0),IF(Demand!C46&lt;Mean,IF(G34&lt;=0,G34-1,0),0)),IF(Split&gt;=P34,IF(Demand!C46&gt;Mean1,IF(G34&gt;=0,G34+1,0),IF(Demand!C46&lt;Mean1,IF(G34&lt;=0,G34-1,0),0)),IF(Demand!C46&gt;Mean2,IF(G34&gt;=0,G34+1,0),IF(Demand!C46&lt;Mean2,IF(G34&lt;=0,G34-1,0),0))))</f>
        <v>0</v>
      </c>
      <c r="H35" s="24" t="e">
        <f ca="1">IF(AND(ABS(G43)=8,P35&lt;ROWS(DTARange)),Demand!C46,NA())</f>
        <v>#REF!</v>
      </c>
      <c r="I35" s="24">
        <f ca="1"/>
        <v>0</v>
      </c>
      <c r="J35" s="24">
        <f ca="1"/>
        <v>0</v>
      </c>
      <c r="K35" s="24">
        <f ca="1"/>
        <v>0</v>
      </c>
      <c r="L35" s="24">
        <f ca="1"/>
        <v>0</v>
      </c>
      <c r="M35" s="24">
        <f ca="1"/>
        <v>0</v>
      </c>
      <c r="N35" s="24">
        <f ca="1"/>
        <v>0</v>
      </c>
      <c r="O35" s="24">
        <f ca="1"/>
        <v>0</v>
      </c>
      <c r="P35" s="24">
        <f ca="1"/>
        <v>34</v>
      </c>
      <c r="Q35" s="119"/>
      <c r="R35" s="120"/>
      <c r="S35" s="120"/>
      <c r="T35" s="125" t="s">
        <v>304</v>
      </c>
      <c r="U35" s="120"/>
      <c r="V35" s="120"/>
      <c r="W35" s="120"/>
      <c r="X35" s="120"/>
      <c r="Y35" s="120"/>
      <c r="Z35" s="120"/>
      <c r="AA35" s="120"/>
      <c r="AB35" s="120"/>
      <c r="AC35" s="120"/>
      <c r="AD35" s="120"/>
      <c r="AE35" s="121"/>
    </row>
    <row r="36" spans="1:31" x14ac:dyDescent="0.25">
      <c r="A36" s="24">
        <v>0</v>
      </c>
      <c r="B36" s="24" t="e">
        <f ca="1">IF(Split=0,IF(OR(Demand!C47&gt;UCL,Demand!C47&lt;LCL),Demand!C47,NA()),IF(Split&gt;=P36,IF(OR(Demand!C47&gt;_UCL1,Demand!C47&lt;_LCL1),Demand!C47,NA()),IF(OR(Demand!C47&gt;_UCL2,Demand!C47&lt;_LCL2),Demand!C47,NA())))</f>
        <v>#N/A</v>
      </c>
      <c r="C36" s="24">
        <f ca="1">IF(Split=0,IF(Demand!C47&gt;Sigma2Plus,2,IF(Demand!C47&lt;Sigma2Minus,-2,IF(Demand!C47&lt;Mean,-1,1))),IF(Split&gt;=P36,IF(Demand!C47&gt;Sigma2Plus1,2,IF(Demand!C47&lt;Sigma2Minus1,-2,IF(Demand!C47&lt;Mean1,-1,1))),IF(Demand!C47&gt;Sigma2Plus2,2,IF(Demand!C47&lt;Sigma2Minus2,-2,IF(Demand!C47&lt;Mean2,-1,1)))))</f>
        <v>1</v>
      </c>
      <c r="D36" s="24" t="e">
        <f ca="1">IF(AND(ABS(SUM(C36:C38))&gt;4,P36&lt;ROWS(DTARange)),Demand!C47,NA())</f>
        <v>#REF!</v>
      </c>
      <c r="E36" s="24">
        <f ca="1">IF(Split=0,IF(Demand!C47&gt;Sigma1Plus,2,IF(Demand!C47&lt;Sigma1Minus,-2,IF(Demand!C47&lt;Mean,-1,1))),IF(Split&gt;=P36,IF(Demand!C47&gt;Sigma1Plus1,2,IF(Demand!C47&lt;Sigma1Minus1,-2,IF(Demand!C47&lt;Mean1,-1,1))),IF(Demand!C47&gt;Sigma1Plus2,2,IF(Demand!C47&lt;Sigma1Minus2,-2,IF(Demand!C47&lt;Mean,-1,1)))))</f>
        <v>1</v>
      </c>
      <c r="F36" s="24" t="e">
        <f ca="1">IF(AND(ABS(SUM(E36:E40))&gt;8,P36&lt;ROWS(DTARange)),Demand!C47,NA())</f>
        <v>#REF!</v>
      </c>
      <c r="G36" s="24">
        <f ca="1">IF(Split=0,IF(Demand!C47&gt;Mean,IF(G35&gt;=0,G35+1,0),IF(Demand!C47&lt;Mean,IF(G35&lt;=0,G35-1,0),0)),IF(Split&gt;=P35,IF(Demand!C47&gt;Mean1,IF(G35&gt;=0,G35+1,0),IF(Demand!C47&lt;Mean1,IF(G35&lt;=0,G35-1,0),0)),IF(Demand!C47&gt;Mean2,IF(G35&gt;=0,G35+1,0),IF(Demand!C47&lt;Mean2,IF(G35&lt;=0,G35-1,0),0))))</f>
        <v>0</v>
      </c>
      <c r="H36" s="24" t="e">
        <f ca="1">IF(AND(ABS(G44)=8,P36&lt;ROWS(DTARange)),Demand!C47,NA())</f>
        <v>#REF!</v>
      </c>
      <c r="I36" s="24">
        <f ca="1"/>
        <v>0</v>
      </c>
      <c r="J36" s="24">
        <f ca="1"/>
        <v>0</v>
      </c>
      <c r="K36" s="24">
        <f ca="1"/>
        <v>0</v>
      </c>
      <c r="L36" s="24">
        <f ca="1"/>
        <v>0</v>
      </c>
      <c r="M36" s="24">
        <f ca="1"/>
        <v>0</v>
      </c>
      <c r="N36" s="24">
        <f ca="1"/>
        <v>0</v>
      </c>
      <c r="O36" s="24">
        <f ca="1"/>
        <v>0</v>
      </c>
      <c r="P36" s="24">
        <f ca="1"/>
        <v>35</v>
      </c>
      <c r="Q36" s="126"/>
      <c r="R36" s="127"/>
      <c r="S36" s="127"/>
      <c r="T36" s="127"/>
      <c r="U36" s="127"/>
      <c r="V36" s="127"/>
      <c r="W36" s="127"/>
      <c r="X36" s="127"/>
      <c r="Y36" s="127"/>
      <c r="Z36" s="127"/>
      <c r="AA36" s="127"/>
      <c r="AB36" s="127"/>
      <c r="AC36" s="127"/>
      <c r="AD36" s="127"/>
      <c r="AE36" s="128"/>
    </row>
    <row r="37" spans="1:31" x14ac:dyDescent="0.25">
      <c r="A37" s="24">
        <v>0</v>
      </c>
      <c r="B37" s="24" t="e">
        <f ca="1">IF(Split=0,IF(OR(Demand!C48&gt;UCL,Demand!C48&lt;LCL),Demand!C48,NA()),IF(Split&gt;=P37,IF(OR(Demand!C48&gt;_UCL1,Demand!C48&lt;_LCL1),Demand!C48,NA()),IF(OR(Demand!C48&gt;_UCL2,Demand!C48&lt;_LCL2),Demand!C48,NA())))</f>
        <v>#N/A</v>
      </c>
      <c r="C37" s="24">
        <f ca="1">IF(Split=0,IF(Demand!C48&gt;Sigma2Plus,2,IF(Demand!C48&lt;Sigma2Minus,-2,IF(Demand!C48&lt;Mean,-1,1))),IF(Split&gt;=P37,IF(Demand!C48&gt;Sigma2Plus1,2,IF(Demand!C48&lt;Sigma2Minus1,-2,IF(Demand!C48&lt;Mean1,-1,1))),IF(Demand!C48&gt;Sigma2Plus2,2,IF(Demand!C48&lt;Sigma2Minus2,-2,IF(Demand!C48&lt;Mean2,-1,1)))))</f>
        <v>1</v>
      </c>
      <c r="D37" s="24" t="e">
        <f ca="1">IF(AND(ABS(SUM(C37:C39))&gt;4,P37&lt;ROWS(DTARange)),Demand!C48,NA())</f>
        <v>#REF!</v>
      </c>
      <c r="E37" s="24">
        <f ca="1">IF(Split=0,IF(Demand!C48&gt;Sigma1Plus,2,IF(Demand!C48&lt;Sigma1Minus,-2,IF(Demand!C48&lt;Mean,-1,1))),IF(Split&gt;=P37,IF(Demand!C48&gt;Sigma1Plus1,2,IF(Demand!C48&lt;Sigma1Minus1,-2,IF(Demand!C48&lt;Mean1,-1,1))),IF(Demand!C48&gt;Sigma1Plus2,2,IF(Demand!C48&lt;Sigma1Minus2,-2,IF(Demand!C48&lt;Mean,-1,1)))))</f>
        <v>1</v>
      </c>
      <c r="F37" s="24" t="e">
        <f ca="1">IF(AND(ABS(SUM(E37:E41))&gt;8,P37&lt;ROWS(DTARange)),Demand!C48,NA())</f>
        <v>#REF!</v>
      </c>
      <c r="G37" s="24">
        <f ca="1">IF(Split=0,IF(Demand!C48&gt;Mean,IF(G36&gt;=0,G36+1,0),IF(Demand!C48&lt;Mean,IF(G36&lt;=0,G36-1,0),0)),IF(Split&gt;=P36,IF(Demand!C48&gt;Mean1,IF(G36&gt;=0,G36+1,0),IF(Demand!C48&lt;Mean1,IF(G36&lt;=0,G36-1,0),0)),IF(Demand!C48&gt;Mean2,IF(G36&gt;=0,G36+1,0),IF(Demand!C48&lt;Mean2,IF(G36&lt;=0,G36-1,0),0))))</f>
        <v>0</v>
      </c>
      <c r="H37" s="24" t="e">
        <f ca="1">IF(AND(ABS(G45)=8,P37&lt;ROWS(DTARange)),Demand!C48,NA())</f>
        <v>#REF!</v>
      </c>
      <c r="I37" s="24">
        <f ca="1"/>
        <v>0</v>
      </c>
      <c r="J37" s="24">
        <f ca="1"/>
        <v>0</v>
      </c>
      <c r="K37" s="24">
        <f ca="1"/>
        <v>0</v>
      </c>
      <c r="L37" s="24">
        <f ca="1"/>
        <v>0</v>
      </c>
      <c r="M37" s="24">
        <f ca="1"/>
        <v>0</v>
      </c>
      <c r="N37" s="24">
        <f ca="1"/>
        <v>0</v>
      </c>
      <c r="O37" s="24">
        <f ca="1"/>
        <v>0</v>
      </c>
      <c r="P37" s="24">
        <f ca="1"/>
        <v>36</v>
      </c>
    </row>
    <row r="38" spans="1:31" x14ac:dyDescent="0.25">
      <c r="A38" s="24">
        <v>0</v>
      </c>
      <c r="B38" s="24" t="e">
        <f ca="1">IF(Split=0,IF(OR(Demand!C49&gt;UCL,Demand!C49&lt;LCL),Demand!C49,NA()),IF(Split&gt;=P38,IF(OR(Demand!C49&gt;_UCL1,Demand!C49&lt;_LCL1),Demand!C49,NA()),IF(OR(Demand!C49&gt;_UCL2,Demand!C49&lt;_LCL2),Demand!C49,NA())))</f>
        <v>#N/A</v>
      </c>
      <c r="C38" s="24">
        <f ca="1">IF(Split=0,IF(Demand!C49&gt;Sigma2Plus,2,IF(Demand!C49&lt;Sigma2Minus,-2,IF(Demand!C49&lt;Mean,-1,1))),IF(Split&gt;=P38,IF(Demand!C49&gt;Sigma2Plus1,2,IF(Demand!C49&lt;Sigma2Minus1,-2,IF(Demand!C49&lt;Mean1,-1,1))),IF(Demand!C49&gt;Sigma2Plus2,2,IF(Demand!C49&lt;Sigma2Minus2,-2,IF(Demand!C49&lt;Mean2,-1,1)))))</f>
        <v>1</v>
      </c>
      <c r="D38" s="24" t="e">
        <f ca="1">IF(AND(ABS(SUM(C38:C40))&gt;4,P38&lt;ROWS(DTARange)),Demand!C49,NA())</f>
        <v>#REF!</v>
      </c>
      <c r="E38" s="24">
        <f ca="1">IF(Split=0,IF(Demand!C49&gt;Sigma1Plus,2,IF(Demand!C49&lt;Sigma1Minus,-2,IF(Demand!C49&lt;Mean,-1,1))),IF(Split&gt;=P38,IF(Demand!C49&gt;Sigma1Plus1,2,IF(Demand!C49&lt;Sigma1Minus1,-2,IF(Demand!C49&lt;Mean1,-1,1))),IF(Demand!C49&gt;Sigma1Plus2,2,IF(Demand!C49&lt;Sigma1Minus2,-2,IF(Demand!C49&lt;Mean,-1,1)))))</f>
        <v>1</v>
      </c>
      <c r="F38" s="24" t="e">
        <f ca="1">IF(AND(ABS(SUM(E38:E42))&gt;8,P38&lt;ROWS(DTARange)),Demand!C49,NA())</f>
        <v>#REF!</v>
      </c>
      <c r="G38" s="24">
        <f ca="1">IF(Split=0,IF(Demand!C49&gt;Mean,IF(G37&gt;=0,G37+1,0),IF(Demand!C49&lt;Mean,IF(G37&lt;=0,G37-1,0),0)),IF(Split&gt;=P37,IF(Demand!C49&gt;Mean1,IF(G37&gt;=0,G37+1,0),IF(Demand!C49&lt;Mean1,IF(G37&lt;=0,G37-1,0),0)),IF(Demand!C49&gt;Mean2,IF(G37&gt;=0,G37+1,0),IF(Demand!C49&lt;Mean2,IF(G37&lt;=0,G37-1,0),0))))</f>
        <v>0</v>
      </c>
      <c r="H38" s="24" t="e">
        <f ca="1">IF(AND(ABS(G46)=8,P38&lt;ROWS(DTARange)),Demand!C49,NA())</f>
        <v>#REF!</v>
      </c>
      <c r="I38" s="24">
        <f ca="1"/>
        <v>0</v>
      </c>
      <c r="J38" s="24">
        <f ca="1"/>
        <v>0</v>
      </c>
      <c r="K38" s="24">
        <f ca="1"/>
        <v>0</v>
      </c>
      <c r="L38" s="24">
        <f ca="1"/>
        <v>0</v>
      </c>
      <c r="M38" s="24">
        <f ca="1"/>
        <v>0</v>
      </c>
      <c r="N38" s="24">
        <f ca="1"/>
        <v>0</v>
      </c>
      <c r="O38" s="24">
        <f ca="1"/>
        <v>0</v>
      </c>
      <c r="P38" s="24">
        <f ca="1"/>
        <v>37</v>
      </c>
    </row>
    <row r="39" spans="1:31" x14ac:dyDescent="0.25">
      <c r="A39" s="24">
        <v>0</v>
      </c>
      <c r="B39" s="24" t="e">
        <f ca="1">IF(Split=0,IF(OR(Demand!C50&gt;UCL,Demand!C50&lt;LCL),Demand!C50,NA()),IF(Split&gt;=P39,IF(OR(Demand!C50&gt;_UCL1,Demand!C50&lt;_LCL1),Demand!C50,NA()),IF(OR(Demand!C50&gt;_UCL2,Demand!C50&lt;_LCL2),Demand!C50,NA())))</f>
        <v>#N/A</v>
      </c>
      <c r="C39" s="24">
        <f ca="1">IF(Split=0,IF(Demand!C50&gt;Sigma2Plus,2,IF(Demand!C50&lt;Sigma2Minus,-2,IF(Demand!C50&lt;Mean,-1,1))),IF(Split&gt;=P39,IF(Demand!C50&gt;Sigma2Plus1,2,IF(Demand!C50&lt;Sigma2Minus1,-2,IF(Demand!C50&lt;Mean1,-1,1))),IF(Demand!C50&gt;Sigma2Plus2,2,IF(Demand!C50&lt;Sigma2Minus2,-2,IF(Demand!C50&lt;Mean2,-1,1)))))</f>
        <v>1</v>
      </c>
      <c r="D39" s="24" t="e">
        <f ca="1">IF(AND(ABS(SUM(C39:C41))&gt;4,P39&lt;ROWS(DTARange)),Demand!C50,NA())</f>
        <v>#REF!</v>
      </c>
      <c r="E39" s="24">
        <f ca="1">IF(Split=0,IF(Demand!C50&gt;Sigma1Plus,2,IF(Demand!C50&lt;Sigma1Minus,-2,IF(Demand!C50&lt;Mean,-1,1))),IF(Split&gt;=P39,IF(Demand!C50&gt;Sigma1Plus1,2,IF(Demand!C50&lt;Sigma1Minus1,-2,IF(Demand!C50&lt;Mean1,-1,1))),IF(Demand!C50&gt;Sigma1Plus2,2,IF(Demand!C50&lt;Sigma1Minus2,-2,IF(Demand!C50&lt;Mean,-1,1)))))</f>
        <v>1</v>
      </c>
      <c r="F39" s="24" t="e">
        <f ca="1">IF(AND(ABS(SUM(E39:E43))&gt;8,P39&lt;ROWS(DTARange)),Demand!C50,NA())</f>
        <v>#REF!</v>
      </c>
      <c r="G39" s="24">
        <f ca="1">IF(Split=0,IF(Demand!C50&gt;Mean,IF(G38&gt;=0,G38+1,0),IF(Demand!C50&lt;Mean,IF(G38&lt;=0,G38-1,0),0)),IF(Split&gt;=P38,IF(Demand!C50&gt;Mean1,IF(G38&gt;=0,G38+1,0),IF(Demand!C50&lt;Mean1,IF(G38&lt;=0,G38-1,0),0)),IF(Demand!C50&gt;Mean2,IF(G38&gt;=0,G38+1,0),IF(Demand!C50&lt;Mean2,IF(G38&lt;=0,G38-1,0),0))))</f>
        <v>0</v>
      </c>
      <c r="H39" s="24" t="e">
        <f ca="1">IF(AND(ABS(G47)=8,P39&lt;ROWS(DTARange)),Demand!C50,NA())</f>
        <v>#REF!</v>
      </c>
      <c r="I39" s="24">
        <f ca="1"/>
        <v>0</v>
      </c>
      <c r="J39" s="24">
        <f ca="1"/>
        <v>0</v>
      </c>
      <c r="K39" s="24">
        <f ca="1"/>
        <v>0</v>
      </c>
      <c r="L39" s="24">
        <f ca="1"/>
        <v>0</v>
      </c>
      <c r="M39" s="24">
        <f ca="1"/>
        <v>0</v>
      </c>
      <c r="N39" s="24">
        <f ca="1"/>
        <v>0</v>
      </c>
      <c r="O39" s="24">
        <f ca="1"/>
        <v>0</v>
      </c>
      <c r="P39" s="24">
        <f ca="1"/>
        <v>38</v>
      </c>
    </row>
    <row r="40" spans="1:31" x14ac:dyDescent="0.25">
      <c r="A40" s="24">
        <v>0</v>
      </c>
      <c r="B40" s="24" t="e">
        <f ca="1">IF(Split=0,IF(OR(Demand!C51&gt;UCL,Demand!C51&lt;LCL),Demand!C51,NA()),IF(Split&gt;=P40,IF(OR(Demand!C51&gt;_UCL1,Demand!C51&lt;_LCL1),Demand!C51,NA()),IF(OR(Demand!C51&gt;_UCL2,Demand!C51&lt;_LCL2),Demand!C51,NA())))</f>
        <v>#N/A</v>
      </c>
      <c r="C40" s="24">
        <f ca="1">IF(Split=0,IF(Demand!C51&gt;Sigma2Plus,2,IF(Demand!C51&lt;Sigma2Minus,-2,IF(Demand!C51&lt;Mean,-1,1))),IF(Split&gt;=P40,IF(Demand!C51&gt;Sigma2Plus1,2,IF(Demand!C51&lt;Sigma2Minus1,-2,IF(Demand!C51&lt;Mean1,-1,1))),IF(Demand!C51&gt;Sigma2Plus2,2,IF(Demand!C51&lt;Sigma2Minus2,-2,IF(Demand!C51&lt;Mean2,-1,1)))))</f>
        <v>1</v>
      </c>
      <c r="D40" s="24" t="e">
        <f ca="1">IF(AND(ABS(SUM(C40:C42))&gt;4,P40&lt;ROWS(DTARange)),Demand!C51,NA())</f>
        <v>#REF!</v>
      </c>
      <c r="E40" s="24">
        <f ca="1">IF(Split=0,IF(Demand!C51&gt;Sigma1Plus,2,IF(Demand!C51&lt;Sigma1Minus,-2,IF(Demand!C51&lt;Mean,-1,1))),IF(Split&gt;=P40,IF(Demand!C51&gt;Sigma1Plus1,2,IF(Demand!C51&lt;Sigma1Minus1,-2,IF(Demand!C51&lt;Mean1,-1,1))),IF(Demand!C51&gt;Sigma1Plus2,2,IF(Demand!C51&lt;Sigma1Minus2,-2,IF(Demand!C51&lt;Mean,-1,1)))))</f>
        <v>1</v>
      </c>
      <c r="F40" s="24" t="e">
        <f ca="1">IF(AND(ABS(SUM(E40:E44))&gt;8,P40&lt;ROWS(DTARange)),Demand!C51,NA())</f>
        <v>#REF!</v>
      </c>
      <c r="G40" s="24">
        <f ca="1">IF(Split=0,IF(Demand!C51&gt;Mean,IF(G39&gt;=0,G39+1,0),IF(Demand!C51&lt;Mean,IF(G39&lt;=0,G39-1,0),0)),IF(Split&gt;=P39,IF(Demand!C51&gt;Mean1,IF(G39&gt;=0,G39+1,0),IF(Demand!C51&lt;Mean1,IF(G39&lt;=0,G39-1,0),0)),IF(Demand!C51&gt;Mean2,IF(G39&gt;=0,G39+1,0),IF(Demand!C51&lt;Mean2,IF(G39&lt;=0,G39-1,0),0))))</f>
        <v>0</v>
      </c>
      <c r="H40" s="24" t="e">
        <f ca="1">IF(AND(ABS(G48)=8,P40&lt;ROWS(DTARange)),Demand!C51,NA())</f>
        <v>#REF!</v>
      </c>
      <c r="I40" s="24">
        <f ca="1"/>
        <v>0</v>
      </c>
      <c r="J40" s="24">
        <f ca="1"/>
        <v>0</v>
      </c>
      <c r="K40" s="24">
        <f ca="1"/>
        <v>0</v>
      </c>
      <c r="L40" s="24">
        <f ca="1"/>
        <v>0</v>
      </c>
      <c r="M40" s="24">
        <f ca="1"/>
        <v>0</v>
      </c>
      <c r="N40" s="24">
        <f ca="1"/>
        <v>0</v>
      </c>
      <c r="O40" s="24">
        <f ca="1"/>
        <v>0</v>
      </c>
      <c r="P40" s="24">
        <f ca="1"/>
        <v>39</v>
      </c>
    </row>
    <row r="41" spans="1:31" x14ac:dyDescent="0.25">
      <c r="A41" s="24">
        <v>0</v>
      </c>
      <c r="B41" s="24" t="e">
        <f ca="1">IF(Split=0,IF(OR(Demand!C52&gt;UCL,Demand!C52&lt;LCL),Demand!C52,NA()),IF(Split&gt;=P41,IF(OR(Demand!C52&gt;_UCL1,Demand!C52&lt;_LCL1),Demand!C52,NA()),IF(OR(Demand!C52&gt;_UCL2,Demand!C52&lt;_LCL2),Demand!C52,NA())))</f>
        <v>#N/A</v>
      </c>
      <c r="C41" s="24">
        <f ca="1">IF(Split=0,IF(Demand!C52&gt;Sigma2Plus,2,IF(Demand!C52&lt;Sigma2Minus,-2,IF(Demand!C52&lt;Mean,-1,1))),IF(Split&gt;=P41,IF(Demand!C52&gt;Sigma2Plus1,2,IF(Demand!C52&lt;Sigma2Minus1,-2,IF(Demand!C52&lt;Mean1,-1,1))),IF(Demand!C52&gt;Sigma2Plus2,2,IF(Demand!C52&lt;Sigma2Minus2,-2,IF(Demand!C52&lt;Mean2,-1,1)))))</f>
        <v>1</v>
      </c>
      <c r="D41" s="24" t="e">
        <f ca="1">IF(AND(ABS(SUM(C41:C43))&gt;4,P41&lt;ROWS(DTARange)),Demand!C52,NA())</f>
        <v>#REF!</v>
      </c>
      <c r="E41" s="24">
        <f ca="1">IF(Split=0,IF(Demand!C52&gt;Sigma1Plus,2,IF(Demand!C52&lt;Sigma1Minus,-2,IF(Demand!C52&lt;Mean,-1,1))),IF(Split&gt;=P41,IF(Demand!C52&gt;Sigma1Plus1,2,IF(Demand!C52&lt;Sigma1Minus1,-2,IF(Demand!C52&lt;Mean1,-1,1))),IF(Demand!C52&gt;Sigma1Plus2,2,IF(Demand!C52&lt;Sigma1Minus2,-2,IF(Demand!C52&lt;Mean,-1,1)))))</f>
        <v>1</v>
      </c>
      <c r="F41" s="24" t="e">
        <f ca="1">IF(AND(ABS(SUM(E41:E45))&gt;8,P41&lt;ROWS(DTARange)),Demand!C52,NA())</f>
        <v>#REF!</v>
      </c>
      <c r="G41" s="24">
        <f ca="1">IF(Split=0,IF(Demand!C52&gt;Mean,IF(G40&gt;=0,G40+1,0),IF(Demand!C52&lt;Mean,IF(G40&lt;=0,G40-1,0),0)),IF(Split&gt;=P40,IF(Demand!C52&gt;Mean1,IF(G40&gt;=0,G40+1,0),IF(Demand!C52&lt;Mean1,IF(G40&lt;=0,G40-1,0),0)),IF(Demand!C52&gt;Mean2,IF(G40&gt;=0,G40+1,0),IF(Demand!C52&lt;Mean2,IF(G40&lt;=0,G40-1,0),0))))</f>
        <v>0</v>
      </c>
      <c r="H41" s="24" t="e">
        <f ca="1">IF(AND(ABS(G49)=8,P41&lt;ROWS(DTARange)),Demand!C52,NA())</f>
        <v>#REF!</v>
      </c>
      <c r="I41" s="24">
        <f ca="1"/>
        <v>0</v>
      </c>
      <c r="J41" s="24">
        <f ca="1"/>
        <v>0</v>
      </c>
      <c r="K41" s="24">
        <f ca="1"/>
        <v>0</v>
      </c>
      <c r="L41" s="24">
        <f ca="1"/>
        <v>0</v>
      </c>
      <c r="M41" s="24">
        <f ca="1"/>
        <v>0</v>
      </c>
      <c r="N41" s="24">
        <f ca="1"/>
        <v>0</v>
      </c>
      <c r="O41" s="24">
        <f ca="1"/>
        <v>0</v>
      </c>
      <c r="P41" s="24">
        <f ca="1"/>
        <v>40</v>
      </c>
    </row>
    <row r="42" spans="1:31" x14ac:dyDescent="0.25">
      <c r="A42" s="24">
        <v>0</v>
      </c>
      <c r="B42" s="24" t="e">
        <f ca="1">IF(Split=0,IF(OR(Demand!C53&gt;UCL,Demand!C53&lt;LCL),Demand!C53,NA()),IF(Split&gt;=P42,IF(OR(Demand!C53&gt;_UCL1,Demand!C53&lt;_LCL1),Demand!C53,NA()),IF(OR(Demand!C53&gt;_UCL2,Demand!C53&lt;_LCL2),Demand!C53,NA())))</f>
        <v>#N/A</v>
      </c>
      <c r="C42" s="24">
        <f ca="1">IF(Split=0,IF(Demand!C53&gt;Sigma2Plus,2,IF(Demand!C53&lt;Sigma2Minus,-2,IF(Demand!C53&lt;Mean,-1,1))),IF(Split&gt;=P42,IF(Demand!C53&gt;Sigma2Plus1,2,IF(Demand!C53&lt;Sigma2Minus1,-2,IF(Demand!C53&lt;Mean1,-1,1))),IF(Demand!C53&gt;Sigma2Plus2,2,IF(Demand!C53&lt;Sigma2Minus2,-2,IF(Demand!C53&lt;Mean2,-1,1)))))</f>
        <v>1</v>
      </c>
      <c r="D42" s="24" t="e">
        <f ca="1">IF(AND(ABS(SUM(C42:C44))&gt;4,P42&lt;ROWS(DTARange)),Demand!C53,NA())</f>
        <v>#REF!</v>
      </c>
      <c r="E42" s="24">
        <f ca="1">IF(Split=0,IF(Demand!C53&gt;Sigma1Plus,2,IF(Demand!C53&lt;Sigma1Minus,-2,IF(Demand!C53&lt;Mean,-1,1))),IF(Split&gt;=P42,IF(Demand!C53&gt;Sigma1Plus1,2,IF(Demand!C53&lt;Sigma1Minus1,-2,IF(Demand!C53&lt;Mean1,-1,1))),IF(Demand!C53&gt;Sigma1Plus2,2,IF(Demand!C53&lt;Sigma1Minus2,-2,IF(Demand!C53&lt;Mean,-1,1)))))</f>
        <v>1</v>
      </c>
      <c r="F42" s="24" t="e">
        <f ca="1">IF(AND(ABS(SUM(E42:E46))&gt;8,P42&lt;ROWS(DTARange)),Demand!C53,NA())</f>
        <v>#REF!</v>
      </c>
      <c r="G42" s="24">
        <f ca="1">IF(Split=0,IF(Demand!C53&gt;Mean,IF(G41&gt;=0,G41+1,0),IF(Demand!C53&lt;Mean,IF(G41&lt;=0,G41-1,0),0)),IF(Split&gt;=P41,IF(Demand!C53&gt;Mean1,IF(G41&gt;=0,G41+1,0),IF(Demand!C53&lt;Mean1,IF(G41&lt;=0,G41-1,0),0)),IF(Demand!C53&gt;Mean2,IF(G41&gt;=0,G41+1,0),IF(Demand!C53&lt;Mean2,IF(G41&lt;=0,G41-1,0),0))))</f>
        <v>0</v>
      </c>
      <c r="H42" s="24" t="e">
        <f ca="1">IF(AND(ABS(G50)=8,P42&lt;ROWS(DTARange)),Demand!C53,NA())</f>
        <v>#REF!</v>
      </c>
      <c r="I42" s="24">
        <f ca="1"/>
        <v>0</v>
      </c>
      <c r="J42" s="24">
        <f ca="1"/>
        <v>0</v>
      </c>
      <c r="K42" s="24">
        <f ca="1"/>
        <v>0</v>
      </c>
      <c r="L42" s="24">
        <f ca="1"/>
        <v>0</v>
      </c>
      <c r="M42" s="24">
        <f ca="1"/>
        <v>0</v>
      </c>
      <c r="N42" s="24">
        <f ca="1"/>
        <v>0</v>
      </c>
      <c r="O42" s="24">
        <f ca="1"/>
        <v>0</v>
      </c>
      <c r="P42" s="24">
        <f ca="1"/>
        <v>41</v>
      </c>
    </row>
    <row r="43" spans="1:31" x14ac:dyDescent="0.25">
      <c r="A43" s="24">
        <v>0</v>
      </c>
      <c r="B43" s="24" t="e">
        <f ca="1">IF(Split=0,IF(OR(Demand!C54&gt;UCL,Demand!C54&lt;LCL),Demand!C54,NA()),IF(Split&gt;=P43,IF(OR(Demand!C54&gt;_UCL1,Demand!C54&lt;_LCL1),Demand!C54,NA()),IF(OR(Demand!C54&gt;_UCL2,Demand!C54&lt;_LCL2),Demand!C54,NA())))</f>
        <v>#N/A</v>
      </c>
      <c r="C43" s="24">
        <f ca="1">IF(Split=0,IF(Demand!C54&gt;Sigma2Plus,2,IF(Demand!C54&lt;Sigma2Minus,-2,IF(Demand!C54&lt;Mean,-1,1))),IF(Split&gt;=P43,IF(Demand!C54&gt;Sigma2Plus1,2,IF(Demand!C54&lt;Sigma2Minus1,-2,IF(Demand!C54&lt;Mean1,-1,1))),IF(Demand!C54&gt;Sigma2Plus2,2,IF(Demand!C54&lt;Sigma2Minus2,-2,IF(Demand!C54&lt;Mean2,-1,1)))))</f>
        <v>1</v>
      </c>
      <c r="D43" s="24" t="e">
        <f ca="1">IF(AND(ABS(SUM(C43:C45))&gt;4,P43&lt;ROWS(DTARange)),Demand!C54,NA())</f>
        <v>#REF!</v>
      </c>
      <c r="E43" s="24">
        <f ca="1">IF(Split=0,IF(Demand!C54&gt;Sigma1Plus,2,IF(Demand!C54&lt;Sigma1Minus,-2,IF(Demand!C54&lt;Mean,-1,1))),IF(Split&gt;=P43,IF(Demand!C54&gt;Sigma1Plus1,2,IF(Demand!C54&lt;Sigma1Minus1,-2,IF(Demand!C54&lt;Mean1,-1,1))),IF(Demand!C54&gt;Sigma1Plus2,2,IF(Demand!C54&lt;Sigma1Minus2,-2,IF(Demand!C54&lt;Mean,-1,1)))))</f>
        <v>1</v>
      </c>
      <c r="F43" s="24" t="e">
        <f ca="1">IF(AND(ABS(SUM(E43:E47))&gt;8,P43&lt;ROWS(DTARange)),Demand!C54,NA())</f>
        <v>#REF!</v>
      </c>
      <c r="G43" s="24">
        <f ca="1">IF(Split=0,IF(Demand!C54&gt;Mean,IF(G42&gt;=0,G42+1,0),IF(Demand!C54&lt;Mean,IF(G42&lt;=0,G42-1,0),0)),IF(Split&gt;=P42,IF(Demand!C54&gt;Mean1,IF(G42&gt;=0,G42+1,0),IF(Demand!C54&lt;Mean1,IF(G42&lt;=0,G42-1,0),0)),IF(Demand!C54&gt;Mean2,IF(G42&gt;=0,G42+1,0),IF(Demand!C54&lt;Mean2,IF(G42&lt;=0,G42-1,0),0))))</f>
        <v>0</v>
      </c>
      <c r="H43" s="24" t="e">
        <f ca="1">IF(AND(ABS(G51)=8,P43&lt;ROWS(DTARange)),Demand!C54,NA())</f>
        <v>#REF!</v>
      </c>
      <c r="I43" s="24">
        <f ca="1"/>
        <v>0</v>
      </c>
      <c r="J43" s="24">
        <f ca="1"/>
        <v>0</v>
      </c>
      <c r="K43" s="24">
        <f ca="1"/>
        <v>0</v>
      </c>
      <c r="L43" s="24">
        <f ca="1"/>
        <v>0</v>
      </c>
      <c r="M43" s="24">
        <f ca="1"/>
        <v>0</v>
      </c>
      <c r="N43" s="24">
        <f ca="1"/>
        <v>0</v>
      </c>
      <c r="O43" s="24">
        <f ca="1"/>
        <v>0</v>
      </c>
      <c r="P43" s="24">
        <f ca="1"/>
        <v>42</v>
      </c>
    </row>
    <row r="44" spans="1:31" x14ac:dyDescent="0.25">
      <c r="A44" s="24">
        <v>0</v>
      </c>
      <c r="B44" s="24" t="e">
        <f ca="1">IF(Split=0,IF(OR(Demand!C55&gt;UCL,Demand!C55&lt;LCL),Demand!C55,NA()),IF(Split&gt;=P44,IF(OR(Demand!C55&gt;_UCL1,Demand!C55&lt;_LCL1),Demand!C55,NA()),IF(OR(Demand!C55&gt;_UCL2,Demand!C55&lt;_LCL2),Demand!C55,NA())))</f>
        <v>#N/A</v>
      </c>
      <c r="C44" s="24">
        <f ca="1">IF(Split=0,IF(Demand!C55&gt;Sigma2Plus,2,IF(Demand!C55&lt;Sigma2Minus,-2,IF(Demand!C55&lt;Mean,-1,1))),IF(Split&gt;=P44,IF(Demand!C55&gt;Sigma2Plus1,2,IF(Demand!C55&lt;Sigma2Minus1,-2,IF(Demand!C55&lt;Mean1,-1,1))),IF(Demand!C55&gt;Sigma2Plus2,2,IF(Demand!C55&lt;Sigma2Minus2,-2,IF(Demand!C55&lt;Mean2,-1,1)))))</f>
        <v>1</v>
      </c>
      <c r="D44" s="24" t="e">
        <f ca="1">IF(AND(ABS(SUM(C44:C46))&gt;4,P44&lt;ROWS(DTARange)),Demand!C55,NA())</f>
        <v>#REF!</v>
      </c>
      <c r="E44" s="24">
        <f ca="1">IF(Split=0,IF(Demand!C55&gt;Sigma1Plus,2,IF(Demand!C55&lt;Sigma1Minus,-2,IF(Demand!C55&lt;Mean,-1,1))),IF(Split&gt;=P44,IF(Demand!C55&gt;Sigma1Plus1,2,IF(Demand!C55&lt;Sigma1Minus1,-2,IF(Demand!C55&lt;Mean1,-1,1))),IF(Demand!C55&gt;Sigma1Plus2,2,IF(Demand!C55&lt;Sigma1Minus2,-2,IF(Demand!C55&lt;Mean,-1,1)))))</f>
        <v>1</v>
      </c>
      <c r="F44" s="24" t="e">
        <f ca="1">IF(AND(ABS(SUM(E44:E48))&gt;8,P44&lt;ROWS(DTARange)),Demand!C55,NA())</f>
        <v>#REF!</v>
      </c>
      <c r="G44" s="24">
        <f ca="1">IF(Split=0,IF(Demand!C55&gt;Mean,IF(G43&gt;=0,G43+1,0),IF(Demand!C55&lt;Mean,IF(G43&lt;=0,G43-1,0),0)),IF(Split&gt;=P43,IF(Demand!C55&gt;Mean1,IF(G43&gt;=0,G43+1,0),IF(Demand!C55&lt;Mean1,IF(G43&lt;=0,G43-1,0),0)),IF(Demand!C55&gt;Mean2,IF(G43&gt;=0,G43+1,0),IF(Demand!C55&lt;Mean2,IF(G43&lt;=0,G43-1,0),0))))</f>
        <v>0</v>
      </c>
      <c r="H44" s="24" t="e">
        <f ca="1">IF(AND(ABS(G52)=8,P44&lt;ROWS(DTARange)),Demand!C55,NA())</f>
        <v>#REF!</v>
      </c>
      <c r="I44" s="24">
        <f ca="1"/>
        <v>0</v>
      </c>
      <c r="J44" s="24">
        <f ca="1"/>
        <v>0</v>
      </c>
      <c r="K44" s="24">
        <f ca="1"/>
        <v>0</v>
      </c>
      <c r="L44" s="24">
        <f ca="1"/>
        <v>0</v>
      </c>
      <c r="M44" s="24">
        <f ca="1"/>
        <v>0</v>
      </c>
      <c r="N44" s="24">
        <f ca="1"/>
        <v>0</v>
      </c>
      <c r="O44" s="24">
        <f ca="1"/>
        <v>0</v>
      </c>
      <c r="P44" s="24">
        <f ca="1"/>
        <v>43</v>
      </c>
    </row>
    <row r="45" spans="1:31" x14ac:dyDescent="0.25">
      <c r="A45" s="24">
        <v>0</v>
      </c>
      <c r="B45" s="24" t="e">
        <f ca="1">IF(Split=0,IF(OR(Demand!C56&gt;UCL,Demand!C56&lt;LCL),Demand!C56,NA()),IF(Split&gt;=P45,IF(OR(Demand!C56&gt;_UCL1,Demand!C56&lt;_LCL1),Demand!C56,NA()),IF(OR(Demand!C56&gt;_UCL2,Demand!C56&lt;_LCL2),Demand!C56,NA())))</f>
        <v>#N/A</v>
      </c>
      <c r="C45" s="24">
        <f ca="1">IF(Split=0,IF(Demand!C56&gt;Sigma2Plus,2,IF(Demand!C56&lt;Sigma2Minus,-2,IF(Demand!C56&lt;Mean,-1,1))),IF(Split&gt;=P45,IF(Demand!C56&gt;Sigma2Plus1,2,IF(Demand!C56&lt;Sigma2Minus1,-2,IF(Demand!C56&lt;Mean1,-1,1))),IF(Demand!C56&gt;Sigma2Plus2,2,IF(Demand!C56&lt;Sigma2Minus2,-2,IF(Demand!C56&lt;Mean2,-1,1)))))</f>
        <v>1</v>
      </c>
      <c r="D45" s="24" t="e">
        <f ca="1">IF(AND(ABS(SUM(C45:C47))&gt;4,P45&lt;ROWS(DTARange)),Demand!C56,NA())</f>
        <v>#REF!</v>
      </c>
      <c r="E45" s="24">
        <f ca="1">IF(Split=0,IF(Demand!C56&gt;Sigma1Plus,2,IF(Demand!C56&lt;Sigma1Minus,-2,IF(Demand!C56&lt;Mean,-1,1))),IF(Split&gt;=P45,IF(Demand!C56&gt;Sigma1Plus1,2,IF(Demand!C56&lt;Sigma1Minus1,-2,IF(Demand!C56&lt;Mean1,-1,1))),IF(Demand!C56&gt;Sigma1Plus2,2,IF(Demand!C56&lt;Sigma1Minus2,-2,IF(Demand!C56&lt;Mean,-1,1)))))</f>
        <v>1</v>
      </c>
      <c r="F45" s="24" t="e">
        <f ca="1">IF(AND(ABS(SUM(E45:E49))&gt;8,P45&lt;ROWS(DTARange)),Demand!C56,NA())</f>
        <v>#REF!</v>
      </c>
      <c r="G45" s="24">
        <f ca="1">IF(Split=0,IF(Demand!C56&gt;Mean,IF(G44&gt;=0,G44+1,0),IF(Demand!C56&lt;Mean,IF(G44&lt;=0,G44-1,0),0)),IF(Split&gt;=P44,IF(Demand!C56&gt;Mean1,IF(G44&gt;=0,G44+1,0),IF(Demand!C56&lt;Mean1,IF(G44&lt;=0,G44-1,0),0)),IF(Demand!C56&gt;Mean2,IF(G44&gt;=0,G44+1,0),IF(Demand!C56&lt;Mean2,IF(G44&lt;=0,G44-1,0),0))))</f>
        <v>0</v>
      </c>
      <c r="H45" s="24" t="e">
        <f ca="1">IF(AND(ABS(G53)=8,P45&lt;ROWS(DTARange)),Demand!C56,NA())</f>
        <v>#REF!</v>
      </c>
      <c r="I45" s="24">
        <f ca="1"/>
        <v>0</v>
      </c>
      <c r="J45" s="24">
        <f ca="1"/>
        <v>0</v>
      </c>
      <c r="K45" s="24">
        <f ca="1"/>
        <v>0</v>
      </c>
      <c r="L45" s="24">
        <f ca="1"/>
        <v>0</v>
      </c>
      <c r="M45" s="24">
        <f ca="1"/>
        <v>0</v>
      </c>
      <c r="N45" s="24">
        <f ca="1"/>
        <v>0</v>
      </c>
      <c r="O45" s="24">
        <f ca="1"/>
        <v>0</v>
      </c>
      <c r="P45" s="24">
        <f ca="1"/>
        <v>44</v>
      </c>
    </row>
    <row r="46" spans="1:31" x14ac:dyDescent="0.25">
      <c r="A46" s="24">
        <v>0</v>
      </c>
      <c r="B46" s="24" t="e">
        <f ca="1">IF(Split=0,IF(OR(Demand!C57&gt;UCL,Demand!C57&lt;LCL),Demand!C57,NA()),IF(Split&gt;=P46,IF(OR(Demand!C57&gt;_UCL1,Demand!C57&lt;_LCL1),Demand!C57,NA()),IF(OR(Demand!C57&gt;_UCL2,Demand!C57&lt;_LCL2),Demand!C57,NA())))</f>
        <v>#N/A</v>
      </c>
      <c r="C46" s="24">
        <f ca="1">IF(Split=0,IF(Demand!C57&gt;Sigma2Plus,2,IF(Demand!C57&lt;Sigma2Minus,-2,IF(Demand!C57&lt;Mean,-1,1))),IF(Split&gt;=P46,IF(Demand!C57&gt;Sigma2Plus1,2,IF(Demand!C57&lt;Sigma2Minus1,-2,IF(Demand!C57&lt;Mean1,-1,1))),IF(Demand!C57&gt;Sigma2Plus2,2,IF(Demand!C57&lt;Sigma2Minus2,-2,IF(Demand!C57&lt;Mean2,-1,1)))))</f>
        <v>1</v>
      </c>
      <c r="D46" s="24" t="e">
        <f ca="1">IF(AND(ABS(SUM(C46:C48))&gt;4,P46&lt;ROWS(DTARange)),Demand!C57,NA())</f>
        <v>#REF!</v>
      </c>
      <c r="E46" s="24">
        <f ca="1">IF(Split=0,IF(Demand!C57&gt;Sigma1Plus,2,IF(Demand!C57&lt;Sigma1Minus,-2,IF(Demand!C57&lt;Mean,-1,1))),IF(Split&gt;=P46,IF(Demand!C57&gt;Sigma1Plus1,2,IF(Demand!C57&lt;Sigma1Minus1,-2,IF(Demand!C57&lt;Mean1,-1,1))),IF(Demand!C57&gt;Sigma1Plus2,2,IF(Demand!C57&lt;Sigma1Minus2,-2,IF(Demand!C57&lt;Mean,-1,1)))))</f>
        <v>1</v>
      </c>
      <c r="F46" s="24" t="e">
        <f ca="1">IF(AND(ABS(SUM(E46:E50))&gt;8,P46&lt;ROWS(DTARange)),Demand!C57,NA())</f>
        <v>#REF!</v>
      </c>
      <c r="G46" s="24">
        <f ca="1">IF(Split=0,IF(Demand!C57&gt;Mean,IF(G45&gt;=0,G45+1,0),IF(Demand!C57&lt;Mean,IF(G45&lt;=0,G45-1,0),0)),IF(Split&gt;=P45,IF(Demand!C57&gt;Mean1,IF(G45&gt;=0,G45+1,0),IF(Demand!C57&lt;Mean1,IF(G45&lt;=0,G45-1,0),0)),IF(Demand!C57&gt;Mean2,IF(G45&gt;=0,G45+1,0),IF(Demand!C57&lt;Mean2,IF(G45&lt;=0,G45-1,0),0))))</f>
        <v>0</v>
      </c>
      <c r="H46" s="24" t="e">
        <f ca="1">IF(AND(ABS(G54)=8,P46&lt;ROWS(DTARange)),Demand!C57,NA())</f>
        <v>#REF!</v>
      </c>
      <c r="I46" s="24">
        <f ca="1"/>
        <v>0</v>
      </c>
      <c r="J46" s="24">
        <f ca="1"/>
        <v>0</v>
      </c>
      <c r="K46" s="24">
        <f ca="1"/>
        <v>0</v>
      </c>
      <c r="L46" s="24">
        <f ca="1"/>
        <v>0</v>
      </c>
      <c r="M46" s="24">
        <f ca="1"/>
        <v>0</v>
      </c>
      <c r="N46" s="24">
        <f ca="1"/>
        <v>0</v>
      </c>
      <c r="O46" s="24">
        <f ca="1"/>
        <v>0</v>
      </c>
      <c r="P46" s="24">
        <f ca="1"/>
        <v>45</v>
      </c>
    </row>
    <row r="47" spans="1:31" x14ac:dyDescent="0.25">
      <c r="A47" s="24">
        <v>0</v>
      </c>
      <c r="B47" s="24" t="e">
        <f ca="1">IF(Split=0,IF(OR(Demand!C58&gt;UCL,Demand!C58&lt;LCL),Demand!C58,NA()),IF(Split&gt;=P47,IF(OR(Demand!C58&gt;_UCL1,Demand!C58&lt;_LCL1),Demand!C58,NA()),IF(OR(Demand!C58&gt;_UCL2,Demand!C58&lt;_LCL2),Demand!C58,NA())))</f>
        <v>#N/A</v>
      </c>
      <c r="C47" s="24">
        <f ca="1">IF(Split=0,IF(Demand!C58&gt;Sigma2Plus,2,IF(Demand!C58&lt;Sigma2Minus,-2,IF(Demand!C58&lt;Mean,-1,1))),IF(Split&gt;=P47,IF(Demand!C58&gt;Sigma2Plus1,2,IF(Demand!C58&lt;Sigma2Minus1,-2,IF(Demand!C58&lt;Mean1,-1,1))),IF(Demand!C58&gt;Sigma2Plus2,2,IF(Demand!C58&lt;Sigma2Minus2,-2,IF(Demand!C58&lt;Mean2,-1,1)))))</f>
        <v>1</v>
      </c>
      <c r="D47" s="24" t="e">
        <f ca="1">IF(AND(ABS(SUM(C47:C49))&gt;4,P47&lt;ROWS(DTARange)),Demand!C58,NA())</f>
        <v>#REF!</v>
      </c>
      <c r="E47" s="24">
        <f ca="1">IF(Split=0,IF(Demand!C58&gt;Sigma1Plus,2,IF(Demand!C58&lt;Sigma1Minus,-2,IF(Demand!C58&lt;Mean,-1,1))),IF(Split&gt;=P47,IF(Demand!C58&gt;Sigma1Plus1,2,IF(Demand!C58&lt;Sigma1Minus1,-2,IF(Demand!C58&lt;Mean1,-1,1))),IF(Demand!C58&gt;Sigma1Plus2,2,IF(Demand!C58&lt;Sigma1Minus2,-2,IF(Demand!C58&lt;Mean,-1,1)))))</f>
        <v>1</v>
      </c>
      <c r="F47" s="24" t="e">
        <f ca="1">IF(AND(ABS(SUM(E47:E51))&gt;8,P47&lt;ROWS(DTARange)),Demand!C58,NA())</f>
        <v>#REF!</v>
      </c>
      <c r="G47" s="24">
        <f ca="1">IF(Split=0,IF(Demand!C58&gt;Mean,IF(G46&gt;=0,G46+1,0),IF(Demand!C58&lt;Mean,IF(G46&lt;=0,G46-1,0),0)),IF(Split&gt;=P46,IF(Demand!C58&gt;Mean1,IF(G46&gt;=0,G46+1,0),IF(Demand!C58&lt;Mean1,IF(G46&lt;=0,G46-1,0),0)),IF(Demand!C58&gt;Mean2,IF(G46&gt;=0,G46+1,0),IF(Demand!C58&lt;Mean2,IF(G46&lt;=0,G46-1,0),0))))</f>
        <v>0</v>
      </c>
      <c r="H47" s="24" t="e">
        <f ca="1">IF(AND(ABS(G55)=8,P47&lt;ROWS(DTARange)),Demand!C58,NA())</f>
        <v>#REF!</v>
      </c>
      <c r="I47" s="24">
        <f ca="1"/>
        <v>0</v>
      </c>
      <c r="J47" s="24">
        <f ca="1"/>
        <v>0</v>
      </c>
      <c r="K47" s="24">
        <f ca="1"/>
        <v>0</v>
      </c>
      <c r="L47" s="24">
        <f ca="1"/>
        <v>0</v>
      </c>
      <c r="M47" s="24">
        <f ca="1"/>
        <v>0</v>
      </c>
      <c r="N47" s="24">
        <f ca="1"/>
        <v>0</v>
      </c>
      <c r="O47" s="24">
        <f ca="1"/>
        <v>0</v>
      </c>
      <c r="P47" s="24">
        <f ca="1"/>
        <v>46</v>
      </c>
    </row>
    <row r="48" spans="1:31" x14ac:dyDescent="0.25">
      <c r="A48" s="24">
        <v>0</v>
      </c>
      <c r="B48" s="24" t="e">
        <f ca="1">IF(Split=0,IF(OR(Demand!C59&gt;UCL,Demand!C59&lt;LCL),Demand!C59,NA()),IF(Split&gt;=P48,IF(OR(Demand!C59&gt;_UCL1,Demand!C59&lt;_LCL1),Demand!C59,NA()),IF(OR(Demand!C59&gt;_UCL2,Demand!C59&lt;_LCL2),Demand!C59,NA())))</f>
        <v>#N/A</v>
      </c>
      <c r="C48" s="24">
        <f ca="1">IF(Split=0,IF(Demand!C59&gt;Sigma2Plus,2,IF(Demand!C59&lt;Sigma2Minus,-2,IF(Demand!C59&lt;Mean,-1,1))),IF(Split&gt;=P48,IF(Demand!C59&gt;Sigma2Plus1,2,IF(Demand!C59&lt;Sigma2Minus1,-2,IF(Demand!C59&lt;Mean1,-1,1))),IF(Demand!C59&gt;Sigma2Plus2,2,IF(Demand!C59&lt;Sigma2Minus2,-2,IF(Demand!C59&lt;Mean2,-1,1)))))</f>
        <v>1</v>
      </c>
      <c r="D48" s="24" t="e">
        <f ca="1">IF(AND(ABS(SUM(C48:C50))&gt;4,P48&lt;ROWS(DTARange)),Demand!C59,NA())</f>
        <v>#REF!</v>
      </c>
      <c r="E48" s="24">
        <f ca="1">IF(Split=0,IF(Demand!C59&gt;Sigma1Plus,2,IF(Demand!C59&lt;Sigma1Minus,-2,IF(Demand!C59&lt;Mean,-1,1))),IF(Split&gt;=P48,IF(Demand!C59&gt;Sigma1Plus1,2,IF(Demand!C59&lt;Sigma1Minus1,-2,IF(Demand!C59&lt;Mean1,-1,1))),IF(Demand!C59&gt;Sigma1Plus2,2,IF(Demand!C59&lt;Sigma1Minus2,-2,IF(Demand!C59&lt;Mean,-1,1)))))</f>
        <v>1</v>
      </c>
      <c r="F48" s="24" t="e">
        <f ca="1">IF(AND(ABS(SUM(E48:E52))&gt;8,P48&lt;ROWS(DTARange)),Demand!C59,NA())</f>
        <v>#REF!</v>
      </c>
      <c r="G48" s="24">
        <f ca="1">IF(Split=0,IF(Demand!C59&gt;Mean,IF(G47&gt;=0,G47+1,0),IF(Demand!C59&lt;Mean,IF(G47&lt;=0,G47-1,0),0)),IF(Split&gt;=P47,IF(Demand!C59&gt;Mean1,IF(G47&gt;=0,G47+1,0),IF(Demand!C59&lt;Mean1,IF(G47&lt;=0,G47-1,0),0)),IF(Demand!C59&gt;Mean2,IF(G47&gt;=0,G47+1,0),IF(Demand!C59&lt;Mean2,IF(G47&lt;=0,G47-1,0),0))))</f>
        <v>0</v>
      </c>
      <c r="H48" s="24" t="e">
        <f ca="1">IF(AND(ABS(G56)=8,P48&lt;ROWS(DTARange)),Demand!C59,NA())</f>
        <v>#REF!</v>
      </c>
      <c r="I48" s="24">
        <f ca="1"/>
        <v>0</v>
      </c>
      <c r="J48" s="24">
        <f ca="1"/>
        <v>0</v>
      </c>
      <c r="K48" s="24">
        <f ca="1"/>
        <v>0</v>
      </c>
      <c r="L48" s="24">
        <f ca="1"/>
        <v>0</v>
      </c>
      <c r="M48" s="24">
        <f ca="1"/>
        <v>0</v>
      </c>
      <c r="N48" s="24">
        <f ca="1"/>
        <v>0</v>
      </c>
      <c r="O48" s="24">
        <f ca="1"/>
        <v>0</v>
      </c>
      <c r="P48" s="24">
        <f ca="1"/>
        <v>47</v>
      </c>
    </row>
    <row r="49" spans="1:16" x14ac:dyDescent="0.25">
      <c r="A49" s="24">
        <v>0</v>
      </c>
      <c r="B49" s="24" t="e">
        <f ca="1">IF(Split=0,IF(OR(Demand!C60&gt;UCL,Demand!C60&lt;LCL),Demand!C60,NA()),IF(Split&gt;=P49,IF(OR(Demand!C60&gt;_UCL1,Demand!C60&lt;_LCL1),Demand!C60,NA()),IF(OR(Demand!C60&gt;_UCL2,Demand!C60&lt;_LCL2),Demand!C60,NA())))</f>
        <v>#N/A</v>
      </c>
      <c r="C49" s="24">
        <f ca="1">IF(Split=0,IF(Demand!C60&gt;Sigma2Plus,2,IF(Demand!C60&lt;Sigma2Minus,-2,IF(Demand!C60&lt;Mean,-1,1))),IF(Split&gt;=P49,IF(Demand!C60&gt;Sigma2Plus1,2,IF(Demand!C60&lt;Sigma2Minus1,-2,IF(Demand!C60&lt;Mean1,-1,1))),IF(Demand!C60&gt;Sigma2Plus2,2,IF(Demand!C60&lt;Sigma2Minus2,-2,IF(Demand!C60&lt;Mean2,-1,1)))))</f>
        <v>1</v>
      </c>
      <c r="D49" s="24" t="e">
        <f ca="1">IF(AND(ABS(SUM(C49:C51))&gt;4,P49&lt;ROWS(DTARange)),Demand!C60,NA())</f>
        <v>#REF!</v>
      </c>
      <c r="E49" s="24">
        <f ca="1">IF(Split=0,IF(Demand!C60&gt;Sigma1Plus,2,IF(Demand!C60&lt;Sigma1Minus,-2,IF(Demand!C60&lt;Mean,-1,1))),IF(Split&gt;=P49,IF(Demand!C60&gt;Sigma1Plus1,2,IF(Demand!C60&lt;Sigma1Minus1,-2,IF(Demand!C60&lt;Mean1,-1,1))),IF(Demand!C60&gt;Sigma1Plus2,2,IF(Demand!C60&lt;Sigma1Minus2,-2,IF(Demand!C60&lt;Mean,-1,1)))))</f>
        <v>1</v>
      </c>
      <c r="F49" s="24" t="e">
        <f ca="1">IF(AND(ABS(SUM(E49:E53))&gt;8,P49&lt;ROWS(DTARange)),Demand!C60,NA())</f>
        <v>#REF!</v>
      </c>
      <c r="G49" s="24">
        <f ca="1">IF(Split=0,IF(Demand!C60&gt;Mean,IF(G48&gt;=0,G48+1,0),IF(Demand!C60&lt;Mean,IF(G48&lt;=0,G48-1,0),0)),IF(Split&gt;=P48,IF(Demand!C60&gt;Mean1,IF(G48&gt;=0,G48+1,0),IF(Demand!C60&lt;Mean1,IF(G48&lt;=0,G48-1,0),0)),IF(Demand!C60&gt;Mean2,IF(G48&gt;=0,G48+1,0),IF(Demand!C60&lt;Mean2,IF(G48&lt;=0,G48-1,0),0))))</f>
        <v>0</v>
      </c>
      <c r="H49" s="24" t="e">
        <f ca="1">IF(AND(ABS(G57)=8,P49&lt;ROWS(DTARange)),Demand!C60,NA())</f>
        <v>#REF!</v>
      </c>
      <c r="I49" s="24">
        <f ca="1"/>
        <v>0</v>
      </c>
      <c r="J49" s="24">
        <f ca="1"/>
        <v>0</v>
      </c>
      <c r="K49" s="24">
        <f ca="1"/>
        <v>0</v>
      </c>
      <c r="L49" s="24">
        <f ca="1"/>
        <v>0</v>
      </c>
      <c r="M49" s="24">
        <f ca="1"/>
        <v>0</v>
      </c>
      <c r="N49" s="24">
        <f ca="1"/>
        <v>0</v>
      </c>
      <c r="O49" s="24">
        <f ca="1"/>
        <v>0</v>
      </c>
      <c r="P49" s="24">
        <f ca="1"/>
        <v>48</v>
      </c>
    </row>
    <row r="50" spans="1:16" x14ac:dyDescent="0.25">
      <c r="A50" s="24">
        <v>0</v>
      </c>
      <c r="B50" s="24" t="e">
        <f ca="1">IF(Split=0,IF(OR(Demand!C61&gt;UCL,Demand!C61&lt;LCL),Demand!C61,NA()),IF(Split&gt;=P50,IF(OR(Demand!C61&gt;_UCL1,Demand!C61&lt;_LCL1),Demand!C61,NA()),IF(OR(Demand!C61&gt;_UCL2,Demand!C61&lt;_LCL2),Demand!C61,NA())))</f>
        <v>#N/A</v>
      </c>
      <c r="C50" s="24">
        <f ca="1">IF(Split=0,IF(Demand!C61&gt;Sigma2Plus,2,IF(Demand!C61&lt;Sigma2Minus,-2,IF(Demand!C61&lt;Mean,-1,1))),IF(Split&gt;=P50,IF(Demand!C61&gt;Sigma2Plus1,2,IF(Demand!C61&lt;Sigma2Minus1,-2,IF(Demand!C61&lt;Mean1,-1,1))),IF(Demand!C61&gt;Sigma2Plus2,2,IF(Demand!C61&lt;Sigma2Minus2,-2,IF(Demand!C61&lt;Mean2,-1,1)))))</f>
        <v>1</v>
      </c>
      <c r="D50" s="24" t="e">
        <f ca="1">IF(AND(ABS(SUM(C50:C52))&gt;4,P50&lt;ROWS(DTARange)),Demand!C61,NA())</f>
        <v>#REF!</v>
      </c>
      <c r="E50" s="24">
        <f ca="1">IF(Split=0,IF(Demand!C61&gt;Sigma1Plus,2,IF(Demand!C61&lt;Sigma1Minus,-2,IF(Demand!C61&lt;Mean,-1,1))),IF(Split&gt;=P50,IF(Demand!C61&gt;Sigma1Plus1,2,IF(Demand!C61&lt;Sigma1Minus1,-2,IF(Demand!C61&lt;Mean1,-1,1))),IF(Demand!C61&gt;Sigma1Plus2,2,IF(Demand!C61&lt;Sigma1Minus2,-2,IF(Demand!C61&lt;Mean,-1,1)))))</f>
        <v>1</v>
      </c>
      <c r="F50" s="24" t="e">
        <f ca="1">IF(AND(ABS(SUM(E50:E54))&gt;8,P50&lt;ROWS(DTARange)),Demand!C61,NA())</f>
        <v>#REF!</v>
      </c>
      <c r="G50" s="24">
        <f ca="1">IF(Split=0,IF(Demand!C61&gt;Mean,IF(G49&gt;=0,G49+1,0),IF(Demand!C61&lt;Mean,IF(G49&lt;=0,G49-1,0),0)),IF(Split&gt;=P49,IF(Demand!C61&gt;Mean1,IF(G49&gt;=0,G49+1,0),IF(Demand!C61&lt;Mean1,IF(G49&lt;=0,G49-1,0),0)),IF(Demand!C61&gt;Mean2,IF(G49&gt;=0,G49+1,0),IF(Demand!C61&lt;Mean2,IF(G49&lt;=0,G49-1,0),0))))</f>
        <v>0</v>
      </c>
      <c r="H50" s="24" t="e">
        <f ca="1">IF(AND(ABS(G58)=8,P50&lt;ROWS(DTARange)),Demand!C61,NA())</f>
        <v>#REF!</v>
      </c>
      <c r="I50" s="24">
        <f ca="1"/>
        <v>0</v>
      </c>
      <c r="J50" s="24">
        <f ca="1"/>
        <v>0</v>
      </c>
      <c r="K50" s="24">
        <f ca="1"/>
        <v>0</v>
      </c>
      <c r="L50" s="24">
        <f ca="1"/>
        <v>0</v>
      </c>
      <c r="M50" s="24">
        <f ca="1"/>
        <v>0</v>
      </c>
      <c r="N50" s="24">
        <f ca="1"/>
        <v>0</v>
      </c>
      <c r="O50" s="24">
        <f ca="1"/>
        <v>0</v>
      </c>
      <c r="P50" s="24">
        <f ca="1"/>
        <v>49</v>
      </c>
    </row>
    <row r="51" spans="1:16" x14ac:dyDescent="0.25">
      <c r="A51" s="24">
        <v>0</v>
      </c>
      <c r="B51" s="24" t="e">
        <f ca="1">IF(Split=0,IF(OR(Demand!C62&gt;UCL,Demand!C62&lt;LCL),Demand!C62,NA()),IF(Split&gt;=P51,IF(OR(Demand!C62&gt;_UCL1,Demand!C62&lt;_LCL1),Demand!C62,NA()),IF(OR(Demand!C62&gt;_UCL2,Demand!C62&lt;_LCL2),Demand!C62,NA())))</f>
        <v>#N/A</v>
      </c>
      <c r="C51" s="24">
        <f ca="1">IF(Split=0,IF(Demand!C62&gt;Sigma2Plus,2,IF(Demand!C62&lt;Sigma2Minus,-2,IF(Demand!C62&lt;Mean,-1,1))),IF(Split&gt;=P51,IF(Demand!C62&gt;Sigma2Plus1,2,IF(Demand!C62&lt;Sigma2Minus1,-2,IF(Demand!C62&lt;Mean1,-1,1))),IF(Demand!C62&gt;Sigma2Plus2,2,IF(Demand!C62&lt;Sigma2Minus2,-2,IF(Demand!C62&lt;Mean2,-1,1)))))</f>
        <v>1</v>
      </c>
      <c r="D51" s="24" t="e">
        <f ca="1">IF(AND(ABS(SUM(C51:C53))&gt;4,P51&lt;ROWS(DTARange)),Demand!C62,NA())</f>
        <v>#REF!</v>
      </c>
      <c r="E51" s="24">
        <f ca="1">IF(Split=0,IF(Demand!C62&gt;Sigma1Plus,2,IF(Demand!C62&lt;Sigma1Minus,-2,IF(Demand!C62&lt;Mean,-1,1))),IF(Split&gt;=P51,IF(Demand!C62&gt;Sigma1Plus1,2,IF(Demand!C62&lt;Sigma1Minus1,-2,IF(Demand!C62&lt;Mean1,-1,1))),IF(Demand!C62&gt;Sigma1Plus2,2,IF(Demand!C62&lt;Sigma1Minus2,-2,IF(Demand!C62&lt;Mean,-1,1)))))</f>
        <v>1</v>
      </c>
      <c r="F51" s="24" t="e">
        <f ca="1">IF(AND(ABS(SUM(E51:E55))&gt;8,P51&lt;ROWS(DTARange)),Demand!C62,NA())</f>
        <v>#REF!</v>
      </c>
      <c r="G51" s="24">
        <f ca="1">IF(Split=0,IF(Demand!C62&gt;Mean,IF(G50&gt;=0,G50+1,0),IF(Demand!C62&lt;Mean,IF(G50&lt;=0,G50-1,0),0)),IF(Split&gt;=P50,IF(Demand!C62&gt;Mean1,IF(G50&gt;=0,G50+1,0),IF(Demand!C62&lt;Mean1,IF(G50&lt;=0,G50-1,0),0)),IF(Demand!C62&gt;Mean2,IF(G50&gt;=0,G50+1,0),IF(Demand!C62&lt;Mean2,IF(G50&lt;=0,G50-1,0),0))))</f>
        <v>0</v>
      </c>
      <c r="H51" s="24" t="e">
        <f ca="1">IF(AND(ABS(G59)=8,P51&lt;ROWS(DTARange)),Demand!C62,NA())</f>
        <v>#REF!</v>
      </c>
      <c r="I51" s="24">
        <f ca="1"/>
        <v>0</v>
      </c>
      <c r="J51" s="24">
        <f ca="1"/>
        <v>0</v>
      </c>
      <c r="K51" s="24">
        <f ca="1"/>
        <v>0</v>
      </c>
      <c r="L51" s="24">
        <f ca="1"/>
        <v>0</v>
      </c>
      <c r="M51" s="24">
        <f ca="1"/>
        <v>0</v>
      </c>
      <c r="N51" s="24">
        <f ca="1"/>
        <v>0</v>
      </c>
      <c r="O51" s="24">
        <f ca="1"/>
        <v>0</v>
      </c>
      <c r="P51" s="24">
        <f ca="1"/>
        <v>50</v>
      </c>
    </row>
    <row r="52" spans="1:16" x14ac:dyDescent="0.25">
      <c r="A52" s="24">
        <v>0</v>
      </c>
      <c r="B52" s="24" t="e">
        <f ca="1">IF(Split=0,IF(OR(Demand!C63&gt;UCL,Demand!C63&lt;LCL),Demand!C63,NA()),IF(Split&gt;=P52,IF(OR(Demand!C63&gt;_UCL1,Demand!C63&lt;_LCL1),Demand!C63,NA()),IF(OR(Demand!C63&gt;_UCL2,Demand!C63&lt;_LCL2),Demand!C63,NA())))</f>
        <v>#N/A</v>
      </c>
      <c r="C52" s="24">
        <f ca="1">IF(Split=0,IF(Demand!C63&gt;Sigma2Plus,2,IF(Demand!C63&lt;Sigma2Minus,-2,IF(Demand!C63&lt;Mean,-1,1))),IF(Split&gt;=P52,IF(Demand!C63&gt;Sigma2Plus1,2,IF(Demand!C63&lt;Sigma2Minus1,-2,IF(Demand!C63&lt;Mean1,-1,1))),IF(Demand!C63&gt;Sigma2Plus2,2,IF(Demand!C63&lt;Sigma2Minus2,-2,IF(Demand!C63&lt;Mean2,-1,1)))))</f>
        <v>1</v>
      </c>
      <c r="D52" s="24" t="e">
        <f ca="1">IF(AND(ABS(SUM(C52:C54))&gt;4,P52&lt;ROWS(DTARange)),Demand!C63,NA())</f>
        <v>#REF!</v>
      </c>
      <c r="E52" s="24">
        <f ca="1">IF(Split=0,IF(Demand!C63&gt;Sigma1Plus,2,IF(Demand!C63&lt;Sigma1Minus,-2,IF(Demand!C63&lt;Mean,-1,1))),IF(Split&gt;=P52,IF(Demand!C63&gt;Sigma1Plus1,2,IF(Demand!C63&lt;Sigma1Minus1,-2,IF(Demand!C63&lt;Mean1,-1,1))),IF(Demand!C63&gt;Sigma1Plus2,2,IF(Demand!C63&lt;Sigma1Minus2,-2,IF(Demand!C63&lt;Mean,-1,1)))))</f>
        <v>1</v>
      </c>
      <c r="F52" s="24" t="e">
        <f ca="1">IF(AND(ABS(SUM(E52:E56))&gt;8,P52&lt;ROWS(DTARange)),Demand!C63,NA())</f>
        <v>#REF!</v>
      </c>
      <c r="G52" s="24">
        <f ca="1">IF(Split=0,IF(Demand!C63&gt;Mean,IF(G51&gt;=0,G51+1,0),IF(Demand!C63&lt;Mean,IF(G51&lt;=0,G51-1,0),0)),IF(Split&gt;=P51,IF(Demand!C63&gt;Mean1,IF(G51&gt;=0,G51+1,0),IF(Demand!C63&lt;Mean1,IF(G51&lt;=0,G51-1,0),0)),IF(Demand!C63&gt;Mean2,IF(G51&gt;=0,G51+1,0),IF(Demand!C63&lt;Mean2,IF(G51&lt;=0,G51-1,0),0))))</f>
        <v>0</v>
      </c>
      <c r="H52" s="24" t="e">
        <f ca="1">IF(AND(ABS(G60)=8,P52&lt;ROWS(DTARange)),Demand!C63,NA())</f>
        <v>#REF!</v>
      </c>
      <c r="I52" s="24">
        <f ca="1"/>
        <v>0</v>
      </c>
      <c r="J52" s="24">
        <f ca="1"/>
        <v>0</v>
      </c>
      <c r="K52" s="24">
        <f ca="1"/>
        <v>0</v>
      </c>
      <c r="L52" s="24">
        <f ca="1"/>
        <v>0</v>
      </c>
      <c r="M52" s="24">
        <f ca="1"/>
        <v>0</v>
      </c>
      <c r="N52" s="24">
        <f ca="1"/>
        <v>0</v>
      </c>
      <c r="O52" s="24">
        <f ca="1"/>
        <v>0</v>
      </c>
      <c r="P52" s="24">
        <f ca="1"/>
        <v>51</v>
      </c>
    </row>
    <row r="53" spans="1:16" x14ac:dyDescent="0.25">
      <c r="A53" s="24">
        <v>0</v>
      </c>
      <c r="B53" s="24" t="e">
        <f ca="1">IF(Split=0,IF(OR(Demand!C64&gt;UCL,Demand!C64&lt;LCL),Demand!C64,NA()),IF(Split&gt;=P53,IF(OR(Demand!C64&gt;_UCL1,Demand!C64&lt;_LCL1),Demand!C64,NA()),IF(OR(Demand!C64&gt;_UCL2,Demand!C64&lt;_LCL2),Demand!C64,NA())))</f>
        <v>#N/A</v>
      </c>
      <c r="C53" s="24">
        <f ca="1">IF(Split=0,IF(Demand!C64&gt;Sigma2Plus,2,IF(Demand!C64&lt;Sigma2Minus,-2,IF(Demand!C64&lt;Mean,-1,1))),IF(Split&gt;=P53,IF(Demand!C64&gt;Sigma2Plus1,2,IF(Demand!C64&lt;Sigma2Minus1,-2,IF(Demand!C64&lt;Mean1,-1,1))),IF(Demand!C64&gt;Sigma2Plus2,2,IF(Demand!C64&lt;Sigma2Minus2,-2,IF(Demand!C64&lt;Mean2,-1,1)))))</f>
        <v>1</v>
      </c>
      <c r="D53" s="24" t="e">
        <f ca="1">IF(AND(ABS(SUM(C53:C55))&gt;4,P53&lt;ROWS(DTARange)),Demand!C64,NA())</f>
        <v>#REF!</v>
      </c>
      <c r="E53" s="24">
        <f ca="1">IF(Split=0,IF(Demand!C64&gt;Sigma1Plus,2,IF(Demand!C64&lt;Sigma1Minus,-2,IF(Demand!C64&lt;Mean,-1,1))),IF(Split&gt;=P53,IF(Demand!C64&gt;Sigma1Plus1,2,IF(Demand!C64&lt;Sigma1Minus1,-2,IF(Demand!C64&lt;Mean1,-1,1))),IF(Demand!C64&gt;Sigma1Plus2,2,IF(Demand!C64&lt;Sigma1Minus2,-2,IF(Demand!C64&lt;Mean,-1,1)))))</f>
        <v>1</v>
      </c>
      <c r="F53" s="24" t="e">
        <f ca="1">IF(AND(ABS(SUM(E53:E57))&gt;8,P53&lt;ROWS(DTARange)),Demand!C64,NA())</f>
        <v>#REF!</v>
      </c>
      <c r="G53" s="24">
        <f ca="1">IF(Split=0,IF(Demand!C64&gt;Mean,IF(G52&gt;=0,G52+1,0),IF(Demand!C64&lt;Mean,IF(G52&lt;=0,G52-1,0),0)),IF(Split&gt;=P52,IF(Demand!C64&gt;Mean1,IF(G52&gt;=0,G52+1,0),IF(Demand!C64&lt;Mean1,IF(G52&lt;=0,G52-1,0),0)),IF(Demand!C64&gt;Mean2,IF(G52&gt;=0,G52+1,0),IF(Demand!C64&lt;Mean2,IF(G52&lt;=0,G52-1,0),0))))</f>
        <v>0</v>
      </c>
      <c r="H53" s="24" t="e">
        <f ca="1">IF(AND(ABS(G61)=8,P53&lt;ROWS(DTARange)),Demand!C64,NA())</f>
        <v>#REF!</v>
      </c>
      <c r="I53" s="24">
        <f ca="1"/>
        <v>0</v>
      </c>
      <c r="J53" s="24">
        <f ca="1"/>
        <v>0</v>
      </c>
      <c r="K53" s="24">
        <f ca="1"/>
        <v>0</v>
      </c>
      <c r="L53" s="24">
        <f ca="1"/>
        <v>0</v>
      </c>
      <c r="M53" s="24">
        <f ca="1"/>
        <v>0</v>
      </c>
      <c r="N53" s="24">
        <f ca="1"/>
        <v>0</v>
      </c>
      <c r="O53" s="24">
        <f ca="1"/>
        <v>0</v>
      </c>
      <c r="P53" s="24">
        <f ca="1"/>
        <v>52</v>
      </c>
    </row>
  </sheetData>
  <sheetProtection algorithmName="SHA-512" hashValue="94TAo6cJVlAf7BMTvdo06ckCBGCfBjkOPDVke6isS+Xpk3MbQum1ZJJJK9Ea1v5Nc9EctdZYFm0+X7+iTnl9Ww==" saltValue="rM3FI4VxwE9kh+eZNnrW3g==" spinCount="100000" sheet="1" selectLockedCells="1" selectUnlockedCells="1"/>
  <mergeCells count="2">
    <mergeCell ref="Q2:AE2"/>
    <mergeCell ref="Q3:AE3"/>
  </mergeCells>
  <phoneticPr fontId="48" type="noConversion"/>
  <printOptions horizontalCentered="1" verticalCentered="1"/>
  <pageMargins left="0.70866141732283472" right="0.70866141732283472" top="0.74803149606299213" bottom="0.74803149606299213" header="0.31496062992125984" footer="0.31496062992125984"/>
  <pageSetup paperSize="9" scale="88"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30</xdr:row>
                    <xdr:rowOff>0</xdr:rowOff>
                  </from>
                  <to>
                    <xdr:col>18</xdr:col>
                    <xdr:colOff>514350</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149"/>
  <sheetViews>
    <sheetView showGridLines="0" showRowColHeaders="0" zoomScaleNormal="100" zoomScaleSheetLayoutView="70" workbookViewId="0">
      <selection activeCell="A17" sqref="A17:B17"/>
    </sheetView>
  </sheetViews>
  <sheetFormatPr defaultRowHeight="15" x14ac:dyDescent="0.25"/>
  <cols>
    <col min="1" max="1" width="9.28515625" customWidth="1"/>
    <col min="2" max="2" width="11.28515625" customWidth="1"/>
    <col min="3" max="3" width="13.5703125" customWidth="1"/>
    <col min="4" max="4" width="8.7109375" customWidth="1"/>
    <col min="5" max="8" width="8" customWidth="1"/>
    <col min="9" max="9" width="9.28515625" customWidth="1"/>
    <col min="10" max="10" width="11.28515625" customWidth="1"/>
    <col min="11" max="11" width="13.7109375" customWidth="1"/>
    <col min="12" max="12" width="8.7109375" customWidth="1"/>
    <col min="13" max="13" width="8" style="11" customWidth="1"/>
    <col min="14" max="15" width="8" customWidth="1"/>
  </cols>
  <sheetData>
    <row r="1" spans="1:15" x14ac:dyDescent="0.25">
      <c r="A1" s="116"/>
      <c r="B1" s="117"/>
      <c r="C1" s="117"/>
      <c r="D1" s="117"/>
      <c r="E1" s="117"/>
      <c r="F1" s="117"/>
      <c r="G1" s="117"/>
      <c r="H1" s="117"/>
      <c r="I1" s="117"/>
      <c r="J1" s="117"/>
      <c r="K1" s="117"/>
      <c r="L1" s="117"/>
      <c r="M1" s="135"/>
      <c r="N1" s="117"/>
      <c r="O1" s="118"/>
    </row>
    <row r="2" spans="1:15" ht="54" customHeight="1" x14ac:dyDescent="0.25">
      <c r="A2" s="364" t="str">
        <f>"Capacity - " &amp; ModelName</f>
        <v>Capacity - The NHS IMAS IST Admitted Care Demand and Capacity (D&amp;C) Model</v>
      </c>
      <c r="B2" s="365"/>
      <c r="C2" s="365"/>
      <c r="D2" s="365"/>
      <c r="E2" s="365"/>
      <c r="F2" s="365"/>
      <c r="G2" s="365"/>
      <c r="H2" s="365"/>
      <c r="I2" s="365"/>
      <c r="J2" s="365"/>
      <c r="K2" s="365"/>
      <c r="L2" s="365"/>
      <c r="M2" s="365"/>
      <c r="N2" s="365"/>
      <c r="O2" s="366"/>
    </row>
    <row r="3" spans="1:15" s="2" customFormat="1" ht="23.25" customHeight="1" x14ac:dyDescent="0.25">
      <c r="A3" s="367" t="s">
        <v>428</v>
      </c>
      <c r="B3" s="368"/>
      <c r="C3" s="368"/>
      <c r="D3" s="368"/>
      <c r="E3" s="368"/>
      <c r="F3" s="368"/>
      <c r="G3" s="368"/>
      <c r="H3" s="368"/>
      <c r="I3" s="368"/>
      <c r="J3" s="368"/>
      <c r="K3" s="368"/>
      <c r="L3" s="368"/>
      <c r="M3" s="368"/>
      <c r="N3" s="368"/>
      <c r="O3" s="369"/>
    </row>
    <row r="5" spans="1:15" ht="18" x14ac:dyDescent="0.25">
      <c r="A5" s="372" t="str">
        <f>Trust &amp; " - " &amp; Specialty</f>
        <v>A. N. Other NHS Foundation Trust - A Specialty</v>
      </c>
      <c r="B5" s="372"/>
      <c r="C5" s="372"/>
      <c r="D5" s="372"/>
      <c r="E5" s="372"/>
      <c r="F5" s="372"/>
      <c r="G5" s="372"/>
      <c r="H5" s="372"/>
      <c r="I5" s="372"/>
      <c r="J5" s="372"/>
      <c r="K5" s="372"/>
      <c r="L5" s="372"/>
      <c r="M5" s="372"/>
      <c r="N5" s="372"/>
      <c r="O5" s="372"/>
    </row>
    <row r="7" spans="1:15" ht="18.75" customHeight="1" x14ac:dyDescent="0.25">
      <c r="A7" s="370" t="s">
        <v>812</v>
      </c>
      <c r="B7" s="371"/>
      <c r="C7" s="371"/>
      <c r="D7" s="371"/>
      <c r="E7" s="371"/>
      <c r="F7" s="371"/>
      <c r="G7" s="371"/>
      <c r="I7" s="371" t="s">
        <v>34</v>
      </c>
      <c r="J7" s="371"/>
      <c r="K7" s="371"/>
      <c r="L7" s="371"/>
      <c r="M7" s="371"/>
      <c r="N7" s="371"/>
      <c r="O7" s="371"/>
    </row>
    <row r="8" spans="1:15" ht="18.75" customHeight="1" x14ac:dyDescent="0.25">
      <c r="A8" s="371"/>
      <c r="B8" s="371"/>
      <c r="C8" s="371"/>
      <c r="D8" s="371"/>
      <c r="E8" s="371"/>
      <c r="F8" s="371"/>
      <c r="G8" s="371"/>
      <c r="H8" s="15"/>
      <c r="I8" s="371"/>
      <c r="J8" s="371"/>
      <c r="K8" s="371"/>
      <c r="L8" s="371"/>
      <c r="M8" s="371"/>
      <c r="N8" s="371"/>
      <c r="O8" s="371"/>
    </row>
    <row r="9" spans="1:15" ht="18.75" customHeight="1" thickBot="1" x14ac:dyDescent="0.3">
      <c r="A9" s="371"/>
      <c r="B9" s="371"/>
      <c r="C9" s="371"/>
      <c r="D9" s="371"/>
      <c r="E9" s="371"/>
      <c r="F9" s="371"/>
      <c r="G9" s="371"/>
      <c r="H9" s="15"/>
      <c r="I9" s="371"/>
      <c r="J9" s="371"/>
      <c r="K9" s="371"/>
      <c r="L9" s="371"/>
      <c r="M9" s="371"/>
      <c r="N9" s="371"/>
      <c r="O9" s="371"/>
    </row>
    <row r="10" spans="1:15" ht="15" customHeight="1" x14ac:dyDescent="0.25">
      <c r="B10" s="307" t="s">
        <v>425</v>
      </c>
      <c r="C10" s="308"/>
      <c r="E10" s="373" t="s">
        <v>445</v>
      </c>
      <c r="F10" s="373"/>
      <c r="G10" s="373"/>
      <c r="H10" s="373"/>
      <c r="J10" s="362" t="s">
        <v>421</v>
      </c>
      <c r="K10" s="308"/>
      <c r="M10" s="352" t="s">
        <v>808</v>
      </c>
      <c r="N10" s="352"/>
      <c r="O10" s="352"/>
    </row>
    <row r="11" spans="1:15" ht="15" customHeight="1" x14ac:dyDescent="0.25">
      <c r="B11" s="309"/>
      <c r="C11" s="310"/>
      <c r="E11" s="373"/>
      <c r="F11" s="373"/>
      <c r="G11" s="373"/>
      <c r="H11" s="373"/>
      <c r="J11" s="363"/>
      <c r="K11" s="310"/>
    </row>
    <row r="12" spans="1:15" s="2" customFormat="1" ht="15" customHeight="1" thickBot="1" x14ac:dyDescent="0.3">
      <c r="B12" s="374">
        <f>IF(C13=500,IF($H$15=2,IF(SUM(CoreCapacityRange)=0,0,ROUNDDOWN(AVERAGE(CoreCapacityRange),0)),RoutineAdmissions/52),C13&amp;" ("&amp;TEXT(IF($H$15=2,IF(SUM(CoreCapacityRange)=0,0,ROUNDDOWN(AVERAGE(CoreCapacityRange),0)),RoutineAdmissions/52),"0")&amp;")")</f>
        <v>0</v>
      </c>
      <c r="C12" s="375"/>
      <c r="E12" s="373"/>
      <c r="F12" s="373"/>
      <c r="G12" s="373"/>
      <c r="H12" s="373"/>
      <c r="J12" s="376">
        <f>IF(J13=200,IF($H$15=2,IF(SUM(AdditionalCapacityRange)=0,0,ROUNDDOWN(AVERAGE(AdditionalCapacityRange),0)),AdditionalAdmissions/52),J13&amp;" ("&amp;TEXT(IF($H$15=2,IF(SUM(AdditionalCapacityRange)=0,0,ROUNDDOWN(AdditionalCapacityRange,0)),AdditionalAdmissions/52),"0")&amp;")")</f>
        <v>0</v>
      </c>
      <c r="K12" s="375"/>
      <c r="L12"/>
      <c r="M12" s="25"/>
    </row>
    <row r="13" spans="1:15" s="2" customFormat="1" ht="15.75" customHeight="1" thickTop="1" thickBot="1" x14ac:dyDescent="0.3">
      <c r="B13" s="132">
        <f>IF(C13=500,IF($H$15=2,ROUNDDOWN(SUM(CoreCapacityRange)/ROWS(DTARange),0),RoutineAdmissions/52),C13)</f>
        <v>0</v>
      </c>
      <c r="C13" s="133">
        <v>500</v>
      </c>
      <c r="E13" s="129"/>
      <c r="F13" s="130"/>
      <c r="G13" s="130"/>
      <c r="H13" s="131"/>
      <c r="I13"/>
      <c r="J13" s="139">
        <v>200</v>
      </c>
      <c r="K13" s="134">
        <f>IF(J13=200,IF($H$15=2,IF(SUM(AdditionalCapacityRange)=0,0,ROUNDDOWN(AVERAGE(AdditionalCapacityRange),0)),AdditionalAdmissions/52),J13)</f>
        <v>0</v>
      </c>
      <c r="L13"/>
      <c r="M13" s="25"/>
    </row>
    <row r="14" spans="1:15" ht="15.75" thickBot="1" x14ac:dyDescent="0.3"/>
    <row r="15" spans="1:15" ht="15.75" thickBot="1" x14ac:dyDescent="0.3">
      <c r="A15" s="379" t="s">
        <v>422</v>
      </c>
      <c r="B15" s="378"/>
      <c r="E15" s="136" t="s">
        <v>424</v>
      </c>
      <c r="F15" s="137">
        <f>SUM(F17:F91)</f>
        <v>0</v>
      </c>
      <c r="G15" s="138">
        <f>RoutineAdmissions/52</f>
        <v>0</v>
      </c>
      <c r="H15" s="53">
        <v>1</v>
      </c>
      <c r="I15" s="377" t="s">
        <v>416</v>
      </c>
      <c r="J15" s="378"/>
      <c r="M15" s="136" t="s">
        <v>424</v>
      </c>
      <c r="N15" s="137">
        <f>SUM(N17:N91)</f>
        <v>0</v>
      </c>
      <c r="O15" s="138">
        <f>AdditionalAdmissions/52</f>
        <v>0</v>
      </c>
    </row>
    <row r="16" spans="1:15" ht="32.25" thickBot="1" x14ac:dyDescent="0.3">
      <c r="A16" s="359" t="s">
        <v>420</v>
      </c>
      <c r="B16" s="359"/>
      <c r="C16" s="140" t="s">
        <v>56</v>
      </c>
      <c r="D16" s="140" t="s">
        <v>57</v>
      </c>
      <c r="E16" s="160" t="s">
        <v>439</v>
      </c>
      <c r="F16" s="160" t="s">
        <v>440</v>
      </c>
      <c r="G16" s="161" t="s">
        <v>33</v>
      </c>
      <c r="I16" s="380" t="s">
        <v>420</v>
      </c>
      <c r="J16" s="381"/>
      <c r="K16" s="153" t="s">
        <v>56</v>
      </c>
      <c r="L16" s="153" t="s">
        <v>57</v>
      </c>
      <c r="M16" s="154" t="s">
        <v>439</v>
      </c>
      <c r="N16" s="154" t="s">
        <v>440</v>
      </c>
      <c r="O16" s="155" t="s">
        <v>33</v>
      </c>
    </row>
    <row r="17" spans="1:15" x14ac:dyDescent="0.25">
      <c r="A17" s="360"/>
      <c r="B17" s="361"/>
      <c r="C17" s="141"/>
      <c r="D17" s="142"/>
      <c r="E17" s="142"/>
      <c r="F17" s="143" t="str">
        <f>IF(D17*E17&gt;0,D17*E17,"")</f>
        <v/>
      </c>
      <c r="G17" s="144" t="str">
        <f>IF(F17="",F17,F17/52)</f>
        <v/>
      </c>
      <c r="I17" s="382"/>
      <c r="J17" s="383"/>
      <c r="K17" s="156"/>
      <c r="L17" s="157"/>
      <c r="M17" s="157"/>
      <c r="N17" s="158" t="str">
        <f t="shared" ref="N17" si="0">IF(L17*M17&gt;0,L17*M17,"")</f>
        <v/>
      </c>
      <c r="O17" s="159" t="str">
        <f t="shared" ref="O17" si="1">IF(N17="",N17,N17/52)</f>
        <v/>
      </c>
    </row>
    <row r="18" spans="1:15" x14ac:dyDescent="0.25">
      <c r="A18" s="353"/>
      <c r="B18" s="354"/>
      <c r="C18" s="145"/>
      <c r="D18" s="146"/>
      <c r="E18" s="146"/>
      <c r="F18" s="147" t="str">
        <f t="shared" ref="F18:F81" si="2">IF(D18*E18&gt;0,D18*E18,"")</f>
        <v/>
      </c>
      <c r="G18" s="148" t="str">
        <f t="shared" ref="G18:G81" si="3">IF(F18="",F18,F18/52)</f>
        <v/>
      </c>
      <c r="I18" s="353"/>
      <c r="J18" s="354"/>
      <c r="K18" s="145"/>
      <c r="L18" s="146"/>
      <c r="M18" s="146"/>
      <c r="N18" s="147" t="str">
        <f t="shared" ref="N18:N81" si="4">IF(L18*M18&gt;0,L18*M18,"")</f>
        <v/>
      </c>
      <c r="O18" s="148" t="str">
        <f t="shared" ref="O18:O81" si="5">IF(N18="",N18,N18/52)</f>
        <v/>
      </c>
    </row>
    <row r="19" spans="1:15" x14ac:dyDescent="0.25">
      <c r="A19" s="353"/>
      <c r="B19" s="354"/>
      <c r="C19" s="145"/>
      <c r="D19" s="146"/>
      <c r="E19" s="146"/>
      <c r="F19" s="147" t="str">
        <f t="shared" si="2"/>
        <v/>
      </c>
      <c r="G19" s="148" t="str">
        <f t="shared" si="3"/>
        <v/>
      </c>
      <c r="I19" s="353"/>
      <c r="J19" s="354"/>
      <c r="K19" s="145"/>
      <c r="L19" s="146"/>
      <c r="M19" s="146"/>
      <c r="N19" s="147" t="str">
        <f t="shared" si="4"/>
        <v/>
      </c>
      <c r="O19" s="148" t="str">
        <f t="shared" si="5"/>
        <v/>
      </c>
    </row>
    <row r="20" spans="1:15" s="55" customFormat="1" x14ac:dyDescent="0.25">
      <c r="A20" s="353"/>
      <c r="B20" s="354"/>
      <c r="C20" s="145"/>
      <c r="D20" s="146"/>
      <c r="E20" s="146"/>
      <c r="F20" s="147" t="str">
        <f t="shared" si="2"/>
        <v/>
      </c>
      <c r="G20" s="148" t="str">
        <f t="shared" si="3"/>
        <v/>
      </c>
      <c r="I20" s="353"/>
      <c r="J20" s="354"/>
      <c r="K20" s="145"/>
      <c r="L20" s="146"/>
      <c r="M20" s="146"/>
      <c r="N20" s="147" t="str">
        <f t="shared" si="4"/>
        <v/>
      </c>
      <c r="O20" s="148" t="str">
        <f t="shared" si="5"/>
        <v/>
      </c>
    </row>
    <row r="21" spans="1:15" s="55" customFormat="1" x14ac:dyDescent="0.25">
      <c r="A21" s="353"/>
      <c r="B21" s="354"/>
      <c r="C21" s="145"/>
      <c r="D21" s="146"/>
      <c r="E21" s="146"/>
      <c r="F21" s="147" t="str">
        <f t="shared" si="2"/>
        <v/>
      </c>
      <c r="G21" s="148" t="str">
        <f t="shared" si="3"/>
        <v/>
      </c>
      <c r="I21" s="353"/>
      <c r="J21" s="354"/>
      <c r="K21" s="145"/>
      <c r="L21" s="146"/>
      <c r="M21" s="146"/>
      <c r="N21" s="147" t="str">
        <f t="shared" si="4"/>
        <v/>
      </c>
      <c r="O21" s="148" t="str">
        <f t="shared" si="5"/>
        <v/>
      </c>
    </row>
    <row r="22" spans="1:15" s="55" customFormat="1" x14ac:dyDescent="0.25">
      <c r="A22" s="353"/>
      <c r="B22" s="354"/>
      <c r="C22" s="145"/>
      <c r="D22" s="146"/>
      <c r="E22" s="146"/>
      <c r="F22" s="147" t="str">
        <f t="shared" si="2"/>
        <v/>
      </c>
      <c r="G22" s="148" t="str">
        <f t="shared" si="3"/>
        <v/>
      </c>
      <c r="I22" s="353"/>
      <c r="J22" s="354"/>
      <c r="K22" s="145"/>
      <c r="L22" s="146"/>
      <c r="M22" s="146"/>
      <c r="N22" s="147" t="str">
        <f t="shared" si="4"/>
        <v/>
      </c>
      <c r="O22" s="148" t="str">
        <f t="shared" si="5"/>
        <v/>
      </c>
    </row>
    <row r="23" spans="1:15" s="55" customFormat="1" x14ac:dyDescent="0.25">
      <c r="A23" s="353"/>
      <c r="B23" s="354"/>
      <c r="C23" s="145"/>
      <c r="D23" s="146"/>
      <c r="E23" s="146"/>
      <c r="F23" s="147" t="str">
        <f t="shared" si="2"/>
        <v/>
      </c>
      <c r="G23" s="148" t="str">
        <f t="shared" si="3"/>
        <v/>
      </c>
      <c r="I23" s="353"/>
      <c r="J23" s="354"/>
      <c r="K23" s="145"/>
      <c r="L23" s="146"/>
      <c r="M23" s="146"/>
      <c r="N23" s="147" t="str">
        <f t="shared" si="4"/>
        <v/>
      </c>
      <c r="O23" s="148" t="str">
        <f t="shared" si="5"/>
        <v/>
      </c>
    </row>
    <row r="24" spans="1:15" s="55" customFormat="1" x14ac:dyDescent="0.25">
      <c r="A24" s="353"/>
      <c r="B24" s="354"/>
      <c r="C24" s="145"/>
      <c r="D24" s="146"/>
      <c r="E24" s="146"/>
      <c r="F24" s="147" t="str">
        <f t="shared" si="2"/>
        <v/>
      </c>
      <c r="G24" s="148" t="str">
        <f t="shared" si="3"/>
        <v/>
      </c>
      <c r="I24" s="353"/>
      <c r="J24" s="354"/>
      <c r="K24" s="145"/>
      <c r="L24" s="146"/>
      <c r="M24" s="146"/>
      <c r="N24" s="147" t="str">
        <f t="shared" si="4"/>
        <v/>
      </c>
      <c r="O24" s="148" t="str">
        <f t="shared" si="5"/>
        <v/>
      </c>
    </row>
    <row r="25" spans="1:15" s="68" customFormat="1" x14ac:dyDescent="0.25">
      <c r="A25" s="353"/>
      <c r="B25" s="354"/>
      <c r="C25" s="145"/>
      <c r="D25" s="146"/>
      <c r="E25" s="146"/>
      <c r="F25" s="147" t="str">
        <f t="shared" si="2"/>
        <v/>
      </c>
      <c r="G25" s="148" t="str">
        <f t="shared" si="3"/>
        <v/>
      </c>
      <c r="I25" s="353"/>
      <c r="J25" s="354"/>
      <c r="K25" s="145"/>
      <c r="L25" s="146"/>
      <c r="M25" s="146"/>
      <c r="N25" s="147" t="str">
        <f t="shared" si="4"/>
        <v/>
      </c>
      <c r="O25" s="148" t="str">
        <f t="shared" si="5"/>
        <v/>
      </c>
    </row>
    <row r="26" spans="1:15" s="68" customFormat="1" x14ac:dyDescent="0.25">
      <c r="A26" s="353"/>
      <c r="B26" s="354"/>
      <c r="C26" s="145"/>
      <c r="D26" s="146"/>
      <c r="E26" s="146"/>
      <c r="F26" s="147" t="str">
        <f t="shared" si="2"/>
        <v/>
      </c>
      <c r="G26" s="148" t="str">
        <f t="shared" si="3"/>
        <v/>
      </c>
      <c r="I26" s="353"/>
      <c r="J26" s="354"/>
      <c r="K26" s="145"/>
      <c r="L26" s="146"/>
      <c r="M26" s="146"/>
      <c r="N26" s="147" t="str">
        <f t="shared" si="4"/>
        <v/>
      </c>
      <c r="O26" s="148" t="str">
        <f t="shared" si="5"/>
        <v/>
      </c>
    </row>
    <row r="27" spans="1:15" s="68" customFormat="1" x14ac:dyDescent="0.25">
      <c r="A27" s="353"/>
      <c r="B27" s="354"/>
      <c r="C27" s="145"/>
      <c r="D27" s="146"/>
      <c r="E27" s="146"/>
      <c r="F27" s="147" t="str">
        <f t="shared" si="2"/>
        <v/>
      </c>
      <c r="G27" s="148" t="str">
        <f t="shared" si="3"/>
        <v/>
      </c>
      <c r="I27" s="353"/>
      <c r="J27" s="354"/>
      <c r="K27" s="145"/>
      <c r="L27" s="146"/>
      <c r="M27" s="146"/>
      <c r="N27" s="147" t="str">
        <f t="shared" si="4"/>
        <v/>
      </c>
      <c r="O27" s="148" t="str">
        <f t="shared" si="5"/>
        <v/>
      </c>
    </row>
    <row r="28" spans="1:15" s="68" customFormat="1" x14ac:dyDescent="0.25">
      <c r="A28" s="353"/>
      <c r="B28" s="354"/>
      <c r="C28" s="145"/>
      <c r="D28" s="146"/>
      <c r="E28" s="146"/>
      <c r="F28" s="147" t="str">
        <f t="shared" si="2"/>
        <v/>
      </c>
      <c r="G28" s="148" t="str">
        <f t="shared" si="3"/>
        <v/>
      </c>
      <c r="I28" s="353"/>
      <c r="J28" s="354"/>
      <c r="K28" s="145"/>
      <c r="L28" s="146"/>
      <c r="M28" s="146"/>
      <c r="N28" s="147" t="str">
        <f t="shared" si="4"/>
        <v/>
      </c>
      <c r="O28" s="148" t="str">
        <f t="shared" si="5"/>
        <v/>
      </c>
    </row>
    <row r="29" spans="1:15" s="68" customFormat="1" x14ac:dyDescent="0.25">
      <c r="A29" s="353"/>
      <c r="B29" s="354"/>
      <c r="C29" s="145"/>
      <c r="D29" s="146"/>
      <c r="E29" s="146"/>
      <c r="F29" s="147" t="str">
        <f t="shared" si="2"/>
        <v/>
      </c>
      <c r="G29" s="148" t="str">
        <f t="shared" si="3"/>
        <v/>
      </c>
      <c r="I29" s="353"/>
      <c r="J29" s="354"/>
      <c r="K29" s="145"/>
      <c r="L29" s="146"/>
      <c r="M29" s="146"/>
      <c r="N29" s="147" t="str">
        <f t="shared" si="4"/>
        <v/>
      </c>
      <c r="O29" s="148" t="str">
        <f t="shared" si="5"/>
        <v/>
      </c>
    </row>
    <row r="30" spans="1:15" s="68" customFormat="1" x14ac:dyDescent="0.25">
      <c r="A30" s="353"/>
      <c r="B30" s="354"/>
      <c r="C30" s="145"/>
      <c r="D30" s="146"/>
      <c r="E30" s="146"/>
      <c r="F30" s="147" t="str">
        <f t="shared" si="2"/>
        <v/>
      </c>
      <c r="G30" s="148" t="str">
        <f t="shared" si="3"/>
        <v/>
      </c>
      <c r="I30" s="353"/>
      <c r="J30" s="354"/>
      <c r="K30" s="145"/>
      <c r="L30" s="146"/>
      <c r="M30" s="146"/>
      <c r="N30" s="147" t="str">
        <f t="shared" si="4"/>
        <v/>
      </c>
      <c r="O30" s="148" t="str">
        <f t="shared" si="5"/>
        <v/>
      </c>
    </row>
    <row r="31" spans="1:15" s="68" customFormat="1" x14ac:dyDescent="0.25">
      <c r="A31" s="353"/>
      <c r="B31" s="354"/>
      <c r="C31" s="145"/>
      <c r="D31" s="146"/>
      <c r="E31" s="146"/>
      <c r="F31" s="147" t="str">
        <f t="shared" si="2"/>
        <v/>
      </c>
      <c r="G31" s="148" t="str">
        <f t="shared" si="3"/>
        <v/>
      </c>
      <c r="I31" s="353"/>
      <c r="J31" s="354"/>
      <c r="K31" s="145"/>
      <c r="L31" s="146"/>
      <c r="M31" s="146"/>
      <c r="N31" s="147" t="str">
        <f t="shared" si="4"/>
        <v/>
      </c>
      <c r="O31" s="148" t="str">
        <f t="shared" si="5"/>
        <v/>
      </c>
    </row>
    <row r="32" spans="1:15" s="68" customFormat="1" x14ac:dyDescent="0.25">
      <c r="A32" s="353"/>
      <c r="B32" s="354"/>
      <c r="C32" s="145"/>
      <c r="D32" s="146"/>
      <c r="E32" s="146"/>
      <c r="F32" s="147" t="str">
        <f t="shared" si="2"/>
        <v/>
      </c>
      <c r="G32" s="148" t="str">
        <f t="shared" si="3"/>
        <v/>
      </c>
      <c r="I32" s="353"/>
      <c r="J32" s="354"/>
      <c r="K32" s="145"/>
      <c r="L32" s="146"/>
      <c r="M32" s="146"/>
      <c r="N32" s="147" t="str">
        <f t="shared" si="4"/>
        <v/>
      </c>
      <c r="O32" s="148" t="str">
        <f t="shared" si="5"/>
        <v/>
      </c>
    </row>
    <row r="33" spans="1:15" s="68" customFormat="1" x14ac:dyDescent="0.25">
      <c r="A33" s="353"/>
      <c r="B33" s="354"/>
      <c r="C33" s="145"/>
      <c r="D33" s="146"/>
      <c r="E33" s="146"/>
      <c r="F33" s="147" t="str">
        <f t="shared" si="2"/>
        <v/>
      </c>
      <c r="G33" s="148" t="str">
        <f t="shared" si="3"/>
        <v/>
      </c>
      <c r="I33" s="353"/>
      <c r="J33" s="354"/>
      <c r="K33" s="145"/>
      <c r="L33" s="146"/>
      <c r="M33" s="146"/>
      <c r="N33" s="147" t="str">
        <f t="shared" si="4"/>
        <v/>
      </c>
      <c r="O33" s="148" t="str">
        <f t="shared" si="5"/>
        <v/>
      </c>
    </row>
    <row r="34" spans="1:15" s="68" customFormat="1" x14ac:dyDescent="0.25">
      <c r="A34" s="353"/>
      <c r="B34" s="354"/>
      <c r="C34" s="145"/>
      <c r="D34" s="146"/>
      <c r="E34" s="146"/>
      <c r="F34" s="147" t="str">
        <f t="shared" si="2"/>
        <v/>
      </c>
      <c r="G34" s="148" t="str">
        <f t="shared" si="3"/>
        <v/>
      </c>
      <c r="I34" s="353"/>
      <c r="J34" s="354"/>
      <c r="K34" s="145"/>
      <c r="L34" s="146"/>
      <c r="M34" s="146"/>
      <c r="N34" s="147" t="str">
        <f t="shared" si="4"/>
        <v/>
      </c>
      <c r="O34" s="148" t="str">
        <f t="shared" si="5"/>
        <v/>
      </c>
    </row>
    <row r="35" spans="1:15" s="68" customFormat="1" x14ac:dyDescent="0.25">
      <c r="A35" s="353"/>
      <c r="B35" s="354"/>
      <c r="C35" s="145"/>
      <c r="D35" s="146"/>
      <c r="E35" s="146"/>
      <c r="F35" s="147" t="str">
        <f t="shared" si="2"/>
        <v/>
      </c>
      <c r="G35" s="148" t="str">
        <f t="shared" si="3"/>
        <v/>
      </c>
      <c r="I35" s="353"/>
      <c r="J35" s="354"/>
      <c r="K35" s="145"/>
      <c r="L35" s="146"/>
      <c r="M35" s="146"/>
      <c r="N35" s="147" t="str">
        <f t="shared" si="4"/>
        <v/>
      </c>
      <c r="O35" s="148" t="str">
        <f t="shared" si="5"/>
        <v/>
      </c>
    </row>
    <row r="36" spans="1:15" s="68" customFormat="1" x14ac:dyDescent="0.25">
      <c r="A36" s="353"/>
      <c r="B36" s="354"/>
      <c r="C36" s="145"/>
      <c r="D36" s="146"/>
      <c r="E36" s="146"/>
      <c r="F36" s="147" t="str">
        <f t="shared" si="2"/>
        <v/>
      </c>
      <c r="G36" s="148" t="str">
        <f t="shared" si="3"/>
        <v/>
      </c>
      <c r="I36" s="353"/>
      <c r="J36" s="354"/>
      <c r="K36" s="145"/>
      <c r="L36" s="146"/>
      <c r="M36" s="146"/>
      <c r="N36" s="147" t="str">
        <f t="shared" si="4"/>
        <v/>
      </c>
      <c r="O36" s="148" t="str">
        <f t="shared" si="5"/>
        <v/>
      </c>
    </row>
    <row r="37" spans="1:15" s="68" customFormat="1" x14ac:dyDescent="0.25">
      <c r="A37" s="353"/>
      <c r="B37" s="354"/>
      <c r="C37" s="145"/>
      <c r="D37" s="146"/>
      <c r="E37" s="146"/>
      <c r="F37" s="147" t="str">
        <f t="shared" si="2"/>
        <v/>
      </c>
      <c r="G37" s="148" t="str">
        <f t="shared" si="3"/>
        <v/>
      </c>
      <c r="I37" s="353"/>
      <c r="J37" s="354"/>
      <c r="K37" s="145"/>
      <c r="L37" s="146"/>
      <c r="M37" s="146"/>
      <c r="N37" s="147" t="str">
        <f t="shared" si="4"/>
        <v/>
      </c>
      <c r="O37" s="148" t="str">
        <f t="shared" si="5"/>
        <v/>
      </c>
    </row>
    <row r="38" spans="1:15" s="68" customFormat="1" x14ac:dyDescent="0.25">
      <c r="A38" s="353"/>
      <c r="B38" s="354"/>
      <c r="C38" s="145"/>
      <c r="D38" s="146"/>
      <c r="E38" s="146"/>
      <c r="F38" s="147" t="str">
        <f t="shared" si="2"/>
        <v/>
      </c>
      <c r="G38" s="148" t="str">
        <f t="shared" si="3"/>
        <v/>
      </c>
      <c r="I38" s="353"/>
      <c r="J38" s="354"/>
      <c r="K38" s="145"/>
      <c r="L38" s="146"/>
      <c r="M38" s="146"/>
      <c r="N38" s="147" t="str">
        <f t="shared" si="4"/>
        <v/>
      </c>
      <c r="O38" s="148" t="str">
        <f t="shared" si="5"/>
        <v/>
      </c>
    </row>
    <row r="39" spans="1:15" s="68" customFormat="1" x14ac:dyDescent="0.25">
      <c r="A39" s="353"/>
      <c r="B39" s="354"/>
      <c r="C39" s="145"/>
      <c r="D39" s="146"/>
      <c r="E39" s="146"/>
      <c r="F39" s="147" t="str">
        <f t="shared" si="2"/>
        <v/>
      </c>
      <c r="G39" s="148" t="str">
        <f t="shared" si="3"/>
        <v/>
      </c>
      <c r="I39" s="353"/>
      <c r="J39" s="354"/>
      <c r="K39" s="145"/>
      <c r="L39" s="146"/>
      <c r="M39" s="146"/>
      <c r="N39" s="147" t="str">
        <f t="shared" si="4"/>
        <v/>
      </c>
      <c r="O39" s="148" t="str">
        <f t="shared" si="5"/>
        <v/>
      </c>
    </row>
    <row r="40" spans="1:15" s="68" customFormat="1" x14ac:dyDescent="0.25">
      <c r="A40" s="353"/>
      <c r="B40" s="354"/>
      <c r="C40" s="145"/>
      <c r="D40" s="146"/>
      <c r="E40" s="146"/>
      <c r="F40" s="147" t="str">
        <f t="shared" si="2"/>
        <v/>
      </c>
      <c r="G40" s="148" t="str">
        <f t="shared" si="3"/>
        <v/>
      </c>
      <c r="I40" s="353"/>
      <c r="J40" s="354"/>
      <c r="K40" s="145"/>
      <c r="L40" s="146"/>
      <c r="M40" s="146"/>
      <c r="N40" s="147" t="str">
        <f t="shared" si="4"/>
        <v/>
      </c>
      <c r="O40" s="148" t="str">
        <f t="shared" si="5"/>
        <v/>
      </c>
    </row>
    <row r="41" spans="1:15" s="68" customFormat="1" x14ac:dyDescent="0.25">
      <c r="A41" s="353"/>
      <c r="B41" s="354"/>
      <c r="C41" s="145"/>
      <c r="D41" s="146"/>
      <c r="E41" s="146"/>
      <c r="F41" s="147" t="str">
        <f t="shared" si="2"/>
        <v/>
      </c>
      <c r="G41" s="148" t="str">
        <f t="shared" si="3"/>
        <v/>
      </c>
      <c r="I41" s="353"/>
      <c r="J41" s="354"/>
      <c r="K41" s="145"/>
      <c r="L41" s="146"/>
      <c r="M41" s="146"/>
      <c r="N41" s="147" t="str">
        <f t="shared" si="4"/>
        <v/>
      </c>
      <c r="O41" s="148" t="str">
        <f t="shared" si="5"/>
        <v/>
      </c>
    </row>
    <row r="42" spans="1:15" s="68" customFormat="1" x14ac:dyDescent="0.25">
      <c r="A42" s="353"/>
      <c r="B42" s="354"/>
      <c r="C42" s="145"/>
      <c r="D42" s="146"/>
      <c r="E42" s="146"/>
      <c r="F42" s="147" t="str">
        <f t="shared" si="2"/>
        <v/>
      </c>
      <c r="G42" s="148" t="str">
        <f t="shared" si="3"/>
        <v/>
      </c>
      <c r="I42" s="353"/>
      <c r="J42" s="354"/>
      <c r="K42" s="145"/>
      <c r="L42" s="146"/>
      <c r="M42" s="146"/>
      <c r="N42" s="147" t="str">
        <f t="shared" si="4"/>
        <v/>
      </c>
      <c r="O42" s="148" t="str">
        <f t="shared" si="5"/>
        <v/>
      </c>
    </row>
    <row r="43" spans="1:15" s="68" customFormat="1" x14ac:dyDescent="0.25">
      <c r="A43" s="353"/>
      <c r="B43" s="354"/>
      <c r="C43" s="145"/>
      <c r="D43" s="146"/>
      <c r="E43" s="146"/>
      <c r="F43" s="147" t="str">
        <f t="shared" si="2"/>
        <v/>
      </c>
      <c r="G43" s="148" t="str">
        <f t="shared" si="3"/>
        <v/>
      </c>
      <c r="I43" s="353"/>
      <c r="J43" s="354"/>
      <c r="K43" s="145"/>
      <c r="L43" s="146"/>
      <c r="M43" s="146"/>
      <c r="N43" s="147" t="str">
        <f t="shared" si="4"/>
        <v/>
      </c>
      <c r="O43" s="148" t="str">
        <f t="shared" si="5"/>
        <v/>
      </c>
    </row>
    <row r="44" spans="1:15" s="68" customFormat="1" x14ac:dyDescent="0.25">
      <c r="A44" s="353"/>
      <c r="B44" s="354"/>
      <c r="C44" s="145"/>
      <c r="D44" s="146"/>
      <c r="E44" s="146"/>
      <c r="F44" s="147" t="str">
        <f t="shared" si="2"/>
        <v/>
      </c>
      <c r="G44" s="148" t="str">
        <f t="shared" si="3"/>
        <v/>
      </c>
      <c r="I44" s="353"/>
      <c r="J44" s="354"/>
      <c r="K44" s="145"/>
      <c r="L44" s="146"/>
      <c r="M44" s="146"/>
      <c r="N44" s="147" t="str">
        <f t="shared" si="4"/>
        <v/>
      </c>
      <c r="O44" s="148" t="str">
        <f t="shared" si="5"/>
        <v/>
      </c>
    </row>
    <row r="45" spans="1:15" s="68" customFormat="1" x14ac:dyDescent="0.25">
      <c r="A45" s="353"/>
      <c r="B45" s="354"/>
      <c r="C45" s="145"/>
      <c r="D45" s="146"/>
      <c r="E45" s="146"/>
      <c r="F45" s="147" t="str">
        <f t="shared" si="2"/>
        <v/>
      </c>
      <c r="G45" s="148" t="str">
        <f t="shared" si="3"/>
        <v/>
      </c>
      <c r="I45" s="353"/>
      <c r="J45" s="354"/>
      <c r="K45" s="145"/>
      <c r="L45" s="146"/>
      <c r="M45" s="146"/>
      <c r="N45" s="147" t="str">
        <f t="shared" si="4"/>
        <v/>
      </c>
      <c r="O45" s="148" t="str">
        <f t="shared" si="5"/>
        <v/>
      </c>
    </row>
    <row r="46" spans="1:15" s="68" customFormat="1" x14ac:dyDescent="0.25">
      <c r="A46" s="353"/>
      <c r="B46" s="354"/>
      <c r="C46" s="145"/>
      <c r="D46" s="146"/>
      <c r="E46" s="146"/>
      <c r="F46" s="147" t="str">
        <f t="shared" si="2"/>
        <v/>
      </c>
      <c r="G46" s="148" t="str">
        <f t="shared" si="3"/>
        <v/>
      </c>
      <c r="I46" s="353"/>
      <c r="J46" s="354"/>
      <c r="K46" s="145"/>
      <c r="L46" s="146"/>
      <c r="M46" s="146"/>
      <c r="N46" s="147" t="str">
        <f t="shared" si="4"/>
        <v/>
      </c>
      <c r="O46" s="148" t="str">
        <f t="shared" si="5"/>
        <v/>
      </c>
    </row>
    <row r="47" spans="1:15" s="68" customFormat="1" x14ac:dyDescent="0.25">
      <c r="A47" s="353"/>
      <c r="B47" s="354"/>
      <c r="C47" s="145"/>
      <c r="D47" s="146"/>
      <c r="E47" s="146"/>
      <c r="F47" s="147" t="str">
        <f t="shared" si="2"/>
        <v/>
      </c>
      <c r="G47" s="148" t="str">
        <f t="shared" si="3"/>
        <v/>
      </c>
      <c r="I47" s="353"/>
      <c r="J47" s="354"/>
      <c r="K47" s="145"/>
      <c r="L47" s="146"/>
      <c r="M47" s="146"/>
      <c r="N47" s="147" t="str">
        <f t="shared" si="4"/>
        <v/>
      </c>
      <c r="O47" s="148" t="str">
        <f t="shared" si="5"/>
        <v/>
      </c>
    </row>
    <row r="48" spans="1:15" s="68" customFormat="1" x14ac:dyDescent="0.25">
      <c r="A48" s="353"/>
      <c r="B48" s="354"/>
      <c r="C48" s="145"/>
      <c r="D48" s="146"/>
      <c r="E48" s="146"/>
      <c r="F48" s="147" t="str">
        <f t="shared" si="2"/>
        <v/>
      </c>
      <c r="G48" s="148" t="str">
        <f t="shared" si="3"/>
        <v/>
      </c>
      <c r="I48" s="353"/>
      <c r="J48" s="354"/>
      <c r="K48" s="145"/>
      <c r="L48" s="146"/>
      <c r="M48" s="146"/>
      <c r="N48" s="147" t="str">
        <f t="shared" si="4"/>
        <v/>
      </c>
      <c r="O48" s="148" t="str">
        <f t="shared" si="5"/>
        <v/>
      </c>
    </row>
    <row r="49" spans="1:15" s="68" customFormat="1" x14ac:dyDescent="0.25">
      <c r="A49" s="353"/>
      <c r="B49" s="354"/>
      <c r="C49" s="145"/>
      <c r="D49" s="146"/>
      <c r="E49" s="146"/>
      <c r="F49" s="147" t="str">
        <f t="shared" si="2"/>
        <v/>
      </c>
      <c r="G49" s="148" t="str">
        <f t="shared" si="3"/>
        <v/>
      </c>
      <c r="I49" s="353"/>
      <c r="J49" s="354"/>
      <c r="K49" s="145"/>
      <c r="L49" s="146"/>
      <c r="M49" s="146"/>
      <c r="N49" s="147" t="str">
        <f t="shared" si="4"/>
        <v/>
      </c>
      <c r="O49" s="148" t="str">
        <f t="shared" si="5"/>
        <v/>
      </c>
    </row>
    <row r="50" spans="1:15" s="68" customFormat="1" x14ac:dyDescent="0.25">
      <c r="A50" s="353"/>
      <c r="B50" s="354"/>
      <c r="C50" s="145"/>
      <c r="D50" s="146"/>
      <c r="E50" s="146"/>
      <c r="F50" s="147" t="str">
        <f t="shared" si="2"/>
        <v/>
      </c>
      <c r="G50" s="148" t="str">
        <f t="shared" si="3"/>
        <v/>
      </c>
      <c r="I50" s="353"/>
      <c r="J50" s="354"/>
      <c r="K50" s="145"/>
      <c r="L50" s="146"/>
      <c r="M50" s="146"/>
      <c r="N50" s="147" t="str">
        <f t="shared" si="4"/>
        <v/>
      </c>
      <c r="O50" s="148" t="str">
        <f t="shared" si="5"/>
        <v/>
      </c>
    </row>
    <row r="51" spans="1:15" s="68" customFormat="1" x14ac:dyDescent="0.25">
      <c r="A51" s="353"/>
      <c r="B51" s="354"/>
      <c r="C51" s="145"/>
      <c r="D51" s="146"/>
      <c r="E51" s="146"/>
      <c r="F51" s="147" t="str">
        <f t="shared" si="2"/>
        <v/>
      </c>
      <c r="G51" s="148" t="str">
        <f t="shared" si="3"/>
        <v/>
      </c>
      <c r="I51" s="353"/>
      <c r="J51" s="354"/>
      <c r="K51" s="145"/>
      <c r="L51" s="146"/>
      <c r="M51" s="146"/>
      <c r="N51" s="147" t="str">
        <f t="shared" si="4"/>
        <v/>
      </c>
      <c r="O51" s="148" t="str">
        <f t="shared" si="5"/>
        <v/>
      </c>
    </row>
    <row r="52" spans="1:15" s="68" customFormat="1" x14ac:dyDescent="0.25">
      <c r="A52" s="353"/>
      <c r="B52" s="354"/>
      <c r="C52" s="145"/>
      <c r="D52" s="146"/>
      <c r="E52" s="146"/>
      <c r="F52" s="147" t="str">
        <f t="shared" si="2"/>
        <v/>
      </c>
      <c r="G52" s="148" t="str">
        <f t="shared" si="3"/>
        <v/>
      </c>
      <c r="I52" s="353"/>
      <c r="J52" s="354"/>
      <c r="K52" s="145"/>
      <c r="L52" s="146"/>
      <c r="M52" s="146"/>
      <c r="N52" s="147" t="str">
        <f t="shared" si="4"/>
        <v/>
      </c>
      <c r="O52" s="148" t="str">
        <f t="shared" si="5"/>
        <v/>
      </c>
    </row>
    <row r="53" spans="1:15" s="68" customFormat="1" x14ac:dyDescent="0.25">
      <c r="A53" s="353"/>
      <c r="B53" s="354"/>
      <c r="C53" s="145"/>
      <c r="D53" s="146"/>
      <c r="E53" s="146"/>
      <c r="F53" s="147" t="str">
        <f t="shared" si="2"/>
        <v/>
      </c>
      <c r="G53" s="148" t="str">
        <f t="shared" si="3"/>
        <v/>
      </c>
      <c r="I53" s="353"/>
      <c r="J53" s="354"/>
      <c r="K53" s="145"/>
      <c r="L53" s="146"/>
      <c r="M53" s="146"/>
      <c r="N53" s="147" t="str">
        <f t="shared" si="4"/>
        <v/>
      </c>
      <c r="O53" s="148" t="str">
        <f t="shared" si="5"/>
        <v/>
      </c>
    </row>
    <row r="54" spans="1:15" s="68" customFormat="1" x14ac:dyDescent="0.25">
      <c r="A54" s="353"/>
      <c r="B54" s="354"/>
      <c r="C54" s="145"/>
      <c r="D54" s="146"/>
      <c r="E54" s="146"/>
      <c r="F54" s="147" t="str">
        <f t="shared" si="2"/>
        <v/>
      </c>
      <c r="G54" s="148" t="str">
        <f t="shared" si="3"/>
        <v/>
      </c>
      <c r="I54" s="353"/>
      <c r="J54" s="354"/>
      <c r="K54" s="145"/>
      <c r="L54" s="146"/>
      <c r="M54" s="146"/>
      <c r="N54" s="147" t="str">
        <f t="shared" si="4"/>
        <v/>
      </c>
      <c r="O54" s="148" t="str">
        <f t="shared" si="5"/>
        <v/>
      </c>
    </row>
    <row r="55" spans="1:15" s="68" customFormat="1" x14ac:dyDescent="0.25">
      <c r="A55" s="353"/>
      <c r="B55" s="354"/>
      <c r="C55" s="145"/>
      <c r="D55" s="146"/>
      <c r="E55" s="146"/>
      <c r="F55" s="147" t="str">
        <f t="shared" si="2"/>
        <v/>
      </c>
      <c r="G55" s="148" t="str">
        <f t="shared" si="3"/>
        <v/>
      </c>
      <c r="I55" s="353"/>
      <c r="J55" s="354"/>
      <c r="K55" s="145"/>
      <c r="L55" s="146"/>
      <c r="M55" s="146"/>
      <c r="N55" s="147" t="str">
        <f t="shared" si="4"/>
        <v/>
      </c>
      <c r="O55" s="148" t="str">
        <f t="shared" si="5"/>
        <v/>
      </c>
    </row>
    <row r="56" spans="1:15" s="68" customFormat="1" x14ac:dyDescent="0.25">
      <c r="A56" s="353"/>
      <c r="B56" s="354"/>
      <c r="C56" s="145"/>
      <c r="D56" s="146"/>
      <c r="E56" s="146"/>
      <c r="F56" s="147" t="str">
        <f t="shared" si="2"/>
        <v/>
      </c>
      <c r="G56" s="148" t="str">
        <f t="shared" si="3"/>
        <v/>
      </c>
      <c r="I56" s="353"/>
      <c r="J56" s="354"/>
      <c r="K56" s="145"/>
      <c r="L56" s="146"/>
      <c r="M56" s="146"/>
      <c r="N56" s="147" t="str">
        <f t="shared" si="4"/>
        <v/>
      </c>
      <c r="O56" s="148" t="str">
        <f t="shared" si="5"/>
        <v/>
      </c>
    </row>
    <row r="57" spans="1:15" s="68" customFormat="1" x14ac:dyDescent="0.25">
      <c r="A57" s="353"/>
      <c r="B57" s="354"/>
      <c r="C57" s="145"/>
      <c r="D57" s="146"/>
      <c r="E57" s="146"/>
      <c r="F57" s="147" t="str">
        <f t="shared" si="2"/>
        <v/>
      </c>
      <c r="G57" s="148" t="str">
        <f t="shared" si="3"/>
        <v/>
      </c>
      <c r="I57" s="353"/>
      <c r="J57" s="354"/>
      <c r="K57" s="145"/>
      <c r="L57" s="146"/>
      <c r="M57" s="146"/>
      <c r="N57" s="147" t="str">
        <f t="shared" si="4"/>
        <v/>
      </c>
      <c r="O57" s="148" t="str">
        <f t="shared" si="5"/>
        <v/>
      </c>
    </row>
    <row r="58" spans="1:15" s="68" customFormat="1" x14ac:dyDescent="0.25">
      <c r="A58" s="353"/>
      <c r="B58" s="354"/>
      <c r="C58" s="145"/>
      <c r="D58" s="146"/>
      <c r="E58" s="146"/>
      <c r="F58" s="147" t="str">
        <f t="shared" si="2"/>
        <v/>
      </c>
      <c r="G58" s="148" t="str">
        <f t="shared" si="3"/>
        <v/>
      </c>
      <c r="I58" s="353"/>
      <c r="J58" s="354"/>
      <c r="K58" s="145"/>
      <c r="L58" s="146"/>
      <c r="M58" s="146"/>
      <c r="N58" s="147" t="str">
        <f t="shared" si="4"/>
        <v/>
      </c>
      <c r="O58" s="148" t="str">
        <f t="shared" si="5"/>
        <v/>
      </c>
    </row>
    <row r="59" spans="1:15" s="68" customFormat="1" x14ac:dyDescent="0.25">
      <c r="A59" s="353"/>
      <c r="B59" s="354"/>
      <c r="C59" s="145"/>
      <c r="D59" s="146"/>
      <c r="E59" s="146"/>
      <c r="F59" s="147" t="str">
        <f t="shared" si="2"/>
        <v/>
      </c>
      <c r="G59" s="148" t="str">
        <f t="shared" si="3"/>
        <v/>
      </c>
      <c r="I59" s="353"/>
      <c r="J59" s="354"/>
      <c r="K59" s="145"/>
      <c r="L59" s="146"/>
      <c r="M59" s="146"/>
      <c r="N59" s="147" t="str">
        <f t="shared" si="4"/>
        <v/>
      </c>
      <c r="O59" s="148" t="str">
        <f t="shared" si="5"/>
        <v/>
      </c>
    </row>
    <row r="60" spans="1:15" s="68" customFormat="1" x14ac:dyDescent="0.25">
      <c r="A60" s="353"/>
      <c r="B60" s="354"/>
      <c r="C60" s="145"/>
      <c r="D60" s="146"/>
      <c r="E60" s="146"/>
      <c r="F60" s="147" t="str">
        <f t="shared" si="2"/>
        <v/>
      </c>
      <c r="G60" s="148" t="str">
        <f t="shared" si="3"/>
        <v/>
      </c>
      <c r="I60" s="353"/>
      <c r="J60" s="354"/>
      <c r="K60" s="145"/>
      <c r="L60" s="146"/>
      <c r="M60" s="146"/>
      <c r="N60" s="147" t="str">
        <f t="shared" si="4"/>
        <v/>
      </c>
      <c r="O60" s="148" t="str">
        <f t="shared" si="5"/>
        <v/>
      </c>
    </row>
    <row r="61" spans="1:15" s="68" customFormat="1" x14ac:dyDescent="0.25">
      <c r="A61" s="353"/>
      <c r="B61" s="354"/>
      <c r="C61" s="145"/>
      <c r="D61" s="146"/>
      <c r="E61" s="146"/>
      <c r="F61" s="147" t="str">
        <f t="shared" si="2"/>
        <v/>
      </c>
      <c r="G61" s="148" t="str">
        <f t="shared" si="3"/>
        <v/>
      </c>
      <c r="I61" s="353"/>
      <c r="J61" s="354"/>
      <c r="K61" s="145"/>
      <c r="L61" s="146"/>
      <c r="M61" s="146"/>
      <c r="N61" s="147" t="str">
        <f t="shared" si="4"/>
        <v/>
      </c>
      <c r="O61" s="148" t="str">
        <f t="shared" si="5"/>
        <v/>
      </c>
    </row>
    <row r="62" spans="1:15" s="68" customFormat="1" x14ac:dyDescent="0.25">
      <c r="A62" s="353"/>
      <c r="B62" s="354"/>
      <c r="C62" s="145"/>
      <c r="D62" s="146"/>
      <c r="E62" s="146"/>
      <c r="F62" s="147" t="str">
        <f t="shared" si="2"/>
        <v/>
      </c>
      <c r="G62" s="148" t="str">
        <f t="shared" si="3"/>
        <v/>
      </c>
      <c r="I62" s="353"/>
      <c r="J62" s="354"/>
      <c r="K62" s="145"/>
      <c r="L62" s="146"/>
      <c r="M62" s="146"/>
      <c r="N62" s="147" t="str">
        <f t="shared" si="4"/>
        <v/>
      </c>
      <c r="O62" s="148" t="str">
        <f t="shared" si="5"/>
        <v/>
      </c>
    </row>
    <row r="63" spans="1:15" s="68" customFormat="1" x14ac:dyDescent="0.25">
      <c r="A63" s="353"/>
      <c r="B63" s="354"/>
      <c r="C63" s="145"/>
      <c r="D63" s="146"/>
      <c r="E63" s="146"/>
      <c r="F63" s="147" t="str">
        <f t="shared" si="2"/>
        <v/>
      </c>
      <c r="G63" s="148" t="str">
        <f t="shared" si="3"/>
        <v/>
      </c>
      <c r="I63" s="353"/>
      <c r="J63" s="354"/>
      <c r="K63" s="145"/>
      <c r="L63" s="146"/>
      <c r="M63" s="146"/>
      <c r="N63" s="147" t="str">
        <f t="shared" si="4"/>
        <v/>
      </c>
      <c r="O63" s="148" t="str">
        <f t="shared" si="5"/>
        <v/>
      </c>
    </row>
    <row r="64" spans="1:15" s="68" customFormat="1" x14ac:dyDescent="0.25">
      <c r="A64" s="353"/>
      <c r="B64" s="354"/>
      <c r="C64" s="145"/>
      <c r="D64" s="146"/>
      <c r="E64" s="146"/>
      <c r="F64" s="147" t="str">
        <f t="shared" si="2"/>
        <v/>
      </c>
      <c r="G64" s="148" t="str">
        <f t="shared" si="3"/>
        <v/>
      </c>
      <c r="I64" s="353"/>
      <c r="J64" s="354"/>
      <c r="K64" s="145"/>
      <c r="L64" s="146"/>
      <c r="M64" s="146"/>
      <c r="N64" s="147" t="str">
        <f t="shared" si="4"/>
        <v/>
      </c>
      <c r="O64" s="148" t="str">
        <f t="shared" si="5"/>
        <v/>
      </c>
    </row>
    <row r="65" spans="1:15" s="68" customFormat="1" x14ac:dyDescent="0.25">
      <c r="A65" s="353"/>
      <c r="B65" s="354"/>
      <c r="C65" s="145"/>
      <c r="D65" s="146"/>
      <c r="E65" s="146"/>
      <c r="F65" s="147" t="str">
        <f t="shared" si="2"/>
        <v/>
      </c>
      <c r="G65" s="148" t="str">
        <f t="shared" si="3"/>
        <v/>
      </c>
      <c r="I65" s="353"/>
      <c r="J65" s="354"/>
      <c r="K65" s="145"/>
      <c r="L65" s="146"/>
      <c r="M65" s="146"/>
      <c r="N65" s="147" t="str">
        <f t="shared" si="4"/>
        <v/>
      </c>
      <c r="O65" s="148" t="str">
        <f t="shared" si="5"/>
        <v/>
      </c>
    </row>
    <row r="66" spans="1:15" s="68" customFormat="1" x14ac:dyDescent="0.25">
      <c r="A66" s="353"/>
      <c r="B66" s="354"/>
      <c r="C66" s="145"/>
      <c r="D66" s="146"/>
      <c r="E66" s="146"/>
      <c r="F66" s="147" t="str">
        <f t="shared" si="2"/>
        <v/>
      </c>
      <c r="G66" s="148" t="str">
        <f t="shared" si="3"/>
        <v/>
      </c>
      <c r="I66" s="353"/>
      <c r="J66" s="354"/>
      <c r="K66" s="145"/>
      <c r="L66" s="146"/>
      <c r="M66" s="146"/>
      <c r="N66" s="147" t="str">
        <f t="shared" si="4"/>
        <v/>
      </c>
      <c r="O66" s="148" t="str">
        <f t="shared" si="5"/>
        <v/>
      </c>
    </row>
    <row r="67" spans="1:15" s="68" customFormat="1" x14ac:dyDescent="0.25">
      <c r="A67" s="353"/>
      <c r="B67" s="354"/>
      <c r="C67" s="145"/>
      <c r="D67" s="146"/>
      <c r="E67" s="146"/>
      <c r="F67" s="147" t="str">
        <f t="shared" si="2"/>
        <v/>
      </c>
      <c r="G67" s="148" t="str">
        <f t="shared" si="3"/>
        <v/>
      </c>
      <c r="I67" s="353"/>
      <c r="J67" s="354"/>
      <c r="K67" s="145"/>
      <c r="L67" s="146"/>
      <c r="M67" s="146"/>
      <c r="N67" s="147" t="str">
        <f t="shared" si="4"/>
        <v/>
      </c>
      <c r="O67" s="148" t="str">
        <f t="shared" si="5"/>
        <v/>
      </c>
    </row>
    <row r="68" spans="1:15" s="68" customFormat="1" x14ac:dyDescent="0.25">
      <c r="A68" s="353"/>
      <c r="B68" s="354"/>
      <c r="C68" s="145"/>
      <c r="D68" s="146"/>
      <c r="E68" s="146"/>
      <c r="F68" s="147" t="str">
        <f t="shared" si="2"/>
        <v/>
      </c>
      <c r="G68" s="148" t="str">
        <f t="shared" si="3"/>
        <v/>
      </c>
      <c r="I68" s="353"/>
      <c r="J68" s="354"/>
      <c r="K68" s="145"/>
      <c r="L68" s="146"/>
      <c r="M68" s="146"/>
      <c r="N68" s="147" t="str">
        <f t="shared" si="4"/>
        <v/>
      </c>
      <c r="O68" s="148" t="str">
        <f t="shared" si="5"/>
        <v/>
      </c>
    </row>
    <row r="69" spans="1:15" s="68" customFormat="1" x14ac:dyDescent="0.25">
      <c r="A69" s="353"/>
      <c r="B69" s="354"/>
      <c r="C69" s="145"/>
      <c r="D69" s="146"/>
      <c r="E69" s="146"/>
      <c r="F69" s="147" t="str">
        <f t="shared" si="2"/>
        <v/>
      </c>
      <c r="G69" s="148" t="str">
        <f t="shared" si="3"/>
        <v/>
      </c>
      <c r="I69" s="353"/>
      <c r="J69" s="354"/>
      <c r="K69" s="145"/>
      <c r="L69" s="146"/>
      <c r="M69" s="146"/>
      <c r="N69" s="147" t="str">
        <f t="shared" si="4"/>
        <v/>
      </c>
      <c r="O69" s="148" t="str">
        <f t="shared" si="5"/>
        <v/>
      </c>
    </row>
    <row r="70" spans="1:15" s="68" customFormat="1" x14ac:dyDescent="0.25">
      <c r="A70" s="353"/>
      <c r="B70" s="354"/>
      <c r="C70" s="145"/>
      <c r="D70" s="146"/>
      <c r="E70" s="146"/>
      <c r="F70" s="147" t="str">
        <f t="shared" si="2"/>
        <v/>
      </c>
      <c r="G70" s="148" t="str">
        <f t="shared" si="3"/>
        <v/>
      </c>
      <c r="I70" s="353"/>
      <c r="J70" s="354"/>
      <c r="K70" s="145"/>
      <c r="L70" s="146"/>
      <c r="M70" s="146"/>
      <c r="N70" s="147" t="str">
        <f t="shared" si="4"/>
        <v/>
      </c>
      <c r="O70" s="148" t="str">
        <f t="shared" si="5"/>
        <v/>
      </c>
    </row>
    <row r="71" spans="1:15" s="68" customFormat="1" x14ac:dyDescent="0.25">
      <c r="A71" s="353"/>
      <c r="B71" s="354"/>
      <c r="C71" s="145"/>
      <c r="D71" s="146"/>
      <c r="E71" s="146"/>
      <c r="F71" s="147" t="str">
        <f t="shared" si="2"/>
        <v/>
      </c>
      <c r="G71" s="148" t="str">
        <f t="shared" si="3"/>
        <v/>
      </c>
      <c r="I71" s="353"/>
      <c r="J71" s="354"/>
      <c r="K71" s="145"/>
      <c r="L71" s="146"/>
      <c r="M71" s="146"/>
      <c r="N71" s="147" t="str">
        <f t="shared" si="4"/>
        <v/>
      </c>
      <c r="O71" s="148" t="str">
        <f t="shared" si="5"/>
        <v/>
      </c>
    </row>
    <row r="72" spans="1:15" s="68" customFormat="1" x14ac:dyDescent="0.25">
      <c r="A72" s="353"/>
      <c r="B72" s="354"/>
      <c r="C72" s="145"/>
      <c r="D72" s="146"/>
      <c r="E72" s="146"/>
      <c r="F72" s="147" t="str">
        <f t="shared" si="2"/>
        <v/>
      </c>
      <c r="G72" s="148" t="str">
        <f t="shared" si="3"/>
        <v/>
      </c>
      <c r="I72" s="353"/>
      <c r="J72" s="354"/>
      <c r="K72" s="145"/>
      <c r="L72" s="146"/>
      <c r="M72" s="146"/>
      <c r="N72" s="147" t="str">
        <f t="shared" si="4"/>
        <v/>
      </c>
      <c r="O72" s="148" t="str">
        <f t="shared" si="5"/>
        <v/>
      </c>
    </row>
    <row r="73" spans="1:15" s="68" customFormat="1" x14ac:dyDescent="0.25">
      <c r="A73" s="353"/>
      <c r="B73" s="354"/>
      <c r="C73" s="145"/>
      <c r="D73" s="146"/>
      <c r="E73" s="146"/>
      <c r="F73" s="147" t="str">
        <f t="shared" si="2"/>
        <v/>
      </c>
      <c r="G73" s="148" t="str">
        <f t="shared" si="3"/>
        <v/>
      </c>
      <c r="I73" s="353"/>
      <c r="J73" s="354"/>
      <c r="K73" s="145"/>
      <c r="L73" s="146"/>
      <c r="M73" s="146"/>
      <c r="N73" s="147" t="str">
        <f t="shared" si="4"/>
        <v/>
      </c>
      <c r="O73" s="148" t="str">
        <f t="shared" si="5"/>
        <v/>
      </c>
    </row>
    <row r="74" spans="1:15" s="68" customFormat="1" x14ac:dyDescent="0.25">
      <c r="A74" s="353"/>
      <c r="B74" s="354"/>
      <c r="C74" s="145"/>
      <c r="D74" s="146"/>
      <c r="E74" s="146"/>
      <c r="F74" s="147" t="str">
        <f t="shared" si="2"/>
        <v/>
      </c>
      <c r="G74" s="148" t="str">
        <f t="shared" si="3"/>
        <v/>
      </c>
      <c r="I74" s="353"/>
      <c r="J74" s="354"/>
      <c r="K74" s="145"/>
      <c r="L74" s="146"/>
      <c r="M74" s="146"/>
      <c r="N74" s="147" t="str">
        <f t="shared" si="4"/>
        <v/>
      </c>
      <c r="O74" s="148" t="str">
        <f t="shared" si="5"/>
        <v/>
      </c>
    </row>
    <row r="75" spans="1:15" s="55" customFormat="1" x14ac:dyDescent="0.25">
      <c r="A75" s="353"/>
      <c r="B75" s="354"/>
      <c r="C75" s="145"/>
      <c r="D75" s="146"/>
      <c r="E75" s="146"/>
      <c r="F75" s="147" t="str">
        <f t="shared" si="2"/>
        <v/>
      </c>
      <c r="G75" s="148" t="str">
        <f t="shared" si="3"/>
        <v/>
      </c>
      <c r="I75" s="353"/>
      <c r="J75" s="354"/>
      <c r="K75" s="145"/>
      <c r="L75" s="146"/>
      <c r="M75" s="146"/>
      <c r="N75" s="147" t="str">
        <f t="shared" si="4"/>
        <v/>
      </c>
      <c r="O75" s="148" t="str">
        <f t="shared" si="5"/>
        <v/>
      </c>
    </row>
    <row r="76" spans="1:15" s="55" customFormat="1" x14ac:dyDescent="0.25">
      <c r="A76" s="353"/>
      <c r="B76" s="354"/>
      <c r="C76" s="145"/>
      <c r="D76" s="146"/>
      <c r="E76" s="146"/>
      <c r="F76" s="147" t="str">
        <f t="shared" si="2"/>
        <v/>
      </c>
      <c r="G76" s="148" t="str">
        <f t="shared" si="3"/>
        <v/>
      </c>
      <c r="I76" s="353"/>
      <c r="J76" s="354"/>
      <c r="K76" s="145"/>
      <c r="L76" s="146"/>
      <c r="M76" s="146"/>
      <c r="N76" s="147" t="str">
        <f t="shared" si="4"/>
        <v/>
      </c>
      <c r="O76" s="148" t="str">
        <f t="shared" si="5"/>
        <v/>
      </c>
    </row>
    <row r="77" spans="1:15" s="55" customFormat="1" x14ac:dyDescent="0.25">
      <c r="A77" s="353"/>
      <c r="B77" s="354"/>
      <c r="C77" s="145"/>
      <c r="D77" s="146"/>
      <c r="E77" s="146"/>
      <c r="F77" s="147" t="str">
        <f t="shared" si="2"/>
        <v/>
      </c>
      <c r="G77" s="148" t="str">
        <f t="shared" si="3"/>
        <v/>
      </c>
      <c r="I77" s="353"/>
      <c r="J77" s="354"/>
      <c r="K77" s="145"/>
      <c r="L77" s="146"/>
      <c r="M77" s="146"/>
      <c r="N77" s="147" t="str">
        <f t="shared" si="4"/>
        <v/>
      </c>
      <c r="O77" s="148" t="str">
        <f t="shared" si="5"/>
        <v/>
      </c>
    </row>
    <row r="78" spans="1:15" s="55" customFormat="1" x14ac:dyDescent="0.25">
      <c r="A78" s="353"/>
      <c r="B78" s="354"/>
      <c r="C78" s="145"/>
      <c r="D78" s="146"/>
      <c r="E78" s="146"/>
      <c r="F78" s="147" t="str">
        <f t="shared" si="2"/>
        <v/>
      </c>
      <c r="G78" s="148" t="str">
        <f t="shared" si="3"/>
        <v/>
      </c>
      <c r="I78" s="353"/>
      <c r="J78" s="354"/>
      <c r="K78" s="145"/>
      <c r="L78" s="146"/>
      <c r="M78" s="146"/>
      <c r="N78" s="147" t="str">
        <f t="shared" si="4"/>
        <v/>
      </c>
      <c r="O78" s="148" t="str">
        <f t="shared" si="5"/>
        <v/>
      </c>
    </row>
    <row r="79" spans="1:15" x14ac:dyDescent="0.25">
      <c r="A79" s="353"/>
      <c r="B79" s="354"/>
      <c r="C79" s="145"/>
      <c r="D79" s="146"/>
      <c r="E79" s="146"/>
      <c r="F79" s="147" t="str">
        <f t="shared" si="2"/>
        <v/>
      </c>
      <c r="G79" s="148" t="str">
        <f t="shared" si="3"/>
        <v/>
      </c>
      <c r="I79" s="353"/>
      <c r="J79" s="354"/>
      <c r="K79" s="145"/>
      <c r="L79" s="146"/>
      <c r="M79" s="146"/>
      <c r="N79" s="147" t="str">
        <f t="shared" si="4"/>
        <v/>
      </c>
      <c r="O79" s="148" t="str">
        <f t="shared" si="5"/>
        <v/>
      </c>
    </row>
    <row r="80" spans="1:15" x14ac:dyDescent="0.25">
      <c r="A80" s="353"/>
      <c r="B80" s="354"/>
      <c r="C80" s="145"/>
      <c r="D80" s="146"/>
      <c r="E80" s="146"/>
      <c r="F80" s="147" t="str">
        <f t="shared" si="2"/>
        <v/>
      </c>
      <c r="G80" s="148" t="str">
        <f t="shared" si="3"/>
        <v/>
      </c>
      <c r="I80" s="353"/>
      <c r="J80" s="354"/>
      <c r="K80" s="145"/>
      <c r="L80" s="146"/>
      <c r="M80" s="146"/>
      <c r="N80" s="147" t="str">
        <f t="shared" si="4"/>
        <v/>
      </c>
      <c r="O80" s="148" t="str">
        <f t="shared" si="5"/>
        <v/>
      </c>
    </row>
    <row r="81" spans="1:15" x14ac:dyDescent="0.25">
      <c r="A81" s="353"/>
      <c r="B81" s="354"/>
      <c r="C81" s="145"/>
      <c r="D81" s="146"/>
      <c r="E81" s="146"/>
      <c r="F81" s="147" t="str">
        <f t="shared" si="2"/>
        <v/>
      </c>
      <c r="G81" s="148" t="str">
        <f t="shared" si="3"/>
        <v/>
      </c>
      <c r="I81" s="353"/>
      <c r="J81" s="354"/>
      <c r="K81" s="145"/>
      <c r="L81" s="146"/>
      <c r="M81" s="146"/>
      <c r="N81" s="147" t="str">
        <f t="shared" si="4"/>
        <v/>
      </c>
      <c r="O81" s="148" t="str">
        <f t="shared" si="5"/>
        <v/>
      </c>
    </row>
    <row r="82" spans="1:15" x14ac:dyDescent="0.25">
      <c r="A82" s="353"/>
      <c r="B82" s="354"/>
      <c r="C82" s="145"/>
      <c r="D82" s="146"/>
      <c r="E82" s="146"/>
      <c r="F82" s="147" t="str">
        <f t="shared" ref="F82:F91" si="6">IF(D82*E82&gt;0,D82*E82,"")</f>
        <v/>
      </c>
      <c r="G82" s="148" t="str">
        <f t="shared" ref="G82:G91" si="7">IF(F82="",F82,F82/52)</f>
        <v/>
      </c>
      <c r="I82" s="353"/>
      <c r="J82" s="354"/>
      <c r="K82" s="145"/>
      <c r="L82" s="146"/>
      <c r="M82" s="146"/>
      <c r="N82" s="147" t="str">
        <f t="shared" ref="N82:N91" si="8">IF(L82*M82&gt;0,L82*M82,"")</f>
        <v/>
      </c>
      <c r="O82" s="148" t="str">
        <f t="shared" ref="O82:O91" si="9">IF(N82="",N82,N82/52)</f>
        <v/>
      </c>
    </row>
    <row r="83" spans="1:15" x14ac:dyDescent="0.25">
      <c r="A83" s="353"/>
      <c r="B83" s="354"/>
      <c r="C83" s="145"/>
      <c r="D83" s="146"/>
      <c r="E83" s="146"/>
      <c r="F83" s="147" t="str">
        <f t="shared" si="6"/>
        <v/>
      </c>
      <c r="G83" s="148" t="str">
        <f t="shared" si="7"/>
        <v/>
      </c>
      <c r="I83" s="353"/>
      <c r="J83" s="354"/>
      <c r="K83" s="145"/>
      <c r="L83" s="146"/>
      <c r="M83" s="146"/>
      <c r="N83" s="147" t="str">
        <f t="shared" si="8"/>
        <v/>
      </c>
      <c r="O83" s="148" t="str">
        <f t="shared" si="9"/>
        <v/>
      </c>
    </row>
    <row r="84" spans="1:15" x14ac:dyDescent="0.25">
      <c r="A84" s="353"/>
      <c r="B84" s="354"/>
      <c r="C84" s="145"/>
      <c r="D84" s="146"/>
      <c r="E84" s="146"/>
      <c r="F84" s="147" t="str">
        <f t="shared" si="6"/>
        <v/>
      </c>
      <c r="G84" s="148" t="str">
        <f t="shared" si="7"/>
        <v/>
      </c>
      <c r="I84" s="353"/>
      <c r="J84" s="354"/>
      <c r="K84" s="145"/>
      <c r="L84" s="146"/>
      <c r="M84" s="146"/>
      <c r="N84" s="147" t="str">
        <f t="shared" si="8"/>
        <v/>
      </c>
      <c r="O84" s="148" t="str">
        <f t="shared" si="9"/>
        <v/>
      </c>
    </row>
    <row r="85" spans="1:15" x14ac:dyDescent="0.25">
      <c r="A85" s="353"/>
      <c r="B85" s="354"/>
      <c r="C85" s="145"/>
      <c r="D85" s="146"/>
      <c r="E85" s="146"/>
      <c r="F85" s="147" t="str">
        <f t="shared" si="6"/>
        <v/>
      </c>
      <c r="G85" s="148" t="str">
        <f t="shared" si="7"/>
        <v/>
      </c>
      <c r="I85" s="353"/>
      <c r="J85" s="354"/>
      <c r="K85" s="145"/>
      <c r="L85" s="146"/>
      <c r="M85" s="146"/>
      <c r="N85" s="147" t="str">
        <f t="shared" si="8"/>
        <v/>
      </c>
      <c r="O85" s="148" t="str">
        <f t="shared" si="9"/>
        <v/>
      </c>
    </row>
    <row r="86" spans="1:15" x14ac:dyDescent="0.25">
      <c r="A86" s="353"/>
      <c r="B86" s="354"/>
      <c r="C86" s="145"/>
      <c r="D86" s="146"/>
      <c r="E86" s="146"/>
      <c r="F86" s="147" t="str">
        <f t="shared" si="6"/>
        <v/>
      </c>
      <c r="G86" s="148" t="str">
        <f t="shared" si="7"/>
        <v/>
      </c>
      <c r="I86" s="353"/>
      <c r="J86" s="354"/>
      <c r="K86" s="145"/>
      <c r="L86" s="146"/>
      <c r="M86" s="146"/>
      <c r="N86" s="147" t="str">
        <f t="shared" si="8"/>
        <v/>
      </c>
      <c r="O86" s="148" t="str">
        <f t="shared" si="9"/>
        <v/>
      </c>
    </row>
    <row r="87" spans="1:15" x14ac:dyDescent="0.25">
      <c r="A87" s="353"/>
      <c r="B87" s="354"/>
      <c r="C87" s="145"/>
      <c r="D87" s="146"/>
      <c r="E87" s="146"/>
      <c r="F87" s="147" t="str">
        <f t="shared" si="6"/>
        <v/>
      </c>
      <c r="G87" s="148" t="str">
        <f t="shared" si="7"/>
        <v/>
      </c>
      <c r="I87" s="353"/>
      <c r="J87" s="354"/>
      <c r="K87" s="145"/>
      <c r="L87" s="146"/>
      <c r="M87" s="146"/>
      <c r="N87" s="147" t="str">
        <f t="shared" si="8"/>
        <v/>
      </c>
      <c r="O87" s="148" t="str">
        <f t="shared" si="9"/>
        <v/>
      </c>
    </row>
    <row r="88" spans="1:15" x14ac:dyDescent="0.25">
      <c r="A88" s="353"/>
      <c r="B88" s="354"/>
      <c r="C88" s="145"/>
      <c r="D88" s="146"/>
      <c r="E88" s="146"/>
      <c r="F88" s="147" t="str">
        <f t="shared" si="6"/>
        <v/>
      </c>
      <c r="G88" s="148" t="str">
        <f t="shared" si="7"/>
        <v/>
      </c>
      <c r="I88" s="353"/>
      <c r="J88" s="354"/>
      <c r="K88" s="145"/>
      <c r="L88" s="146"/>
      <c r="M88" s="146"/>
      <c r="N88" s="147" t="str">
        <f t="shared" si="8"/>
        <v/>
      </c>
      <c r="O88" s="148" t="str">
        <f t="shared" si="9"/>
        <v/>
      </c>
    </row>
    <row r="89" spans="1:15" x14ac:dyDescent="0.25">
      <c r="A89" s="353"/>
      <c r="B89" s="354"/>
      <c r="C89" s="145"/>
      <c r="D89" s="146"/>
      <c r="E89" s="146"/>
      <c r="F89" s="147" t="str">
        <f t="shared" si="6"/>
        <v/>
      </c>
      <c r="G89" s="148" t="str">
        <f t="shared" si="7"/>
        <v/>
      </c>
      <c r="I89" s="353"/>
      <c r="J89" s="354"/>
      <c r="K89" s="145"/>
      <c r="L89" s="146"/>
      <c r="M89" s="146"/>
      <c r="N89" s="147" t="str">
        <f t="shared" si="8"/>
        <v/>
      </c>
      <c r="O89" s="148" t="str">
        <f t="shared" si="9"/>
        <v/>
      </c>
    </row>
    <row r="90" spans="1:15" x14ac:dyDescent="0.25">
      <c r="A90" s="353"/>
      <c r="B90" s="354"/>
      <c r="C90" s="145"/>
      <c r="D90" s="146"/>
      <c r="E90" s="146"/>
      <c r="F90" s="147" t="str">
        <f t="shared" si="6"/>
        <v/>
      </c>
      <c r="G90" s="148" t="str">
        <f t="shared" si="7"/>
        <v/>
      </c>
      <c r="I90" s="353"/>
      <c r="J90" s="354"/>
      <c r="K90" s="145"/>
      <c r="L90" s="146"/>
      <c r="M90" s="146"/>
      <c r="N90" s="147" t="str">
        <f t="shared" si="8"/>
        <v/>
      </c>
      <c r="O90" s="148" t="str">
        <f t="shared" si="9"/>
        <v/>
      </c>
    </row>
    <row r="91" spans="1:15" ht="15.75" thickBot="1" x14ac:dyDescent="0.3">
      <c r="A91" s="355"/>
      <c r="B91" s="356"/>
      <c r="C91" s="149"/>
      <c r="D91" s="150"/>
      <c r="E91" s="150"/>
      <c r="F91" s="151" t="str">
        <f t="shared" si="6"/>
        <v/>
      </c>
      <c r="G91" s="152" t="str">
        <f t="shared" si="7"/>
        <v/>
      </c>
      <c r="I91" s="355"/>
      <c r="J91" s="356"/>
      <c r="K91" s="149"/>
      <c r="L91" s="150"/>
      <c r="M91" s="150"/>
      <c r="N91" s="151" t="str">
        <f t="shared" si="8"/>
        <v/>
      </c>
      <c r="O91" s="152" t="str">
        <f t="shared" si="9"/>
        <v/>
      </c>
    </row>
    <row r="92" spans="1:15" x14ac:dyDescent="0.25">
      <c r="A92" s="52"/>
      <c r="B92" s="52"/>
      <c r="C92" s="52"/>
      <c r="D92" s="37"/>
      <c r="E92" s="37"/>
      <c r="F92" s="37"/>
      <c r="G92" s="43"/>
      <c r="H92" s="54"/>
      <c r="I92" s="52"/>
      <c r="J92" s="52"/>
      <c r="K92" s="52"/>
      <c r="L92" s="37"/>
      <c r="M92" s="37"/>
      <c r="N92" s="37"/>
      <c r="O92" s="43"/>
    </row>
    <row r="93" spans="1:15" ht="15" customHeight="1" x14ac:dyDescent="0.25">
      <c r="A93" s="357" t="s">
        <v>791</v>
      </c>
      <c r="B93" s="358"/>
      <c r="C93" s="358"/>
      <c r="D93" s="358"/>
      <c r="E93" s="358"/>
      <c r="F93" s="358"/>
      <c r="G93" s="358"/>
      <c r="H93" s="54"/>
      <c r="I93" s="357" t="s">
        <v>792</v>
      </c>
      <c r="J93" s="358"/>
      <c r="K93" s="358"/>
      <c r="L93" s="358"/>
      <c r="M93" s="358"/>
      <c r="N93" s="358"/>
      <c r="O93" s="358"/>
    </row>
    <row r="94" spans="1:15" x14ac:dyDescent="0.25">
      <c r="A94" s="358"/>
      <c r="B94" s="358"/>
      <c r="C94" s="358"/>
      <c r="D94" s="358"/>
      <c r="E94" s="358"/>
      <c r="F94" s="358"/>
      <c r="G94" s="358"/>
      <c r="H94" s="54"/>
      <c r="I94" s="358"/>
      <c r="J94" s="358"/>
      <c r="K94" s="358"/>
      <c r="L94" s="358"/>
      <c r="M94" s="358"/>
      <c r="N94" s="358"/>
      <c r="O94" s="358"/>
    </row>
    <row r="95" spans="1:15" ht="22.5" customHeight="1" thickBot="1" x14ac:dyDescent="0.3">
      <c r="A95" s="358"/>
      <c r="B95" s="358"/>
      <c r="C95" s="358"/>
      <c r="D95" s="358"/>
      <c r="E95" s="358"/>
      <c r="F95" s="358"/>
      <c r="G95" s="358"/>
      <c r="H95" s="54"/>
      <c r="I95" s="358"/>
      <c r="J95" s="358"/>
      <c r="K95" s="358"/>
      <c r="L95" s="358"/>
      <c r="M95" s="358"/>
      <c r="N95" s="358"/>
      <c r="O95" s="358"/>
    </row>
    <row r="96" spans="1:15" ht="15.75" thickBot="1" x14ac:dyDescent="0.3">
      <c r="C96" s="162" t="s">
        <v>423</v>
      </c>
      <c r="D96" s="163" t="e">
        <f ca="1">SUM(CoreCapacityRange)</f>
        <v>#REF!</v>
      </c>
      <c r="F96" s="352" t="s">
        <v>809</v>
      </c>
      <c r="G96" s="352"/>
      <c r="H96" s="352"/>
      <c r="K96" s="162" t="s">
        <v>423</v>
      </c>
      <c r="L96" s="163" t="e">
        <f ca="1">SUM(AdditionalCapacityRange)</f>
        <v>#REF!</v>
      </c>
    </row>
    <row r="97" spans="2:13" ht="36.75" customHeight="1" thickBot="1" x14ac:dyDescent="0.3">
      <c r="B97" s="164" t="s">
        <v>74</v>
      </c>
      <c r="C97" s="170" t="s">
        <v>415</v>
      </c>
      <c r="D97" s="172" t="s">
        <v>32</v>
      </c>
      <c r="E97" s="11"/>
      <c r="H97" s="56"/>
      <c r="J97" s="164" t="s">
        <v>74</v>
      </c>
      <c r="K97" s="170" t="s">
        <v>415</v>
      </c>
      <c r="L97" s="171" t="s">
        <v>452</v>
      </c>
    </row>
    <row r="98" spans="2:13" x14ac:dyDescent="0.25">
      <c r="B98" s="173">
        <f t="array" aca="1" ref="B98:B149" ca="1">ROW(INDIRECT("1:52"))</f>
        <v>1</v>
      </c>
      <c r="C98" s="174" t="e">
        <f t="array" aca="1" ref="C98:C149" ca="1">DTARange</f>
        <v>#REF!</v>
      </c>
      <c r="D98" s="176"/>
      <c r="E98" s="29" t="e">
        <f t="array" ref="E98:E149">#REF!+Demand!D13:D64+RoutineMeanAdmissions</f>
        <v>#REF!</v>
      </c>
      <c r="H98" s="56"/>
      <c r="J98" s="173">
        <f t="array" aca="1" ref="J98:J149" ca="1">ROW(INDIRECT("1:52"))</f>
        <v>1</v>
      </c>
      <c r="K98" s="174" t="e">
        <f t="array" aca="1" ref="K98:K149" ca="1">DTARange</f>
        <v>#REF!</v>
      </c>
      <c r="L98" s="175"/>
      <c r="M98" s="29" t="e">
        <f t="array" ref="M98:M149">#REF!+Demand!L13:L64+RoutineMeanAdmissions</f>
        <v>#REF!</v>
      </c>
    </row>
    <row r="99" spans="2:13" x14ac:dyDescent="0.25">
      <c r="B99" s="109">
        <f ca="1"/>
        <v>2</v>
      </c>
      <c r="C99" s="165" t="e">
        <f ca="1"/>
        <v>#REF!</v>
      </c>
      <c r="D99" s="166"/>
      <c r="E99" s="11" t="e">
        <v>#REF!</v>
      </c>
      <c r="H99" s="56"/>
      <c r="J99" s="109">
        <f ca="1"/>
        <v>2</v>
      </c>
      <c r="K99" s="165" t="e">
        <f ca="1"/>
        <v>#REF!</v>
      </c>
      <c r="L99" s="166"/>
      <c r="M99" s="11" t="e">
        <v>#REF!</v>
      </c>
    </row>
    <row r="100" spans="2:13" x14ac:dyDescent="0.25">
      <c r="B100" s="109">
        <f ca="1"/>
        <v>3</v>
      </c>
      <c r="C100" s="165" t="e">
        <f ca="1"/>
        <v>#REF!</v>
      </c>
      <c r="D100" s="166"/>
      <c r="E100" s="11" t="e">
        <v>#REF!</v>
      </c>
      <c r="H100" s="56"/>
      <c r="J100" s="109">
        <f ca="1"/>
        <v>3</v>
      </c>
      <c r="K100" s="165" t="e">
        <f ca="1"/>
        <v>#REF!</v>
      </c>
      <c r="L100" s="166"/>
      <c r="M100" s="11" t="e">
        <v>#REF!</v>
      </c>
    </row>
    <row r="101" spans="2:13" x14ac:dyDescent="0.25">
      <c r="B101" s="109">
        <f ca="1"/>
        <v>4</v>
      </c>
      <c r="C101" s="165" t="e">
        <f ca="1"/>
        <v>#REF!</v>
      </c>
      <c r="D101" s="166"/>
      <c r="E101" s="11" t="e">
        <v>#REF!</v>
      </c>
      <c r="H101" s="56"/>
      <c r="J101" s="109">
        <f ca="1"/>
        <v>4</v>
      </c>
      <c r="K101" s="165" t="e">
        <f ca="1"/>
        <v>#REF!</v>
      </c>
      <c r="L101" s="166"/>
      <c r="M101" s="11" t="e">
        <v>#REF!</v>
      </c>
    </row>
    <row r="102" spans="2:13" x14ac:dyDescent="0.25">
      <c r="B102" s="109">
        <f ca="1"/>
        <v>5</v>
      </c>
      <c r="C102" s="165" t="e">
        <f ca="1"/>
        <v>#REF!</v>
      </c>
      <c r="D102" s="166"/>
      <c r="E102" s="11" t="e">
        <v>#REF!</v>
      </c>
      <c r="H102" s="56"/>
      <c r="J102" s="109">
        <f ca="1"/>
        <v>5</v>
      </c>
      <c r="K102" s="165" t="e">
        <f ca="1"/>
        <v>#REF!</v>
      </c>
      <c r="L102" s="166"/>
      <c r="M102" s="11" t="e">
        <v>#REF!</v>
      </c>
    </row>
    <row r="103" spans="2:13" x14ac:dyDescent="0.25">
      <c r="B103" s="109">
        <f ca="1"/>
        <v>6</v>
      </c>
      <c r="C103" s="165" t="e">
        <f ca="1"/>
        <v>#REF!</v>
      </c>
      <c r="D103" s="166"/>
      <c r="E103" s="11" t="e">
        <v>#REF!</v>
      </c>
      <c r="H103" s="56"/>
      <c r="J103" s="109">
        <f ca="1"/>
        <v>6</v>
      </c>
      <c r="K103" s="165" t="e">
        <f ca="1"/>
        <v>#REF!</v>
      </c>
      <c r="L103" s="166"/>
      <c r="M103" s="11" t="e">
        <v>#REF!</v>
      </c>
    </row>
    <row r="104" spans="2:13" x14ac:dyDescent="0.25">
      <c r="B104" s="109">
        <f ca="1"/>
        <v>7</v>
      </c>
      <c r="C104" s="165" t="e">
        <f ca="1"/>
        <v>#REF!</v>
      </c>
      <c r="D104" s="166"/>
      <c r="E104" s="11" t="e">
        <v>#REF!</v>
      </c>
      <c r="H104" s="56"/>
      <c r="J104" s="109">
        <f ca="1"/>
        <v>7</v>
      </c>
      <c r="K104" s="165" t="e">
        <f ca="1"/>
        <v>#REF!</v>
      </c>
      <c r="L104" s="166"/>
      <c r="M104" s="11" t="e">
        <v>#REF!</v>
      </c>
    </row>
    <row r="105" spans="2:13" x14ac:dyDescent="0.25">
      <c r="B105" s="109">
        <f ca="1"/>
        <v>8</v>
      </c>
      <c r="C105" s="165" t="e">
        <f ca="1"/>
        <v>#REF!</v>
      </c>
      <c r="D105" s="166"/>
      <c r="E105" s="11" t="e">
        <v>#REF!</v>
      </c>
      <c r="H105" s="56"/>
      <c r="J105" s="109">
        <f ca="1"/>
        <v>8</v>
      </c>
      <c r="K105" s="165" t="e">
        <f ca="1"/>
        <v>#REF!</v>
      </c>
      <c r="L105" s="166"/>
      <c r="M105" s="11" t="e">
        <v>#REF!</v>
      </c>
    </row>
    <row r="106" spans="2:13" x14ac:dyDescent="0.25">
      <c r="B106" s="109">
        <f ca="1"/>
        <v>9</v>
      </c>
      <c r="C106" s="165" t="e">
        <f ca="1"/>
        <v>#REF!</v>
      </c>
      <c r="D106" s="166"/>
      <c r="E106" s="11" t="e">
        <v>#REF!</v>
      </c>
      <c r="H106" s="56"/>
      <c r="J106" s="109">
        <f ca="1"/>
        <v>9</v>
      </c>
      <c r="K106" s="165" t="e">
        <f ca="1"/>
        <v>#REF!</v>
      </c>
      <c r="L106" s="166"/>
      <c r="M106" s="11" t="e">
        <v>#REF!</v>
      </c>
    </row>
    <row r="107" spans="2:13" x14ac:dyDescent="0.25">
      <c r="B107" s="109">
        <f ca="1"/>
        <v>10</v>
      </c>
      <c r="C107" s="165" t="e">
        <f ca="1"/>
        <v>#REF!</v>
      </c>
      <c r="D107" s="166"/>
      <c r="E107" s="11" t="e">
        <v>#REF!</v>
      </c>
      <c r="H107" s="56"/>
      <c r="J107" s="109">
        <f ca="1"/>
        <v>10</v>
      </c>
      <c r="K107" s="165" t="e">
        <f ca="1"/>
        <v>#REF!</v>
      </c>
      <c r="L107" s="166"/>
      <c r="M107" s="11" t="e">
        <v>#REF!</v>
      </c>
    </row>
    <row r="108" spans="2:13" x14ac:dyDescent="0.25">
      <c r="B108" s="109">
        <f ca="1"/>
        <v>11</v>
      </c>
      <c r="C108" s="165" t="e">
        <f ca="1"/>
        <v>#REF!</v>
      </c>
      <c r="D108" s="166"/>
      <c r="E108" s="11" t="e">
        <v>#REF!</v>
      </c>
      <c r="H108" s="56"/>
      <c r="J108" s="109">
        <f ca="1"/>
        <v>11</v>
      </c>
      <c r="K108" s="165" t="e">
        <f ca="1"/>
        <v>#REF!</v>
      </c>
      <c r="L108" s="166"/>
      <c r="M108" s="11" t="e">
        <v>#REF!</v>
      </c>
    </row>
    <row r="109" spans="2:13" x14ac:dyDescent="0.25">
      <c r="B109" s="109">
        <f ca="1"/>
        <v>12</v>
      </c>
      <c r="C109" s="165" t="e">
        <f ca="1"/>
        <v>#REF!</v>
      </c>
      <c r="D109" s="166"/>
      <c r="E109" s="11" t="e">
        <v>#REF!</v>
      </c>
      <c r="H109" s="56"/>
      <c r="J109" s="109">
        <f ca="1"/>
        <v>12</v>
      </c>
      <c r="K109" s="165" t="e">
        <f ca="1"/>
        <v>#REF!</v>
      </c>
      <c r="L109" s="166"/>
      <c r="M109" s="11" t="e">
        <v>#REF!</v>
      </c>
    </row>
    <row r="110" spans="2:13" x14ac:dyDescent="0.25">
      <c r="B110" s="109">
        <f ca="1"/>
        <v>13</v>
      </c>
      <c r="C110" s="165" t="e">
        <f ca="1"/>
        <v>#REF!</v>
      </c>
      <c r="D110" s="166"/>
      <c r="E110" s="11" t="e">
        <v>#REF!</v>
      </c>
      <c r="H110" s="56"/>
      <c r="J110" s="109">
        <f ca="1"/>
        <v>13</v>
      </c>
      <c r="K110" s="165" t="e">
        <f ca="1"/>
        <v>#REF!</v>
      </c>
      <c r="L110" s="166"/>
      <c r="M110" s="11" t="e">
        <v>#REF!</v>
      </c>
    </row>
    <row r="111" spans="2:13" x14ac:dyDescent="0.25">
      <c r="B111" s="109">
        <f ca="1"/>
        <v>14</v>
      </c>
      <c r="C111" s="165" t="e">
        <f ca="1"/>
        <v>#REF!</v>
      </c>
      <c r="D111" s="166"/>
      <c r="E111" s="11" t="e">
        <v>#REF!</v>
      </c>
      <c r="H111" s="56"/>
      <c r="J111" s="109">
        <f ca="1"/>
        <v>14</v>
      </c>
      <c r="K111" s="165" t="e">
        <f ca="1"/>
        <v>#REF!</v>
      </c>
      <c r="L111" s="166"/>
      <c r="M111" s="11" t="e">
        <v>#REF!</v>
      </c>
    </row>
    <row r="112" spans="2:13" x14ac:dyDescent="0.25">
      <c r="B112" s="109">
        <f ca="1"/>
        <v>15</v>
      </c>
      <c r="C112" s="165" t="e">
        <f ca="1"/>
        <v>#REF!</v>
      </c>
      <c r="D112" s="166"/>
      <c r="E112" s="11" t="e">
        <v>#REF!</v>
      </c>
      <c r="H112" s="56"/>
      <c r="J112" s="109">
        <f ca="1"/>
        <v>15</v>
      </c>
      <c r="K112" s="165" t="e">
        <f ca="1"/>
        <v>#REF!</v>
      </c>
      <c r="L112" s="166"/>
      <c r="M112" s="11" t="e">
        <v>#REF!</v>
      </c>
    </row>
    <row r="113" spans="2:13" x14ac:dyDescent="0.25">
      <c r="B113" s="109">
        <f ca="1"/>
        <v>16</v>
      </c>
      <c r="C113" s="165" t="e">
        <f ca="1"/>
        <v>#REF!</v>
      </c>
      <c r="D113" s="166"/>
      <c r="E113" s="11" t="e">
        <v>#REF!</v>
      </c>
      <c r="H113" s="56"/>
      <c r="J113" s="109">
        <f ca="1"/>
        <v>16</v>
      </c>
      <c r="K113" s="165" t="e">
        <f ca="1"/>
        <v>#REF!</v>
      </c>
      <c r="L113" s="166"/>
      <c r="M113" s="11" t="e">
        <v>#REF!</v>
      </c>
    </row>
    <row r="114" spans="2:13" x14ac:dyDescent="0.25">
      <c r="B114" s="109">
        <f ca="1"/>
        <v>17</v>
      </c>
      <c r="C114" s="165" t="e">
        <f ca="1"/>
        <v>#REF!</v>
      </c>
      <c r="D114" s="166"/>
      <c r="E114" s="11" t="e">
        <v>#REF!</v>
      </c>
      <c r="H114" s="56"/>
      <c r="J114" s="109">
        <f ca="1"/>
        <v>17</v>
      </c>
      <c r="K114" s="165" t="e">
        <f ca="1"/>
        <v>#REF!</v>
      </c>
      <c r="L114" s="166"/>
      <c r="M114" s="11" t="e">
        <v>#REF!</v>
      </c>
    </row>
    <row r="115" spans="2:13" x14ac:dyDescent="0.25">
      <c r="B115" s="109">
        <f ca="1"/>
        <v>18</v>
      </c>
      <c r="C115" s="165" t="e">
        <f ca="1"/>
        <v>#REF!</v>
      </c>
      <c r="D115" s="166"/>
      <c r="E115" s="11" t="e">
        <v>#REF!</v>
      </c>
      <c r="H115" s="56"/>
      <c r="J115" s="109">
        <f ca="1"/>
        <v>18</v>
      </c>
      <c r="K115" s="165" t="e">
        <f ca="1"/>
        <v>#REF!</v>
      </c>
      <c r="L115" s="166"/>
      <c r="M115" s="11" t="e">
        <v>#REF!</v>
      </c>
    </row>
    <row r="116" spans="2:13" x14ac:dyDescent="0.25">
      <c r="B116" s="109">
        <f ca="1"/>
        <v>19</v>
      </c>
      <c r="C116" s="165" t="e">
        <f ca="1"/>
        <v>#REF!</v>
      </c>
      <c r="D116" s="166"/>
      <c r="E116" s="11" t="e">
        <v>#REF!</v>
      </c>
      <c r="H116" s="56"/>
      <c r="J116" s="109">
        <f ca="1"/>
        <v>19</v>
      </c>
      <c r="K116" s="165" t="e">
        <f ca="1"/>
        <v>#REF!</v>
      </c>
      <c r="L116" s="166"/>
      <c r="M116" s="11" t="e">
        <v>#REF!</v>
      </c>
    </row>
    <row r="117" spans="2:13" x14ac:dyDescent="0.25">
      <c r="B117" s="109">
        <f ca="1"/>
        <v>20</v>
      </c>
      <c r="C117" s="165" t="e">
        <f ca="1"/>
        <v>#REF!</v>
      </c>
      <c r="D117" s="166"/>
      <c r="E117" s="11" t="e">
        <v>#REF!</v>
      </c>
      <c r="H117" s="56"/>
      <c r="J117" s="109">
        <f ca="1"/>
        <v>20</v>
      </c>
      <c r="K117" s="165" t="e">
        <f ca="1"/>
        <v>#REF!</v>
      </c>
      <c r="L117" s="166"/>
      <c r="M117" s="11" t="e">
        <v>#REF!</v>
      </c>
    </row>
    <row r="118" spans="2:13" x14ac:dyDescent="0.25">
      <c r="B118" s="109">
        <f ca="1"/>
        <v>21</v>
      </c>
      <c r="C118" s="165" t="e">
        <f ca="1"/>
        <v>#REF!</v>
      </c>
      <c r="D118" s="166"/>
      <c r="E118" s="11" t="e">
        <v>#REF!</v>
      </c>
      <c r="H118" s="56"/>
      <c r="J118" s="109">
        <f ca="1"/>
        <v>21</v>
      </c>
      <c r="K118" s="165" t="e">
        <f ca="1"/>
        <v>#REF!</v>
      </c>
      <c r="L118" s="166"/>
      <c r="M118" s="11" t="e">
        <v>#REF!</v>
      </c>
    </row>
    <row r="119" spans="2:13" x14ac:dyDescent="0.25">
      <c r="B119" s="109">
        <f ca="1"/>
        <v>22</v>
      </c>
      <c r="C119" s="165" t="e">
        <f ca="1"/>
        <v>#REF!</v>
      </c>
      <c r="D119" s="166"/>
      <c r="E119" s="11" t="e">
        <v>#REF!</v>
      </c>
      <c r="H119" s="56"/>
      <c r="J119" s="109">
        <f ca="1"/>
        <v>22</v>
      </c>
      <c r="K119" s="165" t="e">
        <f ca="1"/>
        <v>#REF!</v>
      </c>
      <c r="L119" s="166"/>
      <c r="M119" s="11" t="e">
        <v>#REF!</v>
      </c>
    </row>
    <row r="120" spans="2:13" x14ac:dyDescent="0.25">
      <c r="B120" s="109">
        <f ca="1"/>
        <v>23</v>
      </c>
      <c r="C120" s="165" t="e">
        <f ca="1"/>
        <v>#REF!</v>
      </c>
      <c r="D120" s="166"/>
      <c r="E120" s="11" t="e">
        <v>#REF!</v>
      </c>
      <c r="H120" s="56"/>
      <c r="J120" s="109">
        <f ca="1"/>
        <v>23</v>
      </c>
      <c r="K120" s="165" t="e">
        <f ca="1"/>
        <v>#REF!</v>
      </c>
      <c r="L120" s="166"/>
      <c r="M120" s="11" t="e">
        <v>#REF!</v>
      </c>
    </row>
    <row r="121" spans="2:13" x14ac:dyDescent="0.25">
      <c r="B121" s="109">
        <f ca="1"/>
        <v>24</v>
      </c>
      <c r="C121" s="165" t="e">
        <f ca="1"/>
        <v>#REF!</v>
      </c>
      <c r="D121" s="166"/>
      <c r="E121" s="11" t="e">
        <v>#REF!</v>
      </c>
      <c r="H121" s="56"/>
      <c r="J121" s="109">
        <f ca="1"/>
        <v>24</v>
      </c>
      <c r="K121" s="165" t="e">
        <f ca="1"/>
        <v>#REF!</v>
      </c>
      <c r="L121" s="166"/>
      <c r="M121" s="11" t="e">
        <v>#REF!</v>
      </c>
    </row>
    <row r="122" spans="2:13" x14ac:dyDescent="0.25">
      <c r="B122" s="109">
        <f ca="1"/>
        <v>25</v>
      </c>
      <c r="C122" s="165" t="e">
        <f ca="1"/>
        <v>#REF!</v>
      </c>
      <c r="D122" s="166"/>
      <c r="E122" s="11" t="e">
        <v>#REF!</v>
      </c>
      <c r="H122" s="56"/>
      <c r="J122" s="109">
        <f ca="1"/>
        <v>25</v>
      </c>
      <c r="K122" s="165" t="e">
        <f ca="1"/>
        <v>#REF!</v>
      </c>
      <c r="L122" s="166"/>
      <c r="M122" s="11" t="e">
        <v>#REF!</v>
      </c>
    </row>
    <row r="123" spans="2:13" x14ac:dyDescent="0.25">
      <c r="B123" s="109">
        <f ca="1"/>
        <v>26</v>
      </c>
      <c r="C123" s="165" t="e">
        <f ca="1"/>
        <v>#REF!</v>
      </c>
      <c r="D123" s="166"/>
      <c r="E123" s="11" t="e">
        <v>#REF!</v>
      </c>
      <c r="H123" s="56"/>
      <c r="J123" s="109">
        <f ca="1"/>
        <v>26</v>
      </c>
      <c r="K123" s="165" t="e">
        <f ca="1"/>
        <v>#REF!</v>
      </c>
      <c r="L123" s="166"/>
      <c r="M123" s="11" t="e">
        <v>#REF!</v>
      </c>
    </row>
    <row r="124" spans="2:13" x14ac:dyDescent="0.25">
      <c r="B124" s="109">
        <f ca="1"/>
        <v>27</v>
      </c>
      <c r="C124" s="165" t="e">
        <f ca="1"/>
        <v>#REF!</v>
      </c>
      <c r="D124" s="166"/>
      <c r="E124" s="11" t="e">
        <v>#REF!</v>
      </c>
      <c r="H124" s="56"/>
      <c r="J124" s="109">
        <f ca="1"/>
        <v>27</v>
      </c>
      <c r="K124" s="165" t="e">
        <f ca="1"/>
        <v>#REF!</v>
      </c>
      <c r="L124" s="166"/>
      <c r="M124" s="11" t="e">
        <v>#REF!</v>
      </c>
    </row>
    <row r="125" spans="2:13" x14ac:dyDescent="0.25">
      <c r="B125" s="109">
        <f ca="1"/>
        <v>28</v>
      </c>
      <c r="C125" s="165" t="e">
        <f ca="1"/>
        <v>#REF!</v>
      </c>
      <c r="D125" s="166"/>
      <c r="E125" s="11" t="e">
        <v>#REF!</v>
      </c>
      <c r="H125" s="56"/>
      <c r="J125" s="109">
        <f ca="1"/>
        <v>28</v>
      </c>
      <c r="K125" s="165" t="e">
        <f ca="1"/>
        <v>#REF!</v>
      </c>
      <c r="L125" s="166"/>
      <c r="M125" s="11" t="e">
        <v>#REF!</v>
      </c>
    </row>
    <row r="126" spans="2:13" x14ac:dyDescent="0.25">
      <c r="B126" s="109">
        <f ca="1"/>
        <v>29</v>
      </c>
      <c r="C126" s="165" t="e">
        <f ca="1"/>
        <v>#REF!</v>
      </c>
      <c r="D126" s="166"/>
      <c r="E126" s="11" t="e">
        <v>#REF!</v>
      </c>
      <c r="H126" s="56"/>
      <c r="J126" s="109">
        <f ca="1"/>
        <v>29</v>
      </c>
      <c r="K126" s="165" t="e">
        <f ca="1"/>
        <v>#REF!</v>
      </c>
      <c r="L126" s="166"/>
      <c r="M126" s="11" t="e">
        <v>#REF!</v>
      </c>
    </row>
    <row r="127" spans="2:13" x14ac:dyDescent="0.25">
      <c r="B127" s="109">
        <f ca="1"/>
        <v>30</v>
      </c>
      <c r="C127" s="165" t="e">
        <f ca="1"/>
        <v>#REF!</v>
      </c>
      <c r="D127" s="166"/>
      <c r="E127" s="11" t="e">
        <v>#REF!</v>
      </c>
      <c r="H127" s="56"/>
      <c r="J127" s="109">
        <f ca="1"/>
        <v>30</v>
      </c>
      <c r="K127" s="165" t="e">
        <f ca="1"/>
        <v>#REF!</v>
      </c>
      <c r="L127" s="166"/>
      <c r="M127" s="11" t="e">
        <v>#REF!</v>
      </c>
    </row>
    <row r="128" spans="2:13" x14ac:dyDescent="0.25">
      <c r="B128" s="109">
        <f ca="1"/>
        <v>31</v>
      </c>
      <c r="C128" s="165" t="e">
        <f ca="1"/>
        <v>#REF!</v>
      </c>
      <c r="D128" s="166"/>
      <c r="E128" s="11" t="e">
        <v>#REF!</v>
      </c>
      <c r="H128" s="56"/>
      <c r="J128" s="109">
        <f ca="1"/>
        <v>31</v>
      </c>
      <c r="K128" s="165" t="e">
        <f ca="1"/>
        <v>#REF!</v>
      </c>
      <c r="L128" s="166"/>
      <c r="M128" s="11" t="e">
        <v>#REF!</v>
      </c>
    </row>
    <row r="129" spans="2:13" x14ac:dyDescent="0.25">
      <c r="B129" s="109">
        <f ca="1"/>
        <v>32</v>
      </c>
      <c r="C129" s="165" t="e">
        <f ca="1"/>
        <v>#REF!</v>
      </c>
      <c r="D129" s="166"/>
      <c r="E129" s="11" t="e">
        <v>#REF!</v>
      </c>
      <c r="H129" s="56"/>
      <c r="J129" s="109">
        <f ca="1"/>
        <v>32</v>
      </c>
      <c r="K129" s="165" t="e">
        <f ca="1"/>
        <v>#REF!</v>
      </c>
      <c r="L129" s="166"/>
      <c r="M129" s="11" t="e">
        <v>#REF!</v>
      </c>
    </row>
    <row r="130" spans="2:13" x14ac:dyDescent="0.25">
      <c r="B130" s="109">
        <f ca="1"/>
        <v>33</v>
      </c>
      <c r="C130" s="165" t="e">
        <f ca="1"/>
        <v>#REF!</v>
      </c>
      <c r="D130" s="166"/>
      <c r="E130" s="11" t="e">
        <v>#REF!</v>
      </c>
      <c r="H130" s="56"/>
      <c r="J130" s="109">
        <f ca="1"/>
        <v>33</v>
      </c>
      <c r="K130" s="165" t="e">
        <f ca="1"/>
        <v>#REF!</v>
      </c>
      <c r="L130" s="166"/>
      <c r="M130" s="11" t="e">
        <v>#REF!</v>
      </c>
    </row>
    <row r="131" spans="2:13" x14ac:dyDescent="0.25">
      <c r="B131" s="109">
        <f ca="1"/>
        <v>34</v>
      </c>
      <c r="C131" s="165" t="e">
        <f ca="1"/>
        <v>#REF!</v>
      </c>
      <c r="D131" s="166"/>
      <c r="E131" s="11" t="e">
        <v>#REF!</v>
      </c>
      <c r="H131" s="56"/>
      <c r="J131" s="109">
        <f ca="1"/>
        <v>34</v>
      </c>
      <c r="K131" s="165" t="e">
        <f ca="1"/>
        <v>#REF!</v>
      </c>
      <c r="L131" s="166"/>
      <c r="M131" s="11" t="e">
        <v>#REF!</v>
      </c>
    </row>
    <row r="132" spans="2:13" x14ac:dyDescent="0.25">
      <c r="B132" s="109">
        <f ca="1"/>
        <v>35</v>
      </c>
      <c r="C132" s="165" t="e">
        <f ca="1"/>
        <v>#REF!</v>
      </c>
      <c r="D132" s="166"/>
      <c r="E132" s="11" t="e">
        <v>#REF!</v>
      </c>
      <c r="H132" s="56"/>
      <c r="J132" s="109">
        <f ca="1"/>
        <v>35</v>
      </c>
      <c r="K132" s="165" t="e">
        <f ca="1"/>
        <v>#REF!</v>
      </c>
      <c r="L132" s="166"/>
      <c r="M132" s="11" t="e">
        <v>#REF!</v>
      </c>
    </row>
    <row r="133" spans="2:13" x14ac:dyDescent="0.25">
      <c r="B133" s="109">
        <f ca="1"/>
        <v>36</v>
      </c>
      <c r="C133" s="165" t="e">
        <f ca="1"/>
        <v>#REF!</v>
      </c>
      <c r="D133" s="166"/>
      <c r="E133" s="11" t="e">
        <v>#REF!</v>
      </c>
      <c r="H133" s="56"/>
      <c r="J133" s="109">
        <f ca="1"/>
        <v>36</v>
      </c>
      <c r="K133" s="165" t="e">
        <f ca="1"/>
        <v>#REF!</v>
      </c>
      <c r="L133" s="166"/>
      <c r="M133" s="11" t="e">
        <v>#REF!</v>
      </c>
    </row>
    <row r="134" spans="2:13" x14ac:dyDescent="0.25">
      <c r="B134" s="109">
        <f ca="1"/>
        <v>37</v>
      </c>
      <c r="C134" s="165" t="e">
        <f ca="1"/>
        <v>#REF!</v>
      </c>
      <c r="D134" s="166"/>
      <c r="E134" s="11" t="e">
        <v>#REF!</v>
      </c>
      <c r="H134" s="56"/>
      <c r="J134" s="109">
        <f ca="1"/>
        <v>37</v>
      </c>
      <c r="K134" s="165" t="e">
        <f ca="1"/>
        <v>#REF!</v>
      </c>
      <c r="L134" s="166"/>
      <c r="M134" s="11" t="e">
        <v>#REF!</v>
      </c>
    </row>
    <row r="135" spans="2:13" x14ac:dyDescent="0.25">
      <c r="B135" s="109">
        <f ca="1"/>
        <v>38</v>
      </c>
      <c r="C135" s="165" t="e">
        <f ca="1"/>
        <v>#REF!</v>
      </c>
      <c r="D135" s="166"/>
      <c r="E135" s="11" t="e">
        <v>#REF!</v>
      </c>
      <c r="H135" s="56"/>
      <c r="J135" s="109">
        <f ca="1"/>
        <v>38</v>
      </c>
      <c r="K135" s="165" t="e">
        <f ca="1"/>
        <v>#REF!</v>
      </c>
      <c r="L135" s="166"/>
      <c r="M135" s="11" t="e">
        <v>#REF!</v>
      </c>
    </row>
    <row r="136" spans="2:13" x14ac:dyDescent="0.25">
      <c r="B136" s="109">
        <f ca="1"/>
        <v>39</v>
      </c>
      <c r="C136" s="165" t="e">
        <f ca="1"/>
        <v>#REF!</v>
      </c>
      <c r="D136" s="166"/>
      <c r="E136" s="11" t="e">
        <v>#REF!</v>
      </c>
      <c r="H136" s="56"/>
      <c r="J136" s="109">
        <f ca="1"/>
        <v>39</v>
      </c>
      <c r="K136" s="165" t="e">
        <f ca="1"/>
        <v>#REF!</v>
      </c>
      <c r="L136" s="166"/>
      <c r="M136" s="11" t="e">
        <v>#REF!</v>
      </c>
    </row>
    <row r="137" spans="2:13" x14ac:dyDescent="0.25">
      <c r="B137" s="109">
        <f ca="1"/>
        <v>40</v>
      </c>
      <c r="C137" s="165" t="e">
        <f ca="1"/>
        <v>#REF!</v>
      </c>
      <c r="D137" s="166"/>
      <c r="E137" s="11" t="e">
        <v>#REF!</v>
      </c>
      <c r="H137" s="56"/>
      <c r="J137" s="109">
        <f ca="1"/>
        <v>40</v>
      </c>
      <c r="K137" s="165" t="e">
        <f ca="1"/>
        <v>#REF!</v>
      </c>
      <c r="L137" s="166"/>
      <c r="M137" s="11" t="e">
        <v>#REF!</v>
      </c>
    </row>
    <row r="138" spans="2:13" x14ac:dyDescent="0.25">
      <c r="B138" s="109">
        <f ca="1"/>
        <v>41</v>
      </c>
      <c r="C138" s="165" t="e">
        <f ca="1"/>
        <v>#REF!</v>
      </c>
      <c r="D138" s="166"/>
      <c r="E138" s="11" t="e">
        <v>#REF!</v>
      </c>
      <c r="H138" s="56"/>
      <c r="J138" s="109">
        <f ca="1"/>
        <v>41</v>
      </c>
      <c r="K138" s="165" t="e">
        <f ca="1"/>
        <v>#REF!</v>
      </c>
      <c r="L138" s="166"/>
      <c r="M138" s="11" t="e">
        <v>#REF!</v>
      </c>
    </row>
    <row r="139" spans="2:13" x14ac:dyDescent="0.25">
      <c r="B139" s="109">
        <f ca="1"/>
        <v>42</v>
      </c>
      <c r="C139" s="165" t="e">
        <f ca="1"/>
        <v>#REF!</v>
      </c>
      <c r="D139" s="166"/>
      <c r="E139" s="11" t="e">
        <v>#REF!</v>
      </c>
      <c r="H139" s="56"/>
      <c r="J139" s="109">
        <f ca="1"/>
        <v>42</v>
      </c>
      <c r="K139" s="165" t="e">
        <f ca="1"/>
        <v>#REF!</v>
      </c>
      <c r="L139" s="166"/>
      <c r="M139" s="11" t="e">
        <v>#REF!</v>
      </c>
    </row>
    <row r="140" spans="2:13" x14ac:dyDescent="0.25">
      <c r="B140" s="109">
        <f ca="1"/>
        <v>43</v>
      </c>
      <c r="C140" s="165" t="e">
        <f ca="1"/>
        <v>#REF!</v>
      </c>
      <c r="D140" s="166"/>
      <c r="E140" s="11" t="e">
        <v>#REF!</v>
      </c>
      <c r="H140" s="56"/>
      <c r="J140" s="109">
        <f ca="1"/>
        <v>43</v>
      </c>
      <c r="K140" s="165" t="e">
        <f ca="1"/>
        <v>#REF!</v>
      </c>
      <c r="L140" s="166"/>
      <c r="M140" s="11" t="e">
        <v>#REF!</v>
      </c>
    </row>
    <row r="141" spans="2:13" x14ac:dyDescent="0.25">
      <c r="B141" s="109">
        <f ca="1"/>
        <v>44</v>
      </c>
      <c r="C141" s="165" t="e">
        <f ca="1"/>
        <v>#REF!</v>
      </c>
      <c r="D141" s="166"/>
      <c r="E141" s="11" t="e">
        <v>#REF!</v>
      </c>
      <c r="H141" s="56"/>
      <c r="J141" s="109">
        <f ca="1"/>
        <v>44</v>
      </c>
      <c r="K141" s="165" t="e">
        <f ca="1"/>
        <v>#REF!</v>
      </c>
      <c r="L141" s="166"/>
      <c r="M141" s="11" t="e">
        <v>#REF!</v>
      </c>
    </row>
    <row r="142" spans="2:13" x14ac:dyDescent="0.25">
      <c r="B142" s="109">
        <f ca="1"/>
        <v>45</v>
      </c>
      <c r="C142" s="165" t="e">
        <f ca="1"/>
        <v>#REF!</v>
      </c>
      <c r="D142" s="166"/>
      <c r="E142" s="11" t="e">
        <v>#REF!</v>
      </c>
      <c r="H142" s="56"/>
      <c r="J142" s="109">
        <f ca="1"/>
        <v>45</v>
      </c>
      <c r="K142" s="165" t="e">
        <f ca="1"/>
        <v>#REF!</v>
      </c>
      <c r="L142" s="166"/>
      <c r="M142" s="11" t="e">
        <v>#REF!</v>
      </c>
    </row>
    <row r="143" spans="2:13" x14ac:dyDescent="0.25">
      <c r="B143" s="109">
        <f ca="1"/>
        <v>46</v>
      </c>
      <c r="C143" s="165" t="e">
        <f ca="1"/>
        <v>#REF!</v>
      </c>
      <c r="D143" s="166"/>
      <c r="E143" s="11" t="e">
        <v>#REF!</v>
      </c>
      <c r="H143" s="56"/>
      <c r="J143" s="109">
        <f ca="1"/>
        <v>46</v>
      </c>
      <c r="K143" s="165" t="e">
        <f ca="1"/>
        <v>#REF!</v>
      </c>
      <c r="L143" s="166"/>
      <c r="M143" s="11" t="e">
        <v>#REF!</v>
      </c>
    </row>
    <row r="144" spans="2:13" x14ac:dyDescent="0.25">
      <c r="B144" s="109">
        <f ca="1"/>
        <v>47</v>
      </c>
      <c r="C144" s="165" t="e">
        <f ca="1"/>
        <v>#REF!</v>
      </c>
      <c r="D144" s="166"/>
      <c r="E144" s="11" t="e">
        <v>#REF!</v>
      </c>
      <c r="H144" s="56"/>
      <c r="J144" s="109">
        <f ca="1"/>
        <v>47</v>
      </c>
      <c r="K144" s="165" t="e">
        <f ca="1"/>
        <v>#REF!</v>
      </c>
      <c r="L144" s="166"/>
      <c r="M144" s="11" t="e">
        <v>#REF!</v>
      </c>
    </row>
    <row r="145" spans="2:13" x14ac:dyDescent="0.25">
      <c r="B145" s="109">
        <f ca="1"/>
        <v>48</v>
      </c>
      <c r="C145" s="165" t="e">
        <f ca="1"/>
        <v>#REF!</v>
      </c>
      <c r="D145" s="166"/>
      <c r="E145" s="11" t="e">
        <v>#REF!</v>
      </c>
      <c r="H145" s="56"/>
      <c r="J145" s="109">
        <f ca="1"/>
        <v>48</v>
      </c>
      <c r="K145" s="165" t="e">
        <f ca="1"/>
        <v>#REF!</v>
      </c>
      <c r="L145" s="166"/>
      <c r="M145" s="11" t="e">
        <v>#REF!</v>
      </c>
    </row>
    <row r="146" spans="2:13" x14ac:dyDescent="0.25">
      <c r="B146" s="109">
        <f ca="1"/>
        <v>49</v>
      </c>
      <c r="C146" s="165" t="e">
        <f ca="1"/>
        <v>#REF!</v>
      </c>
      <c r="D146" s="166"/>
      <c r="E146" s="11" t="e">
        <v>#REF!</v>
      </c>
      <c r="H146" s="56"/>
      <c r="J146" s="109">
        <f ca="1"/>
        <v>49</v>
      </c>
      <c r="K146" s="165" t="e">
        <f ca="1"/>
        <v>#REF!</v>
      </c>
      <c r="L146" s="166"/>
      <c r="M146" s="11" t="e">
        <v>#REF!</v>
      </c>
    </row>
    <row r="147" spans="2:13" x14ac:dyDescent="0.25">
      <c r="B147" s="109">
        <f ca="1"/>
        <v>50</v>
      </c>
      <c r="C147" s="165" t="e">
        <f ca="1"/>
        <v>#REF!</v>
      </c>
      <c r="D147" s="166"/>
      <c r="E147" s="11" t="e">
        <v>#REF!</v>
      </c>
      <c r="H147" s="56"/>
      <c r="J147" s="109">
        <f ca="1"/>
        <v>50</v>
      </c>
      <c r="K147" s="165" t="e">
        <f ca="1"/>
        <v>#REF!</v>
      </c>
      <c r="L147" s="166"/>
      <c r="M147" s="11" t="e">
        <v>#REF!</v>
      </c>
    </row>
    <row r="148" spans="2:13" x14ac:dyDescent="0.25">
      <c r="B148" s="109">
        <f ca="1"/>
        <v>51</v>
      </c>
      <c r="C148" s="165" t="e">
        <f ca="1"/>
        <v>#REF!</v>
      </c>
      <c r="D148" s="166"/>
      <c r="E148" s="11" t="e">
        <v>#REF!</v>
      </c>
      <c r="H148" s="56"/>
      <c r="J148" s="109">
        <f ca="1"/>
        <v>51</v>
      </c>
      <c r="K148" s="165" t="e">
        <f ca="1"/>
        <v>#REF!</v>
      </c>
      <c r="L148" s="166"/>
      <c r="M148" s="11" t="e">
        <v>#REF!</v>
      </c>
    </row>
    <row r="149" spans="2:13" ht="15.75" thickBot="1" x14ac:dyDescent="0.3">
      <c r="B149" s="112">
        <f ca="1"/>
        <v>52</v>
      </c>
      <c r="C149" s="167" t="e">
        <f ca="1"/>
        <v>#REF!</v>
      </c>
      <c r="D149" s="168"/>
      <c r="E149" s="11" t="e">
        <v>#REF!</v>
      </c>
      <c r="H149" s="56"/>
      <c r="J149" s="112">
        <f ca="1"/>
        <v>52</v>
      </c>
      <c r="K149" s="167" t="e">
        <f ca="1"/>
        <v>#REF!</v>
      </c>
      <c r="L149" s="169"/>
      <c r="M149" s="11" t="e">
        <v>#REF!</v>
      </c>
    </row>
  </sheetData>
  <sheetProtection password="CD36" sheet="1" objects="1" scenarios="1" selectLockedCells="1"/>
  <mergeCells count="168">
    <mergeCell ref="I15:J15"/>
    <mergeCell ref="A15:B15"/>
    <mergeCell ref="I81:J81"/>
    <mergeCell ref="I82:J82"/>
    <mergeCell ref="I16:J16"/>
    <mergeCell ref="I17:J17"/>
    <mergeCell ref="I18:J18"/>
    <mergeCell ref="I19:J19"/>
    <mergeCell ref="I79:J79"/>
    <mergeCell ref="I80:J80"/>
    <mergeCell ref="A77:B77"/>
    <mergeCell ref="I77:J77"/>
    <mergeCell ref="A20:B20"/>
    <mergeCell ref="I20:J20"/>
    <mergeCell ref="A21:B21"/>
    <mergeCell ref="I21:J21"/>
    <mergeCell ref="I76:J76"/>
    <mergeCell ref="A30:B30"/>
    <mergeCell ref="A31:B31"/>
    <mergeCell ref="A32:B32"/>
    <mergeCell ref="A33:B33"/>
    <mergeCell ref="A34:B34"/>
    <mergeCell ref="A24:B24"/>
    <mergeCell ref="I24:J24"/>
    <mergeCell ref="A82:B82"/>
    <mergeCell ref="A83:B83"/>
    <mergeCell ref="A84:B84"/>
    <mergeCell ref="A85:B85"/>
    <mergeCell ref="A88:B88"/>
    <mergeCell ref="A86:B86"/>
    <mergeCell ref="A18:B18"/>
    <mergeCell ref="A19:B19"/>
    <mergeCell ref="I23:J23"/>
    <mergeCell ref="A22:B22"/>
    <mergeCell ref="I22:J22"/>
    <mergeCell ref="A23:B23"/>
    <mergeCell ref="I83:J83"/>
    <mergeCell ref="I85:J85"/>
    <mergeCell ref="I84:J84"/>
    <mergeCell ref="A79:B79"/>
    <mergeCell ref="A80:B80"/>
    <mergeCell ref="A81:B81"/>
    <mergeCell ref="A78:B78"/>
    <mergeCell ref="I78:J78"/>
    <mergeCell ref="A75:B75"/>
    <mergeCell ref="I75:J75"/>
    <mergeCell ref="A76:B76"/>
    <mergeCell ref="A87:B87"/>
    <mergeCell ref="B10:C11"/>
    <mergeCell ref="J10:K11"/>
    <mergeCell ref="A2:O2"/>
    <mergeCell ref="A3:O3"/>
    <mergeCell ref="A7:G9"/>
    <mergeCell ref="I7:O9"/>
    <mergeCell ref="A5:O5"/>
    <mergeCell ref="E10:H12"/>
    <mergeCell ref="B12:C12"/>
    <mergeCell ref="J12:K12"/>
    <mergeCell ref="M10:O10"/>
    <mergeCell ref="A50:B50"/>
    <mergeCell ref="A25:B25"/>
    <mergeCell ref="A26:B26"/>
    <mergeCell ref="A27:B27"/>
    <mergeCell ref="A28:B28"/>
    <mergeCell ref="A29:B29"/>
    <mergeCell ref="A16:B16"/>
    <mergeCell ref="A17:B17"/>
    <mergeCell ref="A40:B40"/>
    <mergeCell ref="A41:B41"/>
    <mergeCell ref="A45:B45"/>
    <mergeCell ref="A46:B46"/>
    <mergeCell ref="A47:B47"/>
    <mergeCell ref="A48:B48"/>
    <mergeCell ref="A49:B49"/>
    <mergeCell ref="A42:B42"/>
    <mergeCell ref="A43:B43"/>
    <mergeCell ref="A44:B44"/>
    <mergeCell ref="A35:B35"/>
    <mergeCell ref="A36:B36"/>
    <mergeCell ref="A37:B37"/>
    <mergeCell ref="A38:B38"/>
    <mergeCell ref="A39:B39"/>
    <mergeCell ref="A55:B55"/>
    <mergeCell ref="A56:B56"/>
    <mergeCell ref="A57:B57"/>
    <mergeCell ref="A58:B58"/>
    <mergeCell ref="A59:B59"/>
    <mergeCell ref="A51:B51"/>
    <mergeCell ref="A52:B52"/>
    <mergeCell ref="A53:B53"/>
    <mergeCell ref="A54:B54"/>
    <mergeCell ref="A72:B72"/>
    <mergeCell ref="A73:B73"/>
    <mergeCell ref="A74:B74"/>
    <mergeCell ref="A65:B65"/>
    <mergeCell ref="A66:B66"/>
    <mergeCell ref="A67:B67"/>
    <mergeCell ref="A68:B68"/>
    <mergeCell ref="A69:B69"/>
    <mergeCell ref="A60:B60"/>
    <mergeCell ref="A61:B61"/>
    <mergeCell ref="A62:B62"/>
    <mergeCell ref="A63:B63"/>
    <mergeCell ref="A64:B64"/>
    <mergeCell ref="I30:J30"/>
    <mergeCell ref="I31:J31"/>
    <mergeCell ref="I32:J32"/>
    <mergeCell ref="I33:J33"/>
    <mergeCell ref="I34:J34"/>
    <mergeCell ref="I25:J25"/>
    <mergeCell ref="I26:J26"/>
    <mergeCell ref="I27:J27"/>
    <mergeCell ref="I28:J28"/>
    <mergeCell ref="I29:J29"/>
    <mergeCell ref="I40:J40"/>
    <mergeCell ref="I41:J41"/>
    <mergeCell ref="I42:J42"/>
    <mergeCell ref="I43:J43"/>
    <mergeCell ref="I44:J44"/>
    <mergeCell ref="I35:J35"/>
    <mergeCell ref="I36:J36"/>
    <mergeCell ref="I37:J37"/>
    <mergeCell ref="I38:J38"/>
    <mergeCell ref="I39:J39"/>
    <mergeCell ref="I50:J50"/>
    <mergeCell ref="I51:J51"/>
    <mergeCell ref="I52:J52"/>
    <mergeCell ref="I53:J53"/>
    <mergeCell ref="I54:J54"/>
    <mergeCell ref="I45:J45"/>
    <mergeCell ref="I46:J46"/>
    <mergeCell ref="I47:J47"/>
    <mergeCell ref="I48:J48"/>
    <mergeCell ref="I49:J49"/>
    <mergeCell ref="I60:J60"/>
    <mergeCell ref="I61:J61"/>
    <mergeCell ref="I62:J62"/>
    <mergeCell ref="I63:J63"/>
    <mergeCell ref="I64:J64"/>
    <mergeCell ref="I55:J55"/>
    <mergeCell ref="I56:J56"/>
    <mergeCell ref="I57:J57"/>
    <mergeCell ref="I58:J58"/>
    <mergeCell ref="I59:J59"/>
    <mergeCell ref="F96:H96"/>
    <mergeCell ref="I70:J70"/>
    <mergeCell ref="I71:J71"/>
    <mergeCell ref="I72:J72"/>
    <mergeCell ref="I73:J73"/>
    <mergeCell ref="I74:J74"/>
    <mergeCell ref="I65:J65"/>
    <mergeCell ref="I66:J66"/>
    <mergeCell ref="I67:J67"/>
    <mergeCell ref="I68:J68"/>
    <mergeCell ref="I69:J69"/>
    <mergeCell ref="I86:J86"/>
    <mergeCell ref="I91:J91"/>
    <mergeCell ref="A93:G95"/>
    <mergeCell ref="I93:O95"/>
    <mergeCell ref="I87:J87"/>
    <mergeCell ref="I88:J88"/>
    <mergeCell ref="A91:B91"/>
    <mergeCell ref="A89:B89"/>
    <mergeCell ref="A90:B90"/>
    <mergeCell ref="I90:J90"/>
    <mergeCell ref="I89:J89"/>
    <mergeCell ref="A70:B70"/>
    <mergeCell ref="A71:B71"/>
  </mergeCells>
  <phoneticPr fontId="48" type="noConversion"/>
  <conditionalFormatting sqref="K98:K149 C98:C149">
    <cfRule type="containsErrors" dxfId="9" priority="9" stopIfTrue="1">
      <formula>ISERROR(C98)</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K98:K149 C98:C149"/>
  </dataValidations>
  <hyperlinks>
    <hyperlink ref="M10:O10" location="Capacity!F96" display="Go to 'Historic Activity'"/>
    <hyperlink ref="F96:H96" location="Capacity!M10" display="Go back to the top"/>
  </hyperlinks>
  <pageMargins left="0.39370078740157483" right="0.39370078740157483" top="1.5748031496062993" bottom="0.59055118110236227" header="0.59055118110236227" footer="0"/>
  <pageSetup paperSize="9" scale="67" fitToHeight="2" orientation="portrait" errors="blank" r:id="rId1"/>
  <headerFooter>
    <oddHeader>&amp;R&amp;G</oddHeader>
  </headerFooter>
  <rowBreaks count="1" manualBreakCount="1">
    <brk id="92"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0</xdr:rowOff>
                  </from>
                  <to>
                    <xdr:col>2</xdr:col>
                    <xdr:colOff>895350</xdr:colOff>
                    <xdr:row>12</xdr:row>
                    <xdr:rowOff>190500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9</xdr:col>
                    <xdr:colOff>9525</xdr:colOff>
                    <xdr:row>12</xdr:row>
                    <xdr:rowOff>0</xdr:rowOff>
                  </from>
                  <to>
                    <xdr:col>10</xdr:col>
                    <xdr:colOff>904875</xdr:colOff>
                    <xdr:row>12</xdr:row>
                    <xdr:rowOff>190500</xdr:rowOff>
                  </to>
                </anchor>
              </controlPr>
            </control>
          </mc:Choice>
        </mc:AlternateContent>
        <mc:AlternateContent xmlns:mc="http://schemas.openxmlformats.org/markup-compatibility/2006">
          <mc:Choice Requires="x14">
            <control shapeId="17908" r:id="rId7" name="Option Button 500">
              <controlPr defaultSize="0" autoFill="0" autoLine="0" autoPict="0">
                <anchor moveWithCells="1">
                  <from>
                    <xdr:col>4</xdr:col>
                    <xdr:colOff>19050</xdr:colOff>
                    <xdr:row>11</xdr:row>
                    <xdr:rowOff>171450</xdr:rowOff>
                  </from>
                  <to>
                    <xdr:col>6</xdr:col>
                    <xdr:colOff>76200</xdr:colOff>
                    <xdr:row>13</xdr:row>
                    <xdr:rowOff>0</xdr:rowOff>
                  </to>
                </anchor>
              </controlPr>
            </control>
          </mc:Choice>
        </mc:AlternateContent>
        <mc:AlternateContent xmlns:mc="http://schemas.openxmlformats.org/markup-compatibility/2006">
          <mc:Choice Requires="x14">
            <control shapeId="17910" r:id="rId8" name="Option Button 502">
              <controlPr defaultSize="0" autoFill="0" autoLine="0" autoPict="0">
                <anchor moveWithCells="1">
                  <from>
                    <xdr:col>6</xdr:col>
                    <xdr:colOff>114300</xdr:colOff>
                    <xdr:row>11</xdr:row>
                    <xdr:rowOff>171450</xdr:rowOff>
                  </from>
                  <to>
                    <xdr:col>8</xdr:col>
                    <xdr:colOff>447675</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2:Q33"/>
  <sheetViews>
    <sheetView showGridLines="0" showRowColHeaders="0" zoomScaleNormal="100" workbookViewId="0">
      <selection activeCell="D24" sqref="D24"/>
    </sheetView>
  </sheetViews>
  <sheetFormatPr defaultRowHeight="15" x14ac:dyDescent="0.25"/>
  <cols>
    <col min="1" max="1" width="8" customWidth="1"/>
    <col min="2" max="16" width="8.28515625" customWidth="1"/>
    <col min="17" max="17" width="8.140625" customWidth="1"/>
  </cols>
  <sheetData>
    <row r="2" spans="1:17" ht="54" customHeight="1" x14ac:dyDescent="0.25">
      <c r="A2" s="347" t="str">
        <f>"Parameters - " &amp; ModelName</f>
        <v>Parameters - The NHS IMAS IST Admitted Care Demand and Capacity (D&amp;C) Model</v>
      </c>
      <c r="B2" s="348"/>
      <c r="C2" s="348"/>
      <c r="D2" s="348"/>
      <c r="E2" s="348"/>
      <c r="F2" s="348"/>
      <c r="G2" s="348"/>
      <c r="H2" s="348"/>
      <c r="I2" s="348"/>
      <c r="J2" s="348"/>
      <c r="K2" s="348"/>
      <c r="L2" s="348"/>
      <c r="M2" s="348"/>
      <c r="N2" s="348"/>
      <c r="O2" s="348"/>
      <c r="P2" s="348"/>
      <c r="Q2" s="349"/>
    </row>
    <row r="3" spans="1:17" s="2" customFormat="1" ht="23.25" customHeight="1" x14ac:dyDescent="0.25">
      <c r="A3" s="393" t="s">
        <v>286</v>
      </c>
      <c r="B3" s="394"/>
      <c r="C3" s="394"/>
      <c r="D3" s="394"/>
      <c r="E3" s="394"/>
      <c r="F3" s="394"/>
      <c r="G3" s="394"/>
      <c r="H3" s="394"/>
      <c r="I3" s="394"/>
      <c r="J3" s="394"/>
      <c r="K3" s="394"/>
      <c r="L3" s="394"/>
      <c r="M3" s="394"/>
      <c r="N3" s="394"/>
      <c r="O3" s="394"/>
      <c r="P3" s="394"/>
      <c r="Q3" s="395"/>
    </row>
    <row r="4" spans="1:17" x14ac:dyDescent="0.25">
      <c r="A4" s="100"/>
      <c r="B4" s="5"/>
      <c r="C4" s="5"/>
      <c r="D4" s="5"/>
      <c r="E4" s="5"/>
      <c r="F4" s="6"/>
      <c r="G4" s="6"/>
      <c r="H4" s="6"/>
      <c r="I4" s="6"/>
      <c r="J4" s="6"/>
      <c r="K4" s="6"/>
      <c r="L4" s="6"/>
      <c r="M4" s="6"/>
      <c r="N4" s="6"/>
      <c r="O4" s="6"/>
      <c r="P4" s="5"/>
      <c r="Q4" s="101"/>
    </row>
    <row r="5" spans="1:17" ht="18" x14ac:dyDescent="0.25">
      <c r="A5" s="407" t="str">
        <f>Trust &amp; " - " &amp; Specialty</f>
        <v>A. N. Other NHS Foundation Trust - A Specialty</v>
      </c>
      <c r="B5" s="408"/>
      <c r="C5" s="408"/>
      <c r="D5" s="408"/>
      <c r="E5" s="408"/>
      <c r="F5" s="408"/>
      <c r="G5" s="408"/>
      <c r="H5" s="408"/>
      <c r="I5" s="408"/>
      <c r="J5" s="408"/>
      <c r="K5" s="408"/>
      <c r="L5" s="408"/>
      <c r="M5" s="408"/>
      <c r="N5" s="408"/>
      <c r="O5" s="408"/>
      <c r="P5" s="408"/>
      <c r="Q5" s="409"/>
    </row>
    <row r="6" spans="1:17" ht="18" x14ac:dyDescent="0.25">
      <c r="A6" s="100"/>
      <c r="B6" s="188"/>
      <c r="C6" s="188"/>
      <c r="D6" s="188"/>
      <c r="E6" s="188"/>
      <c r="F6" s="188"/>
      <c r="G6" s="188"/>
      <c r="H6" s="188"/>
      <c r="I6" s="188"/>
      <c r="J6" s="188"/>
      <c r="K6" s="188"/>
      <c r="L6" s="188"/>
      <c r="M6" s="188"/>
      <c r="N6" s="188"/>
      <c r="O6" s="188"/>
      <c r="P6" s="188"/>
      <c r="Q6" s="187"/>
    </row>
    <row r="7" spans="1:17" ht="18" customHeight="1" x14ac:dyDescent="0.25">
      <c r="A7" s="100"/>
      <c r="B7" s="406" t="s">
        <v>44</v>
      </c>
      <c r="C7" s="406"/>
      <c r="D7" s="406"/>
      <c r="E7" s="406"/>
      <c r="F7" s="406"/>
      <c r="G7" s="406"/>
      <c r="H7" s="406"/>
      <c r="I7" s="406"/>
      <c r="J7" s="406"/>
      <c r="K7" s="406"/>
      <c r="L7" s="406"/>
      <c r="M7" s="406"/>
      <c r="N7" s="406"/>
      <c r="O7" s="406"/>
      <c r="P7" s="406"/>
      <c r="Q7" s="187"/>
    </row>
    <row r="8" spans="1:17" ht="18" customHeight="1" x14ac:dyDescent="0.25">
      <c r="A8" s="100"/>
      <c r="B8" s="406"/>
      <c r="C8" s="406"/>
      <c r="D8" s="406"/>
      <c r="E8" s="406"/>
      <c r="F8" s="406"/>
      <c r="G8" s="406"/>
      <c r="H8" s="406"/>
      <c r="I8" s="406"/>
      <c r="J8" s="406"/>
      <c r="K8" s="406"/>
      <c r="L8" s="406"/>
      <c r="M8" s="406"/>
      <c r="N8" s="406"/>
      <c r="O8" s="406"/>
      <c r="P8" s="406"/>
      <c r="Q8" s="187"/>
    </row>
    <row r="9" spans="1:17" ht="18" customHeight="1" x14ac:dyDescent="0.25">
      <c r="A9" s="100"/>
      <c r="B9" s="406"/>
      <c r="C9" s="406"/>
      <c r="D9" s="406"/>
      <c r="E9" s="406"/>
      <c r="F9" s="406"/>
      <c r="G9" s="406"/>
      <c r="H9" s="406"/>
      <c r="I9" s="406"/>
      <c r="J9" s="406"/>
      <c r="K9" s="406"/>
      <c r="L9" s="406"/>
      <c r="M9" s="406"/>
      <c r="N9" s="406"/>
      <c r="O9" s="406"/>
      <c r="P9" s="406"/>
      <c r="Q9" s="187"/>
    </row>
    <row r="10" spans="1:17" ht="18" customHeight="1" x14ac:dyDescent="0.25">
      <c r="A10" s="100"/>
      <c r="B10" s="406"/>
      <c r="C10" s="406"/>
      <c r="D10" s="406"/>
      <c r="E10" s="406"/>
      <c r="F10" s="406"/>
      <c r="G10" s="406"/>
      <c r="H10" s="406"/>
      <c r="I10" s="406"/>
      <c r="J10" s="406"/>
      <c r="K10" s="406"/>
      <c r="L10" s="406"/>
      <c r="M10" s="406"/>
      <c r="N10" s="406"/>
      <c r="O10" s="406"/>
      <c r="P10" s="406"/>
      <c r="Q10" s="187"/>
    </row>
    <row r="11" spans="1:17" ht="18" customHeight="1" x14ac:dyDescent="0.25">
      <c r="A11" s="100"/>
      <c r="B11" s="406"/>
      <c r="C11" s="406"/>
      <c r="D11" s="406"/>
      <c r="E11" s="406"/>
      <c r="F11" s="406"/>
      <c r="G11" s="406"/>
      <c r="H11" s="406"/>
      <c r="I11" s="406"/>
      <c r="J11" s="406"/>
      <c r="K11" s="406"/>
      <c r="L11" s="406"/>
      <c r="M11" s="406"/>
      <c r="N11" s="406"/>
      <c r="O11" s="406"/>
      <c r="P11" s="406"/>
      <c r="Q11" s="187"/>
    </row>
    <row r="12" spans="1:17" ht="18" customHeight="1" x14ac:dyDescent="0.25">
      <c r="A12" s="100"/>
      <c r="B12" s="406"/>
      <c r="C12" s="406"/>
      <c r="D12" s="406"/>
      <c r="E12" s="406"/>
      <c r="F12" s="406"/>
      <c r="G12" s="406"/>
      <c r="H12" s="406"/>
      <c r="I12" s="406"/>
      <c r="J12" s="406"/>
      <c r="K12" s="406"/>
      <c r="L12" s="406"/>
      <c r="M12" s="406"/>
      <c r="N12" s="406"/>
      <c r="O12" s="406"/>
      <c r="P12" s="406"/>
      <c r="Q12" s="187"/>
    </row>
    <row r="13" spans="1:17" ht="18" x14ac:dyDescent="0.25">
      <c r="A13" s="100"/>
      <c r="B13" s="188"/>
      <c r="C13" s="188"/>
      <c r="D13" s="188"/>
      <c r="E13" s="188"/>
      <c r="F13" s="188"/>
      <c r="G13" s="188"/>
      <c r="H13" s="188"/>
      <c r="I13" s="188"/>
      <c r="J13" s="188"/>
      <c r="K13" s="188"/>
      <c r="L13" s="188"/>
      <c r="M13" s="188"/>
      <c r="N13" s="188"/>
      <c r="O13" s="188"/>
      <c r="P13" s="188"/>
      <c r="Q13" s="187"/>
    </row>
    <row r="14" spans="1:17" ht="15.75" thickBot="1" x14ac:dyDescent="0.3">
      <c r="A14" s="100"/>
      <c r="B14" s="5"/>
      <c r="C14" s="5"/>
      <c r="D14" s="5"/>
      <c r="E14" s="5"/>
      <c r="F14" s="5"/>
      <c r="G14" s="5"/>
      <c r="H14" s="5"/>
      <c r="I14" s="5"/>
      <c r="J14" s="5"/>
      <c r="K14" s="5"/>
      <c r="L14" s="5"/>
      <c r="M14" s="5"/>
      <c r="N14" s="5"/>
      <c r="O14" s="5"/>
      <c r="P14" s="5"/>
      <c r="Q14" s="187"/>
    </row>
    <row r="15" spans="1:17" ht="20.25" customHeight="1" x14ac:dyDescent="0.25">
      <c r="A15" s="100"/>
      <c r="B15" s="396" t="str">
        <f>"Mean DTAs
Per Week"
&amp;IF(AND(Split&gt;0,C18=500)," (Based on split at week "&amp;Split&amp;")","")</f>
        <v>Mean DTAs
Per Week</v>
      </c>
      <c r="C15" s="397"/>
      <c r="D15" s="398"/>
      <c r="E15" s="5"/>
      <c r="F15" s="307" t="s">
        <v>426</v>
      </c>
      <c r="G15" s="391"/>
      <c r="H15" s="308"/>
      <c r="I15" s="5"/>
      <c r="J15" s="307" t="s">
        <v>427</v>
      </c>
      <c r="K15" s="391"/>
      <c r="L15" s="308"/>
      <c r="M15" s="189"/>
      <c r="N15" s="89"/>
      <c r="O15" s="89"/>
      <c r="P15" s="89"/>
      <c r="Q15" s="187"/>
    </row>
    <row r="16" spans="1:17" ht="20.25" customHeight="1" x14ac:dyDescent="0.25">
      <c r="A16" s="100"/>
      <c r="B16" s="399"/>
      <c r="C16" s="400"/>
      <c r="D16" s="401"/>
      <c r="E16" s="5"/>
      <c r="F16" s="309"/>
      <c r="G16" s="392"/>
      <c r="H16" s="310"/>
      <c r="I16" s="5"/>
      <c r="J16" s="309"/>
      <c r="K16" s="392"/>
      <c r="L16" s="310"/>
      <c r="M16" s="189"/>
      <c r="N16" s="89"/>
      <c r="O16" s="89"/>
      <c r="P16" s="89"/>
      <c r="Q16" s="187"/>
    </row>
    <row r="17" spans="1:17" x14ac:dyDescent="0.25">
      <c r="A17" s="100"/>
      <c r="B17" s="402">
        <f ca="1">IF(C18=500,D18,C18&amp;" ("&amp;TEXT(D18,"0,0"&amp;")"))</f>
        <v>0</v>
      </c>
      <c r="C17" s="403"/>
      <c r="D17" s="404">
        <v>1</v>
      </c>
      <c r="E17" s="5"/>
      <c r="F17" s="384">
        <f>G18/100</f>
        <v>0</v>
      </c>
      <c r="G17" s="385"/>
      <c r="H17" s="386"/>
      <c r="I17" s="5"/>
      <c r="J17" s="374">
        <f>K18</f>
        <v>2</v>
      </c>
      <c r="K17" s="387"/>
      <c r="L17" s="375"/>
      <c r="M17" s="5"/>
      <c r="N17" s="405"/>
      <c r="O17" s="405"/>
      <c r="P17" s="405"/>
      <c r="Q17" s="187"/>
    </row>
    <row r="18" spans="1:17" ht="15.75" thickBot="1" x14ac:dyDescent="0.3">
      <c r="A18" s="100"/>
      <c r="B18" s="177">
        <f ca="1">IF(C18=500,D18,C18)</f>
        <v>0</v>
      </c>
      <c r="C18" s="178">
        <v>500</v>
      </c>
      <c r="D18" s="179">
        <f ca="1">IF(Split=0,Mean,Mean2)</f>
        <v>0</v>
      </c>
      <c r="E18" s="5"/>
      <c r="F18" s="180"/>
      <c r="G18" s="181">
        <v>0</v>
      </c>
      <c r="H18" s="182"/>
      <c r="I18" s="5"/>
      <c r="J18" s="183"/>
      <c r="K18" s="184">
        <v>2</v>
      </c>
      <c r="L18" s="185"/>
      <c r="M18" s="5"/>
      <c r="N18" s="86"/>
      <c r="O18" s="87"/>
      <c r="P18" s="88"/>
      <c r="Q18" s="187"/>
    </row>
    <row r="19" spans="1:17" ht="15.75" thickBot="1" x14ac:dyDescent="0.3">
      <c r="A19" s="100"/>
      <c r="B19" s="5"/>
      <c r="C19" s="5"/>
      <c r="D19" s="5"/>
      <c r="E19" s="5"/>
      <c r="F19" s="5"/>
      <c r="G19" s="5"/>
      <c r="H19" s="5"/>
      <c r="I19" s="5"/>
      <c r="J19" s="5"/>
      <c r="K19" s="5"/>
      <c r="L19" s="5"/>
      <c r="M19" s="5"/>
      <c r="N19" s="5"/>
      <c r="O19" s="5"/>
      <c r="P19" s="5"/>
      <c r="Q19" s="187"/>
    </row>
    <row r="20" spans="1:17" ht="15" customHeight="1" x14ac:dyDescent="0.25">
      <c r="A20" s="100"/>
      <c r="B20" s="307" t="s">
        <v>392</v>
      </c>
      <c r="C20" s="391"/>
      <c r="D20" s="308"/>
      <c r="E20" s="5"/>
      <c r="F20" s="307" t="s">
        <v>388</v>
      </c>
      <c r="G20" s="391"/>
      <c r="H20" s="308"/>
      <c r="I20" s="5"/>
      <c r="J20" s="307" t="s">
        <v>387</v>
      </c>
      <c r="K20" s="391"/>
      <c r="L20" s="308"/>
      <c r="M20" s="5"/>
      <c r="N20" s="5"/>
      <c r="O20" s="5"/>
      <c r="P20" s="5"/>
      <c r="Q20" s="187"/>
    </row>
    <row r="21" spans="1:17" x14ac:dyDescent="0.25">
      <c r="A21" s="100"/>
      <c r="B21" s="309">
        <v>1</v>
      </c>
      <c r="C21" s="392"/>
      <c r="D21" s="310"/>
      <c r="E21" s="5"/>
      <c r="F21" s="309"/>
      <c r="G21" s="392"/>
      <c r="H21" s="310"/>
      <c r="I21" s="5"/>
      <c r="J21" s="309"/>
      <c r="K21" s="392"/>
      <c r="L21" s="310"/>
      <c r="M21" s="5"/>
      <c r="N21" s="5"/>
      <c r="O21" s="5"/>
      <c r="P21" s="5"/>
      <c r="Q21" s="187"/>
    </row>
    <row r="22" spans="1:17" x14ac:dyDescent="0.25">
      <c r="A22" s="100"/>
      <c r="B22" s="388">
        <f>IF(C23=200,D23,TEXT(C23/1000,"0.0%")&amp;" ("&amp;TEXT(D23,"0.0%")&amp;")")</f>
        <v>0</v>
      </c>
      <c r="C22" s="389"/>
      <c r="D22" s="390"/>
      <c r="E22" s="5"/>
      <c r="F22" s="374">
        <f>G23</f>
        <v>4</v>
      </c>
      <c r="G22" s="387"/>
      <c r="H22" s="375"/>
      <c r="I22" s="5"/>
      <c r="J22" s="374">
        <f>K23</f>
        <v>8</v>
      </c>
      <c r="K22" s="387"/>
      <c r="L22" s="375"/>
      <c r="M22" s="5"/>
      <c r="N22" s="5"/>
      <c r="O22" s="5"/>
      <c r="P22" s="5"/>
      <c r="Q22" s="187"/>
    </row>
    <row r="23" spans="1:17" ht="15.75" thickBot="1" x14ac:dyDescent="0.3">
      <c r="A23" s="100"/>
      <c r="B23" s="102">
        <f>IF(C23=200,D23,C23/1000)</f>
        <v>0</v>
      </c>
      <c r="C23" s="178">
        <v>200</v>
      </c>
      <c r="D23" s="186">
        <f>IF(MaxWeeks&gt;0,IF(SUM(DTARange)&gt;0,IF(COUNT(ROTTRange)&gt;0,AVERAGE(ROTTRange)/AVERAGE(DTARange),0),0),0)</f>
        <v>0</v>
      </c>
      <c r="E23" s="5"/>
      <c r="F23" s="180"/>
      <c r="G23" s="181">
        <v>4</v>
      </c>
      <c r="H23" s="182"/>
      <c r="I23" s="5"/>
      <c r="J23" s="180"/>
      <c r="K23" s="181">
        <v>8</v>
      </c>
      <c r="L23" s="182"/>
      <c r="M23" s="5"/>
      <c r="N23" s="5"/>
      <c r="O23" s="5"/>
      <c r="P23" s="5"/>
      <c r="Q23" s="187"/>
    </row>
    <row r="24" spans="1:17" x14ac:dyDescent="0.25">
      <c r="A24" s="100"/>
      <c r="B24" s="5"/>
      <c r="C24" s="5"/>
      <c r="D24" s="5"/>
      <c r="E24" s="5"/>
      <c r="F24" s="5"/>
      <c r="G24" s="5"/>
      <c r="H24" s="5"/>
      <c r="I24" s="5"/>
      <c r="J24" s="5"/>
      <c r="K24" s="5"/>
      <c r="L24" s="5"/>
      <c r="M24" s="5"/>
      <c r="N24" s="5"/>
      <c r="O24" s="5"/>
      <c r="P24" s="5"/>
      <c r="Q24" s="187"/>
    </row>
    <row r="25" spans="1:17" x14ac:dyDescent="0.25">
      <c r="A25" s="190"/>
      <c r="B25" s="191"/>
      <c r="C25" s="191"/>
      <c r="D25" s="191"/>
      <c r="E25" s="191"/>
      <c r="F25" s="191"/>
      <c r="G25" s="191"/>
      <c r="H25" s="191"/>
      <c r="I25" s="191"/>
      <c r="J25" s="191"/>
      <c r="K25" s="191"/>
      <c r="L25" s="191"/>
      <c r="M25" s="191"/>
      <c r="N25" s="191"/>
      <c r="O25" s="191"/>
      <c r="P25" s="191"/>
      <c r="Q25" s="192"/>
    </row>
    <row r="26" spans="1:17" x14ac:dyDescent="0.25">
      <c r="A26" s="4"/>
      <c r="B26" s="4"/>
      <c r="C26" s="4"/>
      <c r="D26" s="4"/>
      <c r="E26" s="4"/>
      <c r="F26" s="4"/>
      <c r="G26" s="4"/>
      <c r="H26" s="4"/>
      <c r="I26" s="4"/>
      <c r="J26" s="4"/>
      <c r="K26" s="4"/>
      <c r="L26" s="4"/>
      <c r="M26" s="4"/>
      <c r="N26" s="4"/>
      <c r="O26" s="4"/>
    </row>
    <row r="27" spans="1:17" x14ac:dyDescent="0.25">
      <c r="A27" s="4"/>
      <c r="B27" s="4"/>
      <c r="C27" s="4"/>
      <c r="D27" s="4"/>
      <c r="E27" s="4"/>
      <c r="F27" s="4"/>
      <c r="G27" s="4"/>
      <c r="H27" s="4"/>
      <c r="I27" s="4"/>
      <c r="M27" s="4"/>
      <c r="N27" s="4"/>
      <c r="O27" s="4"/>
    </row>
    <row r="28" spans="1:17" x14ac:dyDescent="0.25">
      <c r="A28" s="4"/>
      <c r="B28" s="4"/>
      <c r="C28" s="4"/>
      <c r="D28" s="4"/>
      <c r="E28" s="4"/>
      <c r="F28" s="4"/>
      <c r="G28" s="4"/>
      <c r="H28" s="4"/>
      <c r="I28" s="4"/>
      <c r="M28" s="4"/>
      <c r="N28" s="4"/>
      <c r="O28" s="4"/>
    </row>
    <row r="32" spans="1:17" x14ac:dyDescent="0.25">
      <c r="J32" s="4"/>
      <c r="K32" s="4"/>
      <c r="L32" s="4"/>
    </row>
    <row r="33" spans="10:12" x14ac:dyDescent="0.25">
      <c r="J33" s="4"/>
      <c r="K33" s="4"/>
      <c r="L33" s="4"/>
    </row>
  </sheetData>
  <sheetProtection password="CD36" sheet="1" objects="1" scenarios="1" selectLockedCells="1" selectUnlockedCells="1"/>
  <mergeCells count="17">
    <mergeCell ref="A2:Q2"/>
    <mergeCell ref="A3:Q3"/>
    <mergeCell ref="B15:D16"/>
    <mergeCell ref="B20:D21"/>
    <mergeCell ref="J17:L17"/>
    <mergeCell ref="B17:D17"/>
    <mergeCell ref="J20:L21"/>
    <mergeCell ref="N17:P17"/>
    <mergeCell ref="B7:P12"/>
    <mergeCell ref="A5:Q5"/>
    <mergeCell ref="F15:H16"/>
    <mergeCell ref="J15:L16"/>
    <mergeCell ref="F17:H17"/>
    <mergeCell ref="J22:L22"/>
    <mergeCell ref="B22:D22"/>
    <mergeCell ref="F20:H21"/>
    <mergeCell ref="F22:H22"/>
  </mergeCells>
  <phoneticPr fontId="48" type="noConversion"/>
  <pageMargins left="0.39370078740157483" right="0.39370078740157483" top="0.98425196850393704" bottom="0.59055118110236227" header="0.19685039370078741"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17</xdr:row>
                    <xdr:rowOff>0</xdr:rowOff>
                  </from>
                  <to>
                    <xdr:col>3</xdr:col>
                    <xdr:colOff>542925</xdr:colOff>
                    <xdr:row>17</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1</xdr:col>
                    <xdr:colOff>0</xdr:colOff>
                    <xdr:row>22</xdr:row>
                    <xdr:rowOff>0</xdr:rowOff>
                  </from>
                  <to>
                    <xdr:col>3</xdr:col>
                    <xdr:colOff>542925</xdr:colOff>
                    <xdr:row>22</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5</xdr:col>
                    <xdr:colOff>0</xdr:colOff>
                    <xdr:row>17</xdr:row>
                    <xdr:rowOff>0</xdr:rowOff>
                  </from>
                  <to>
                    <xdr:col>7</xdr:col>
                    <xdr:colOff>542925</xdr:colOff>
                    <xdr:row>17</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22</xdr:row>
                    <xdr:rowOff>0</xdr:rowOff>
                  </from>
                  <to>
                    <xdr:col>11</xdr:col>
                    <xdr:colOff>542925</xdr:colOff>
                    <xdr:row>22</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22</xdr:row>
                    <xdr:rowOff>0</xdr:rowOff>
                  </from>
                  <to>
                    <xdr:col>7</xdr:col>
                    <xdr:colOff>542925</xdr:colOff>
                    <xdr:row>22</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17</xdr:row>
                    <xdr:rowOff>0</xdr:rowOff>
                  </from>
                  <to>
                    <xdr:col>11</xdr:col>
                    <xdr:colOff>542925</xdr:colOff>
                    <xdr:row>17</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16</xdr:row>
                    <xdr:rowOff>180975</xdr:rowOff>
                  </from>
                  <to>
                    <xdr:col>11</xdr:col>
                    <xdr:colOff>542925</xdr:colOff>
                    <xdr:row>17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94"/>
  <sheetViews>
    <sheetView showGridLines="0" showRowColHeaders="0" zoomScaleNormal="100" zoomScaleSheetLayoutView="80" workbookViewId="0">
      <selection activeCell="B15" sqref="B15:D15"/>
    </sheetView>
  </sheetViews>
  <sheetFormatPr defaultRowHeight="15" x14ac:dyDescent="0.25"/>
  <cols>
    <col min="1" max="3" width="9.140625" style="23"/>
    <col min="4" max="4" width="10.140625" style="23" customWidth="1"/>
    <col min="5" max="5" width="12.28515625" style="23" customWidth="1"/>
    <col min="6" max="6" width="5" style="23" customWidth="1"/>
    <col min="7" max="14" width="9.140625" style="23"/>
    <col min="15" max="15" width="12.42578125" style="23" customWidth="1"/>
    <col min="16" max="16384" width="9.140625" style="23"/>
  </cols>
  <sheetData>
    <row r="2" spans="1:16" ht="54" customHeight="1" x14ac:dyDescent="0.25">
      <c r="A2" s="424" t="str">
        <f>"Trust Summary - " &amp; ModelName</f>
        <v>Trust Summary - The NHS IMAS IST Admitted Care Demand and Capacity (D&amp;C) Model</v>
      </c>
      <c r="B2" s="425"/>
      <c r="C2" s="425"/>
      <c r="D2" s="425"/>
      <c r="E2" s="425"/>
      <c r="F2" s="425"/>
      <c r="G2" s="425"/>
      <c r="H2" s="425"/>
      <c r="I2" s="425"/>
      <c r="J2" s="425"/>
      <c r="K2" s="425"/>
      <c r="L2" s="425"/>
      <c r="M2" s="425"/>
      <c r="N2" s="425"/>
      <c r="O2" s="426"/>
    </row>
    <row r="3" spans="1:16" s="70" customFormat="1" ht="23.25" customHeight="1" x14ac:dyDescent="0.25">
      <c r="A3" s="429" t="s">
        <v>287</v>
      </c>
      <c r="B3" s="430"/>
      <c r="C3" s="430"/>
      <c r="D3" s="430"/>
      <c r="E3" s="430"/>
      <c r="F3" s="430"/>
      <c r="G3" s="430"/>
      <c r="H3" s="430"/>
      <c r="I3" s="430"/>
      <c r="J3" s="430"/>
      <c r="K3" s="430"/>
      <c r="L3" s="430"/>
      <c r="M3" s="430"/>
      <c r="N3" s="430"/>
      <c r="O3" s="431"/>
    </row>
    <row r="4" spans="1:16" ht="3" customHeight="1" x14ac:dyDescent="0.25"/>
    <row r="5" spans="1:16" ht="18" x14ac:dyDescent="0.25">
      <c r="A5" s="433" t="str">
        <f>Trust &amp; " - " &amp; Specialty</f>
        <v>A. N. Other NHS Foundation Trust - A Specialty</v>
      </c>
      <c r="B5" s="433"/>
      <c r="C5" s="433"/>
      <c r="D5" s="433"/>
      <c r="E5" s="433"/>
      <c r="F5" s="433"/>
      <c r="G5" s="433"/>
      <c r="H5" s="433"/>
      <c r="I5" s="433"/>
      <c r="J5" s="433"/>
      <c r="K5" s="433"/>
      <c r="L5" s="433"/>
      <c r="M5" s="433"/>
      <c r="N5" s="433"/>
      <c r="O5" s="433"/>
    </row>
    <row r="6" spans="1:16" ht="8.25" customHeight="1" x14ac:dyDescent="0.25"/>
    <row r="7" spans="1:16" ht="33" customHeight="1" x14ac:dyDescent="0.25">
      <c r="B7" s="427" t="str">
        <f>"Indicator"&amp;IF(Split&gt;0," (Based on split at week "&amp;Split&amp;")","")</f>
        <v>Indicator</v>
      </c>
      <c r="C7" s="427"/>
      <c r="D7" s="427"/>
      <c r="E7" s="200" t="s">
        <v>73</v>
      </c>
      <c r="P7" s="69" t="str">
        <f>"Your DTAs Per Week"&amp;IF(Split &gt;0," (Based on split at week "&amp;Split&amp;")","")</f>
        <v>Your DTAs Per Week</v>
      </c>
    </row>
    <row r="8" spans="1:16" x14ac:dyDescent="0.25">
      <c r="B8" s="428" t="s">
        <v>455</v>
      </c>
      <c r="C8" s="428"/>
      <c r="D8" s="428"/>
      <c r="E8" s="196">
        <f>ROUNDUP(RoutineMeanAdmissions,0)</f>
        <v>0</v>
      </c>
    </row>
    <row r="9" spans="1:16" x14ac:dyDescent="0.25">
      <c r="B9" s="201" t="s">
        <v>433</v>
      </c>
      <c r="C9" s="201"/>
      <c r="D9" s="201"/>
      <c r="E9" s="196">
        <f ca="1">IFERROR(ROUNDUP(DTAsPerWeek,0),0)</f>
        <v>0</v>
      </c>
    </row>
    <row r="10" spans="1:16" x14ac:dyDescent="0.25">
      <c r="B10" s="432" t="s">
        <v>436</v>
      </c>
      <c r="C10" s="432"/>
      <c r="D10" s="432"/>
      <c r="E10" s="196">
        <f ca="1">IFERROR(ROUNDUP(UrgentDTAsPerWeek,0),0)</f>
        <v>0</v>
      </c>
    </row>
    <row r="11" spans="1:16" x14ac:dyDescent="0.25">
      <c r="B11" s="432" t="s">
        <v>13</v>
      </c>
      <c r="C11" s="432"/>
      <c r="D11" s="432"/>
      <c r="E11" s="196">
        <f ca="1">IFERROR(ROUNDUP(RoutineDTAsPerWeek,0),0)</f>
        <v>0</v>
      </c>
    </row>
    <row r="12" spans="1:16" x14ac:dyDescent="0.25">
      <c r="B12" s="418" t="s">
        <v>14</v>
      </c>
      <c r="C12" s="418"/>
      <c r="D12" s="418"/>
      <c r="E12" s="196">
        <f ca="1">IFERROR(ROUNDUP(ROTTRate*DTAsPerWeek,0),0)</f>
        <v>0</v>
      </c>
    </row>
    <row r="13" spans="1:16" x14ac:dyDescent="0.25">
      <c r="B13" s="418" t="s">
        <v>15</v>
      </c>
      <c r="C13" s="418"/>
      <c r="D13" s="418"/>
      <c r="E13" s="196">
        <f ca="1">IFERROR(MeanNetChange,0)</f>
        <v>0</v>
      </c>
    </row>
    <row r="14" spans="1:16" x14ac:dyDescent="0.25">
      <c r="B14" s="418" t="s">
        <v>477</v>
      </c>
      <c r="C14" s="418"/>
      <c r="D14" s="418"/>
      <c r="E14" s="196">
        <f ca="1">IFERROR(Percentile65-WeeklyROTT,0)</f>
        <v>0</v>
      </c>
    </row>
    <row r="15" spans="1:16" x14ac:dyDescent="0.25">
      <c r="B15" s="419" t="s">
        <v>478</v>
      </c>
      <c r="C15" s="419"/>
      <c r="D15" s="419"/>
      <c r="E15" s="197">
        <f ca="1">IFERROR(Percentile85-WeeklyROTT,0)</f>
        <v>0</v>
      </c>
    </row>
    <row r="16" spans="1:16" x14ac:dyDescent="0.25">
      <c r="B16" s="71"/>
      <c r="C16" s="71"/>
      <c r="D16" s="71"/>
      <c r="E16" s="72"/>
    </row>
    <row r="17" spans="1:15" x14ac:dyDescent="0.25">
      <c r="B17" s="71"/>
      <c r="C17" s="71"/>
      <c r="D17" s="71"/>
      <c r="E17" s="72"/>
    </row>
    <row r="18" spans="1:15" x14ac:dyDescent="0.25">
      <c r="B18" s="71"/>
      <c r="C18" s="71"/>
      <c r="D18" s="71"/>
      <c r="E18" s="72"/>
    </row>
    <row r="19" spans="1:15" x14ac:dyDescent="0.25">
      <c r="B19" s="71"/>
      <c r="C19" s="71"/>
      <c r="D19" s="71"/>
    </row>
    <row r="20" spans="1:15" s="70" customFormat="1" ht="23.25" customHeight="1" x14ac:dyDescent="0.25">
      <c r="A20" s="421" t="s">
        <v>68</v>
      </c>
      <c r="B20" s="422"/>
      <c r="C20" s="422"/>
      <c r="D20" s="422"/>
      <c r="E20" s="422"/>
      <c r="F20" s="422"/>
      <c r="G20" s="422"/>
      <c r="H20" s="422"/>
      <c r="I20" s="422"/>
      <c r="J20" s="422"/>
      <c r="K20" s="422"/>
      <c r="L20" s="422"/>
      <c r="M20" s="422"/>
      <c r="N20" s="422"/>
      <c r="O20" s="423"/>
    </row>
    <row r="21" spans="1:15" ht="15" customHeight="1" x14ac:dyDescent="0.25">
      <c r="A21" s="73"/>
      <c r="B21" s="73"/>
      <c r="C21" s="73"/>
      <c r="D21" s="73"/>
      <c r="E21" s="73"/>
      <c r="F21" s="73"/>
      <c r="G21" s="73"/>
      <c r="H21" s="73"/>
      <c r="I21" s="73"/>
      <c r="J21" s="73"/>
      <c r="K21" s="73"/>
      <c r="L21" s="73"/>
      <c r="M21" s="73"/>
      <c r="N21" s="73"/>
      <c r="O21" s="73"/>
    </row>
    <row r="22" spans="1:15" ht="15" customHeight="1" x14ac:dyDescent="0.25">
      <c r="B22" s="427" t="s">
        <v>67</v>
      </c>
      <c r="C22" s="427"/>
      <c r="D22" s="427"/>
      <c r="E22" s="200" t="s">
        <v>73</v>
      </c>
      <c r="F22" s="73"/>
      <c r="G22" s="434" t="s">
        <v>432</v>
      </c>
      <c r="H22" s="434"/>
      <c r="I22" s="434"/>
      <c r="J22" s="434"/>
      <c r="K22" s="434"/>
      <c r="L22" s="434"/>
      <c r="M22" s="434"/>
      <c r="N22" s="434"/>
      <c r="O22" s="434"/>
    </row>
    <row r="23" spans="1:15" ht="15" customHeight="1" x14ac:dyDescent="0.25">
      <c r="B23" s="418" t="s">
        <v>66</v>
      </c>
      <c r="C23" s="418"/>
      <c r="D23" s="418"/>
      <c r="E23" s="196">
        <f>RoutineMeanAdmissions</f>
        <v>0</v>
      </c>
      <c r="F23" s="73"/>
      <c r="G23" s="434"/>
      <c r="H23" s="434"/>
      <c r="I23" s="434"/>
      <c r="J23" s="434"/>
      <c r="K23" s="434"/>
      <c r="L23" s="434"/>
      <c r="M23" s="434"/>
      <c r="N23" s="434"/>
      <c r="O23" s="434"/>
    </row>
    <row r="24" spans="1:15" ht="15" customHeight="1" x14ac:dyDescent="0.25">
      <c r="B24" s="418" t="s">
        <v>16</v>
      </c>
      <c r="C24" s="418"/>
      <c r="D24" s="418"/>
      <c r="E24" s="196">
        <f>AdditionalMeanAdmissions</f>
        <v>0</v>
      </c>
      <c r="F24" s="73"/>
      <c r="G24" s="434"/>
      <c r="H24" s="434"/>
      <c r="I24" s="434"/>
      <c r="J24" s="434"/>
      <c r="K24" s="434"/>
      <c r="L24" s="434"/>
      <c r="M24" s="434"/>
      <c r="N24" s="434"/>
      <c r="O24" s="434"/>
    </row>
    <row r="25" spans="1:15" ht="15" customHeight="1" x14ac:dyDescent="0.25">
      <c r="B25" s="419" t="s">
        <v>80</v>
      </c>
      <c r="C25" s="419"/>
      <c r="D25" s="419"/>
      <c r="E25" s="197">
        <f>ROUNDDOWN(RoutineMeanAdmissions+AdditionalMeanAdmissions,0)</f>
        <v>0</v>
      </c>
      <c r="F25" s="73"/>
      <c r="G25" s="434"/>
      <c r="H25" s="434"/>
      <c r="I25" s="434"/>
      <c r="J25" s="434"/>
      <c r="K25" s="434"/>
      <c r="L25" s="434"/>
      <c r="M25" s="434"/>
      <c r="N25" s="434"/>
      <c r="O25" s="434"/>
    </row>
    <row r="26" spans="1:15" ht="15" customHeight="1" x14ac:dyDescent="0.25">
      <c r="B26" s="74"/>
      <c r="C26" s="74"/>
      <c r="D26" s="74"/>
      <c r="E26" s="72"/>
      <c r="F26" s="73"/>
      <c r="G26" s="434"/>
      <c r="H26" s="434"/>
      <c r="I26" s="434"/>
      <c r="J26" s="434"/>
      <c r="K26" s="434"/>
      <c r="L26" s="434"/>
      <c r="M26" s="434"/>
      <c r="N26" s="434"/>
      <c r="O26" s="434"/>
    </row>
    <row r="27" spans="1:15" ht="15" customHeight="1" x14ac:dyDescent="0.25">
      <c r="B27" s="74"/>
      <c r="C27" s="74"/>
      <c r="D27" s="74"/>
      <c r="E27" s="72"/>
      <c r="F27" s="73"/>
      <c r="G27" s="434"/>
      <c r="H27" s="434"/>
      <c r="I27" s="434"/>
      <c r="J27" s="434"/>
      <c r="K27" s="434"/>
      <c r="L27" s="434"/>
      <c r="M27" s="434"/>
      <c r="N27" s="434"/>
      <c r="O27" s="434"/>
    </row>
    <row r="28" spans="1:15" s="70" customFormat="1" ht="23.25" customHeight="1" x14ac:dyDescent="0.25">
      <c r="A28" s="421" t="str">
        <f>"Required Capacity"&amp;IF(Split&gt;0," (Based on split at week "&amp;Split&amp;")","")</f>
        <v>Required Capacity</v>
      </c>
      <c r="B28" s="422"/>
      <c r="C28" s="422"/>
      <c r="D28" s="422"/>
      <c r="E28" s="422"/>
      <c r="F28" s="422"/>
      <c r="G28" s="422"/>
      <c r="H28" s="422"/>
      <c r="I28" s="422"/>
      <c r="J28" s="422"/>
      <c r="K28" s="422"/>
      <c r="L28" s="422"/>
      <c r="M28" s="422"/>
      <c r="N28" s="422"/>
      <c r="O28" s="423"/>
    </row>
    <row r="29" spans="1:15" ht="15" customHeight="1" x14ac:dyDescent="0.25">
      <c r="A29" s="75"/>
      <c r="B29" s="75"/>
      <c r="C29" s="75"/>
      <c r="D29" s="75"/>
      <c r="E29" s="75"/>
      <c r="F29" s="75"/>
      <c r="G29" s="75"/>
      <c r="H29" s="75"/>
      <c r="I29" s="75"/>
      <c r="J29" s="75"/>
    </row>
    <row r="30" spans="1:15" ht="15" customHeight="1" x14ac:dyDescent="0.25">
      <c r="B30" s="427" t="s">
        <v>67</v>
      </c>
      <c r="C30" s="427"/>
      <c r="D30" s="427"/>
      <c r="E30" s="198" t="s">
        <v>58</v>
      </c>
      <c r="L30" s="76"/>
    </row>
    <row r="31" spans="1:15" x14ac:dyDescent="0.25">
      <c r="B31" s="428" t="s">
        <v>794</v>
      </c>
      <c r="C31" s="428"/>
      <c r="D31" s="428"/>
      <c r="E31" s="196" t="str">
        <f ca="1">IFERROR(CONCATENATE(TEXT((Percentile65-WeeklyROTT),"#")," to ",TEXT((Percentile85-WeeklyROTT),"#")),"N/A")</f>
        <v>N/A</v>
      </c>
      <c r="G31" s="77"/>
    </row>
    <row r="32" spans="1:15" x14ac:dyDescent="0.25">
      <c r="B32" s="418" t="s">
        <v>389</v>
      </c>
      <c r="C32" s="418"/>
      <c r="D32" s="418"/>
      <c r="E32" s="196">
        <f ca="1">IFERROR(ROUNDUP(DTAsPerWeek-WeeklyROTT,0),0)</f>
        <v>0</v>
      </c>
      <c r="F32" s="441" t="str">
        <f ca="1">IFERROR("You have " &amp; IF(DTAsPerWeek-WeeklyROTT-RoutineMeanAdmissions-AdditionalMeanAdmissions&lt;0,CONCATENATE(TEXT((ABS(DTAsPerWeek-WeeklyROTT-RoutineMeanAdmissions-AdditionalMeanAdmissions)),"#")," more slots than DTAs per week minus ROTT"),CONCATENATE(TEXT((DTAsPerWeek-WeeklyROTT-RoutineMeanAdmissions-AdditionalMeanAdmissions),"#")," fewer slots available than DTAs per week minus ROTT")),"")</f>
        <v>You have  fewer slots available than DTAs per week minus ROTT</v>
      </c>
      <c r="G32" s="441"/>
      <c r="H32" s="441"/>
      <c r="I32" s="441"/>
      <c r="J32" s="441"/>
      <c r="K32" s="441"/>
      <c r="L32" s="441"/>
      <c r="M32" s="441"/>
      <c r="N32" s="441"/>
      <c r="O32" s="441"/>
    </row>
    <row r="33" spans="1:15" x14ac:dyDescent="0.25">
      <c r="B33" s="418" t="s">
        <v>795</v>
      </c>
      <c r="C33" s="418"/>
      <c r="D33" s="418"/>
      <c r="E33" s="196" t="e">
        <f ca="1">Percentile65-WeeklyROTT</f>
        <v>#REF!</v>
      </c>
      <c r="F33" s="441" t="str">
        <f ca="1">IFERROR("You have " &amp; IF(Percentile65-WeeklyROTT-RoutineMeanAdmissions-AdditionalMeanAdmissions&lt;0,CONCATENATE(TEXT((ABS(Percentile65-WeeklyROTT-RoutineMeanAdmissions-AdditionalMeanAdmissions)),"#")," more slots than than needed to sustain the service at a minimum level (65th percentile)"),CONCATENATE(TEXT((Percentile65-WeeklyROTT-RoutineMeanAdmissions-AdditionalMeanAdmissions),"#")," fewer slots available than than needed to sustain the service at a minimum level (65th percentile)")),"")</f>
        <v/>
      </c>
      <c r="G33" s="441"/>
      <c r="H33" s="441"/>
      <c r="I33" s="441"/>
      <c r="J33" s="441"/>
      <c r="K33" s="441"/>
      <c r="L33" s="441"/>
      <c r="M33" s="441"/>
      <c r="N33" s="441"/>
      <c r="O33" s="441"/>
    </row>
    <row r="34" spans="1:15" x14ac:dyDescent="0.25">
      <c r="B34" s="199" t="s">
        <v>796</v>
      </c>
      <c r="C34" s="199"/>
      <c r="D34" s="199"/>
      <c r="E34" s="197" t="e">
        <f ca="1">Percentile85-WeeklyROTT</f>
        <v>#REF!</v>
      </c>
      <c r="F34" s="441" t="str">
        <f ca="1">IFERROR("You have " &amp; IF(Percentile85-WeeklyROTT-RoutineMeanAdmissions-AdditionalMeanAdmissions&lt;0,CONCATENATE(TEXT((ABS(Percentile85-WeeklyROTT-RoutineMeanAdmissions-AdditionalMeanAdmissions)),"#")," more slots than DTAs per week minus ROTT"),CONCATENATE(TEXT((Percentile85-WeeklyROTT-RoutineMeanAdmissions-AdditionalMeanAdmissions),"#")," fewer slots available than DTAs per week minus ROTT")),"")</f>
        <v/>
      </c>
      <c r="G34" s="441"/>
      <c r="H34" s="441"/>
      <c r="I34" s="441"/>
      <c r="J34" s="441"/>
      <c r="K34" s="441"/>
      <c r="L34" s="441"/>
      <c r="M34" s="441"/>
      <c r="N34" s="441"/>
      <c r="O34" s="441"/>
    </row>
    <row r="35" spans="1:15" s="94" customFormat="1" x14ac:dyDescent="0.25">
      <c r="B35" s="71"/>
      <c r="C35" s="71"/>
      <c r="D35" s="71"/>
      <c r="E35" s="72"/>
      <c r="F35" s="95"/>
      <c r="G35" s="95"/>
      <c r="H35" s="95"/>
      <c r="I35" s="95"/>
      <c r="J35" s="95"/>
      <c r="K35" s="95"/>
      <c r="L35" s="95"/>
      <c r="M35" s="95"/>
      <c r="N35" s="95"/>
      <c r="O35" s="95"/>
    </row>
    <row r="36" spans="1:15" x14ac:dyDescent="0.25">
      <c r="A36" s="78"/>
      <c r="B36" s="79"/>
      <c r="C36" s="80"/>
      <c r="D36" s="80"/>
      <c r="E36" s="80"/>
      <c r="F36" s="80"/>
    </row>
    <row r="37" spans="1:15" x14ac:dyDescent="0.25">
      <c r="A37" s="411" t="s">
        <v>435</v>
      </c>
      <c r="B37" s="412"/>
      <c r="C37" s="412"/>
      <c r="D37" s="412"/>
      <c r="E37" s="412"/>
      <c r="F37" s="412"/>
      <c r="G37" s="412"/>
      <c r="H37" s="412"/>
    </row>
    <row r="38" spans="1:15" x14ac:dyDescent="0.25">
      <c r="A38" s="412"/>
      <c r="B38" s="412"/>
      <c r="C38" s="412"/>
      <c r="D38" s="412"/>
      <c r="E38" s="412"/>
      <c r="F38" s="412"/>
      <c r="G38" s="412"/>
      <c r="H38" s="412"/>
    </row>
    <row r="39" spans="1:15" x14ac:dyDescent="0.25">
      <c r="A39" s="412"/>
      <c r="B39" s="412"/>
      <c r="C39" s="412"/>
      <c r="D39" s="412"/>
      <c r="E39" s="412"/>
      <c r="F39" s="412"/>
      <c r="G39" s="412"/>
      <c r="H39" s="412"/>
    </row>
    <row r="40" spans="1:15" x14ac:dyDescent="0.25">
      <c r="A40" s="412"/>
      <c r="B40" s="412"/>
      <c r="C40" s="412"/>
      <c r="D40" s="412"/>
      <c r="E40" s="412"/>
      <c r="F40" s="412"/>
      <c r="G40" s="412"/>
      <c r="H40" s="412"/>
    </row>
    <row r="41" spans="1:15" x14ac:dyDescent="0.25">
      <c r="A41" s="412"/>
      <c r="B41" s="412"/>
      <c r="C41" s="412"/>
      <c r="D41" s="412"/>
      <c r="E41" s="412"/>
      <c r="F41" s="412"/>
      <c r="G41" s="412"/>
      <c r="H41" s="412"/>
    </row>
    <row r="42" spans="1:15" x14ac:dyDescent="0.25">
      <c r="A42" s="412"/>
      <c r="B42" s="412"/>
      <c r="C42" s="412"/>
      <c r="D42" s="412"/>
      <c r="E42" s="412"/>
      <c r="F42" s="412"/>
      <c r="G42" s="412"/>
      <c r="H42" s="412"/>
    </row>
    <row r="43" spans="1:15" x14ac:dyDescent="0.25">
      <c r="A43" s="412"/>
      <c r="B43" s="412"/>
      <c r="C43" s="412"/>
      <c r="D43" s="412"/>
      <c r="E43" s="412"/>
      <c r="F43" s="412"/>
      <c r="G43" s="412"/>
      <c r="H43" s="412"/>
    </row>
    <row r="44" spans="1:15" x14ac:dyDescent="0.25">
      <c r="A44" s="73"/>
      <c r="B44" s="73"/>
      <c r="C44" s="73"/>
      <c r="D44" s="73"/>
      <c r="E44" s="73"/>
      <c r="F44" s="73"/>
      <c r="G44" s="73"/>
      <c r="H44" s="73"/>
      <c r="I44" s="73"/>
      <c r="J44" s="73"/>
      <c r="K44" s="73"/>
      <c r="L44" s="73"/>
      <c r="M44" s="73"/>
      <c r="N44" s="73"/>
      <c r="O44" s="73"/>
    </row>
    <row r="45" spans="1:15" x14ac:dyDescent="0.25">
      <c r="A45" s="411" t="s">
        <v>434</v>
      </c>
      <c r="B45" s="412"/>
      <c r="C45" s="412"/>
      <c r="D45" s="412"/>
      <c r="E45" s="412"/>
      <c r="F45" s="412"/>
      <c r="G45" s="412"/>
      <c r="H45" s="412"/>
      <c r="I45" s="73"/>
      <c r="J45" s="73"/>
      <c r="K45" s="73"/>
      <c r="L45" s="73"/>
      <c r="M45" s="73"/>
      <c r="N45" s="73"/>
      <c r="O45" s="73"/>
    </row>
    <row r="46" spans="1:15" x14ac:dyDescent="0.25">
      <c r="A46" s="412"/>
      <c r="B46" s="412"/>
      <c r="C46" s="412"/>
      <c r="D46" s="412"/>
      <c r="E46" s="412"/>
      <c r="F46" s="412"/>
      <c r="G46" s="412"/>
      <c r="H46" s="412"/>
      <c r="I46" s="73"/>
      <c r="J46" s="73"/>
      <c r="K46" s="73"/>
      <c r="L46" s="73"/>
      <c r="M46" s="73"/>
      <c r="N46" s="73"/>
      <c r="O46" s="73"/>
    </row>
    <row r="47" spans="1:15" x14ac:dyDescent="0.25">
      <c r="A47" s="412"/>
      <c r="B47" s="412"/>
      <c r="C47" s="412"/>
      <c r="D47" s="412"/>
      <c r="E47" s="412"/>
      <c r="F47" s="412"/>
      <c r="G47" s="412"/>
      <c r="H47" s="412"/>
      <c r="I47" s="73"/>
      <c r="J47" s="73"/>
      <c r="K47" s="73"/>
      <c r="L47" s="73"/>
      <c r="M47" s="73"/>
      <c r="N47" s="73"/>
      <c r="O47" s="73"/>
    </row>
    <row r="48" spans="1:15" x14ac:dyDescent="0.25">
      <c r="A48" s="412"/>
      <c r="B48" s="412"/>
      <c r="C48" s="412"/>
      <c r="D48" s="412"/>
      <c r="E48" s="412"/>
      <c r="F48" s="412"/>
      <c r="G48" s="412"/>
      <c r="H48" s="412"/>
      <c r="I48" s="73"/>
      <c r="J48" s="73"/>
      <c r="K48" s="73"/>
      <c r="L48" s="73"/>
      <c r="M48" s="73"/>
      <c r="N48" s="73"/>
      <c r="O48" s="73"/>
    </row>
    <row r="49" spans="1:16" x14ac:dyDescent="0.25">
      <c r="A49" s="412"/>
      <c r="B49" s="412"/>
      <c r="C49" s="412"/>
      <c r="D49" s="412"/>
      <c r="E49" s="412"/>
      <c r="F49" s="412"/>
      <c r="G49" s="412"/>
      <c r="H49" s="412"/>
      <c r="I49" s="73"/>
      <c r="J49" s="73"/>
      <c r="K49" s="73"/>
      <c r="L49" s="73"/>
      <c r="M49" s="73"/>
      <c r="N49" s="73"/>
      <c r="O49" s="73"/>
    </row>
    <row r="50" spans="1:16" x14ac:dyDescent="0.25">
      <c r="A50" s="412"/>
      <c r="B50" s="412"/>
      <c r="C50" s="412"/>
      <c r="D50" s="412"/>
      <c r="E50" s="412"/>
      <c r="F50" s="412"/>
      <c r="G50" s="412"/>
      <c r="H50" s="412"/>
      <c r="I50" s="73"/>
      <c r="J50" s="73"/>
      <c r="K50" s="73"/>
      <c r="L50" s="73"/>
      <c r="M50" s="73"/>
      <c r="N50" s="73"/>
      <c r="O50" s="73"/>
    </row>
    <row r="51" spans="1:16" x14ac:dyDescent="0.25">
      <c r="A51" s="412"/>
      <c r="B51" s="412"/>
      <c r="C51" s="412"/>
      <c r="D51" s="412"/>
      <c r="E51" s="412"/>
      <c r="F51" s="412"/>
      <c r="G51" s="412"/>
      <c r="H51" s="412"/>
      <c r="I51" s="73"/>
      <c r="J51" s="73"/>
      <c r="K51" s="73"/>
      <c r="L51" s="73"/>
      <c r="M51" s="73"/>
      <c r="N51" s="73"/>
      <c r="O51" s="73"/>
    </row>
    <row r="52" spans="1:16" x14ac:dyDescent="0.25">
      <c r="A52" s="73"/>
      <c r="B52" s="73"/>
      <c r="C52" s="73"/>
      <c r="D52" s="73"/>
      <c r="E52" s="73"/>
      <c r="F52" s="73"/>
      <c r="G52" s="73"/>
      <c r="H52" s="73"/>
      <c r="I52" s="73"/>
      <c r="J52" s="73"/>
      <c r="K52" s="73"/>
      <c r="L52" s="73"/>
      <c r="M52" s="73"/>
      <c r="N52" s="73"/>
      <c r="O52" s="73"/>
    </row>
    <row r="53" spans="1:16" ht="15" customHeight="1" x14ac:dyDescent="0.25">
      <c r="A53" s="442" t="s">
        <v>40</v>
      </c>
      <c r="B53" s="442"/>
      <c r="C53" s="442"/>
      <c r="D53" s="442"/>
      <c r="E53" s="442"/>
      <c r="F53" s="442"/>
      <c r="G53" s="442"/>
      <c r="H53" s="442"/>
      <c r="I53" s="442"/>
      <c r="J53" s="442"/>
      <c r="K53" s="442"/>
      <c r="L53" s="442"/>
      <c r="M53" s="442"/>
      <c r="N53" s="442"/>
      <c r="O53" s="442"/>
    </row>
    <row r="54" spans="1:16" x14ac:dyDescent="0.25">
      <c r="A54" s="442"/>
      <c r="B54" s="442"/>
      <c r="C54" s="442"/>
      <c r="D54" s="442"/>
      <c r="E54" s="442"/>
      <c r="F54" s="442"/>
      <c r="G54" s="442"/>
      <c r="H54" s="442"/>
      <c r="I54" s="442"/>
      <c r="J54" s="442"/>
      <c r="K54" s="442"/>
      <c r="L54" s="442"/>
      <c r="M54" s="442"/>
      <c r="N54" s="442"/>
      <c r="O54" s="442"/>
    </row>
    <row r="55" spans="1:16" x14ac:dyDescent="0.25">
      <c r="A55" s="442"/>
      <c r="B55" s="442"/>
      <c r="C55" s="442"/>
      <c r="D55" s="442"/>
      <c r="E55" s="442"/>
      <c r="F55" s="442"/>
      <c r="G55" s="442"/>
      <c r="H55" s="442"/>
      <c r="I55" s="442"/>
      <c r="J55" s="442"/>
      <c r="K55" s="442"/>
      <c r="L55" s="442"/>
      <c r="M55" s="442"/>
      <c r="N55" s="442"/>
      <c r="O55" s="442"/>
    </row>
    <row r="56" spans="1:16" x14ac:dyDescent="0.25">
      <c r="A56" s="442"/>
      <c r="B56" s="442"/>
      <c r="C56" s="442"/>
      <c r="D56" s="442"/>
      <c r="E56" s="442"/>
      <c r="F56" s="442"/>
      <c r="G56" s="442"/>
      <c r="H56" s="442"/>
      <c r="I56" s="442"/>
      <c r="J56" s="442"/>
      <c r="K56" s="442"/>
      <c r="L56" s="442"/>
      <c r="M56" s="442"/>
      <c r="N56" s="442"/>
      <c r="O56" s="442"/>
    </row>
    <row r="57" spans="1:16" x14ac:dyDescent="0.25">
      <c r="A57" s="442"/>
      <c r="B57" s="442"/>
      <c r="C57" s="442"/>
      <c r="D57" s="442"/>
      <c r="E57" s="442"/>
      <c r="F57" s="442"/>
      <c r="G57" s="442"/>
      <c r="H57" s="442"/>
      <c r="I57" s="442"/>
      <c r="J57" s="442"/>
      <c r="K57" s="442"/>
      <c r="L57" s="442"/>
      <c r="M57" s="442"/>
      <c r="N57" s="442"/>
      <c r="O57" s="442"/>
    </row>
    <row r="58" spans="1:16" x14ac:dyDescent="0.25">
      <c r="A58" s="442"/>
      <c r="B58" s="442"/>
      <c r="C58" s="442"/>
      <c r="D58" s="442"/>
      <c r="E58" s="442"/>
      <c r="F58" s="442"/>
      <c r="G58" s="442"/>
      <c r="H58" s="442"/>
      <c r="I58" s="442"/>
      <c r="J58" s="442"/>
      <c r="K58" s="442"/>
      <c r="L58" s="442"/>
      <c r="M58" s="442"/>
      <c r="N58" s="442"/>
      <c r="O58" s="442"/>
    </row>
    <row r="59" spans="1:16" x14ac:dyDescent="0.25">
      <c r="A59" s="442"/>
      <c r="B59" s="442"/>
      <c r="C59" s="442"/>
      <c r="D59" s="442"/>
      <c r="E59" s="442"/>
      <c r="F59" s="442"/>
      <c r="G59" s="442"/>
      <c r="H59" s="442"/>
      <c r="I59" s="442"/>
      <c r="J59" s="442"/>
      <c r="K59" s="442"/>
      <c r="L59" s="442"/>
      <c r="M59" s="442"/>
      <c r="N59" s="442"/>
      <c r="O59" s="442"/>
    </row>
    <row r="60" spans="1:16" x14ac:dyDescent="0.25">
      <c r="A60" s="193" t="s">
        <v>69</v>
      </c>
      <c r="B60" s="194"/>
      <c r="C60" s="194"/>
      <c r="D60" s="194"/>
      <c r="E60" s="194"/>
      <c r="F60" s="194"/>
      <c r="G60" s="194"/>
      <c r="H60" s="194"/>
      <c r="I60" s="194"/>
      <c r="J60" s="194"/>
      <c r="K60" s="194"/>
      <c r="L60" s="194"/>
      <c r="M60" s="194"/>
      <c r="N60" s="194"/>
      <c r="O60" s="195"/>
      <c r="P60" s="70"/>
    </row>
    <row r="62" spans="1:16" ht="15" customHeight="1" x14ac:dyDescent="0.25">
      <c r="B62" s="414" t="s">
        <v>67</v>
      </c>
      <c r="C62" s="415"/>
      <c r="D62" s="415"/>
      <c r="E62" s="416"/>
    </row>
    <row r="63" spans="1:16" x14ac:dyDescent="0.25">
      <c r="B63" s="435" t="s">
        <v>41</v>
      </c>
      <c r="C63" s="436"/>
      <c r="D63" s="436"/>
      <c r="E63" s="437"/>
    </row>
    <row r="64" spans="1:16" x14ac:dyDescent="0.25">
      <c r="B64" s="413" t="s">
        <v>21</v>
      </c>
      <c r="C64" s="413"/>
      <c r="D64" s="413"/>
      <c r="E64" s="196">
        <v>1</v>
      </c>
    </row>
    <row r="65" spans="1:16" x14ac:dyDescent="0.25">
      <c r="B65" s="413" t="s">
        <v>390</v>
      </c>
      <c r="C65" s="413"/>
      <c r="D65" s="413"/>
      <c r="E65" s="196">
        <f>MinWait</f>
        <v>4</v>
      </c>
    </row>
    <row r="66" spans="1:16" x14ac:dyDescent="0.25">
      <c r="B66" s="438" t="s">
        <v>22</v>
      </c>
      <c r="C66" s="439"/>
      <c r="D66" s="439"/>
      <c r="E66" s="440"/>
    </row>
    <row r="67" spans="1:16" x14ac:dyDescent="0.25">
      <c r="B67" s="413" t="s">
        <v>21</v>
      </c>
      <c r="C67" s="413"/>
      <c r="D67" s="413"/>
      <c r="E67" s="196">
        <f>TargetUrgent</f>
        <v>2</v>
      </c>
    </row>
    <row r="68" spans="1:16" s="70" customFormat="1" x14ac:dyDescent="0.25">
      <c r="A68" s="23"/>
      <c r="B68" s="443" t="s">
        <v>390</v>
      </c>
      <c r="C68" s="443"/>
      <c r="D68" s="443"/>
      <c r="E68" s="197">
        <f>MaxWait</f>
        <v>8</v>
      </c>
      <c r="F68" s="23"/>
      <c r="G68" s="23"/>
      <c r="H68" s="23"/>
      <c r="I68" s="23"/>
      <c r="J68" s="23"/>
      <c r="K68" s="23"/>
      <c r="L68" s="23"/>
      <c r="M68" s="23"/>
      <c r="N68" s="23"/>
      <c r="O68" s="23"/>
      <c r="P68" s="23"/>
    </row>
    <row r="69" spans="1:16" x14ac:dyDescent="0.25">
      <c r="B69" s="74"/>
      <c r="C69" s="74"/>
      <c r="D69" s="74"/>
      <c r="E69" s="72"/>
    </row>
    <row r="70" spans="1:16" s="84" customFormat="1" ht="15" customHeight="1" x14ac:dyDescent="0.25">
      <c r="A70" s="417" t="s">
        <v>42</v>
      </c>
      <c r="B70" s="417"/>
      <c r="C70" s="417"/>
      <c r="D70" s="417"/>
      <c r="E70" s="417"/>
      <c r="F70" s="417"/>
      <c r="G70" s="417"/>
      <c r="H70" s="417"/>
      <c r="I70" s="417"/>
    </row>
    <row r="71" spans="1:16" s="84" customFormat="1" x14ac:dyDescent="0.25">
      <c r="A71" s="417"/>
      <c r="B71" s="417"/>
      <c r="C71" s="417"/>
      <c r="D71" s="417"/>
      <c r="E71" s="417"/>
      <c r="F71" s="417"/>
      <c r="G71" s="417"/>
      <c r="H71" s="417"/>
      <c r="I71" s="417"/>
    </row>
    <row r="72" spans="1:16" s="84" customFormat="1" x14ac:dyDescent="0.25">
      <c r="A72" s="417"/>
      <c r="B72" s="417"/>
      <c r="C72" s="417"/>
      <c r="D72" s="417"/>
      <c r="E72" s="417"/>
      <c r="F72" s="417"/>
      <c r="G72" s="417"/>
      <c r="H72" s="417"/>
      <c r="I72" s="417"/>
    </row>
    <row r="73" spans="1:16" s="84" customFormat="1" x14ac:dyDescent="0.25">
      <c r="A73" s="417"/>
      <c r="B73" s="417"/>
      <c r="C73" s="417"/>
      <c r="D73" s="417"/>
      <c r="E73" s="417"/>
      <c r="F73" s="417"/>
      <c r="G73" s="417"/>
      <c r="H73" s="417"/>
      <c r="I73" s="417"/>
    </row>
    <row r="74" spans="1:16" s="84" customFormat="1" x14ac:dyDescent="0.25">
      <c r="A74" s="417"/>
      <c r="B74" s="417"/>
      <c r="C74" s="417"/>
      <c r="D74" s="417"/>
      <c r="E74" s="417"/>
      <c r="F74" s="417"/>
      <c r="G74" s="417"/>
      <c r="H74" s="417"/>
      <c r="I74" s="417"/>
    </row>
    <row r="75" spans="1:16" ht="15" customHeight="1" x14ac:dyDescent="0.25">
      <c r="A75" s="421" t="str">
        <f>"Clearing a Backlog"&amp;IF(Split&gt;0," (Based on split at week "&amp;Split&amp;")","")</f>
        <v>Clearing a Backlog</v>
      </c>
      <c r="B75" s="422"/>
      <c r="C75" s="422"/>
      <c r="D75" s="422"/>
      <c r="E75" s="422"/>
      <c r="F75" s="422"/>
      <c r="G75" s="422"/>
      <c r="H75" s="422"/>
      <c r="I75" s="422"/>
      <c r="J75" s="422"/>
      <c r="K75" s="422"/>
      <c r="L75" s="422"/>
      <c r="M75" s="422"/>
      <c r="N75" s="422"/>
      <c r="O75" s="423"/>
      <c r="P75" s="70"/>
    </row>
    <row r="76" spans="1:16" x14ac:dyDescent="0.25">
      <c r="B76" s="295"/>
      <c r="C76" s="295"/>
      <c r="D76" s="295"/>
    </row>
    <row r="77" spans="1:16" ht="15" customHeight="1" x14ac:dyDescent="0.25">
      <c r="B77" s="420" t="s">
        <v>67</v>
      </c>
      <c r="C77" s="420"/>
      <c r="D77" s="420"/>
      <c r="E77" s="420"/>
      <c r="G77" s="434" t="s">
        <v>456</v>
      </c>
      <c r="H77" s="434"/>
      <c r="I77" s="434"/>
      <c r="J77" s="434"/>
      <c r="K77" s="434"/>
      <c r="L77" s="434"/>
      <c r="M77" s="434"/>
      <c r="N77" s="434"/>
      <c r="O77" s="434"/>
    </row>
    <row r="78" spans="1:16" x14ac:dyDescent="0.25">
      <c r="B78" s="418" t="s">
        <v>453</v>
      </c>
      <c r="C78" s="418"/>
      <c r="D78" s="418"/>
      <c r="E78" s="196" t="str">
        <f ca="1">CONCATENATE(TEXT(MaxWaitingList*0.95,"#")," to ",TEXT(MaxWaitingList*1.05,"#"))</f>
        <v xml:space="preserve"> to </v>
      </c>
      <c r="G78" s="434"/>
      <c r="H78" s="434"/>
      <c r="I78" s="434"/>
      <c r="J78" s="434"/>
      <c r="K78" s="434"/>
      <c r="L78" s="434"/>
      <c r="M78" s="434"/>
      <c r="N78" s="434"/>
      <c r="O78" s="434"/>
    </row>
    <row r="79" spans="1:16" x14ac:dyDescent="0.25">
      <c r="B79" s="418" t="s">
        <v>38</v>
      </c>
      <c r="C79" s="418"/>
      <c r="D79" s="418"/>
      <c r="E79" s="196">
        <f>WaitingList</f>
        <v>0</v>
      </c>
      <c r="G79" s="434"/>
      <c r="H79" s="434"/>
      <c r="I79" s="434"/>
      <c r="J79" s="434"/>
      <c r="K79" s="434"/>
      <c r="L79" s="434"/>
      <c r="M79" s="434"/>
      <c r="N79" s="434"/>
      <c r="O79" s="434"/>
    </row>
    <row r="80" spans="1:16" x14ac:dyDescent="0.25">
      <c r="B80" s="418" t="s">
        <v>39</v>
      </c>
      <c r="C80" s="418"/>
      <c r="D80" s="418"/>
      <c r="E80" s="196" t="str">
        <f ca="1">IF(WaitingList&gt;MaxWaitingList*1.05,CONCATENATE(TEXT(WaitingList-MaxWaitingList*1.05,"#")," to ",TEXT(WaitingList-MaxWaitingList*0.95,"#")),"n/a")</f>
        <v>n/a</v>
      </c>
      <c r="G80" s="434"/>
      <c r="H80" s="434"/>
      <c r="I80" s="434"/>
      <c r="J80" s="434"/>
      <c r="K80" s="434"/>
      <c r="L80" s="434"/>
      <c r="M80" s="434"/>
      <c r="N80" s="434"/>
      <c r="O80" s="434"/>
    </row>
    <row r="81" spans="1:16" s="85" customFormat="1" x14ac:dyDescent="0.25">
      <c r="B81" s="418" t="s">
        <v>19</v>
      </c>
      <c r="C81" s="418"/>
      <c r="D81" s="418"/>
      <c r="E81" s="196" t="str">
        <f ca="1">IFERROR(IF(TotalNetChange&gt;=0,"No Reduction",-TotalNetChange),"n/a")</f>
        <v>No Reduction</v>
      </c>
      <c r="G81" s="434"/>
      <c r="H81" s="434"/>
      <c r="I81" s="434"/>
      <c r="J81" s="434"/>
      <c r="K81" s="434"/>
      <c r="L81" s="434"/>
      <c r="M81" s="434"/>
      <c r="N81" s="434"/>
      <c r="O81" s="434"/>
    </row>
    <row r="82" spans="1:16" s="85" customFormat="1" x14ac:dyDescent="0.25">
      <c r="B82" s="413" t="s">
        <v>17</v>
      </c>
      <c r="C82" s="413"/>
      <c r="D82" s="413"/>
      <c r="E82" s="196" t="str">
        <f ca="1">IFERROR(IF(MeanNetChange&gt;=0,"No Reduction",-MeanNetChange),"n/a")</f>
        <v>No Reduction</v>
      </c>
      <c r="G82" s="434"/>
      <c r="H82" s="434"/>
      <c r="I82" s="434"/>
      <c r="J82" s="434"/>
      <c r="K82" s="434"/>
      <c r="L82" s="434"/>
      <c r="M82" s="434"/>
      <c r="N82" s="434"/>
      <c r="O82" s="434"/>
    </row>
    <row r="83" spans="1:16" s="85" customFormat="1" x14ac:dyDescent="0.25">
      <c r="B83" s="413" t="s">
        <v>18</v>
      </c>
      <c r="C83" s="413"/>
      <c r="D83" s="413"/>
      <c r="E83" s="196" t="str">
        <f ca="1">IFERROR(IF(AdditionalNetChange&gt;=0,"No Reduction",-AdditionalNetChange),"n/a/")</f>
        <v>No Reduction</v>
      </c>
      <c r="G83" s="434"/>
      <c r="H83" s="434"/>
      <c r="I83" s="434"/>
      <c r="J83" s="434"/>
      <c r="K83" s="434"/>
      <c r="L83" s="434"/>
      <c r="M83" s="434"/>
      <c r="N83" s="434"/>
      <c r="O83" s="434"/>
    </row>
    <row r="84" spans="1:16" s="85" customFormat="1" x14ac:dyDescent="0.25">
      <c r="B84" s="419" t="s">
        <v>20</v>
      </c>
      <c r="C84" s="419"/>
      <c r="D84" s="419"/>
      <c r="E84" s="197" t="str">
        <f ca="1">IFERROR(IF(TotalNetChange&gt;=0,"No Reduction",IF(WaitingList&gt;MaxWaitingList*1.05,CONCATENATE(TEXT((WaitingList-MaxWaitingList*1.05)/-TotalNetChange,"#")," to ",TEXT((WaitingList-MaxWaitingList*0.95)/-TotalNetChange,"#")),"No Backlog")),"n/a")</f>
        <v>No Reduction</v>
      </c>
      <c r="G84" s="434"/>
      <c r="H84" s="434"/>
      <c r="I84" s="434"/>
      <c r="J84" s="434"/>
      <c r="K84" s="434"/>
      <c r="L84" s="434"/>
      <c r="M84" s="434"/>
      <c r="N84" s="434"/>
      <c r="O84" s="434"/>
    </row>
    <row r="85" spans="1:16" s="70" customFormat="1" x14ac:dyDescent="0.25">
      <c r="A85" s="23"/>
      <c r="B85" s="74"/>
      <c r="C85" s="74"/>
      <c r="D85" s="74"/>
      <c r="E85" s="81"/>
      <c r="F85" s="81"/>
      <c r="G85" s="434"/>
      <c r="H85" s="434"/>
      <c r="I85" s="434"/>
      <c r="J85" s="434"/>
      <c r="K85" s="434"/>
      <c r="L85" s="434"/>
      <c r="M85" s="434"/>
      <c r="N85" s="434"/>
      <c r="O85" s="434"/>
    </row>
    <row r="86" spans="1:16" x14ac:dyDescent="0.25">
      <c r="A86" s="193" t="s">
        <v>79</v>
      </c>
      <c r="B86" s="194"/>
      <c r="C86" s="194"/>
      <c r="D86" s="194"/>
      <c r="E86" s="194"/>
      <c r="F86" s="194"/>
      <c r="G86" s="194"/>
      <c r="H86" s="194"/>
      <c r="I86" s="194"/>
      <c r="J86" s="194"/>
      <c r="K86" s="194"/>
      <c r="L86" s="194"/>
      <c r="M86" s="194"/>
      <c r="N86" s="194"/>
      <c r="O86" s="195"/>
      <c r="P86" s="70"/>
    </row>
    <row r="87" spans="1:16" x14ac:dyDescent="0.25">
      <c r="A87" s="82"/>
      <c r="B87" s="82"/>
      <c r="C87" s="82"/>
      <c r="D87" s="82"/>
      <c r="E87" s="82"/>
      <c r="F87" s="82"/>
      <c r="G87" s="82"/>
      <c r="H87" s="82"/>
      <c r="I87" s="82"/>
      <c r="J87" s="82"/>
      <c r="K87" s="82"/>
      <c r="L87" s="82"/>
      <c r="M87" s="82"/>
      <c r="N87" s="82"/>
      <c r="O87" s="82"/>
    </row>
    <row r="88" spans="1:16" ht="15" customHeight="1" x14ac:dyDescent="0.25">
      <c r="A88" s="410" t="s">
        <v>43</v>
      </c>
      <c r="B88" s="410"/>
      <c r="C88" s="410"/>
      <c r="D88" s="410"/>
      <c r="E88" s="410"/>
      <c r="F88" s="410"/>
      <c r="G88" s="410"/>
      <c r="H88" s="410"/>
      <c r="I88" s="410"/>
      <c r="J88" s="410"/>
      <c r="K88" s="410"/>
      <c r="L88" s="410"/>
      <c r="M88" s="410"/>
      <c r="N88" s="410"/>
      <c r="O88" s="410"/>
    </row>
    <row r="89" spans="1:16" x14ac:dyDescent="0.25">
      <c r="A89" s="410"/>
      <c r="B89" s="410"/>
      <c r="C89" s="410"/>
      <c r="D89" s="410"/>
      <c r="E89" s="410"/>
      <c r="F89" s="410"/>
      <c r="G89" s="410"/>
      <c r="H89" s="410"/>
      <c r="I89" s="410"/>
      <c r="J89" s="410"/>
      <c r="K89" s="410"/>
      <c r="L89" s="410"/>
      <c r="M89" s="410"/>
      <c r="N89" s="410"/>
      <c r="O89" s="410"/>
    </row>
    <row r="90" spans="1:16" x14ac:dyDescent="0.25">
      <c r="A90" s="410"/>
      <c r="B90" s="410"/>
      <c r="C90" s="410"/>
      <c r="D90" s="410"/>
      <c r="E90" s="410"/>
      <c r="F90" s="410"/>
      <c r="G90" s="410"/>
      <c r="H90" s="410"/>
      <c r="I90" s="410"/>
      <c r="J90" s="410"/>
      <c r="K90" s="410"/>
      <c r="L90" s="410"/>
      <c r="M90" s="410"/>
      <c r="N90" s="410"/>
      <c r="O90" s="410"/>
    </row>
    <row r="91" spans="1:16" x14ac:dyDescent="0.25">
      <c r="A91" s="410"/>
      <c r="B91" s="410"/>
      <c r="C91" s="410"/>
      <c r="D91" s="410"/>
      <c r="E91" s="410"/>
      <c r="F91" s="410"/>
      <c r="G91" s="410"/>
      <c r="H91" s="410"/>
      <c r="I91" s="410"/>
      <c r="J91" s="410"/>
      <c r="K91" s="410"/>
      <c r="L91" s="410"/>
      <c r="M91" s="410"/>
      <c r="N91" s="410"/>
      <c r="O91" s="410"/>
    </row>
    <row r="92" spans="1:16" s="70" customFormat="1" ht="23.25" customHeight="1" x14ac:dyDescent="0.25">
      <c r="A92" s="410"/>
      <c r="B92" s="410"/>
      <c r="C92" s="410"/>
      <c r="D92" s="410"/>
      <c r="E92" s="410"/>
      <c r="F92" s="410"/>
      <c r="G92" s="410"/>
      <c r="H92" s="410"/>
      <c r="I92" s="410"/>
      <c r="J92" s="410"/>
      <c r="K92" s="410"/>
      <c r="L92" s="410"/>
      <c r="M92" s="410"/>
      <c r="N92" s="410"/>
      <c r="O92" s="410"/>
      <c r="P92" s="23"/>
    </row>
    <row r="94" spans="1:16" ht="15" customHeight="1" x14ac:dyDescent="0.25"/>
  </sheetData>
  <sheetProtection password="CD36" sheet="1" objects="1" scenarios="1"/>
  <mergeCells count="48">
    <mergeCell ref="B22:D22"/>
    <mergeCell ref="G22:O27"/>
    <mergeCell ref="B68:D68"/>
    <mergeCell ref="B25:D25"/>
    <mergeCell ref="B23:D23"/>
    <mergeCell ref="G77:O85"/>
    <mergeCell ref="B79:D79"/>
    <mergeCell ref="B78:D78"/>
    <mergeCell ref="B24:D24"/>
    <mergeCell ref="B33:D33"/>
    <mergeCell ref="B31:D31"/>
    <mergeCell ref="A28:O28"/>
    <mergeCell ref="B30:D30"/>
    <mergeCell ref="B63:E63"/>
    <mergeCell ref="B66:E66"/>
    <mergeCell ref="F32:O32"/>
    <mergeCell ref="B32:D32"/>
    <mergeCell ref="F33:O33"/>
    <mergeCell ref="F34:O34"/>
    <mergeCell ref="A53:O59"/>
    <mergeCell ref="A2:O2"/>
    <mergeCell ref="A20:O20"/>
    <mergeCell ref="B7:D7"/>
    <mergeCell ref="B13:D13"/>
    <mergeCell ref="B8:D8"/>
    <mergeCell ref="A3:O3"/>
    <mergeCell ref="B10:D10"/>
    <mergeCell ref="B11:D11"/>
    <mergeCell ref="B12:D12"/>
    <mergeCell ref="A5:O5"/>
    <mergeCell ref="B14:D14"/>
    <mergeCell ref="B15:D15"/>
    <mergeCell ref="A88:O92"/>
    <mergeCell ref="A37:H43"/>
    <mergeCell ref="A45:H51"/>
    <mergeCell ref="B64:D64"/>
    <mergeCell ref="B62:E62"/>
    <mergeCell ref="A70:I74"/>
    <mergeCell ref="B65:D65"/>
    <mergeCell ref="B81:D81"/>
    <mergeCell ref="B82:D82"/>
    <mergeCell ref="B83:D83"/>
    <mergeCell ref="B84:D84"/>
    <mergeCell ref="B80:D80"/>
    <mergeCell ref="B77:E77"/>
    <mergeCell ref="B76:D76"/>
    <mergeCell ref="A75:O75"/>
    <mergeCell ref="B67:D67"/>
  </mergeCells>
  <phoneticPr fontId="48" type="noConversion"/>
  <conditionalFormatting sqref="F32">
    <cfRule type="expression" dxfId="8" priority="14" stopIfTrue="1">
      <formula>DTAsPerWeek-WeeklyROTT-RoutineMeanAdmissions-AdditionalMeanAdmissions&gt;0</formula>
    </cfRule>
  </conditionalFormatting>
  <conditionalFormatting sqref="F33">
    <cfRule type="expression" dxfId="7" priority="3" stopIfTrue="1">
      <formula>Percentile65-WeeklyROTT-RoutineMeanAdmissions-AdditionalMeanAdmissions&gt;0</formula>
    </cfRule>
  </conditionalFormatting>
  <conditionalFormatting sqref="F34:F35">
    <cfRule type="expression" dxfId="6" priority="1" stopIfTrue="1">
      <formula>Percentile85-WeeklyROTT-RoutineMeanAdmissions-AdditionalMeanAdmissions&gt;0</formula>
    </cfRule>
  </conditionalFormatting>
  <printOptions horizontalCentered="1"/>
  <pageMargins left="0.39370078740157483" right="0.39370078740157483" top="0.98425196850393704" bottom="0.59055118110236227" header="0.19685039370078741" footer="0"/>
  <pageSetup paperSize="9" scale="95" fitToWidth="0" fitToHeight="0" orientation="landscape" errors="blank" r:id="rId1"/>
  <headerFooter>
    <oddHeader>&amp;R&amp;G</oddHeader>
  </headerFooter>
  <rowBreaks count="2" manualBreakCount="2">
    <brk id="27" max="14" man="1"/>
    <brk id="7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BA88"/>
  <sheetViews>
    <sheetView showGridLines="0" showRowColHeaders="0" topLeftCell="A2" zoomScaleNormal="100" workbookViewId="0">
      <selection activeCell="Q86" sqref="Q86"/>
    </sheetView>
  </sheetViews>
  <sheetFormatPr defaultRowHeight="15" x14ac:dyDescent="0.25"/>
  <cols>
    <col min="1" max="14" width="9.140625" style="9"/>
    <col min="15" max="15" width="12.42578125" style="9" customWidth="1"/>
    <col min="16" max="20" width="9.140625" style="9"/>
    <col min="21" max="21" width="0" style="9" hidden="1" customWidth="1"/>
    <col min="22" max="16384" width="9.140625" style="9"/>
  </cols>
  <sheetData>
    <row r="2" spans="1:53" ht="54" customHeight="1" x14ac:dyDescent="0.25">
      <c r="A2" s="347" t="str">
        <f>"Graphs - " &amp; ModelName</f>
        <v>Graphs - The NHS IMAS IST Admitted Care Demand and Capacity (D&amp;C) Model</v>
      </c>
      <c r="B2" s="348"/>
      <c r="C2" s="348"/>
      <c r="D2" s="348"/>
      <c r="E2" s="348"/>
      <c r="F2" s="348"/>
      <c r="G2" s="348"/>
      <c r="H2" s="348"/>
      <c r="I2" s="348"/>
      <c r="J2" s="348"/>
      <c r="K2" s="348"/>
      <c r="L2" s="348"/>
      <c r="M2" s="348"/>
      <c r="N2" s="348"/>
      <c r="O2" s="349"/>
    </row>
    <row r="3" spans="1:53" s="35" customFormat="1" ht="23.25" customHeight="1" x14ac:dyDescent="0.25">
      <c r="A3" s="367" t="s">
        <v>70</v>
      </c>
      <c r="B3" s="368"/>
      <c r="C3" s="368"/>
      <c r="D3" s="368"/>
      <c r="E3" s="368"/>
      <c r="F3" s="368"/>
      <c r="G3" s="368"/>
      <c r="H3" s="368"/>
      <c r="I3" s="368"/>
      <c r="J3" s="368"/>
      <c r="K3" s="368"/>
      <c r="L3" s="368"/>
      <c r="M3" s="368"/>
      <c r="N3" s="368"/>
      <c r="O3" s="369"/>
    </row>
    <row r="4" spans="1:53" s="34" customFormat="1" ht="15" customHeight="1" x14ac:dyDescent="0.25">
      <c r="A4" s="33"/>
      <c r="B4" s="33"/>
      <c r="C4" s="33"/>
      <c r="D4" s="33"/>
      <c r="E4" s="33"/>
      <c r="F4" s="33"/>
      <c r="G4" s="33"/>
      <c r="H4" s="33"/>
      <c r="I4" s="33"/>
      <c r="J4" s="33"/>
      <c r="K4" s="33"/>
      <c r="L4" s="33"/>
      <c r="M4" s="33"/>
      <c r="N4" s="33"/>
      <c r="O4" s="33"/>
    </row>
    <row r="5" spans="1:53" ht="18" x14ac:dyDescent="0.25">
      <c r="A5" s="372" t="str">
        <f>Trust &amp; " - " &amp; Specialty</f>
        <v>A. N. Other NHS Foundation Trust - A Specialty</v>
      </c>
      <c r="B5" s="372"/>
      <c r="C5" s="372"/>
      <c r="D5" s="372"/>
      <c r="E5" s="372"/>
      <c r="F5" s="372"/>
      <c r="G5" s="372"/>
      <c r="H5" s="372"/>
      <c r="I5" s="372"/>
      <c r="J5" s="372"/>
      <c r="K5" s="372"/>
      <c r="L5" s="372"/>
      <c r="M5" s="372"/>
      <c r="N5" s="372"/>
      <c r="O5" s="372"/>
    </row>
    <row r="6" spans="1:53" s="57" customFormat="1" ht="15" customHeight="1" x14ac:dyDescent="0.2">
      <c r="A6" s="57" t="s">
        <v>24</v>
      </c>
      <c r="B6" s="58" t="e">
        <f t="array" aca="1" ref="B6:BA6" ca="1">IF(TRANSPOSE(DTARange)&gt;0,Percentile65,"")</f>
        <v>#REF!</v>
      </c>
      <c r="C6" s="58" t="e">
        <f ca="1"/>
        <v>#REF!</v>
      </c>
      <c r="D6" s="58" t="e">
        <f ca="1"/>
        <v>#REF!</v>
      </c>
      <c r="E6" s="58" t="e">
        <f ca="1"/>
        <v>#REF!</v>
      </c>
      <c r="F6" s="58" t="e">
        <f ca="1"/>
        <v>#REF!</v>
      </c>
      <c r="G6" s="58" t="e">
        <f ca="1"/>
        <v>#REF!</v>
      </c>
      <c r="H6" s="58" t="e">
        <f ca="1"/>
        <v>#REF!</v>
      </c>
      <c r="I6" s="58" t="e">
        <f ca="1"/>
        <v>#REF!</v>
      </c>
      <c r="J6" s="58" t="e">
        <f ca="1"/>
        <v>#REF!</v>
      </c>
      <c r="K6" s="58" t="e">
        <f ca="1"/>
        <v>#REF!</v>
      </c>
      <c r="L6" s="58" t="e">
        <f ca="1"/>
        <v>#REF!</v>
      </c>
      <c r="M6" s="58" t="e">
        <f ca="1"/>
        <v>#REF!</v>
      </c>
      <c r="N6" s="58" t="e">
        <f ca="1"/>
        <v>#REF!</v>
      </c>
      <c r="O6" s="58" t="e">
        <f ca="1"/>
        <v>#REF!</v>
      </c>
      <c r="P6" s="58" t="e">
        <f ca="1"/>
        <v>#REF!</v>
      </c>
      <c r="Q6" s="58" t="e">
        <f ca="1"/>
        <v>#REF!</v>
      </c>
      <c r="R6" s="58" t="e">
        <f ca="1"/>
        <v>#REF!</v>
      </c>
      <c r="S6" s="58" t="e">
        <f ca="1"/>
        <v>#REF!</v>
      </c>
      <c r="T6" s="58" t="e">
        <f ca="1"/>
        <v>#REF!</v>
      </c>
      <c r="U6" s="58" t="e">
        <f ca="1"/>
        <v>#REF!</v>
      </c>
      <c r="V6" s="58" t="e">
        <f ca="1"/>
        <v>#REF!</v>
      </c>
      <c r="W6" s="58" t="e">
        <f ca="1"/>
        <v>#REF!</v>
      </c>
      <c r="X6" s="58" t="e">
        <f ca="1"/>
        <v>#REF!</v>
      </c>
      <c r="Y6" s="58" t="e">
        <f ca="1"/>
        <v>#REF!</v>
      </c>
      <c r="Z6" s="58" t="e">
        <f ca="1"/>
        <v>#REF!</v>
      </c>
      <c r="AA6" s="58" t="e">
        <f ca="1"/>
        <v>#REF!</v>
      </c>
      <c r="AB6" s="58" t="e">
        <f ca="1"/>
        <v>#REF!</v>
      </c>
      <c r="AC6" s="58" t="e">
        <f ca="1"/>
        <v>#REF!</v>
      </c>
      <c r="AD6" s="58" t="e">
        <f ca="1"/>
        <v>#REF!</v>
      </c>
      <c r="AE6" s="58" t="e">
        <f ca="1"/>
        <v>#REF!</v>
      </c>
      <c r="AF6" s="58" t="e">
        <f ca="1"/>
        <v>#REF!</v>
      </c>
      <c r="AG6" s="58" t="e">
        <f ca="1"/>
        <v>#REF!</v>
      </c>
      <c r="AH6" s="58" t="e">
        <f ca="1"/>
        <v>#REF!</v>
      </c>
      <c r="AI6" s="58" t="e">
        <f ca="1"/>
        <v>#REF!</v>
      </c>
      <c r="AJ6" s="58" t="e">
        <f ca="1"/>
        <v>#REF!</v>
      </c>
      <c r="AK6" s="58" t="e">
        <f ca="1"/>
        <v>#REF!</v>
      </c>
      <c r="AL6" s="58" t="e">
        <f ca="1"/>
        <v>#REF!</v>
      </c>
      <c r="AM6" s="58" t="e">
        <f ca="1"/>
        <v>#REF!</v>
      </c>
      <c r="AN6" s="58" t="e">
        <f ca="1"/>
        <v>#REF!</v>
      </c>
      <c r="AO6" s="58" t="e">
        <f ca="1"/>
        <v>#REF!</v>
      </c>
      <c r="AP6" s="58" t="e">
        <f ca="1"/>
        <v>#REF!</v>
      </c>
      <c r="AQ6" s="58" t="e">
        <f ca="1"/>
        <v>#REF!</v>
      </c>
      <c r="AR6" s="58" t="e">
        <f ca="1"/>
        <v>#REF!</v>
      </c>
      <c r="AS6" s="58" t="e">
        <f ca="1"/>
        <v>#REF!</v>
      </c>
      <c r="AT6" s="58" t="e">
        <f ca="1"/>
        <v>#REF!</v>
      </c>
      <c r="AU6" s="58" t="e">
        <f ca="1"/>
        <v>#REF!</v>
      </c>
      <c r="AV6" s="58" t="e">
        <f ca="1"/>
        <v>#REF!</v>
      </c>
      <c r="AW6" s="58" t="e">
        <f ca="1"/>
        <v>#REF!</v>
      </c>
      <c r="AX6" s="58" t="e">
        <f ca="1"/>
        <v>#REF!</v>
      </c>
      <c r="AY6" s="58" t="e">
        <f ca="1"/>
        <v>#REF!</v>
      </c>
      <c r="AZ6" s="58" t="e">
        <f ca="1"/>
        <v>#REF!</v>
      </c>
      <c r="BA6" s="58" t="e">
        <f ca="1"/>
        <v>#REF!</v>
      </c>
    </row>
    <row r="7" spans="1:53" s="57" customFormat="1" ht="15" customHeight="1" x14ac:dyDescent="0.2">
      <c r="A7" s="57" t="s">
        <v>25</v>
      </c>
      <c r="B7" s="58" t="e">
        <f t="array" aca="1" ref="B7:BA7" ca="1">IF(TRANSPOSE(DTARange)&gt;0,Percentile85,"")</f>
        <v>#REF!</v>
      </c>
      <c r="C7" s="58" t="e">
        <f ca="1"/>
        <v>#REF!</v>
      </c>
      <c r="D7" s="58" t="e">
        <f ca="1"/>
        <v>#REF!</v>
      </c>
      <c r="E7" s="58" t="e">
        <f ca="1"/>
        <v>#REF!</v>
      </c>
      <c r="F7" s="58" t="e">
        <f ca="1"/>
        <v>#REF!</v>
      </c>
      <c r="G7" s="58" t="e">
        <f ca="1"/>
        <v>#REF!</v>
      </c>
      <c r="H7" s="58" t="e">
        <f ca="1"/>
        <v>#REF!</v>
      </c>
      <c r="I7" s="58" t="e">
        <f ca="1"/>
        <v>#REF!</v>
      </c>
      <c r="J7" s="58" t="e">
        <f ca="1"/>
        <v>#REF!</v>
      </c>
      <c r="K7" s="58" t="e">
        <f ca="1"/>
        <v>#REF!</v>
      </c>
      <c r="L7" s="58" t="e">
        <f ca="1"/>
        <v>#REF!</v>
      </c>
      <c r="M7" s="58" t="e">
        <f ca="1"/>
        <v>#REF!</v>
      </c>
      <c r="N7" s="58" t="e">
        <f ca="1"/>
        <v>#REF!</v>
      </c>
      <c r="O7" s="58" t="e">
        <f ca="1"/>
        <v>#REF!</v>
      </c>
      <c r="P7" s="58" t="e">
        <f ca="1"/>
        <v>#REF!</v>
      </c>
      <c r="Q7" s="58" t="e">
        <f ca="1"/>
        <v>#REF!</v>
      </c>
      <c r="R7" s="58" t="e">
        <f ca="1"/>
        <v>#REF!</v>
      </c>
      <c r="S7" s="58" t="e">
        <f ca="1"/>
        <v>#REF!</v>
      </c>
      <c r="T7" s="58" t="e">
        <f ca="1"/>
        <v>#REF!</v>
      </c>
      <c r="U7" s="58" t="e">
        <f ca="1"/>
        <v>#REF!</v>
      </c>
      <c r="V7" s="58" t="e">
        <f ca="1"/>
        <v>#REF!</v>
      </c>
      <c r="W7" s="58" t="e">
        <f ca="1"/>
        <v>#REF!</v>
      </c>
      <c r="X7" s="58" t="e">
        <f ca="1"/>
        <v>#REF!</v>
      </c>
      <c r="Y7" s="58" t="e">
        <f ca="1"/>
        <v>#REF!</v>
      </c>
      <c r="Z7" s="58" t="e">
        <f ca="1"/>
        <v>#REF!</v>
      </c>
      <c r="AA7" s="58" t="e">
        <f ca="1"/>
        <v>#REF!</v>
      </c>
      <c r="AB7" s="58" t="e">
        <f ca="1"/>
        <v>#REF!</v>
      </c>
      <c r="AC7" s="58" t="e">
        <f ca="1"/>
        <v>#REF!</v>
      </c>
      <c r="AD7" s="58" t="e">
        <f ca="1"/>
        <v>#REF!</v>
      </c>
      <c r="AE7" s="58" t="e">
        <f ca="1"/>
        <v>#REF!</v>
      </c>
      <c r="AF7" s="58" t="e">
        <f ca="1"/>
        <v>#REF!</v>
      </c>
      <c r="AG7" s="58" t="e">
        <f ca="1"/>
        <v>#REF!</v>
      </c>
      <c r="AH7" s="58" t="e">
        <f ca="1"/>
        <v>#REF!</v>
      </c>
      <c r="AI7" s="58" t="e">
        <f ca="1"/>
        <v>#REF!</v>
      </c>
      <c r="AJ7" s="58" t="e">
        <f ca="1"/>
        <v>#REF!</v>
      </c>
      <c r="AK7" s="58" t="e">
        <f ca="1"/>
        <v>#REF!</v>
      </c>
      <c r="AL7" s="58" t="e">
        <f ca="1"/>
        <v>#REF!</v>
      </c>
      <c r="AM7" s="58" t="e">
        <f ca="1"/>
        <v>#REF!</v>
      </c>
      <c r="AN7" s="58" t="e">
        <f ca="1"/>
        <v>#REF!</v>
      </c>
      <c r="AO7" s="58" t="e">
        <f ca="1"/>
        <v>#REF!</v>
      </c>
      <c r="AP7" s="58" t="e">
        <f ca="1"/>
        <v>#REF!</v>
      </c>
      <c r="AQ7" s="58" t="e">
        <f ca="1"/>
        <v>#REF!</v>
      </c>
      <c r="AR7" s="58" t="e">
        <f ca="1"/>
        <v>#REF!</v>
      </c>
      <c r="AS7" s="58" t="e">
        <f ca="1"/>
        <v>#REF!</v>
      </c>
      <c r="AT7" s="58" t="e">
        <f ca="1"/>
        <v>#REF!</v>
      </c>
      <c r="AU7" s="58" t="e">
        <f ca="1"/>
        <v>#REF!</v>
      </c>
      <c r="AV7" s="58" t="e">
        <f ca="1"/>
        <v>#REF!</v>
      </c>
      <c r="AW7" s="58" t="e">
        <f ca="1"/>
        <v>#REF!</v>
      </c>
      <c r="AX7" s="58" t="e">
        <f ca="1"/>
        <v>#REF!</v>
      </c>
      <c r="AY7" s="58" t="e">
        <f ca="1"/>
        <v>#REF!</v>
      </c>
      <c r="AZ7" s="58" t="e">
        <f ca="1"/>
        <v>#REF!</v>
      </c>
      <c r="BA7" s="58" t="e">
        <f ca="1"/>
        <v>#REF!</v>
      </c>
    </row>
    <row r="8" spans="1:53" s="57" customFormat="1" ht="15" customHeight="1" x14ac:dyDescent="0.2">
      <c r="A8" s="59" t="s">
        <v>26</v>
      </c>
      <c r="B8" s="58" t="e">
        <f t="array" aca="1" ref="B8:BA8" ca="1">IF(TRANSPOSE(DTARange)&gt;0,DTAsPerWeek-(2*Deviation),"")</f>
        <v>#REF!</v>
      </c>
      <c r="C8" s="58" t="e">
        <f ca="1"/>
        <v>#REF!</v>
      </c>
      <c r="D8" s="58" t="e">
        <f ca="1"/>
        <v>#REF!</v>
      </c>
      <c r="E8" s="58" t="e">
        <f ca="1"/>
        <v>#REF!</v>
      </c>
      <c r="F8" s="58" t="e">
        <f ca="1"/>
        <v>#REF!</v>
      </c>
      <c r="G8" s="58" t="e">
        <f ca="1"/>
        <v>#REF!</v>
      </c>
      <c r="H8" s="58" t="e">
        <f ca="1"/>
        <v>#REF!</v>
      </c>
      <c r="I8" s="58" t="e">
        <f ca="1"/>
        <v>#REF!</v>
      </c>
      <c r="J8" s="58" t="e">
        <f ca="1"/>
        <v>#REF!</v>
      </c>
      <c r="K8" s="58" t="e">
        <f ca="1"/>
        <v>#REF!</v>
      </c>
      <c r="L8" s="58" t="e">
        <f ca="1"/>
        <v>#REF!</v>
      </c>
      <c r="M8" s="58" t="e">
        <f ca="1"/>
        <v>#REF!</v>
      </c>
      <c r="N8" s="58" t="e">
        <f ca="1"/>
        <v>#REF!</v>
      </c>
      <c r="O8" s="58" t="e">
        <f ca="1"/>
        <v>#REF!</v>
      </c>
      <c r="P8" s="58" t="e">
        <f ca="1"/>
        <v>#REF!</v>
      </c>
      <c r="Q8" s="58" t="e">
        <f ca="1"/>
        <v>#REF!</v>
      </c>
      <c r="R8" s="58" t="e">
        <f ca="1"/>
        <v>#REF!</v>
      </c>
      <c r="S8" s="58" t="e">
        <f ca="1"/>
        <v>#REF!</v>
      </c>
      <c r="T8" s="58" t="e">
        <f ca="1"/>
        <v>#REF!</v>
      </c>
      <c r="U8" s="58" t="e">
        <f ca="1"/>
        <v>#REF!</v>
      </c>
      <c r="V8" s="58" t="e">
        <f ca="1"/>
        <v>#REF!</v>
      </c>
      <c r="W8" s="58" t="e">
        <f ca="1"/>
        <v>#REF!</v>
      </c>
      <c r="X8" s="58" t="e">
        <f ca="1"/>
        <v>#REF!</v>
      </c>
      <c r="Y8" s="58" t="e">
        <f ca="1"/>
        <v>#REF!</v>
      </c>
      <c r="Z8" s="58" t="e">
        <f ca="1"/>
        <v>#REF!</v>
      </c>
      <c r="AA8" s="58" t="e">
        <f ca="1"/>
        <v>#REF!</v>
      </c>
      <c r="AB8" s="58" t="e">
        <f ca="1"/>
        <v>#REF!</v>
      </c>
      <c r="AC8" s="58" t="e">
        <f ca="1"/>
        <v>#REF!</v>
      </c>
      <c r="AD8" s="58" t="e">
        <f ca="1"/>
        <v>#REF!</v>
      </c>
      <c r="AE8" s="58" t="e">
        <f ca="1"/>
        <v>#REF!</v>
      </c>
      <c r="AF8" s="58" t="e">
        <f ca="1"/>
        <v>#REF!</v>
      </c>
      <c r="AG8" s="58" t="e">
        <f ca="1"/>
        <v>#REF!</v>
      </c>
      <c r="AH8" s="58" t="e">
        <f ca="1"/>
        <v>#REF!</v>
      </c>
      <c r="AI8" s="58" t="e">
        <f ca="1"/>
        <v>#REF!</v>
      </c>
      <c r="AJ8" s="58" t="e">
        <f ca="1"/>
        <v>#REF!</v>
      </c>
      <c r="AK8" s="58" t="e">
        <f ca="1"/>
        <v>#REF!</v>
      </c>
      <c r="AL8" s="58" t="e">
        <f ca="1"/>
        <v>#REF!</v>
      </c>
      <c r="AM8" s="58" t="e">
        <f ca="1"/>
        <v>#REF!</v>
      </c>
      <c r="AN8" s="58" t="e">
        <f ca="1"/>
        <v>#REF!</v>
      </c>
      <c r="AO8" s="58" t="e">
        <f ca="1"/>
        <v>#REF!</v>
      </c>
      <c r="AP8" s="58" t="e">
        <f ca="1"/>
        <v>#REF!</v>
      </c>
      <c r="AQ8" s="58" t="e">
        <f ca="1"/>
        <v>#REF!</v>
      </c>
      <c r="AR8" s="58" t="e">
        <f ca="1"/>
        <v>#REF!</v>
      </c>
      <c r="AS8" s="58" t="e">
        <f ca="1"/>
        <v>#REF!</v>
      </c>
      <c r="AT8" s="58" t="e">
        <f ca="1"/>
        <v>#REF!</v>
      </c>
      <c r="AU8" s="58" t="e">
        <f ca="1"/>
        <v>#REF!</v>
      </c>
      <c r="AV8" s="58" t="e">
        <f ca="1"/>
        <v>#REF!</v>
      </c>
      <c r="AW8" s="58" t="e">
        <f ca="1"/>
        <v>#REF!</v>
      </c>
      <c r="AX8" s="58" t="e">
        <f ca="1"/>
        <v>#REF!</v>
      </c>
      <c r="AY8" s="58" t="e">
        <f ca="1"/>
        <v>#REF!</v>
      </c>
      <c r="AZ8" s="58" t="e">
        <f ca="1"/>
        <v>#REF!</v>
      </c>
      <c r="BA8" s="58" t="e">
        <f ca="1"/>
        <v>#REF!</v>
      </c>
    </row>
    <row r="9" spans="1:53" s="61" customFormat="1" ht="12.75" x14ac:dyDescent="0.2">
      <c r="A9" s="60" t="s">
        <v>27</v>
      </c>
      <c r="B9" s="58" t="e">
        <f t="array" aca="1" ref="B9:BA9" ca="1">IF(TRANSPOSE(DTARange)&gt;0,DTAsPerWeek+(2*Deviation),"")</f>
        <v>#REF!</v>
      </c>
      <c r="C9" s="58" t="e">
        <f ca="1"/>
        <v>#REF!</v>
      </c>
      <c r="D9" s="58" t="e">
        <f ca="1"/>
        <v>#REF!</v>
      </c>
      <c r="E9" s="58" t="e">
        <f ca="1"/>
        <v>#REF!</v>
      </c>
      <c r="F9" s="58" t="e">
        <f ca="1"/>
        <v>#REF!</v>
      </c>
      <c r="G9" s="58" t="e">
        <f ca="1"/>
        <v>#REF!</v>
      </c>
      <c r="H9" s="58" t="e">
        <f ca="1"/>
        <v>#REF!</v>
      </c>
      <c r="I9" s="58" t="e">
        <f ca="1"/>
        <v>#REF!</v>
      </c>
      <c r="J9" s="58" t="e">
        <f ca="1"/>
        <v>#REF!</v>
      </c>
      <c r="K9" s="58" t="e">
        <f ca="1"/>
        <v>#REF!</v>
      </c>
      <c r="L9" s="58" t="e">
        <f ca="1"/>
        <v>#REF!</v>
      </c>
      <c r="M9" s="58" t="e">
        <f ca="1"/>
        <v>#REF!</v>
      </c>
      <c r="N9" s="58" t="e">
        <f ca="1"/>
        <v>#REF!</v>
      </c>
      <c r="O9" s="58" t="e">
        <f ca="1"/>
        <v>#REF!</v>
      </c>
      <c r="P9" s="58" t="e">
        <f ca="1"/>
        <v>#REF!</v>
      </c>
      <c r="Q9" s="58" t="e">
        <f ca="1"/>
        <v>#REF!</v>
      </c>
      <c r="R9" s="58" t="e">
        <f ca="1"/>
        <v>#REF!</v>
      </c>
      <c r="S9" s="58" t="e">
        <f ca="1"/>
        <v>#REF!</v>
      </c>
      <c r="T9" s="58" t="e">
        <f ca="1"/>
        <v>#REF!</v>
      </c>
      <c r="U9" s="58" t="e">
        <f ca="1"/>
        <v>#REF!</v>
      </c>
      <c r="V9" s="58" t="e">
        <f ca="1"/>
        <v>#REF!</v>
      </c>
      <c r="W9" s="58" t="e">
        <f ca="1"/>
        <v>#REF!</v>
      </c>
      <c r="X9" s="58" t="e">
        <f ca="1"/>
        <v>#REF!</v>
      </c>
      <c r="Y9" s="58" t="e">
        <f ca="1"/>
        <v>#REF!</v>
      </c>
      <c r="Z9" s="58" t="e">
        <f ca="1"/>
        <v>#REF!</v>
      </c>
      <c r="AA9" s="58" t="e">
        <f ca="1"/>
        <v>#REF!</v>
      </c>
      <c r="AB9" s="58" t="e">
        <f ca="1"/>
        <v>#REF!</v>
      </c>
      <c r="AC9" s="58" t="e">
        <f ca="1"/>
        <v>#REF!</v>
      </c>
      <c r="AD9" s="58" t="e">
        <f ca="1"/>
        <v>#REF!</v>
      </c>
      <c r="AE9" s="58" t="e">
        <f ca="1"/>
        <v>#REF!</v>
      </c>
      <c r="AF9" s="58" t="e">
        <f ca="1"/>
        <v>#REF!</v>
      </c>
      <c r="AG9" s="58" t="e">
        <f ca="1"/>
        <v>#REF!</v>
      </c>
      <c r="AH9" s="58" t="e">
        <f ca="1"/>
        <v>#REF!</v>
      </c>
      <c r="AI9" s="58" t="e">
        <f ca="1"/>
        <v>#REF!</v>
      </c>
      <c r="AJ9" s="58" t="e">
        <f ca="1"/>
        <v>#REF!</v>
      </c>
      <c r="AK9" s="58" t="e">
        <f ca="1"/>
        <v>#REF!</v>
      </c>
      <c r="AL9" s="58" t="e">
        <f ca="1"/>
        <v>#REF!</v>
      </c>
      <c r="AM9" s="58" t="e">
        <f ca="1"/>
        <v>#REF!</v>
      </c>
      <c r="AN9" s="58" t="e">
        <f ca="1"/>
        <v>#REF!</v>
      </c>
      <c r="AO9" s="58" t="e">
        <f ca="1"/>
        <v>#REF!</v>
      </c>
      <c r="AP9" s="58" t="e">
        <f ca="1"/>
        <v>#REF!</v>
      </c>
      <c r="AQ9" s="58" t="e">
        <f ca="1"/>
        <v>#REF!</v>
      </c>
      <c r="AR9" s="58" t="e">
        <f ca="1"/>
        <v>#REF!</v>
      </c>
      <c r="AS9" s="58" t="e">
        <f ca="1"/>
        <v>#REF!</v>
      </c>
      <c r="AT9" s="58" t="e">
        <f ca="1"/>
        <v>#REF!</v>
      </c>
      <c r="AU9" s="58" t="e">
        <f ca="1"/>
        <v>#REF!</v>
      </c>
      <c r="AV9" s="58" t="e">
        <f ca="1"/>
        <v>#REF!</v>
      </c>
      <c r="AW9" s="58" t="e">
        <f ca="1"/>
        <v>#REF!</v>
      </c>
      <c r="AX9" s="58" t="e">
        <f ca="1"/>
        <v>#REF!</v>
      </c>
      <c r="AY9" s="58" t="e">
        <f ca="1"/>
        <v>#REF!</v>
      </c>
      <c r="AZ9" s="58" t="e">
        <f ca="1"/>
        <v>#REF!</v>
      </c>
      <c r="BA9" s="58" t="e">
        <f ca="1"/>
        <v>#REF!</v>
      </c>
    </row>
    <row r="10" spans="1:53" s="58" customFormat="1" ht="15" customHeight="1" x14ac:dyDescent="0.2">
      <c r="A10" s="58" t="s">
        <v>28</v>
      </c>
      <c r="B10" s="251" t="e">
        <f t="array" aca="1" ref="B10:BA10" ca="1">IF(TRANSPOSE(DTARange)&gt;0,DTAsPerWeek,"")</f>
        <v>#REF!</v>
      </c>
      <c r="C10" s="251" t="e">
        <f ca="1"/>
        <v>#REF!</v>
      </c>
      <c r="D10" s="251" t="e">
        <f ca="1"/>
        <v>#REF!</v>
      </c>
      <c r="E10" s="251" t="e">
        <f ca="1"/>
        <v>#REF!</v>
      </c>
      <c r="F10" s="251" t="e">
        <f ca="1"/>
        <v>#REF!</v>
      </c>
      <c r="G10" s="251" t="e">
        <f ca="1"/>
        <v>#REF!</v>
      </c>
      <c r="H10" s="251" t="e">
        <f ca="1"/>
        <v>#REF!</v>
      </c>
      <c r="I10" s="251" t="e">
        <f ca="1"/>
        <v>#REF!</v>
      </c>
      <c r="J10" s="251" t="e">
        <f ca="1"/>
        <v>#REF!</v>
      </c>
      <c r="K10" s="251" t="e">
        <f ca="1"/>
        <v>#REF!</v>
      </c>
      <c r="L10" s="251" t="e">
        <f ca="1"/>
        <v>#REF!</v>
      </c>
      <c r="M10" s="251" t="e">
        <f ca="1"/>
        <v>#REF!</v>
      </c>
      <c r="N10" s="251" t="e">
        <f ca="1"/>
        <v>#REF!</v>
      </c>
      <c r="O10" s="251" t="e">
        <f ca="1"/>
        <v>#REF!</v>
      </c>
      <c r="P10" s="251" t="e">
        <f ca="1"/>
        <v>#REF!</v>
      </c>
      <c r="Q10" s="251" t="e">
        <f ca="1"/>
        <v>#REF!</v>
      </c>
      <c r="R10" s="251" t="e">
        <f ca="1"/>
        <v>#REF!</v>
      </c>
      <c r="S10" s="251" t="e">
        <f ca="1"/>
        <v>#REF!</v>
      </c>
      <c r="T10" s="251" t="e">
        <f ca="1"/>
        <v>#REF!</v>
      </c>
      <c r="U10" s="251" t="e">
        <f ca="1"/>
        <v>#REF!</v>
      </c>
      <c r="V10" s="251" t="e">
        <f ca="1"/>
        <v>#REF!</v>
      </c>
      <c r="W10" s="251" t="e">
        <f ca="1"/>
        <v>#REF!</v>
      </c>
      <c r="X10" s="251" t="e">
        <f ca="1"/>
        <v>#REF!</v>
      </c>
      <c r="Y10" s="251" t="e">
        <f ca="1"/>
        <v>#REF!</v>
      </c>
      <c r="Z10" s="251" t="e">
        <f ca="1"/>
        <v>#REF!</v>
      </c>
      <c r="AA10" s="251" t="e">
        <f ca="1"/>
        <v>#REF!</v>
      </c>
      <c r="AB10" s="251" t="e">
        <f ca="1"/>
        <v>#REF!</v>
      </c>
      <c r="AC10" s="251" t="e">
        <f ca="1"/>
        <v>#REF!</v>
      </c>
      <c r="AD10" s="251" t="e">
        <f ca="1"/>
        <v>#REF!</v>
      </c>
      <c r="AE10" s="251" t="e">
        <f ca="1"/>
        <v>#REF!</v>
      </c>
      <c r="AF10" s="251" t="e">
        <f ca="1"/>
        <v>#REF!</v>
      </c>
      <c r="AG10" s="251" t="e">
        <f ca="1"/>
        <v>#REF!</v>
      </c>
      <c r="AH10" s="251" t="e">
        <f ca="1"/>
        <v>#REF!</v>
      </c>
      <c r="AI10" s="251" t="e">
        <f ca="1"/>
        <v>#REF!</v>
      </c>
      <c r="AJ10" s="251" t="e">
        <f ca="1"/>
        <v>#REF!</v>
      </c>
      <c r="AK10" s="251" t="e">
        <f ca="1"/>
        <v>#REF!</v>
      </c>
      <c r="AL10" s="251" t="e">
        <f ca="1"/>
        <v>#REF!</v>
      </c>
      <c r="AM10" s="251" t="e">
        <f ca="1"/>
        <v>#REF!</v>
      </c>
      <c r="AN10" s="251" t="e">
        <f ca="1"/>
        <v>#REF!</v>
      </c>
      <c r="AO10" s="251" t="e">
        <f ca="1"/>
        <v>#REF!</v>
      </c>
      <c r="AP10" s="251" t="e">
        <f ca="1"/>
        <v>#REF!</v>
      </c>
      <c r="AQ10" s="251" t="e">
        <f ca="1"/>
        <v>#REF!</v>
      </c>
      <c r="AR10" s="251" t="e">
        <f ca="1"/>
        <v>#REF!</v>
      </c>
      <c r="AS10" s="251" t="e">
        <f ca="1"/>
        <v>#REF!</v>
      </c>
      <c r="AT10" s="251" t="e">
        <f ca="1"/>
        <v>#REF!</v>
      </c>
      <c r="AU10" s="251" t="e">
        <f ca="1"/>
        <v>#REF!</v>
      </c>
      <c r="AV10" s="251" t="e">
        <f ca="1"/>
        <v>#REF!</v>
      </c>
      <c r="AW10" s="251" t="e">
        <f ca="1"/>
        <v>#REF!</v>
      </c>
      <c r="AX10" s="251" t="e">
        <f ca="1"/>
        <v>#REF!</v>
      </c>
      <c r="AY10" s="251" t="e">
        <f ca="1"/>
        <v>#REF!</v>
      </c>
      <c r="AZ10" s="251" t="e">
        <f ca="1"/>
        <v>#REF!</v>
      </c>
      <c r="BA10" s="251" t="e">
        <f ca="1"/>
        <v>#REF!</v>
      </c>
    </row>
    <row r="11" spans="1:53" s="58" customFormat="1" ht="12.75" x14ac:dyDescent="0.2">
      <c r="A11" s="58" t="s">
        <v>29</v>
      </c>
      <c r="B11" s="62" t="e">
        <f t="array" aca="1" ref="B11:BA11" ca="1">TRANSPOSE(DTARange)-(RoutineMeanAdmissions+DTAsPerWeek*ROTTRate)</f>
        <v>#REF!</v>
      </c>
      <c r="C11" s="62" t="e">
        <f ca="1"/>
        <v>#REF!</v>
      </c>
      <c r="D11" s="62" t="e">
        <f ca="1"/>
        <v>#REF!</v>
      </c>
      <c r="E11" s="62" t="e">
        <f ca="1"/>
        <v>#REF!</v>
      </c>
      <c r="F11" s="62" t="e">
        <f ca="1"/>
        <v>#REF!</v>
      </c>
      <c r="G11" s="62" t="e">
        <f ca="1"/>
        <v>#REF!</v>
      </c>
      <c r="H11" s="62" t="e">
        <f ca="1"/>
        <v>#REF!</v>
      </c>
      <c r="I11" s="62" t="e">
        <f ca="1"/>
        <v>#REF!</v>
      </c>
      <c r="J11" s="62" t="e">
        <f ca="1"/>
        <v>#REF!</v>
      </c>
      <c r="K11" s="62" t="e">
        <f ca="1"/>
        <v>#REF!</v>
      </c>
      <c r="L11" s="62" t="e">
        <f ca="1"/>
        <v>#REF!</v>
      </c>
      <c r="M11" s="62" t="e">
        <f ca="1"/>
        <v>#REF!</v>
      </c>
      <c r="N11" s="62" t="e">
        <f ca="1"/>
        <v>#REF!</v>
      </c>
      <c r="O11" s="62" t="e">
        <f ca="1"/>
        <v>#REF!</v>
      </c>
      <c r="P11" s="62" t="e">
        <f ca="1"/>
        <v>#REF!</v>
      </c>
      <c r="Q11" s="57" t="e">
        <f ca="1"/>
        <v>#REF!</v>
      </c>
      <c r="R11" s="57" t="e">
        <f ca="1"/>
        <v>#REF!</v>
      </c>
      <c r="S11" s="57" t="e">
        <f ca="1"/>
        <v>#REF!</v>
      </c>
      <c r="T11" s="57" t="e">
        <f ca="1"/>
        <v>#REF!</v>
      </c>
      <c r="U11" s="57" t="e">
        <f ca="1"/>
        <v>#REF!</v>
      </c>
      <c r="V11" s="57" t="e">
        <f ca="1"/>
        <v>#REF!</v>
      </c>
      <c r="W11" s="57" t="e">
        <f ca="1"/>
        <v>#REF!</v>
      </c>
      <c r="X11" s="57" t="e">
        <f ca="1"/>
        <v>#REF!</v>
      </c>
      <c r="Y11" s="57" t="e">
        <f ca="1"/>
        <v>#REF!</v>
      </c>
      <c r="Z11" s="57" t="e">
        <f ca="1"/>
        <v>#REF!</v>
      </c>
      <c r="AA11" s="57" t="e">
        <f ca="1"/>
        <v>#REF!</v>
      </c>
      <c r="AB11" s="57" t="e">
        <f ca="1"/>
        <v>#REF!</v>
      </c>
      <c r="AC11" s="57" t="e">
        <f ca="1"/>
        <v>#REF!</v>
      </c>
      <c r="AD11" s="57" t="e">
        <f ca="1"/>
        <v>#REF!</v>
      </c>
      <c r="AE11" s="57" t="e">
        <f ca="1"/>
        <v>#REF!</v>
      </c>
      <c r="AF11" s="57" t="e">
        <f ca="1"/>
        <v>#REF!</v>
      </c>
      <c r="AG11" s="57" t="e">
        <f ca="1"/>
        <v>#REF!</v>
      </c>
      <c r="AH11" s="57" t="e">
        <f ca="1"/>
        <v>#REF!</v>
      </c>
      <c r="AI11" s="57" t="e">
        <f ca="1"/>
        <v>#REF!</v>
      </c>
      <c r="AJ11" s="57" t="e">
        <f ca="1"/>
        <v>#REF!</v>
      </c>
      <c r="AK11" s="57" t="e">
        <f ca="1"/>
        <v>#REF!</v>
      </c>
      <c r="AL11" s="57" t="e">
        <f ca="1"/>
        <v>#REF!</v>
      </c>
      <c r="AM11" s="57" t="e">
        <f ca="1"/>
        <v>#REF!</v>
      </c>
      <c r="AN11" s="57" t="e">
        <f ca="1"/>
        <v>#REF!</v>
      </c>
      <c r="AO11" s="57" t="e">
        <f ca="1"/>
        <v>#REF!</v>
      </c>
      <c r="AP11" s="57" t="e">
        <f ca="1"/>
        <v>#REF!</v>
      </c>
      <c r="AQ11" s="57" t="e">
        <f ca="1"/>
        <v>#REF!</v>
      </c>
      <c r="AR11" s="57" t="e">
        <f ca="1"/>
        <v>#REF!</v>
      </c>
      <c r="AS11" s="57" t="e">
        <f ca="1"/>
        <v>#REF!</v>
      </c>
      <c r="AT11" s="57" t="e">
        <f ca="1"/>
        <v>#REF!</v>
      </c>
      <c r="AU11" s="57" t="e">
        <f ca="1"/>
        <v>#REF!</v>
      </c>
      <c r="AV11" s="57" t="e">
        <f ca="1"/>
        <v>#REF!</v>
      </c>
      <c r="AW11" s="57" t="e">
        <f ca="1"/>
        <v>#REF!</v>
      </c>
      <c r="AX11" s="57" t="e">
        <f ca="1"/>
        <v>#REF!</v>
      </c>
      <c r="AY11" s="57" t="e">
        <f ca="1"/>
        <v>#REF!</v>
      </c>
      <c r="AZ11" s="57" t="e">
        <f ca="1"/>
        <v>#REF!</v>
      </c>
      <c r="BA11" s="57" t="e">
        <f ca="1"/>
        <v>#REF!</v>
      </c>
    </row>
    <row r="12" spans="1:53" s="58" customFormat="1" ht="12.75" x14ac:dyDescent="0.2">
      <c r="A12" s="58" t="s">
        <v>61</v>
      </c>
      <c r="B12" s="62" t="e">
        <f ca="1">B11</f>
        <v>#REF!</v>
      </c>
      <c r="C12" s="62" t="e">
        <f t="array" ref="C12:BA12" ca="1">B12:AZ12+C11:BA11</f>
        <v>#REF!</v>
      </c>
      <c r="D12" s="62" t="e">
        <f ca="1"/>
        <v>#REF!</v>
      </c>
      <c r="E12" s="62" t="e">
        <f ca="1"/>
        <v>#REF!</v>
      </c>
      <c r="F12" s="62" t="e">
        <f ca="1"/>
        <v>#REF!</v>
      </c>
      <c r="G12" s="62" t="e">
        <f ca="1"/>
        <v>#REF!</v>
      </c>
      <c r="H12" s="62" t="e">
        <f ca="1"/>
        <v>#REF!</v>
      </c>
      <c r="I12" s="62" t="e">
        <f ca="1"/>
        <v>#REF!</v>
      </c>
      <c r="J12" s="62" t="e">
        <f ca="1"/>
        <v>#REF!</v>
      </c>
      <c r="K12" s="62" t="e">
        <f ca="1"/>
        <v>#REF!</v>
      </c>
      <c r="L12" s="62" t="e">
        <f ca="1"/>
        <v>#REF!</v>
      </c>
      <c r="M12" s="62" t="e">
        <f ca="1"/>
        <v>#REF!</v>
      </c>
      <c r="N12" s="62" t="e">
        <f ca="1"/>
        <v>#REF!</v>
      </c>
      <c r="O12" s="62" t="e">
        <f ca="1"/>
        <v>#REF!</v>
      </c>
      <c r="P12" s="62" t="e">
        <f ca="1"/>
        <v>#REF!</v>
      </c>
      <c r="Q12" s="57" t="e">
        <f ca="1"/>
        <v>#REF!</v>
      </c>
      <c r="R12" s="57" t="e">
        <f ca="1"/>
        <v>#REF!</v>
      </c>
      <c r="S12" s="57" t="e">
        <f ca="1"/>
        <v>#REF!</v>
      </c>
      <c r="T12" s="57" t="e">
        <f ca="1"/>
        <v>#REF!</v>
      </c>
      <c r="U12" s="57" t="e">
        <f ca="1"/>
        <v>#REF!</v>
      </c>
      <c r="V12" s="57" t="e">
        <f ca="1"/>
        <v>#REF!</v>
      </c>
      <c r="W12" s="57" t="e">
        <f ca="1"/>
        <v>#REF!</v>
      </c>
      <c r="X12" s="57" t="e">
        <f ca="1"/>
        <v>#REF!</v>
      </c>
      <c r="Y12" s="57" t="e">
        <f ca="1"/>
        <v>#REF!</v>
      </c>
      <c r="Z12" s="57" t="e">
        <f ca="1"/>
        <v>#REF!</v>
      </c>
      <c r="AA12" s="57" t="e">
        <f ca="1"/>
        <v>#REF!</v>
      </c>
      <c r="AB12" s="57" t="e">
        <f ca="1"/>
        <v>#REF!</v>
      </c>
      <c r="AC12" s="57" t="e">
        <f ca="1"/>
        <v>#REF!</v>
      </c>
      <c r="AD12" s="57" t="e">
        <f ca="1"/>
        <v>#REF!</v>
      </c>
      <c r="AE12" s="57" t="e">
        <f ca="1"/>
        <v>#REF!</v>
      </c>
      <c r="AF12" s="57" t="e">
        <f ca="1"/>
        <v>#REF!</v>
      </c>
      <c r="AG12" s="57" t="e">
        <f ca="1"/>
        <v>#REF!</v>
      </c>
      <c r="AH12" s="57" t="e">
        <f ca="1"/>
        <v>#REF!</v>
      </c>
      <c r="AI12" s="57" t="e">
        <f ca="1"/>
        <v>#REF!</v>
      </c>
      <c r="AJ12" s="57" t="e">
        <f ca="1"/>
        <v>#REF!</v>
      </c>
      <c r="AK12" s="57" t="e">
        <f ca="1"/>
        <v>#REF!</v>
      </c>
      <c r="AL12" s="57" t="e">
        <f ca="1"/>
        <v>#REF!</v>
      </c>
      <c r="AM12" s="57" t="e">
        <f ca="1"/>
        <v>#REF!</v>
      </c>
      <c r="AN12" s="57" t="e">
        <f ca="1"/>
        <v>#REF!</v>
      </c>
      <c r="AO12" s="57" t="e">
        <f ca="1"/>
        <v>#REF!</v>
      </c>
      <c r="AP12" s="57" t="e">
        <f ca="1"/>
        <v>#REF!</v>
      </c>
      <c r="AQ12" s="57" t="e">
        <f ca="1"/>
        <v>#REF!</v>
      </c>
      <c r="AR12" s="57" t="e">
        <f ca="1"/>
        <v>#REF!</v>
      </c>
      <c r="AS12" s="57" t="e">
        <f ca="1"/>
        <v>#REF!</v>
      </c>
      <c r="AT12" s="57" t="e">
        <f ca="1"/>
        <v>#REF!</v>
      </c>
      <c r="AU12" s="57" t="e">
        <f ca="1"/>
        <v>#REF!</v>
      </c>
      <c r="AV12" s="57" t="e">
        <f ca="1"/>
        <v>#REF!</v>
      </c>
      <c r="AW12" s="57" t="e">
        <f ca="1"/>
        <v>#REF!</v>
      </c>
      <c r="AX12" s="57" t="e">
        <f ca="1"/>
        <v>#REF!</v>
      </c>
      <c r="AY12" s="57" t="e">
        <f ca="1"/>
        <v>#REF!</v>
      </c>
      <c r="AZ12" s="57" t="e">
        <f ca="1"/>
        <v>#REF!</v>
      </c>
      <c r="BA12" s="57" t="e">
        <f ca="1"/>
        <v>#REF!</v>
      </c>
    </row>
    <row r="13" spans="1:53" s="58" customFormat="1" ht="12.75" x14ac:dyDescent="0.2">
      <c r="A13" s="58" t="s">
        <v>31</v>
      </c>
      <c r="B13" s="62" t="e">
        <f t="array" aca="1" ref="B13:BA13" ca="1">IF(TRANSPOSE(DTARange)&gt;0,TRANSPOSE(RemovalsRange),"")</f>
        <v>#REF!</v>
      </c>
      <c r="C13" s="62" t="e">
        <f ca="1"/>
        <v>#REF!</v>
      </c>
      <c r="D13" s="62" t="e">
        <f ca="1"/>
        <v>#REF!</v>
      </c>
      <c r="E13" s="62" t="e">
        <f ca="1"/>
        <v>#REF!</v>
      </c>
      <c r="F13" s="62" t="e">
        <f ca="1"/>
        <v>#REF!</v>
      </c>
      <c r="G13" s="62" t="e">
        <f ca="1"/>
        <v>#REF!</v>
      </c>
      <c r="H13" s="62" t="e">
        <f ca="1"/>
        <v>#REF!</v>
      </c>
      <c r="I13" s="62" t="e">
        <f ca="1"/>
        <v>#REF!</v>
      </c>
      <c r="J13" s="62" t="e">
        <f ca="1"/>
        <v>#REF!</v>
      </c>
      <c r="K13" s="62" t="e">
        <f ca="1"/>
        <v>#REF!</v>
      </c>
      <c r="L13" s="62" t="e">
        <f ca="1"/>
        <v>#REF!</v>
      </c>
      <c r="M13" s="62" t="e">
        <f ca="1"/>
        <v>#REF!</v>
      </c>
      <c r="N13" s="62" t="e">
        <f ca="1"/>
        <v>#REF!</v>
      </c>
      <c r="O13" s="62" t="e">
        <f ca="1"/>
        <v>#REF!</v>
      </c>
      <c r="P13" s="62" t="e">
        <f ca="1"/>
        <v>#REF!</v>
      </c>
      <c r="Q13" s="57" t="e">
        <f ca="1"/>
        <v>#REF!</v>
      </c>
      <c r="R13" s="57" t="e">
        <f ca="1"/>
        <v>#REF!</v>
      </c>
      <c r="S13" s="57" t="e">
        <f ca="1"/>
        <v>#REF!</v>
      </c>
      <c r="T13" s="57" t="e">
        <f ca="1"/>
        <v>#REF!</v>
      </c>
      <c r="U13" s="57" t="e">
        <f ca="1"/>
        <v>#REF!</v>
      </c>
      <c r="V13" s="57" t="e">
        <f ca="1"/>
        <v>#REF!</v>
      </c>
      <c r="W13" s="57" t="e">
        <f ca="1"/>
        <v>#REF!</v>
      </c>
      <c r="X13" s="57" t="e">
        <f ca="1"/>
        <v>#REF!</v>
      </c>
      <c r="Y13" s="57" t="e">
        <f ca="1"/>
        <v>#REF!</v>
      </c>
      <c r="Z13" s="57" t="e">
        <f ca="1"/>
        <v>#REF!</v>
      </c>
      <c r="AA13" s="57" t="e">
        <f ca="1"/>
        <v>#REF!</v>
      </c>
      <c r="AB13" s="57" t="e">
        <f ca="1"/>
        <v>#REF!</v>
      </c>
      <c r="AC13" s="57" t="e">
        <f ca="1"/>
        <v>#REF!</v>
      </c>
      <c r="AD13" s="57" t="e">
        <f ca="1"/>
        <v>#REF!</v>
      </c>
      <c r="AE13" s="57" t="e">
        <f ca="1"/>
        <v>#REF!</v>
      </c>
      <c r="AF13" s="57" t="e">
        <f ca="1"/>
        <v>#REF!</v>
      </c>
      <c r="AG13" s="57" t="e">
        <f ca="1"/>
        <v>#REF!</v>
      </c>
      <c r="AH13" s="57" t="e">
        <f ca="1"/>
        <v>#REF!</v>
      </c>
      <c r="AI13" s="57" t="e">
        <f ca="1"/>
        <v>#REF!</v>
      </c>
      <c r="AJ13" s="57" t="e">
        <f ca="1"/>
        <v>#REF!</v>
      </c>
      <c r="AK13" s="57" t="e">
        <f ca="1"/>
        <v>#REF!</v>
      </c>
      <c r="AL13" s="57" t="e">
        <f ca="1"/>
        <v>#REF!</v>
      </c>
      <c r="AM13" s="57" t="e">
        <f ca="1"/>
        <v>#REF!</v>
      </c>
      <c r="AN13" s="57" t="e">
        <f ca="1"/>
        <v>#REF!</v>
      </c>
      <c r="AO13" s="57" t="e">
        <f ca="1"/>
        <v>#REF!</v>
      </c>
      <c r="AP13" s="57" t="e">
        <f ca="1"/>
        <v>#REF!</v>
      </c>
      <c r="AQ13" s="57" t="e">
        <f ca="1"/>
        <v>#REF!</v>
      </c>
      <c r="AR13" s="57" t="e">
        <f ca="1"/>
        <v>#REF!</v>
      </c>
      <c r="AS13" s="57" t="e">
        <f ca="1"/>
        <v>#REF!</v>
      </c>
      <c r="AT13" s="57" t="e">
        <f ca="1"/>
        <v>#REF!</v>
      </c>
      <c r="AU13" s="57" t="e">
        <f ca="1"/>
        <v>#REF!</v>
      </c>
      <c r="AV13" s="57" t="e">
        <f ca="1"/>
        <v>#REF!</v>
      </c>
      <c r="AW13" s="57" t="e">
        <f ca="1"/>
        <v>#REF!</v>
      </c>
      <c r="AX13" s="57" t="e">
        <f ca="1"/>
        <v>#REF!</v>
      </c>
      <c r="AY13" s="57" t="e">
        <f ca="1"/>
        <v>#REF!</v>
      </c>
      <c r="AZ13" s="57" t="e">
        <f ca="1"/>
        <v>#REF!</v>
      </c>
      <c r="BA13" s="57" t="e">
        <f ca="1"/>
        <v>#REF!</v>
      </c>
    </row>
    <row r="14" spans="1:53" s="65" customFormat="1" x14ac:dyDescent="0.25">
      <c r="A14" s="63"/>
      <c r="B14" s="63" t="e">
        <f t="array" aca="1" ref="B14:BA14" ca="1">B11:BA11^2</f>
        <v>#REF!</v>
      </c>
      <c r="C14" s="63" t="e">
        <f ca="1"/>
        <v>#REF!</v>
      </c>
      <c r="D14" s="63" t="e">
        <f ca="1"/>
        <v>#REF!</v>
      </c>
      <c r="E14" s="63" t="e">
        <f ca="1"/>
        <v>#REF!</v>
      </c>
      <c r="F14" s="63" t="e">
        <f ca="1"/>
        <v>#REF!</v>
      </c>
      <c r="G14" s="63" t="e">
        <f ca="1"/>
        <v>#REF!</v>
      </c>
      <c r="H14" s="63" t="e">
        <f ca="1"/>
        <v>#REF!</v>
      </c>
      <c r="I14" s="63" t="e">
        <f ca="1"/>
        <v>#REF!</v>
      </c>
      <c r="J14" s="63" t="e">
        <f ca="1"/>
        <v>#REF!</v>
      </c>
      <c r="K14" s="63" t="e">
        <f ca="1"/>
        <v>#REF!</v>
      </c>
      <c r="L14" s="63" t="e">
        <f ca="1"/>
        <v>#REF!</v>
      </c>
      <c r="M14" s="63" t="e">
        <f ca="1"/>
        <v>#REF!</v>
      </c>
      <c r="N14" s="63" t="e">
        <f ca="1"/>
        <v>#REF!</v>
      </c>
      <c r="O14" s="63" t="e">
        <f ca="1"/>
        <v>#REF!</v>
      </c>
      <c r="P14" s="64" t="e">
        <f ca="1"/>
        <v>#REF!</v>
      </c>
      <c r="Q14" s="64" t="e">
        <f ca="1"/>
        <v>#REF!</v>
      </c>
      <c r="R14" s="64" t="e">
        <f ca="1"/>
        <v>#REF!</v>
      </c>
      <c r="S14" s="64" t="e">
        <f ca="1"/>
        <v>#REF!</v>
      </c>
      <c r="T14" s="64" t="e">
        <f ca="1"/>
        <v>#REF!</v>
      </c>
      <c r="U14" s="64" t="e">
        <f ca="1"/>
        <v>#REF!</v>
      </c>
      <c r="V14" s="64" t="e">
        <f ca="1"/>
        <v>#REF!</v>
      </c>
      <c r="W14" s="64" t="e">
        <f ca="1"/>
        <v>#REF!</v>
      </c>
      <c r="X14" s="64" t="e">
        <f ca="1"/>
        <v>#REF!</v>
      </c>
      <c r="Y14" s="64" t="e">
        <f ca="1"/>
        <v>#REF!</v>
      </c>
      <c r="Z14" s="64" t="e">
        <f ca="1"/>
        <v>#REF!</v>
      </c>
      <c r="AA14" s="64" t="e">
        <f ca="1"/>
        <v>#REF!</v>
      </c>
      <c r="AB14" s="64" t="e">
        <f ca="1"/>
        <v>#REF!</v>
      </c>
      <c r="AC14" s="64" t="e">
        <f ca="1"/>
        <v>#REF!</v>
      </c>
      <c r="AD14" s="64" t="e">
        <f ca="1"/>
        <v>#REF!</v>
      </c>
      <c r="AE14" s="64" t="e">
        <f ca="1"/>
        <v>#REF!</v>
      </c>
      <c r="AF14" s="64" t="e">
        <f ca="1"/>
        <v>#REF!</v>
      </c>
      <c r="AG14" s="64" t="e">
        <f ca="1"/>
        <v>#REF!</v>
      </c>
      <c r="AH14" s="64" t="e">
        <f ca="1"/>
        <v>#REF!</v>
      </c>
      <c r="AI14" s="64" t="e">
        <f ca="1"/>
        <v>#REF!</v>
      </c>
      <c r="AJ14" s="64" t="e">
        <f ca="1"/>
        <v>#REF!</v>
      </c>
      <c r="AK14" s="64" t="e">
        <f ca="1"/>
        <v>#REF!</v>
      </c>
      <c r="AL14" s="64" t="e">
        <f ca="1"/>
        <v>#REF!</v>
      </c>
      <c r="AM14" s="64" t="e">
        <f ca="1"/>
        <v>#REF!</v>
      </c>
      <c r="AN14" s="64" t="e">
        <f ca="1"/>
        <v>#REF!</v>
      </c>
      <c r="AO14" s="64" t="e">
        <f ca="1"/>
        <v>#REF!</v>
      </c>
      <c r="AP14" s="64" t="e">
        <f ca="1"/>
        <v>#REF!</v>
      </c>
      <c r="AQ14" s="64" t="e">
        <f ca="1"/>
        <v>#REF!</v>
      </c>
      <c r="AR14" s="64" t="e">
        <f ca="1"/>
        <v>#REF!</v>
      </c>
      <c r="AS14" s="64" t="e">
        <f ca="1"/>
        <v>#REF!</v>
      </c>
      <c r="AT14" s="64" t="e">
        <f ca="1"/>
        <v>#REF!</v>
      </c>
      <c r="AU14" s="64" t="e">
        <f ca="1"/>
        <v>#REF!</v>
      </c>
      <c r="AV14" s="64" t="e">
        <f ca="1"/>
        <v>#REF!</v>
      </c>
      <c r="AW14" s="64" t="e">
        <f ca="1"/>
        <v>#REF!</v>
      </c>
      <c r="AX14" s="64" t="e">
        <f ca="1"/>
        <v>#REF!</v>
      </c>
      <c r="AY14" s="64" t="e">
        <f ca="1"/>
        <v>#REF!</v>
      </c>
      <c r="AZ14" s="64" t="e">
        <f ca="1"/>
        <v>#REF!</v>
      </c>
      <c r="BA14" s="65" t="e">
        <f ca="1"/>
        <v>#REF!</v>
      </c>
    </row>
    <row r="15" spans="1:53" s="65" customFormat="1" x14ac:dyDescent="0.25">
      <c r="A15" s="65" t="s">
        <v>447</v>
      </c>
      <c r="B15" s="65">
        <f t="array" ref="B15:BA15">RoutineMeanAdmissions</f>
        <v>0</v>
      </c>
      <c r="C15" s="65">
        <v>0</v>
      </c>
      <c r="D15" s="65">
        <v>0</v>
      </c>
      <c r="E15" s="65">
        <v>0</v>
      </c>
      <c r="F15" s="65">
        <v>0</v>
      </c>
      <c r="G15" s="65">
        <v>0</v>
      </c>
      <c r="H15" s="65">
        <v>0</v>
      </c>
      <c r="I15" s="65">
        <v>0</v>
      </c>
      <c r="J15" s="65">
        <v>0</v>
      </c>
      <c r="K15" s="65">
        <v>0</v>
      </c>
      <c r="L15" s="65">
        <v>0</v>
      </c>
      <c r="M15" s="65">
        <v>0</v>
      </c>
      <c r="N15" s="65">
        <v>0</v>
      </c>
      <c r="O15" s="65">
        <v>0</v>
      </c>
      <c r="P15" s="65">
        <v>0</v>
      </c>
      <c r="Q15" s="65">
        <v>0</v>
      </c>
      <c r="R15" s="65">
        <v>0</v>
      </c>
      <c r="S15" s="65">
        <v>0</v>
      </c>
      <c r="T15" s="65">
        <v>0</v>
      </c>
      <c r="U15" s="65">
        <v>0</v>
      </c>
      <c r="V15" s="65">
        <v>0</v>
      </c>
      <c r="W15" s="65">
        <v>0</v>
      </c>
      <c r="X15" s="65">
        <v>0</v>
      </c>
      <c r="Y15" s="65">
        <v>0</v>
      </c>
      <c r="Z15" s="65">
        <v>0</v>
      </c>
      <c r="AA15" s="65">
        <v>0</v>
      </c>
      <c r="AB15" s="65">
        <v>0</v>
      </c>
      <c r="AC15" s="65">
        <v>0</v>
      </c>
      <c r="AD15" s="65">
        <v>0</v>
      </c>
      <c r="AE15" s="65">
        <v>0</v>
      </c>
      <c r="AF15" s="65">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0</v>
      </c>
      <c r="AZ15" s="65">
        <v>0</v>
      </c>
      <c r="BA15" s="65">
        <v>0</v>
      </c>
    </row>
    <row r="16" spans="1:53" s="65" customFormat="1" x14ac:dyDescent="0.25">
      <c r="A16" s="65" t="s">
        <v>448</v>
      </c>
      <c r="B16" s="65">
        <f t="array" ref="B16:BA16">AdditionalMeanAdmissions</f>
        <v>0</v>
      </c>
      <c r="C16" s="65">
        <v>0</v>
      </c>
      <c r="D16" s="65">
        <v>0</v>
      </c>
      <c r="E16" s="65">
        <v>0</v>
      </c>
      <c r="F16" s="65">
        <v>0</v>
      </c>
      <c r="G16" s="65">
        <v>0</v>
      </c>
      <c r="H16" s="65">
        <v>0</v>
      </c>
      <c r="I16" s="65">
        <v>0</v>
      </c>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5">
        <v>0</v>
      </c>
      <c r="AB16" s="65">
        <v>0</v>
      </c>
      <c r="AC16" s="65">
        <v>0</v>
      </c>
      <c r="AD16" s="65">
        <v>0</v>
      </c>
      <c r="AE16" s="65">
        <v>0</v>
      </c>
      <c r="AF16" s="65">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row>
    <row r="17" spans="1:53" s="65" customFormat="1" x14ac:dyDescent="0.25">
      <c r="A17" s="65" t="s">
        <v>449</v>
      </c>
      <c r="B17" s="65" t="e">
        <f t="array" aca="1" ref="B17:BA17" ca="1">TRANSPOSE(CoreCapacityRange)</f>
        <v>#REF!</v>
      </c>
      <c r="C17" s="65" t="e">
        <f ca="1"/>
        <v>#REF!</v>
      </c>
      <c r="D17" s="65" t="e">
        <f ca="1"/>
        <v>#REF!</v>
      </c>
      <c r="E17" s="65" t="e">
        <f ca="1"/>
        <v>#REF!</v>
      </c>
      <c r="F17" s="65" t="e">
        <f ca="1"/>
        <v>#REF!</v>
      </c>
      <c r="G17" s="65" t="e">
        <f ca="1"/>
        <v>#REF!</v>
      </c>
      <c r="H17" s="65" t="e">
        <f ca="1"/>
        <v>#REF!</v>
      </c>
      <c r="I17" s="65" t="e">
        <f ca="1"/>
        <v>#REF!</v>
      </c>
      <c r="J17" s="65" t="e">
        <f ca="1"/>
        <v>#REF!</v>
      </c>
      <c r="K17" s="65" t="e">
        <f ca="1"/>
        <v>#REF!</v>
      </c>
      <c r="L17" s="65" t="e">
        <f ca="1"/>
        <v>#REF!</v>
      </c>
      <c r="M17" s="65" t="e">
        <f ca="1"/>
        <v>#REF!</v>
      </c>
      <c r="N17" s="65" t="e">
        <f ca="1"/>
        <v>#REF!</v>
      </c>
      <c r="O17" s="65" t="e">
        <f ca="1"/>
        <v>#REF!</v>
      </c>
      <c r="P17" s="65" t="e">
        <f ca="1"/>
        <v>#REF!</v>
      </c>
      <c r="Q17" s="65" t="e">
        <f ca="1"/>
        <v>#REF!</v>
      </c>
      <c r="R17" s="65" t="e">
        <f ca="1"/>
        <v>#REF!</v>
      </c>
      <c r="S17" s="65" t="e">
        <f ca="1"/>
        <v>#REF!</v>
      </c>
      <c r="T17" s="65" t="e">
        <f ca="1"/>
        <v>#REF!</v>
      </c>
      <c r="U17" s="65" t="e">
        <f ca="1"/>
        <v>#REF!</v>
      </c>
      <c r="V17" s="65" t="e">
        <f ca="1"/>
        <v>#REF!</v>
      </c>
      <c r="W17" s="65" t="e">
        <f ca="1"/>
        <v>#REF!</v>
      </c>
      <c r="X17" s="65" t="e">
        <f ca="1"/>
        <v>#REF!</v>
      </c>
      <c r="Y17" s="65" t="e">
        <f ca="1"/>
        <v>#REF!</v>
      </c>
      <c r="Z17" s="65" t="e">
        <f ca="1"/>
        <v>#REF!</v>
      </c>
      <c r="AA17" s="65" t="e">
        <f ca="1"/>
        <v>#REF!</v>
      </c>
      <c r="AB17" s="65" t="e">
        <f ca="1"/>
        <v>#REF!</v>
      </c>
      <c r="AC17" s="65" t="e">
        <f ca="1"/>
        <v>#REF!</v>
      </c>
      <c r="AD17" s="65" t="e">
        <f ca="1"/>
        <v>#REF!</v>
      </c>
      <c r="AE17" s="65" t="e">
        <f ca="1"/>
        <v>#REF!</v>
      </c>
      <c r="AF17" s="65" t="e">
        <f ca="1"/>
        <v>#REF!</v>
      </c>
      <c r="AG17" s="65" t="e">
        <f ca="1"/>
        <v>#REF!</v>
      </c>
      <c r="AH17" s="65" t="e">
        <f ca="1"/>
        <v>#REF!</v>
      </c>
      <c r="AI17" s="65" t="e">
        <f ca="1"/>
        <v>#REF!</v>
      </c>
      <c r="AJ17" s="65" t="e">
        <f ca="1"/>
        <v>#REF!</v>
      </c>
      <c r="AK17" s="65" t="e">
        <f ca="1"/>
        <v>#REF!</v>
      </c>
      <c r="AL17" s="65" t="e">
        <f ca="1"/>
        <v>#REF!</v>
      </c>
      <c r="AM17" s="65" t="e">
        <f ca="1"/>
        <v>#REF!</v>
      </c>
      <c r="AN17" s="65" t="e">
        <f ca="1"/>
        <v>#REF!</v>
      </c>
      <c r="AO17" s="65" t="e">
        <f ca="1"/>
        <v>#REF!</v>
      </c>
      <c r="AP17" s="65" t="e">
        <f ca="1"/>
        <v>#REF!</v>
      </c>
      <c r="AQ17" s="65" t="e">
        <f ca="1"/>
        <v>#REF!</v>
      </c>
      <c r="AR17" s="65" t="e">
        <f ca="1"/>
        <v>#REF!</v>
      </c>
      <c r="AS17" s="65" t="e">
        <f ca="1"/>
        <v>#REF!</v>
      </c>
      <c r="AT17" s="65" t="e">
        <f ca="1"/>
        <v>#REF!</v>
      </c>
      <c r="AU17" s="65" t="e">
        <f ca="1"/>
        <v>#REF!</v>
      </c>
      <c r="AV17" s="65" t="e">
        <f ca="1"/>
        <v>#REF!</v>
      </c>
      <c r="AW17" s="65" t="e">
        <f ca="1"/>
        <v>#REF!</v>
      </c>
      <c r="AX17" s="65" t="e">
        <f ca="1"/>
        <v>#REF!</v>
      </c>
      <c r="AY17" s="65" t="e">
        <f ca="1"/>
        <v>#REF!</v>
      </c>
      <c r="AZ17" s="65" t="e">
        <f ca="1"/>
        <v>#REF!</v>
      </c>
      <c r="BA17" s="65" t="e">
        <f ca="1"/>
        <v>#REF!</v>
      </c>
    </row>
    <row r="18" spans="1:53" s="65" customFormat="1" x14ac:dyDescent="0.25">
      <c r="A18" s="65" t="s">
        <v>450</v>
      </c>
      <c r="B18" s="65" t="e">
        <f t="array" aca="1" ref="B18:BA18" ca="1">TRANSPOSE(AdditionalCapacityRange)</f>
        <v>#REF!</v>
      </c>
      <c r="C18" s="65" t="e">
        <f ca="1"/>
        <v>#REF!</v>
      </c>
      <c r="D18" s="65" t="e">
        <f ca="1"/>
        <v>#REF!</v>
      </c>
      <c r="E18" s="65" t="e">
        <f ca="1"/>
        <v>#REF!</v>
      </c>
      <c r="F18" s="65" t="e">
        <f ca="1"/>
        <v>#REF!</v>
      </c>
      <c r="G18" s="65" t="e">
        <f ca="1"/>
        <v>#REF!</v>
      </c>
      <c r="H18" s="65" t="e">
        <f ca="1"/>
        <v>#REF!</v>
      </c>
      <c r="I18" s="65" t="e">
        <f ca="1"/>
        <v>#REF!</v>
      </c>
      <c r="J18" s="65" t="e">
        <f ca="1"/>
        <v>#REF!</v>
      </c>
      <c r="K18" s="65" t="e">
        <f ca="1"/>
        <v>#REF!</v>
      </c>
      <c r="L18" s="65" t="e">
        <f ca="1"/>
        <v>#REF!</v>
      </c>
      <c r="M18" s="65" t="e">
        <f ca="1"/>
        <v>#REF!</v>
      </c>
      <c r="N18" s="65" t="e">
        <f ca="1"/>
        <v>#REF!</v>
      </c>
      <c r="O18" s="65" t="e">
        <f ca="1"/>
        <v>#REF!</v>
      </c>
      <c r="P18" s="65" t="e">
        <f ca="1"/>
        <v>#REF!</v>
      </c>
      <c r="Q18" s="65" t="e">
        <f ca="1"/>
        <v>#REF!</v>
      </c>
      <c r="R18" s="65" t="e">
        <f ca="1"/>
        <v>#REF!</v>
      </c>
      <c r="S18" s="65" t="e">
        <f ca="1"/>
        <v>#REF!</v>
      </c>
      <c r="T18" s="65" t="e">
        <f ca="1"/>
        <v>#REF!</v>
      </c>
      <c r="U18" s="65" t="e">
        <f ca="1"/>
        <v>#REF!</v>
      </c>
      <c r="V18" s="65" t="e">
        <f ca="1"/>
        <v>#REF!</v>
      </c>
      <c r="W18" s="65" t="e">
        <f ca="1"/>
        <v>#REF!</v>
      </c>
      <c r="X18" s="65" t="e">
        <f ca="1"/>
        <v>#REF!</v>
      </c>
      <c r="Y18" s="65" t="e">
        <f ca="1"/>
        <v>#REF!</v>
      </c>
      <c r="Z18" s="65" t="e">
        <f ca="1"/>
        <v>#REF!</v>
      </c>
      <c r="AA18" s="65" t="e">
        <f ca="1"/>
        <v>#REF!</v>
      </c>
      <c r="AB18" s="65" t="e">
        <f ca="1"/>
        <v>#REF!</v>
      </c>
      <c r="AC18" s="65" t="e">
        <f ca="1"/>
        <v>#REF!</v>
      </c>
      <c r="AD18" s="65" t="e">
        <f ca="1"/>
        <v>#REF!</v>
      </c>
      <c r="AE18" s="65" t="e">
        <f ca="1"/>
        <v>#REF!</v>
      </c>
      <c r="AF18" s="65" t="e">
        <f ca="1"/>
        <v>#REF!</v>
      </c>
      <c r="AG18" s="65" t="e">
        <f ca="1"/>
        <v>#REF!</v>
      </c>
      <c r="AH18" s="65" t="e">
        <f ca="1"/>
        <v>#REF!</v>
      </c>
      <c r="AI18" s="65" t="e">
        <f ca="1"/>
        <v>#REF!</v>
      </c>
      <c r="AJ18" s="65" t="e">
        <f ca="1"/>
        <v>#REF!</v>
      </c>
      <c r="AK18" s="65" t="e">
        <f ca="1"/>
        <v>#REF!</v>
      </c>
      <c r="AL18" s="65" t="e">
        <f ca="1"/>
        <v>#REF!</v>
      </c>
      <c r="AM18" s="65" t="e">
        <f ca="1"/>
        <v>#REF!</v>
      </c>
      <c r="AN18" s="65" t="e">
        <f ca="1"/>
        <v>#REF!</v>
      </c>
      <c r="AO18" s="65" t="e">
        <f ca="1"/>
        <v>#REF!</v>
      </c>
      <c r="AP18" s="65" t="e">
        <f ca="1"/>
        <v>#REF!</v>
      </c>
      <c r="AQ18" s="65" t="e">
        <f ca="1"/>
        <v>#REF!</v>
      </c>
      <c r="AR18" s="65" t="e">
        <f ca="1"/>
        <v>#REF!</v>
      </c>
      <c r="AS18" s="65" t="e">
        <f ca="1"/>
        <v>#REF!</v>
      </c>
      <c r="AT18" s="65" t="e">
        <f ca="1"/>
        <v>#REF!</v>
      </c>
      <c r="AU18" s="65" t="e">
        <f ca="1"/>
        <v>#REF!</v>
      </c>
      <c r="AV18" s="65" t="e">
        <f ca="1"/>
        <v>#REF!</v>
      </c>
      <c r="AW18" s="65" t="e">
        <f ca="1"/>
        <v>#REF!</v>
      </c>
      <c r="AX18" s="65" t="e">
        <f ca="1"/>
        <v>#REF!</v>
      </c>
      <c r="AY18" s="65" t="e">
        <f ca="1"/>
        <v>#REF!</v>
      </c>
      <c r="AZ18" s="65" t="e">
        <f ca="1"/>
        <v>#REF!</v>
      </c>
      <c r="BA18" s="65" t="e">
        <f ca="1"/>
        <v>#REF!</v>
      </c>
    </row>
    <row r="19" spans="1:53" x14ac:dyDescent="0.25">
      <c r="A19" s="65" t="s">
        <v>807</v>
      </c>
      <c r="B19" s="65">
        <f t="array" ref="B19:BA19">TRANSPOSE(Demand!Q13:Q64)</f>
        <v>0</v>
      </c>
      <c r="C19" s="65">
        <v>0</v>
      </c>
      <c r="D19" s="65">
        <v>0</v>
      </c>
      <c r="E19" s="65">
        <v>0</v>
      </c>
      <c r="F19" s="65">
        <v>0</v>
      </c>
      <c r="G19" s="65">
        <v>0</v>
      </c>
      <c r="H19" s="65">
        <v>0</v>
      </c>
      <c r="I19" s="65">
        <v>0</v>
      </c>
      <c r="J19" s="65">
        <v>0</v>
      </c>
      <c r="K19" s="65">
        <v>0</v>
      </c>
      <c r="L19" s="65">
        <v>0</v>
      </c>
      <c r="M19" s="65">
        <v>0</v>
      </c>
      <c r="N19" s="65">
        <v>0</v>
      </c>
      <c r="O19" s="65">
        <v>0</v>
      </c>
      <c r="P19" s="65">
        <v>0</v>
      </c>
      <c r="Q19" s="65">
        <v>0</v>
      </c>
      <c r="R19" s="65">
        <v>0</v>
      </c>
      <c r="S19" s="65">
        <v>0</v>
      </c>
      <c r="T19" s="65">
        <v>0</v>
      </c>
      <c r="U19" s="65">
        <v>0</v>
      </c>
      <c r="V19" s="65">
        <v>0</v>
      </c>
      <c r="W19" s="65">
        <v>0</v>
      </c>
      <c r="X19" s="65">
        <v>0</v>
      </c>
      <c r="Y19" s="65">
        <v>0</v>
      </c>
      <c r="Z19" s="65">
        <v>0</v>
      </c>
      <c r="AA19" s="65">
        <v>0</v>
      </c>
      <c r="AB19" s="65">
        <v>0</v>
      </c>
      <c r="AC19" s="65">
        <v>0</v>
      </c>
      <c r="AD19" s="65">
        <v>0</v>
      </c>
      <c r="AE19" s="65">
        <v>0</v>
      </c>
      <c r="AF19" s="65">
        <v>0</v>
      </c>
      <c r="AG19" s="65">
        <v>0</v>
      </c>
      <c r="AH19" s="65">
        <v>0</v>
      </c>
      <c r="AI19" s="65">
        <v>0</v>
      </c>
      <c r="AJ19" s="65">
        <v>0</v>
      </c>
      <c r="AK19" s="65">
        <v>0</v>
      </c>
      <c r="AL19" s="65">
        <v>0</v>
      </c>
      <c r="AM19" s="65">
        <v>0</v>
      </c>
      <c r="AN19" s="65">
        <v>0</v>
      </c>
      <c r="AO19" s="65">
        <v>0</v>
      </c>
      <c r="AP19" s="65">
        <v>0</v>
      </c>
      <c r="AQ19" s="65">
        <v>0</v>
      </c>
      <c r="AR19" s="65">
        <v>0</v>
      </c>
      <c r="AS19" s="65">
        <v>0</v>
      </c>
      <c r="AT19" s="65">
        <v>0</v>
      </c>
      <c r="AU19" s="65">
        <v>0</v>
      </c>
      <c r="AV19" s="65">
        <v>0</v>
      </c>
      <c r="AW19" s="65">
        <v>0</v>
      </c>
      <c r="AX19" s="65">
        <v>0</v>
      </c>
      <c r="AY19" s="65">
        <v>0</v>
      </c>
      <c r="AZ19" s="65">
        <v>0</v>
      </c>
      <c r="BA19" s="65">
        <v>0</v>
      </c>
    </row>
    <row r="76" spans="1:15" s="35" customFormat="1" x14ac:dyDescent="0.25">
      <c r="A76" s="9"/>
      <c r="B76" s="9"/>
      <c r="C76" s="9"/>
      <c r="D76" s="9"/>
      <c r="E76" s="9"/>
      <c r="F76" s="9"/>
      <c r="G76" s="9"/>
      <c r="H76" s="9"/>
      <c r="I76" s="9"/>
      <c r="J76" s="9"/>
      <c r="K76" s="9"/>
      <c r="L76" s="9"/>
      <c r="M76" s="9"/>
      <c r="N76" s="9"/>
      <c r="O76" s="9"/>
    </row>
    <row r="77" spans="1:15" s="35" customFormat="1" x14ac:dyDescent="0.25">
      <c r="A77" s="9"/>
      <c r="B77" s="444" t="s">
        <v>438</v>
      </c>
      <c r="C77" s="444"/>
      <c r="D77" s="444"/>
      <c r="E77" s="444"/>
      <c r="F77" s="444"/>
      <c r="G77" s="9"/>
      <c r="H77" s="9"/>
      <c r="I77" s="9"/>
      <c r="J77" s="9"/>
      <c r="K77" s="9"/>
      <c r="L77" s="9"/>
      <c r="M77" s="9"/>
      <c r="N77" s="9"/>
      <c r="O77" s="9"/>
    </row>
    <row r="78" spans="1:15" s="35" customFormat="1" x14ac:dyDescent="0.25">
      <c r="A78" s="9"/>
      <c r="B78" s="444"/>
      <c r="C78" s="444"/>
      <c r="D78" s="444"/>
      <c r="E78" s="444"/>
      <c r="F78" s="444"/>
      <c r="G78" s="9"/>
      <c r="H78" s="9"/>
      <c r="I78" s="9"/>
      <c r="J78" s="9"/>
      <c r="K78" s="9"/>
      <c r="L78" s="9"/>
      <c r="M78" s="9"/>
      <c r="N78" s="9"/>
      <c r="O78" s="9"/>
    </row>
    <row r="79" spans="1:15" s="35" customFormat="1" x14ac:dyDescent="0.25">
      <c r="A79" s="9"/>
      <c r="B79" s="444"/>
      <c r="C79" s="444"/>
      <c r="D79" s="444"/>
      <c r="E79" s="444"/>
      <c r="F79" s="444"/>
      <c r="G79" s="9"/>
      <c r="H79" s="9"/>
      <c r="I79" s="9"/>
      <c r="J79" s="9"/>
      <c r="K79" s="9"/>
      <c r="L79" s="9"/>
      <c r="M79" s="9"/>
      <c r="N79" s="9"/>
      <c r="O79" s="9"/>
    </row>
    <row r="80" spans="1:15" s="35" customFormat="1" x14ac:dyDescent="0.25">
      <c r="A80" s="9"/>
      <c r="B80" s="444"/>
      <c r="C80" s="444"/>
      <c r="D80" s="444"/>
      <c r="E80" s="444"/>
      <c r="F80" s="444"/>
      <c r="G80" s="9"/>
      <c r="H80" s="9"/>
      <c r="I80" s="9"/>
      <c r="J80" s="9"/>
      <c r="K80" s="9"/>
      <c r="L80" s="9"/>
      <c r="M80" s="9"/>
      <c r="N80" s="9"/>
      <c r="O80" s="9"/>
    </row>
    <row r="81" spans="2:6" x14ac:dyDescent="0.25">
      <c r="B81" s="444"/>
      <c r="C81" s="444"/>
      <c r="D81" s="444"/>
      <c r="E81" s="444"/>
      <c r="F81" s="444"/>
    </row>
    <row r="82" spans="2:6" x14ac:dyDescent="0.25">
      <c r="B82" s="444"/>
      <c r="C82" s="444"/>
      <c r="D82" s="444"/>
      <c r="E82" s="444"/>
      <c r="F82" s="444"/>
    </row>
    <row r="83" spans="2:6" x14ac:dyDescent="0.25">
      <c r="B83" s="444"/>
      <c r="C83" s="444"/>
      <c r="D83" s="444"/>
      <c r="E83" s="444"/>
      <c r="F83" s="444"/>
    </row>
    <row r="84" spans="2:6" x14ac:dyDescent="0.25">
      <c r="B84" s="444"/>
      <c r="C84" s="444"/>
      <c r="D84" s="444"/>
      <c r="E84" s="444"/>
      <c r="F84" s="444"/>
    </row>
    <row r="85" spans="2:6" x14ac:dyDescent="0.25">
      <c r="B85" s="444"/>
      <c r="C85" s="444"/>
      <c r="D85" s="444"/>
      <c r="E85" s="444"/>
      <c r="F85" s="444"/>
    </row>
    <row r="86" spans="2:6" x14ac:dyDescent="0.25">
      <c r="B86" s="444"/>
      <c r="C86" s="444"/>
      <c r="D86" s="444"/>
      <c r="E86" s="444"/>
      <c r="F86" s="444"/>
    </row>
    <row r="87" spans="2:6" x14ac:dyDescent="0.25">
      <c r="B87" s="444"/>
      <c r="C87" s="444"/>
      <c r="D87" s="444"/>
      <c r="E87" s="444"/>
      <c r="F87" s="444"/>
    </row>
    <row r="88" spans="2:6" x14ac:dyDescent="0.25">
      <c r="B88" s="444"/>
      <c r="C88" s="444"/>
      <c r="D88" s="444"/>
      <c r="E88" s="444"/>
      <c r="F88" s="444"/>
    </row>
  </sheetData>
  <sheetProtection password="CD36" sheet="1" objects="1" scenarios="1" selectLockedCells="1" selectUnlockedCells="1"/>
  <mergeCells count="4">
    <mergeCell ref="A2:O2"/>
    <mergeCell ref="A3:O3"/>
    <mergeCell ref="B77:F8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rowBreaks count="3" manualBreakCount="3">
    <brk id="5" max="14" man="1"/>
    <brk id="26" max="14" man="1"/>
    <brk id="50"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P37"/>
  <sheetViews>
    <sheetView showGridLines="0" showRowColHeaders="0" zoomScaleNormal="100" workbookViewId="0">
      <selection activeCell="A6" sqref="A6"/>
    </sheetView>
  </sheetViews>
  <sheetFormatPr defaultRowHeight="15" x14ac:dyDescent="0.25"/>
  <cols>
    <col min="1" max="1" width="6.5703125" customWidth="1"/>
    <col min="2" max="2" width="19" customWidth="1"/>
    <col min="3" max="3" width="19.140625" customWidth="1"/>
    <col min="4" max="5" width="9.5703125" customWidth="1"/>
    <col min="6" max="6" width="15.28515625" customWidth="1"/>
    <col min="7" max="7" width="3.85546875" customWidth="1"/>
    <col min="8" max="8" width="13.28515625" customWidth="1"/>
    <col min="9" max="9" width="5.85546875" customWidth="1"/>
    <col min="10" max="11" width="19.140625" customWidth="1"/>
    <col min="12" max="12" width="5.140625" customWidth="1"/>
    <col min="13" max="13" width="10.28515625" customWidth="1"/>
  </cols>
  <sheetData>
    <row r="2" spans="1:16" ht="54" customHeight="1" x14ac:dyDescent="0.25">
      <c r="A2" s="202" t="str">
        <f>"Calculations - " &amp; ModelName</f>
        <v>Calculations - The NHS IMAS IST Admitted Care Demand and Capacity (D&amp;C) Model</v>
      </c>
      <c r="B2" s="203"/>
      <c r="C2" s="203"/>
      <c r="D2" s="203"/>
      <c r="E2" s="203"/>
      <c r="F2" s="203"/>
      <c r="G2" s="203"/>
      <c r="H2" s="203"/>
      <c r="I2" s="203"/>
      <c r="J2" s="203"/>
      <c r="K2" s="204"/>
    </row>
    <row r="3" spans="1:16" s="2" customFormat="1" ht="23.25" customHeight="1" x14ac:dyDescent="0.25">
      <c r="A3" s="205" t="str">
        <f>"Calculate Your Maximum Waiting List Dimensions"&amp;IF(Split&gt;0," (Based on split at week "&amp;Split&amp;")","")</f>
        <v>Calculate Your Maximum Waiting List Dimensions</v>
      </c>
      <c r="B3" s="206"/>
      <c r="C3" s="206"/>
      <c r="D3" s="206"/>
      <c r="E3" s="206"/>
      <c r="F3" s="206"/>
      <c r="G3" s="206"/>
      <c r="H3" s="206"/>
      <c r="I3" s="206"/>
      <c r="J3" s="206"/>
      <c r="K3" s="207"/>
    </row>
    <row r="4" spans="1:16" x14ac:dyDescent="0.25">
      <c r="A4" s="54"/>
      <c r="J4" s="9"/>
      <c r="K4" s="9"/>
      <c r="L4" s="9"/>
    </row>
    <row r="5" spans="1:16" ht="18" x14ac:dyDescent="0.25">
      <c r="A5" s="372" t="str">
        <f>Demand!B6 &amp; " - " &amp; Demand!B8</f>
        <v>A. N. Other NHS Foundation Trust - A Specialty</v>
      </c>
      <c r="B5" s="372"/>
      <c r="C5" s="372"/>
      <c r="D5" s="372"/>
      <c r="E5" s="372"/>
      <c r="F5" s="372"/>
      <c r="G5" s="372"/>
      <c r="H5" s="372"/>
      <c r="I5" s="372"/>
      <c r="J5" s="372"/>
      <c r="K5" s="372"/>
      <c r="L5" s="372"/>
      <c r="M5" s="372"/>
      <c r="N5" s="22"/>
    </row>
    <row r="6" spans="1:16" ht="15.75" thickBot="1" x14ac:dyDescent="0.3">
      <c r="A6" s="14"/>
      <c r="J6" s="9"/>
      <c r="K6" s="9"/>
      <c r="L6" s="9"/>
      <c r="M6" s="9"/>
    </row>
    <row r="7" spans="1:16" s="2" customFormat="1" ht="15" customHeight="1" x14ac:dyDescent="0.25">
      <c r="B7" s="213"/>
      <c r="C7" s="214" t="s">
        <v>75</v>
      </c>
      <c r="E7" s="307" t="s">
        <v>427</v>
      </c>
      <c r="F7" s="308"/>
      <c r="I7" s="307" t="s">
        <v>45</v>
      </c>
      <c r="J7" s="308"/>
    </row>
    <row r="8" spans="1:16" x14ac:dyDescent="0.25">
      <c r="B8" s="208" t="s">
        <v>389</v>
      </c>
      <c r="C8" s="209">
        <f ca="1">DTAsPerWeek</f>
        <v>0</v>
      </c>
      <c r="E8" s="309"/>
      <c r="F8" s="310"/>
      <c r="G8" s="2"/>
      <c r="H8" s="2"/>
      <c r="I8" s="309"/>
      <c r="J8" s="310"/>
    </row>
    <row r="9" spans="1:16" ht="15.75" thickBot="1" x14ac:dyDescent="0.3">
      <c r="B9" s="210" t="s">
        <v>390</v>
      </c>
      <c r="C9" s="209">
        <f ca="1">RoutineDTAsPerWeek</f>
        <v>0</v>
      </c>
      <c r="E9" s="447">
        <f>TargetUrgent</f>
        <v>2</v>
      </c>
      <c r="F9" s="448"/>
      <c r="G9" s="2"/>
      <c r="H9" s="2"/>
      <c r="I9" s="447">
        <f>MinWait</f>
        <v>4</v>
      </c>
      <c r="J9" s="448"/>
    </row>
    <row r="10" spans="1:16" ht="15.75" thickBot="1" x14ac:dyDescent="0.3">
      <c r="B10" s="210" t="s">
        <v>429</v>
      </c>
      <c r="C10" s="209">
        <f ca="1">UrgentDTAsPerWeek</f>
        <v>0</v>
      </c>
      <c r="E10" s="13"/>
      <c r="F10" s="13"/>
      <c r="G10" s="2"/>
      <c r="H10" s="2"/>
      <c r="I10" s="19"/>
      <c r="J10" s="20"/>
      <c r="K10" s="21"/>
    </row>
    <row r="11" spans="1:16" ht="15" customHeight="1" thickBot="1" x14ac:dyDescent="0.3">
      <c r="B11" s="211" t="s">
        <v>391</v>
      </c>
      <c r="C11" s="212">
        <f ca="1">Mean*ROTTRate</f>
        <v>0</v>
      </c>
      <c r="E11" s="307" t="s">
        <v>387</v>
      </c>
      <c r="F11" s="308"/>
      <c r="G11" s="2"/>
      <c r="H11" s="2"/>
      <c r="I11" s="307" t="s">
        <v>431</v>
      </c>
      <c r="J11" s="308"/>
    </row>
    <row r="12" spans="1:16" x14ac:dyDescent="0.25">
      <c r="E12" s="309"/>
      <c r="F12" s="310"/>
      <c r="G12" s="2"/>
      <c r="H12" s="2"/>
      <c r="I12" s="309"/>
      <c r="J12" s="310"/>
    </row>
    <row r="13" spans="1:16" ht="15.75" thickBot="1" x14ac:dyDescent="0.3">
      <c r="E13" s="447">
        <f>MaxWait</f>
        <v>8</v>
      </c>
      <c r="F13" s="448"/>
      <c r="G13" s="2"/>
      <c r="H13" s="2"/>
      <c r="I13" s="449">
        <f>BookingPeriod</f>
        <v>5</v>
      </c>
      <c r="J13" s="450"/>
    </row>
    <row r="14" spans="1:16" ht="15.75" thickBot="1" x14ac:dyDescent="0.3">
      <c r="G14" s="2"/>
      <c r="H14" s="2"/>
    </row>
    <row r="15" spans="1:16" ht="27.75" customHeight="1" x14ac:dyDescent="0.25">
      <c r="A15" s="213" t="s">
        <v>58</v>
      </c>
      <c r="B15" s="215" t="s">
        <v>393</v>
      </c>
      <c r="C15" s="215" t="s">
        <v>430</v>
      </c>
      <c r="D15" s="445" t="s">
        <v>391</v>
      </c>
      <c r="E15" s="445"/>
      <c r="F15" s="445" t="s">
        <v>394</v>
      </c>
      <c r="G15" s="445"/>
      <c r="H15" s="451" t="s">
        <v>59</v>
      </c>
      <c r="I15" s="451"/>
      <c r="J15" s="215" t="s">
        <v>60</v>
      </c>
      <c r="K15" s="214" t="s">
        <v>61</v>
      </c>
      <c r="M15" s="10"/>
      <c r="N15" s="10"/>
      <c r="O15" s="10"/>
      <c r="P15" s="10"/>
    </row>
    <row r="16" spans="1:16" x14ac:dyDescent="0.25">
      <c r="A16" s="216">
        <f t="array" aca="1" ref="A16:A34" ca="1">ROW(INDIRECT("1:19"))-1</f>
        <v>0</v>
      </c>
      <c r="B16" s="217">
        <f ca="1">DTAsPerWeek</f>
        <v>0</v>
      </c>
      <c r="C16" s="218"/>
      <c r="D16" s="446"/>
      <c r="E16" s="446"/>
      <c r="F16" s="446"/>
      <c r="G16" s="446"/>
      <c r="H16" s="452"/>
      <c r="I16" s="452"/>
      <c r="J16" s="219">
        <f ca="1">B16</f>
        <v>0</v>
      </c>
      <c r="K16" s="220">
        <f ca="1">J16</f>
        <v>0</v>
      </c>
      <c r="M16" s="10"/>
      <c r="N16" s="10"/>
      <c r="O16" s="10"/>
      <c r="P16" s="10"/>
    </row>
    <row r="17" spans="1:16" x14ac:dyDescent="0.25">
      <c r="A17" s="221">
        <f ca="1"/>
        <v>1</v>
      </c>
      <c r="B17" s="222"/>
      <c r="C17" s="218">
        <f t="shared" ref="C17:C34" ca="1" si="0">IF(AND(A17&gt;=MinWait,A17&lt;=MaxWait),(RoutineDTAsPerWeek*(1-ROTTRate))/BookingPeriod,0)</f>
        <v>0</v>
      </c>
      <c r="D17" s="446">
        <f t="shared" ref="D17:D34" ca="1" si="1">IF($A17&gt;MaxWait,0,WeeklyROTT/(BookingPeriod+MinWait-1))</f>
        <v>0</v>
      </c>
      <c r="E17" s="446"/>
      <c r="F17" s="446">
        <f t="shared" ref="F17:F34" ca="1" si="2">IF(AND(A17&gt;=1,A17&lt;=TargetUrgent),(UrgentDTAsPerWeek*(1-ROTTRate))/TargetUrgent,0)</f>
        <v>0</v>
      </c>
      <c r="G17" s="446"/>
      <c r="H17" s="446">
        <f ca="1">SUM(C17:G17)</f>
        <v>0</v>
      </c>
      <c r="I17" s="446"/>
      <c r="J17" s="218">
        <f t="shared" ref="J17:J34" ca="1" si="3">IF(ROTTRate=0,IF($A17&gt;MaxWait,NA(),J16-H17),IF($A17&gt;MaxWait,NA(),J16-H17))</f>
        <v>0</v>
      </c>
      <c r="K17" s="209">
        <f t="shared" ref="K17:K34" ca="1" si="4">IF(ROTTRate=0,IF($A17&gt;MaxWait,"",K16+J17),IF($A17&gt;MaxWait,"",K16+J17))</f>
        <v>0</v>
      </c>
      <c r="M17" s="10"/>
      <c r="N17" s="10"/>
      <c r="O17" s="10"/>
      <c r="P17" s="10"/>
    </row>
    <row r="18" spans="1:16" x14ac:dyDescent="0.25">
      <c r="A18" s="221">
        <f ca="1"/>
        <v>2</v>
      </c>
      <c r="B18" s="222"/>
      <c r="C18" s="218">
        <f t="shared" ca="1" si="0"/>
        <v>0</v>
      </c>
      <c r="D18" s="446">
        <f t="shared" ca="1" si="1"/>
        <v>0</v>
      </c>
      <c r="E18" s="446"/>
      <c r="F18" s="446">
        <f t="shared" ca="1" si="2"/>
        <v>0</v>
      </c>
      <c r="G18" s="446"/>
      <c r="H18" s="446">
        <f ca="1">SUM(C18:G18)</f>
        <v>0</v>
      </c>
      <c r="I18" s="446"/>
      <c r="J18" s="218">
        <f t="shared" ca="1" si="3"/>
        <v>0</v>
      </c>
      <c r="K18" s="209">
        <f t="shared" ca="1" si="4"/>
        <v>0</v>
      </c>
      <c r="M18" s="10"/>
      <c r="N18" s="10"/>
      <c r="O18" s="10"/>
      <c r="P18" s="10"/>
    </row>
    <row r="19" spans="1:16" x14ac:dyDescent="0.25">
      <c r="A19" s="221">
        <f ca="1"/>
        <v>3</v>
      </c>
      <c r="B19" s="222"/>
      <c r="C19" s="218">
        <f t="shared" ca="1" si="0"/>
        <v>0</v>
      </c>
      <c r="D19" s="446">
        <f t="shared" ca="1" si="1"/>
        <v>0</v>
      </c>
      <c r="E19" s="446"/>
      <c r="F19" s="446">
        <f t="shared" ca="1" si="2"/>
        <v>0</v>
      </c>
      <c r="G19" s="446"/>
      <c r="H19" s="446">
        <f ca="1">SUM(C19:G19)</f>
        <v>0</v>
      </c>
      <c r="I19" s="446"/>
      <c r="J19" s="218">
        <f t="shared" ca="1" si="3"/>
        <v>0</v>
      </c>
      <c r="K19" s="209">
        <f t="shared" ca="1" si="4"/>
        <v>0</v>
      </c>
      <c r="M19" s="10"/>
      <c r="N19" s="10"/>
      <c r="O19" s="10"/>
      <c r="P19" s="10"/>
    </row>
    <row r="20" spans="1:16" x14ac:dyDescent="0.25">
      <c r="A20" s="221">
        <f ca="1"/>
        <v>4</v>
      </c>
      <c r="B20" s="222"/>
      <c r="C20" s="218">
        <f t="shared" ca="1" si="0"/>
        <v>0</v>
      </c>
      <c r="D20" s="446">
        <f t="shared" ca="1" si="1"/>
        <v>0</v>
      </c>
      <c r="E20" s="446"/>
      <c r="F20" s="446">
        <f t="shared" ca="1" si="2"/>
        <v>0</v>
      </c>
      <c r="G20" s="446"/>
      <c r="H20" s="446">
        <f ca="1">SUM(C20:G20)</f>
        <v>0</v>
      </c>
      <c r="I20" s="446"/>
      <c r="J20" s="218">
        <f t="shared" ca="1" si="3"/>
        <v>0</v>
      </c>
      <c r="K20" s="209">
        <f t="shared" ca="1" si="4"/>
        <v>0</v>
      </c>
      <c r="M20" s="10"/>
      <c r="N20" s="10"/>
      <c r="O20" s="10"/>
      <c r="P20" s="10"/>
    </row>
    <row r="21" spans="1:16" x14ac:dyDescent="0.25">
      <c r="A21" s="221">
        <f ca="1"/>
        <v>5</v>
      </c>
      <c r="B21" s="222"/>
      <c r="C21" s="218">
        <f t="shared" ca="1" si="0"/>
        <v>0</v>
      </c>
      <c r="D21" s="446">
        <f t="shared" ca="1" si="1"/>
        <v>0</v>
      </c>
      <c r="E21" s="446"/>
      <c r="F21" s="446">
        <f t="shared" ca="1" si="2"/>
        <v>0</v>
      </c>
      <c r="G21" s="446"/>
      <c r="H21" s="446">
        <f t="shared" ref="H21:H30" ca="1" si="5">SUM(C21:G21)</f>
        <v>0</v>
      </c>
      <c r="I21" s="446"/>
      <c r="J21" s="218">
        <f t="shared" ca="1" si="3"/>
        <v>0</v>
      </c>
      <c r="K21" s="209">
        <f t="shared" ca="1" si="4"/>
        <v>0</v>
      </c>
      <c r="M21" s="10"/>
      <c r="N21" s="10"/>
      <c r="O21" s="10"/>
      <c r="P21" s="10"/>
    </row>
    <row r="22" spans="1:16" x14ac:dyDescent="0.25">
      <c r="A22" s="221">
        <f ca="1"/>
        <v>6</v>
      </c>
      <c r="B22" s="222"/>
      <c r="C22" s="218">
        <f t="shared" ca="1" si="0"/>
        <v>0</v>
      </c>
      <c r="D22" s="446">
        <f t="shared" ca="1" si="1"/>
        <v>0</v>
      </c>
      <c r="E22" s="446"/>
      <c r="F22" s="446">
        <f t="shared" ca="1" si="2"/>
        <v>0</v>
      </c>
      <c r="G22" s="446"/>
      <c r="H22" s="446">
        <f t="shared" ca="1" si="5"/>
        <v>0</v>
      </c>
      <c r="I22" s="446"/>
      <c r="J22" s="218">
        <f t="shared" ca="1" si="3"/>
        <v>0</v>
      </c>
      <c r="K22" s="209">
        <f t="shared" ca="1" si="4"/>
        <v>0</v>
      </c>
      <c r="M22" s="10"/>
      <c r="N22" s="10"/>
      <c r="O22" s="10"/>
      <c r="P22" s="10"/>
    </row>
    <row r="23" spans="1:16" x14ac:dyDescent="0.25">
      <c r="A23" s="221">
        <f ca="1"/>
        <v>7</v>
      </c>
      <c r="B23" s="222"/>
      <c r="C23" s="218">
        <f t="shared" ca="1" si="0"/>
        <v>0</v>
      </c>
      <c r="D23" s="446">
        <f t="shared" ca="1" si="1"/>
        <v>0</v>
      </c>
      <c r="E23" s="446"/>
      <c r="F23" s="446">
        <f t="shared" ca="1" si="2"/>
        <v>0</v>
      </c>
      <c r="G23" s="446"/>
      <c r="H23" s="446">
        <f t="shared" ca="1" si="5"/>
        <v>0</v>
      </c>
      <c r="I23" s="446"/>
      <c r="J23" s="218">
        <f t="shared" ca="1" si="3"/>
        <v>0</v>
      </c>
      <c r="K23" s="209">
        <f t="shared" ca="1" si="4"/>
        <v>0</v>
      </c>
      <c r="M23" s="10"/>
      <c r="N23" s="10"/>
      <c r="O23" s="10"/>
      <c r="P23" s="10"/>
    </row>
    <row r="24" spans="1:16" x14ac:dyDescent="0.25">
      <c r="A24" s="221">
        <f ca="1"/>
        <v>8</v>
      </c>
      <c r="B24" s="222"/>
      <c r="C24" s="218">
        <f t="shared" ca="1" si="0"/>
        <v>0</v>
      </c>
      <c r="D24" s="446">
        <f t="shared" ca="1" si="1"/>
        <v>0</v>
      </c>
      <c r="E24" s="446"/>
      <c r="F24" s="446">
        <f t="shared" ca="1" si="2"/>
        <v>0</v>
      </c>
      <c r="G24" s="446"/>
      <c r="H24" s="446">
        <f t="shared" ca="1" si="5"/>
        <v>0</v>
      </c>
      <c r="I24" s="446"/>
      <c r="J24" s="218">
        <f t="shared" ca="1" si="3"/>
        <v>0</v>
      </c>
      <c r="K24" s="209">
        <f t="shared" ca="1" si="4"/>
        <v>0</v>
      </c>
    </row>
    <row r="25" spans="1:16" x14ac:dyDescent="0.25">
      <c r="A25" s="221">
        <f ca="1"/>
        <v>9</v>
      </c>
      <c r="B25" s="222"/>
      <c r="C25" s="218">
        <f t="shared" ca="1" si="0"/>
        <v>0</v>
      </c>
      <c r="D25" s="446">
        <f t="shared" ca="1" si="1"/>
        <v>0</v>
      </c>
      <c r="E25" s="446"/>
      <c r="F25" s="446">
        <f t="shared" ca="1" si="2"/>
        <v>0</v>
      </c>
      <c r="G25" s="446"/>
      <c r="H25" s="446">
        <f t="shared" ca="1" si="5"/>
        <v>0</v>
      </c>
      <c r="I25" s="446"/>
      <c r="J25" s="218" t="e">
        <f t="shared" ca="1" si="3"/>
        <v>#N/A</v>
      </c>
      <c r="K25" s="209" t="str">
        <f t="shared" ca="1" si="4"/>
        <v/>
      </c>
    </row>
    <row r="26" spans="1:16" x14ac:dyDescent="0.25">
      <c r="A26" s="221">
        <f ca="1"/>
        <v>10</v>
      </c>
      <c r="B26" s="222"/>
      <c r="C26" s="218">
        <f t="shared" ca="1" si="0"/>
        <v>0</v>
      </c>
      <c r="D26" s="446">
        <f t="shared" ca="1" si="1"/>
        <v>0</v>
      </c>
      <c r="E26" s="446"/>
      <c r="F26" s="446">
        <f t="shared" ca="1" si="2"/>
        <v>0</v>
      </c>
      <c r="G26" s="446"/>
      <c r="H26" s="446">
        <f t="shared" ca="1" si="5"/>
        <v>0</v>
      </c>
      <c r="I26" s="446"/>
      <c r="J26" s="218" t="e">
        <f t="shared" ca="1" si="3"/>
        <v>#N/A</v>
      </c>
      <c r="K26" s="209" t="str">
        <f t="shared" ca="1" si="4"/>
        <v/>
      </c>
      <c r="M26" s="10"/>
      <c r="N26" s="10"/>
      <c r="O26" s="10"/>
      <c r="P26" s="10"/>
    </row>
    <row r="27" spans="1:16" x14ac:dyDescent="0.25">
      <c r="A27" s="221">
        <f ca="1"/>
        <v>11</v>
      </c>
      <c r="B27" s="222"/>
      <c r="C27" s="218">
        <f t="shared" ca="1" si="0"/>
        <v>0</v>
      </c>
      <c r="D27" s="446">
        <f t="shared" ca="1" si="1"/>
        <v>0</v>
      </c>
      <c r="E27" s="446"/>
      <c r="F27" s="446">
        <f t="shared" ca="1" si="2"/>
        <v>0</v>
      </c>
      <c r="G27" s="446"/>
      <c r="H27" s="446">
        <f t="shared" ca="1" si="5"/>
        <v>0</v>
      </c>
      <c r="I27" s="446"/>
      <c r="J27" s="218" t="e">
        <f t="shared" ca="1" si="3"/>
        <v>#N/A</v>
      </c>
      <c r="K27" s="209" t="str">
        <f t="shared" ca="1" si="4"/>
        <v/>
      </c>
    </row>
    <row r="28" spans="1:16" x14ac:dyDescent="0.25">
      <c r="A28" s="221">
        <f ca="1"/>
        <v>12</v>
      </c>
      <c r="B28" s="222"/>
      <c r="C28" s="218">
        <f t="shared" ca="1" si="0"/>
        <v>0</v>
      </c>
      <c r="D28" s="446">
        <f t="shared" ca="1" si="1"/>
        <v>0</v>
      </c>
      <c r="E28" s="446"/>
      <c r="F28" s="446">
        <f t="shared" ca="1" si="2"/>
        <v>0</v>
      </c>
      <c r="G28" s="446"/>
      <c r="H28" s="446">
        <f t="shared" ca="1" si="5"/>
        <v>0</v>
      </c>
      <c r="I28" s="446"/>
      <c r="J28" s="218" t="e">
        <f t="shared" ca="1" si="3"/>
        <v>#N/A</v>
      </c>
      <c r="K28" s="209" t="str">
        <f t="shared" ca="1" si="4"/>
        <v/>
      </c>
    </row>
    <row r="29" spans="1:16" x14ac:dyDescent="0.25">
      <c r="A29" s="221">
        <f ca="1"/>
        <v>13</v>
      </c>
      <c r="B29" s="222"/>
      <c r="C29" s="218">
        <f t="shared" ca="1" si="0"/>
        <v>0</v>
      </c>
      <c r="D29" s="446">
        <f t="shared" ca="1" si="1"/>
        <v>0</v>
      </c>
      <c r="E29" s="446"/>
      <c r="F29" s="446">
        <f t="shared" ca="1" si="2"/>
        <v>0</v>
      </c>
      <c r="G29" s="446"/>
      <c r="H29" s="446">
        <f t="shared" ca="1" si="5"/>
        <v>0</v>
      </c>
      <c r="I29" s="446"/>
      <c r="J29" s="218" t="e">
        <f t="shared" ca="1" si="3"/>
        <v>#N/A</v>
      </c>
      <c r="K29" s="209" t="str">
        <f t="shared" ca="1" si="4"/>
        <v/>
      </c>
    </row>
    <row r="30" spans="1:16" x14ac:dyDescent="0.25">
      <c r="A30" s="221">
        <f ca="1"/>
        <v>14</v>
      </c>
      <c r="B30" s="222"/>
      <c r="C30" s="218">
        <f t="shared" ca="1" si="0"/>
        <v>0</v>
      </c>
      <c r="D30" s="446">
        <f t="shared" ca="1" si="1"/>
        <v>0</v>
      </c>
      <c r="E30" s="446"/>
      <c r="F30" s="446">
        <f t="shared" ca="1" si="2"/>
        <v>0</v>
      </c>
      <c r="G30" s="446"/>
      <c r="H30" s="446">
        <f t="shared" ca="1" si="5"/>
        <v>0</v>
      </c>
      <c r="I30" s="446"/>
      <c r="J30" s="218" t="e">
        <f t="shared" ca="1" si="3"/>
        <v>#N/A</v>
      </c>
      <c r="K30" s="209" t="str">
        <f t="shared" ca="1" si="4"/>
        <v/>
      </c>
    </row>
    <row r="31" spans="1:16" x14ac:dyDescent="0.25">
      <c r="A31" s="221">
        <f ca="1"/>
        <v>15</v>
      </c>
      <c r="B31" s="222"/>
      <c r="C31" s="218">
        <f t="shared" ca="1" si="0"/>
        <v>0</v>
      </c>
      <c r="D31" s="446">
        <f t="shared" ca="1" si="1"/>
        <v>0</v>
      </c>
      <c r="E31" s="446"/>
      <c r="F31" s="446">
        <f t="shared" ca="1" si="2"/>
        <v>0</v>
      </c>
      <c r="G31" s="446"/>
      <c r="H31" s="446">
        <f ca="1">SUM(C31:G31)</f>
        <v>0</v>
      </c>
      <c r="I31" s="446"/>
      <c r="J31" s="218" t="e">
        <f t="shared" ca="1" si="3"/>
        <v>#N/A</v>
      </c>
      <c r="K31" s="209" t="str">
        <f t="shared" ca="1" si="4"/>
        <v/>
      </c>
    </row>
    <row r="32" spans="1:16" x14ac:dyDescent="0.25">
      <c r="A32" s="221">
        <f ca="1"/>
        <v>16</v>
      </c>
      <c r="B32" s="222"/>
      <c r="C32" s="218">
        <f t="shared" ca="1" si="0"/>
        <v>0</v>
      </c>
      <c r="D32" s="446">
        <f t="shared" ca="1" si="1"/>
        <v>0</v>
      </c>
      <c r="E32" s="446"/>
      <c r="F32" s="446">
        <f t="shared" ca="1" si="2"/>
        <v>0</v>
      </c>
      <c r="G32" s="446"/>
      <c r="H32" s="446">
        <f ca="1">SUM(C32:G32)</f>
        <v>0</v>
      </c>
      <c r="I32" s="446"/>
      <c r="J32" s="218" t="e">
        <f t="shared" ca="1" si="3"/>
        <v>#N/A</v>
      </c>
      <c r="K32" s="209" t="str">
        <f t="shared" ca="1" si="4"/>
        <v/>
      </c>
    </row>
    <row r="33" spans="1:11" x14ac:dyDescent="0.25">
      <c r="A33" s="221">
        <f ca="1"/>
        <v>17</v>
      </c>
      <c r="B33" s="222"/>
      <c r="C33" s="218">
        <f t="shared" ca="1" si="0"/>
        <v>0</v>
      </c>
      <c r="D33" s="446">
        <f t="shared" ca="1" si="1"/>
        <v>0</v>
      </c>
      <c r="E33" s="446"/>
      <c r="F33" s="446">
        <f t="shared" ca="1" si="2"/>
        <v>0</v>
      </c>
      <c r="G33" s="446"/>
      <c r="H33" s="446">
        <f ca="1">SUM(C33:G33)</f>
        <v>0</v>
      </c>
      <c r="I33" s="446"/>
      <c r="J33" s="218" t="e">
        <f t="shared" ca="1" si="3"/>
        <v>#N/A</v>
      </c>
      <c r="K33" s="209" t="str">
        <f t="shared" ca="1" si="4"/>
        <v/>
      </c>
    </row>
    <row r="34" spans="1:11" x14ac:dyDescent="0.25">
      <c r="A34" s="223">
        <f ca="1"/>
        <v>18</v>
      </c>
      <c r="B34" s="222"/>
      <c r="C34" s="218">
        <f t="shared" ca="1" si="0"/>
        <v>0</v>
      </c>
      <c r="D34" s="446">
        <f t="shared" ca="1" si="1"/>
        <v>0</v>
      </c>
      <c r="E34" s="446"/>
      <c r="F34" s="446">
        <f t="shared" ca="1" si="2"/>
        <v>0</v>
      </c>
      <c r="G34" s="446"/>
      <c r="H34" s="446">
        <f ca="1">SUM(C34:G34)</f>
        <v>0</v>
      </c>
      <c r="I34" s="446"/>
      <c r="J34" s="218" t="e">
        <f t="shared" ca="1" si="3"/>
        <v>#N/A</v>
      </c>
      <c r="K34" s="209" t="str">
        <f t="shared" ca="1" si="4"/>
        <v/>
      </c>
    </row>
    <row r="35" spans="1:11" ht="15.75" thickBot="1" x14ac:dyDescent="0.3">
      <c r="A35" s="224" t="s">
        <v>62</v>
      </c>
      <c r="B35" s="225"/>
      <c r="C35" s="226">
        <f ca="1">SUM(C16:C34)</f>
        <v>0</v>
      </c>
      <c r="D35" s="456">
        <f ca="1">SUM(D16:D34)</f>
        <v>0</v>
      </c>
      <c r="E35" s="456"/>
      <c r="F35" s="455">
        <f ca="1">SUM(F16:F34)</f>
        <v>0</v>
      </c>
      <c r="G35" s="455"/>
      <c r="H35" s="455">
        <f ca="1">SUM(H16:H34)</f>
        <v>0</v>
      </c>
      <c r="I35" s="455"/>
      <c r="J35" s="227"/>
      <c r="K35" s="228">
        <f ca="1">MAX(K16:K34)</f>
        <v>0</v>
      </c>
    </row>
    <row r="36" spans="1:11" ht="24" customHeight="1" thickBot="1" x14ac:dyDescent="0.3">
      <c r="A36" s="453" t="s">
        <v>63</v>
      </c>
      <c r="B36" s="454"/>
      <c r="C36" s="454"/>
      <c r="D36" s="454"/>
      <c r="E36" s="454"/>
      <c r="F36" s="454"/>
      <c r="G36" s="454"/>
      <c r="H36" s="454"/>
      <c r="I36" s="454"/>
      <c r="J36" s="229" t="str">
        <f ca="1">IFERROR(MaxWaitingList &amp; " patients*","")</f>
        <v>0 patients*</v>
      </c>
      <c r="K36" s="230"/>
    </row>
    <row r="37" spans="1:11" x14ac:dyDescent="0.25">
      <c r="K37" s="91" t="s">
        <v>793</v>
      </c>
    </row>
  </sheetData>
  <sheetProtection password="CD36" sheet="1" objects="1" scenarios="1" selectLockedCells="1" selectUnlockedCells="1"/>
  <mergeCells count="73">
    <mergeCell ref="F35:G35"/>
    <mergeCell ref="D35:E35"/>
    <mergeCell ref="H19:I19"/>
    <mergeCell ref="H20:I20"/>
    <mergeCell ref="H21:I21"/>
    <mergeCell ref="H22:I22"/>
    <mergeCell ref="H26:I26"/>
    <mergeCell ref="H27:I27"/>
    <mergeCell ref="D28:E28"/>
    <mergeCell ref="H31:I31"/>
    <mergeCell ref="H30:I30"/>
    <mergeCell ref="D23:E23"/>
    <mergeCell ref="F23:G23"/>
    <mergeCell ref="H23:I23"/>
    <mergeCell ref="D24:E24"/>
    <mergeCell ref="F24:G24"/>
    <mergeCell ref="A36:I36"/>
    <mergeCell ref="H25:I25"/>
    <mergeCell ref="H32:I32"/>
    <mergeCell ref="H33:I33"/>
    <mergeCell ref="H34:I34"/>
    <mergeCell ref="D31:E31"/>
    <mergeCell ref="D32:E32"/>
    <mergeCell ref="D33:E33"/>
    <mergeCell ref="D34:E34"/>
    <mergeCell ref="H29:I29"/>
    <mergeCell ref="D25:E25"/>
    <mergeCell ref="F25:G25"/>
    <mergeCell ref="H35:I35"/>
    <mergeCell ref="H28:I28"/>
    <mergeCell ref="F32:G32"/>
    <mergeCell ref="F33:G33"/>
    <mergeCell ref="H24:I24"/>
    <mergeCell ref="F22:G22"/>
    <mergeCell ref="D21:E21"/>
    <mergeCell ref="D22:E22"/>
    <mergeCell ref="D26:E26"/>
    <mergeCell ref="D27:E27"/>
    <mergeCell ref="F34:G34"/>
    <mergeCell ref="F31:G31"/>
    <mergeCell ref="E11:F12"/>
    <mergeCell ref="I7:J8"/>
    <mergeCell ref="I9:J9"/>
    <mergeCell ref="H15:I15"/>
    <mergeCell ref="H16:I16"/>
    <mergeCell ref="F19:G19"/>
    <mergeCell ref="F17:G17"/>
    <mergeCell ref="F18:G18"/>
    <mergeCell ref="H17:I17"/>
    <mergeCell ref="H18:I18"/>
    <mergeCell ref="F16:G16"/>
    <mergeCell ref="D29:E29"/>
    <mergeCell ref="D30:E30"/>
    <mergeCell ref="F30:G30"/>
    <mergeCell ref="F28:G28"/>
    <mergeCell ref="F29:G29"/>
    <mergeCell ref="F26:G26"/>
    <mergeCell ref="F27:G27"/>
    <mergeCell ref="F15:G15"/>
    <mergeCell ref="F20:G20"/>
    <mergeCell ref="F21:G21"/>
    <mergeCell ref="A5:M5"/>
    <mergeCell ref="E9:F9"/>
    <mergeCell ref="I11:J12"/>
    <mergeCell ref="E13:F13"/>
    <mergeCell ref="I13:J13"/>
    <mergeCell ref="D15:E15"/>
    <mergeCell ref="E7:F8"/>
    <mergeCell ref="D17:E17"/>
    <mergeCell ref="D18:E18"/>
    <mergeCell ref="D19:E19"/>
    <mergeCell ref="D20:E20"/>
    <mergeCell ref="D16:E16"/>
  </mergeCells>
  <phoneticPr fontId="48" type="noConversion"/>
  <conditionalFormatting sqref="I35 K17:K35 F17:F35 H17:H35 C17:D35">
    <cfRule type="cellIs" dxfId="5" priority="4" stopIfTrue="1" operator="equal">
      <formula>0</formula>
    </cfRule>
  </conditionalFormatting>
  <conditionalFormatting sqref="B16:K35">
    <cfRule type="containsErrors" dxfId="4" priority="3" stopIfTrue="1">
      <formula>ISERROR(B16)</formula>
    </cfRule>
  </conditionalFormatting>
  <conditionalFormatting sqref="A16:A34">
    <cfRule type="cellIs" dxfId="3" priority="2" stopIfTrue="1" operator="greaterThan">
      <formula>MaxWait</formula>
    </cfRule>
  </conditionalFormatting>
  <conditionalFormatting sqref="C8:C11">
    <cfRule type="containsErrors" dxfId="2" priority="1" stopIfTrue="1">
      <formula>ISERROR(C8)</formula>
    </cfRule>
  </conditionalFormatting>
  <pageMargins left="0.39370078740157483" right="0.39370078740157483" top="1.5748031496062993" bottom="0.59055118110236215" header="0.59055118110236215" footer="0"/>
  <pageSetup paperSize="9" scale="67" fitToHeight="0"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K43"/>
  <sheetViews>
    <sheetView showGridLines="0" showRowColHeaders="0" zoomScaleNormal="100" workbookViewId="0">
      <pane xSplit="4" topLeftCell="E1" activePane="topRight" state="frozen"/>
      <selection pane="topRight" activeCell="E21" sqref="E21"/>
    </sheetView>
  </sheetViews>
  <sheetFormatPr defaultRowHeight="15" x14ac:dyDescent="0.25"/>
  <cols>
    <col min="1" max="1" width="4.7109375" style="42" customWidth="1"/>
    <col min="2" max="2" width="17.140625" style="42" customWidth="1"/>
    <col min="3" max="3" width="10.140625" style="42" customWidth="1"/>
    <col min="4" max="37" width="9.85546875" style="42" customWidth="1"/>
    <col min="38" max="16384" width="9.140625" style="42"/>
  </cols>
  <sheetData>
    <row r="2" spans="1:37" ht="54" customHeight="1" x14ac:dyDescent="0.25">
      <c r="A2" s="347" t="str">
        <f>"Planning - " &amp; ModelName</f>
        <v>Planning - The NHS IMAS IST Admitted Care Demand and Capacity (D&amp;C) Model</v>
      </c>
      <c r="B2" s="348"/>
      <c r="C2" s="348"/>
      <c r="D2" s="348"/>
      <c r="E2" s="348"/>
      <c r="F2" s="348"/>
      <c r="G2" s="348"/>
      <c r="H2" s="348"/>
      <c r="I2" s="348"/>
      <c r="J2" s="348"/>
      <c r="K2" s="348"/>
      <c r="L2" s="348"/>
      <c r="M2" s="348"/>
      <c r="N2" s="349"/>
    </row>
    <row r="3" spans="1:37" s="2" customFormat="1" ht="23.25" customHeight="1" x14ac:dyDescent="0.25">
      <c r="A3" s="457" t="s">
        <v>396</v>
      </c>
      <c r="B3" s="458"/>
      <c r="C3" s="458"/>
      <c r="D3" s="458"/>
      <c r="E3" s="458"/>
      <c r="F3" s="458"/>
      <c r="G3" s="458"/>
      <c r="H3" s="458"/>
      <c r="I3" s="458"/>
      <c r="J3" s="458"/>
      <c r="K3" s="458"/>
      <c r="L3" s="458"/>
      <c r="M3" s="458"/>
      <c r="N3" s="459"/>
    </row>
    <row r="4" spans="1:37" x14ac:dyDescent="0.25">
      <c r="A4" s="46"/>
      <c r="B4" s="46"/>
      <c r="C4" s="46"/>
      <c r="D4" s="46"/>
      <c r="E4" s="46"/>
      <c r="F4" s="46"/>
      <c r="G4" s="46"/>
      <c r="H4" s="45"/>
      <c r="I4" s="45"/>
      <c r="J4" s="45"/>
      <c r="K4" s="45"/>
      <c r="L4" s="45"/>
      <c r="M4" s="45"/>
      <c r="N4" s="45"/>
    </row>
    <row r="5" spans="1:37" ht="18" x14ac:dyDescent="0.25">
      <c r="A5" s="460" t="str">
        <f>Trust &amp; " - " &amp; Specialty</f>
        <v>A. N. Other NHS Foundation Trust - A Specialty</v>
      </c>
      <c r="B5" s="460"/>
      <c r="C5" s="460"/>
      <c r="D5" s="460"/>
      <c r="E5" s="460"/>
      <c r="F5" s="460"/>
      <c r="G5" s="460"/>
      <c r="H5" s="460"/>
      <c r="I5" s="460"/>
      <c r="J5" s="460"/>
      <c r="K5" s="460"/>
      <c r="L5" s="460"/>
      <c r="M5" s="460"/>
      <c r="N5" s="460"/>
      <c r="O5" s="22"/>
    </row>
    <row r="6" spans="1:37" ht="15.75" thickBot="1" x14ac:dyDescent="0.3">
      <c r="A6" s="46"/>
      <c r="B6" s="46"/>
      <c r="C6" s="46"/>
      <c r="D6" s="51"/>
      <c r="E6" s="51"/>
      <c r="F6" s="51"/>
      <c r="G6" s="51"/>
      <c r="H6" s="45"/>
      <c r="I6" s="45"/>
      <c r="J6" s="45"/>
      <c r="K6" s="45"/>
      <c r="L6" s="45"/>
      <c r="M6" s="45"/>
      <c r="N6" s="45"/>
    </row>
    <row r="7" spans="1:37" s="2" customFormat="1" ht="15" customHeight="1" thickBot="1" x14ac:dyDescent="0.3">
      <c r="B7" s="7"/>
      <c r="C7" s="246" t="s">
        <v>75</v>
      </c>
      <c r="D7" s="245"/>
      <c r="E7" s="50" t="s">
        <v>444</v>
      </c>
      <c r="F7" s="51"/>
      <c r="G7" s="49"/>
      <c r="H7" s="244"/>
      <c r="I7" s="49"/>
      <c r="J7" s="49"/>
      <c r="K7" s="49"/>
      <c r="L7" s="49"/>
      <c r="M7" s="49"/>
      <c r="N7" s="49"/>
    </row>
    <row r="8" spans="1:37" x14ac:dyDescent="0.25">
      <c r="B8" s="8" t="s">
        <v>397</v>
      </c>
      <c r="C8" s="247">
        <f>WaitingList</f>
        <v>0</v>
      </c>
      <c r="D8" s="51"/>
      <c r="E8" s="51"/>
      <c r="F8" s="51"/>
      <c r="G8" s="51"/>
      <c r="H8" s="51"/>
      <c r="I8" s="48"/>
      <c r="J8" s="51"/>
      <c r="K8" s="51"/>
      <c r="L8" s="51"/>
      <c r="M8" s="51"/>
      <c r="N8" s="51"/>
    </row>
    <row r="9" spans="1:37" x14ac:dyDescent="0.25">
      <c r="B9" s="41" t="s">
        <v>398</v>
      </c>
      <c r="C9" s="247" t="str">
        <f ca="1">IFERROR(CONCATENATE(TEXT(MaxWaitingList*0.95,"#")," to ",TEXT(MaxWaitingList*1.05,"#")),"")</f>
        <v xml:space="preserve"> to </v>
      </c>
      <c r="D9" s="51"/>
      <c r="E9" s="465" t="s">
        <v>815</v>
      </c>
      <c r="F9" s="465"/>
      <c r="G9" s="465"/>
      <c r="H9" s="465"/>
      <c r="I9" s="465"/>
      <c r="J9" s="465"/>
      <c r="K9" s="465"/>
      <c r="L9" s="465"/>
      <c r="M9" s="465"/>
      <c r="N9" s="465"/>
    </row>
    <row r="10" spans="1:37" ht="15.75" thickBot="1" x14ac:dyDescent="0.3">
      <c r="B10" s="8" t="s">
        <v>399</v>
      </c>
      <c r="C10" s="248" t="str">
        <f t="array" aca="1" ref="C10" ca="1">IFERROR(IF(WaitingList&gt;MaxWaitingList*1.05,CONCATENATE(TEXT(WaitingList-MaxWaitingList*1.05,"#")," to ",TEXT(WaitingList-MaxWaitingList*0.95,"#")),"n/a"),"")</f>
        <v>n/a</v>
      </c>
      <c r="D10" s="51"/>
      <c r="E10" s="465"/>
      <c r="F10" s="465"/>
      <c r="G10" s="465"/>
      <c r="H10" s="465"/>
      <c r="I10" s="465"/>
      <c r="J10" s="465"/>
      <c r="K10" s="465"/>
      <c r="L10" s="465"/>
      <c r="M10" s="465"/>
      <c r="N10" s="465"/>
    </row>
    <row r="11" spans="1:37" ht="15.75" thickBot="1" x14ac:dyDescent="0.3">
      <c r="B11" s="8"/>
      <c r="D11" s="51"/>
      <c r="E11" s="466"/>
      <c r="F11" s="466"/>
      <c r="G11" s="466"/>
      <c r="H11" s="466"/>
      <c r="I11" s="466"/>
      <c r="J11" s="466"/>
      <c r="K11" s="466"/>
      <c r="L11" s="466"/>
      <c r="M11" s="466"/>
      <c r="N11" s="466"/>
    </row>
    <row r="12" spans="1:37" s="83" customFormat="1" x14ac:dyDescent="0.25">
      <c r="A12" s="467" t="s">
        <v>46</v>
      </c>
      <c r="B12" s="468"/>
      <c r="C12" s="468"/>
      <c r="D12" s="468"/>
      <c r="E12" s="468"/>
      <c r="F12" s="468"/>
      <c r="G12" s="468"/>
      <c r="H12" s="468"/>
      <c r="I12" s="468"/>
      <c r="J12" s="468"/>
      <c r="K12" s="468"/>
      <c r="L12" s="468"/>
      <c r="M12" s="468"/>
      <c r="N12" s="469"/>
    </row>
    <row r="13" spans="1:37" s="83" customFormat="1" x14ac:dyDescent="0.25">
      <c r="A13" s="470" t="s">
        <v>814</v>
      </c>
      <c r="B13" s="470"/>
      <c r="C13" s="470"/>
      <c r="D13" s="470"/>
      <c r="E13" s="470"/>
      <c r="F13" s="470"/>
      <c r="G13" s="470"/>
      <c r="H13" s="470"/>
      <c r="I13" s="470"/>
      <c r="J13" s="470"/>
      <c r="K13" s="470"/>
      <c r="L13" s="470"/>
      <c r="M13" s="470"/>
      <c r="N13" s="470"/>
    </row>
    <row r="14" spans="1:37" s="83" customFormat="1" x14ac:dyDescent="0.25">
      <c r="A14" s="470"/>
      <c r="B14" s="470"/>
      <c r="C14" s="470"/>
      <c r="D14" s="470"/>
      <c r="E14" s="470"/>
      <c r="F14" s="470"/>
      <c r="G14" s="470"/>
      <c r="H14" s="470"/>
      <c r="I14" s="470"/>
      <c r="J14" s="470"/>
      <c r="K14" s="470"/>
      <c r="L14" s="470"/>
      <c r="M14" s="470"/>
      <c r="N14" s="470"/>
    </row>
    <row r="15" spans="1:37" s="83" customFormat="1" ht="15.75" thickBot="1" x14ac:dyDescent="0.3">
      <c r="B15" s="8"/>
      <c r="D15" s="54"/>
      <c r="E15" s="90"/>
      <c r="F15" s="90"/>
      <c r="G15" s="90"/>
      <c r="H15" s="90"/>
      <c r="I15" s="90"/>
      <c r="J15" s="90"/>
      <c r="K15" s="90"/>
      <c r="L15" s="90"/>
      <c r="M15" s="90"/>
      <c r="N15" s="90"/>
    </row>
    <row r="16" spans="1:37" ht="27.75" customHeight="1" x14ac:dyDescent="0.25">
      <c r="A16" s="461" t="s">
        <v>0</v>
      </c>
      <c r="B16" s="462"/>
      <c r="C16" s="462"/>
      <c r="D16" s="242">
        <f>$H$7</f>
        <v>0</v>
      </c>
      <c r="E16" s="242">
        <f t="array" ref="E16:AK16">D16:AJ16+7</f>
        <v>7</v>
      </c>
      <c r="F16" s="242">
        <v>14</v>
      </c>
      <c r="G16" s="242">
        <v>21</v>
      </c>
      <c r="H16" s="242">
        <v>28</v>
      </c>
      <c r="I16" s="242">
        <v>35</v>
      </c>
      <c r="J16" s="242">
        <v>42</v>
      </c>
      <c r="K16" s="242">
        <v>49</v>
      </c>
      <c r="L16" s="242">
        <v>56</v>
      </c>
      <c r="M16" s="242">
        <v>63</v>
      </c>
      <c r="N16" s="242">
        <v>70</v>
      </c>
      <c r="O16" s="242">
        <v>77</v>
      </c>
      <c r="P16" s="242">
        <v>84</v>
      </c>
      <c r="Q16" s="242">
        <v>91</v>
      </c>
      <c r="R16" s="242">
        <v>98</v>
      </c>
      <c r="S16" s="242">
        <v>105</v>
      </c>
      <c r="T16" s="242">
        <v>112</v>
      </c>
      <c r="U16" s="242">
        <v>119</v>
      </c>
      <c r="V16" s="242">
        <v>126</v>
      </c>
      <c r="W16" s="242">
        <v>133</v>
      </c>
      <c r="X16" s="242">
        <v>140</v>
      </c>
      <c r="Y16" s="242">
        <v>147</v>
      </c>
      <c r="Z16" s="242">
        <v>154</v>
      </c>
      <c r="AA16" s="242">
        <v>161</v>
      </c>
      <c r="AB16" s="242">
        <v>168</v>
      </c>
      <c r="AC16" s="242">
        <v>175</v>
      </c>
      <c r="AD16" s="242">
        <v>182</v>
      </c>
      <c r="AE16" s="242">
        <v>189</v>
      </c>
      <c r="AF16" s="242">
        <v>196</v>
      </c>
      <c r="AG16" s="242">
        <v>203</v>
      </c>
      <c r="AH16" s="242">
        <v>210</v>
      </c>
      <c r="AI16" s="242">
        <v>217</v>
      </c>
      <c r="AJ16" s="242">
        <v>224</v>
      </c>
      <c r="AK16" s="243">
        <v>231</v>
      </c>
    </row>
    <row r="17" spans="1:37" s="30" customFormat="1" x14ac:dyDescent="0.25">
      <c r="A17" s="463" t="s">
        <v>813</v>
      </c>
      <c r="B17" s="464"/>
      <c r="C17" s="464"/>
      <c r="D17" s="235">
        <f t="array" ref="D17:AK17">RoutineMeanAdmissions+AdditionalMeanAdmissions</f>
        <v>0</v>
      </c>
      <c r="E17" s="235">
        <v>0</v>
      </c>
      <c r="F17" s="235">
        <v>0</v>
      </c>
      <c r="G17" s="235">
        <v>0</v>
      </c>
      <c r="H17" s="235">
        <v>0</v>
      </c>
      <c r="I17" s="235">
        <v>0</v>
      </c>
      <c r="J17" s="235">
        <v>0</v>
      </c>
      <c r="K17" s="235">
        <v>0</v>
      </c>
      <c r="L17" s="235">
        <v>0</v>
      </c>
      <c r="M17" s="235">
        <v>0</v>
      </c>
      <c r="N17" s="235">
        <v>0</v>
      </c>
      <c r="O17" s="235">
        <v>0</v>
      </c>
      <c r="P17" s="235">
        <v>0</v>
      </c>
      <c r="Q17" s="235">
        <v>0</v>
      </c>
      <c r="R17" s="235">
        <v>0</v>
      </c>
      <c r="S17" s="235">
        <v>0</v>
      </c>
      <c r="T17" s="235">
        <v>0</v>
      </c>
      <c r="U17" s="235">
        <v>0</v>
      </c>
      <c r="V17" s="235">
        <v>0</v>
      </c>
      <c r="W17" s="235">
        <v>0</v>
      </c>
      <c r="X17" s="235">
        <v>0</v>
      </c>
      <c r="Y17" s="235">
        <v>0</v>
      </c>
      <c r="Z17" s="235">
        <v>0</v>
      </c>
      <c r="AA17" s="235">
        <v>0</v>
      </c>
      <c r="AB17" s="235">
        <v>0</v>
      </c>
      <c r="AC17" s="235">
        <v>0</v>
      </c>
      <c r="AD17" s="235">
        <v>0</v>
      </c>
      <c r="AE17" s="235">
        <v>0</v>
      </c>
      <c r="AF17" s="235">
        <v>0</v>
      </c>
      <c r="AG17" s="235">
        <v>0</v>
      </c>
      <c r="AH17" s="235">
        <v>0</v>
      </c>
      <c r="AI17" s="235">
        <v>0</v>
      </c>
      <c r="AJ17" s="235">
        <v>0</v>
      </c>
      <c r="AK17" s="241">
        <v>0</v>
      </c>
    </row>
    <row r="18" spans="1:37" s="32" customFormat="1" x14ac:dyDescent="0.25">
      <c r="A18" s="471" t="s">
        <v>400</v>
      </c>
      <c r="B18" s="472"/>
      <c r="C18" s="472"/>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row>
    <row r="19" spans="1:37" s="31" customFormat="1" x14ac:dyDescent="0.25">
      <c r="A19" s="473" t="s">
        <v>401</v>
      </c>
      <c r="B19" s="474"/>
      <c r="C19" s="474"/>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2"/>
    </row>
    <row r="20" spans="1:37" s="31" customFormat="1" x14ac:dyDescent="0.25">
      <c r="A20" s="471" t="s">
        <v>402</v>
      </c>
      <c r="B20" s="472"/>
      <c r="C20" s="472"/>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row>
    <row r="21" spans="1:37" s="32" customFormat="1" x14ac:dyDescent="0.25">
      <c r="A21" s="471" t="s">
        <v>403</v>
      </c>
      <c r="B21" s="472"/>
      <c r="C21" s="472"/>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row>
    <row r="22" spans="1:37" s="30" customFormat="1" x14ac:dyDescent="0.25">
      <c r="A22" s="475" t="str">
        <f>"Total " &amp; Specialty &amp; " Capacity"</f>
        <v>Total A Specialty Capacity</v>
      </c>
      <c r="B22" s="476"/>
      <c r="C22" s="476"/>
      <c r="D22" s="235">
        <f>SUM(D17:D21)</f>
        <v>0</v>
      </c>
      <c r="E22" s="235">
        <f t="shared" ref="E22:AK22" si="0">SUM(E17:E21)</f>
        <v>0</v>
      </c>
      <c r="F22" s="235">
        <f t="shared" si="0"/>
        <v>0</v>
      </c>
      <c r="G22" s="235">
        <f t="shared" si="0"/>
        <v>0</v>
      </c>
      <c r="H22" s="235">
        <f t="shared" si="0"/>
        <v>0</v>
      </c>
      <c r="I22" s="235">
        <f t="shared" si="0"/>
        <v>0</v>
      </c>
      <c r="J22" s="235">
        <f t="shared" si="0"/>
        <v>0</v>
      </c>
      <c r="K22" s="235">
        <f t="shared" si="0"/>
        <v>0</v>
      </c>
      <c r="L22" s="235">
        <f t="shared" si="0"/>
        <v>0</v>
      </c>
      <c r="M22" s="235">
        <f t="shared" si="0"/>
        <v>0</v>
      </c>
      <c r="N22" s="235">
        <f t="shared" si="0"/>
        <v>0</v>
      </c>
      <c r="O22" s="235">
        <f t="shared" si="0"/>
        <v>0</v>
      </c>
      <c r="P22" s="235">
        <f t="shared" si="0"/>
        <v>0</v>
      </c>
      <c r="Q22" s="235">
        <f t="shared" si="0"/>
        <v>0</v>
      </c>
      <c r="R22" s="235">
        <f t="shared" si="0"/>
        <v>0</v>
      </c>
      <c r="S22" s="235">
        <f t="shared" si="0"/>
        <v>0</v>
      </c>
      <c r="T22" s="235">
        <f t="shared" si="0"/>
        <v>0</v>
      </c>
      <c r="U22" s="235">
        <f t="shared" si="0"/>
        <v>0</v>
      </c>
      <c r="V22" s="235">
        <f t="shared" si="0"/>
        <v>0</v>
      </c>
      <c r="W22" s="235">
        <f t="shared" si="0"/>
        <v>0</v>
      </c>
      <c r="X22" s="235">
        <f t="shared" si="0"/>
        <v>0</v>
      </c>
      <c r="Y22" s="235">
        <f t="shared" si="0"/>
        <v>0</v>
      </c>
      <c r="Z22" s="235">
        <f t="shared" si="0"/>
        <v>0</v>
      </c>
      <c r="AA22" s="235">
        <f t="shared" si="0"/>
        <v>0</v>
      </c>
      <c r="AB22" s="235">
        <f t="shared" si="0"/>
        <v>0</v>
      </c>
      <c r="AC22" s="235">
        <f t="shared" si="0"/>
        <v>0</v>
      </c>
      <c r="AD22" s="235">
        <f t="shared" si="0"/>
        <v>0</v>
      </c>
      <c r="AE22" s="235">
        <f t="shared" si="0"/>
        <v>0</v>
      </c>
      <c r="AF22" s="235">
        <f t="shared" si="0"/>
        <v>0</v>
      </c>
      <c r="AG22" s="235">
        <f t="shared" si="0"/>
        <v>0</v>
      </c>
      <c r="AH22" s="235">
        <f t="shared" si="0"/>
        <v>0</v>
      </c>
      <c r="AI22" s="235">
        <f t="shared" si="0"/>
        <v>0</v>
      </c>
      <c r="AJ22" s="235">
        <f t="shared" si="0"/>
        <v>0</v>
      </c>
      <c r="AK22" s="236">
        <f t="shared" si="0"/>
        <v>0</v>
      </c>
    </row>
    <row r="23" spans="1:37" s="30" customFormat="1" ht="15" customHeight="1" thickBot="1" x14ac:dyDescent="0.3">
      <c r="A23" s="477" t="str">
        <f>Specialty &amp; " PTL"</f>
        <v>A Specialty PTL</v>
      </c>
      <c r="B23" s="478"/>
      <c r="C23" s="478"/>
      <c r="D23" s="239">
        <f ca="1">WaitingList+DTAsPerWeek-D22-(DTAsPerWeek*ROTTRate)</f>
        <v>0</v>
      </c>
      <c r="E23" s="239">
        <f t="array" ref="E23:AK23" ca="1">IFERROR(D23:AJ23+DTAsPerWeek-E22:AK22-(DTAsPerWeek*ROTTRate),"")</f>
        <v>0</v>
      </c>
      <c r="F23" s="239">
        <f ca="1"/>
        <v>0</v>
      </c>
      <c r="G23" s="239">
        <f ca="1"/>
        <v>0</v>
      </c>
      <c r="H23" s="239">
        <f ca="1"/>
        <v>0</v>
      </c>
      <c r="I23" s="239">
        <f ca="1"/>
        <v>0</v>
      </c>
      <c r="J23" s="239">
        <f ca="1"/>
        <v>0</v>
      </c>
      <c r="K23" s="239">
        <f ca="1"/>
        <v>0</v>
      </c>
      <c r="L23" s="239">
        <f ca="1"/>
        <v>0</v>
      </c>
      <c r="M23" s="239">
        <f ca="1"/>
        <v>0</v>
      </c>
      <c r="N23" s="239">
        <f ca="1"/>
        <v>0</v>
      </c>
      <c r="O23" s="239">
        <f ca="1"/>
        <v>0</v>
      </c>
      <c r="P23" s="239">
        <f ca="1"/>
        <v>0</v>
      </c>
      <c r="Q23" s="239">
        <f ca="1"/>
        <v>0</v>
      </c>
      <c r="R23" s="239">
        <f ca="1"/>
        <v>0</v>
      </c>
      <c r="S23" s="239">
        <f ca="1"/>
        <v>0</v>
      </c>
      <c r="T23" s="239">
        <f ca="1"/>
        <v>0</v>
      </c>
      <c r="U23" s="239">
        <f ca="1"/>
        <v>0</v>
      </c>
      <c r="V23" s="239">
        <f ca="1"/>
        <v>0</v>
      </c>
      <c r="W23" s="239">
        <f ca="1"/>
        <v>0</v>
      </c>
      <c r="X23" s="239">
        <f ca="1"/>
        <v>0</v>
      </c>
      <c r="Y23" s="239">
        <f ca="1"/>
        <v>0</v>
      </c>
      <c r="Z23" s="239">
        <f ca="1"/>
        <v>0</v>
      </c>
      <c r="AA23" s="239">
        <f ca="1"/>
        <v>0</v>
      </c>
      <c r="AB23" s="239">
        <f ca="1"/>
        <v>0</v>
      </c>
      <c r="AC23" s="239">
        <f ca="1"/>
        <v>0</v>
      </c>
      <c r="AD23" s="239">
        <f ca="1"/>
        <v>0</v>
      </c>
      <c r="AE23" s="239">
        <f ca="1"/>
        <v>0</v>
      </c>
      <c r="AF23" s="239">
        <f ca="1"/>
        <v>0</v>
      </c>
      <c r="AG23" s="239">
        <f ca="1"/>
        <v>0</v>
      </c>
      <c r="AH23" s="239">
        <f ca="1"/>
        <v>0</v>
      </c>
      <c r="AI23" s="239">
        <f ca="1"/>
        <v>0</v>
      </c>
      <c r="AJ23" s="239">
        <f ca="1"/>
        <v>0</v>
      </c>
      <c r="AK23" s="240">
        <f ca="1"/>
        <v>0</v>
      </c>
    </row>
    <row r="24" spans="1:37" s="44" customFormat="1" ht="15.75" thickBot="1" x14ac:dyDescent="0.3">
      <c r="D24" s="44">
        <f t="array" aca="1" ref="D24:AK24" ca="1">MaxWaitingList*0.95</f>
        <v>0</v>
      </c>
      <c r="E24" s="44">
        <f ca="1"/>
        <v>0</v>
      </c>
      <c r="F24" s="44">
        <f ca="1"/>
        <v>0</v>
      </c>
      <c r="G24" s="44">
        <f ca="1"/>
        <v>0</v>
      </c>
      <c r="H24" s="44">
        <f ca="1"/>
        <v>0</v>
      </c>
      <c r="I24" s="44">
        <f ca="1"/>
        <v>0</v>
      </c>
      <c r="J24" s="44">
        <f ca="1"/>
        <v>0</v>
      </c>
      <c r="K24" s="44">
        <f ca="1"/>
        <v>0</v>
      </c>
      <c r="L24" s="44">
        <f ca="1"/>
        <v>0</v>
      </c>
      <c r="M24" s="44">
        <f ca="1"/>
        <v>0</v>
      </c>
      <c r="N24" s="44">
        <f ca="1"/>
        <v>0</v>
      </c>
      <c r="O24" s="44">
        <f ca="1"/>
        <v>0</v>
      </c>
      <c r="P24" s="44">
        <f ca="1"/>
        <v>0</v>
      </c>
      <c r="Q24" s="44">
        <f ca="1"/>
        <v>0</v>
      </c>
      <c r="R24" s="44">
        <f ca="1"/>
        <v>0</v>
      </c>
      <c r="S24" s="44">
        <f ca="1"/>
        <v>0</v>
      </c>
      <c r="T24" s="44">
        <f ca="1"/>
        <v>0</v>
      </c>
      <c r="U24" s="44">
        <f ca="1"/>
        <v>0</v>
      </c>
      <c r="V24" s="44">
        <f ca="1"/>
        <v>0</v>
      </c>
      <c r="W24" s="44">
        <f ca="1"/>
        <v>0</v>
      </c>
      <c r="X24" s="44">
        <f ca="1"/>
        <v>0</v>
      </c>
      <c r="Y24" s="44">
        <f ca="1"/>
        <v>0</v>
      </c>
      <c r="Z24" s="44">
        <f ca="1"/>
        <v>0</v>
      </c>
      <c r="AA24" s="44">
        <f ca="1"/>
        <v>0</v>
      </c>
      <c r="AB24" s="44">
        <f ca="1"/>
        <v>0</v>
      </c>
      <c r="AC24" s="44">
        <f ca="1"/>
        <v>0</v>
      </c>
      <c r="AD24" s="44">
        <f ca="1"/>
        <v>0</v>
      </c>
      <c r="AE24" s="44">
        <f ca="1"/>
        <v>0</v>
      </c>
      <c r="AF24" s="44">
        <f ca="1"/>
        <v>0</v>
      </c>
      <c r="AG24" s="44">
        <f ca="1"/>
        <v>0</v>
      </c>
      <c r="AH24" s="44">
        <f ca="1"/>
        <v>0</v>
      </c>
      <c r="AI24" s="44">
        <f ca="1"/>
        <v>0</v>
      </c>
      <c r="AJ24" s="44">
        <f ca="1"/>
        <v>0</v>
      </c>
      <c r="AK24" s="44">
        <f ca="1"/>
        <v>0</v>
      </c>
    </row>
    <row r="25" spans="1:37" ht="27.75" customHeight="1" x14ac:dyDescent="0.25">
      <c r="A25" s="461" t="s">
        <v>1</v>
      </c>
      <c r="B25" s="462"/>
      <c r="C25" s="462"/>
      <c r="D25" s="242">
        <f t="array" ref="D25:AK25">D16:AK16</f>
        <v>0</v>
      </c>
      <c r="E25" s="242">
        <v>7</v>
      </c>
      <c r="F25" s="242">
        <v>14</v>
      </c>
      <c r="G25" s="242">
        <v>21</v>
      </c>
      <c r="H25" s="242">
        <v>28</v>
      </c>
      <c r="I25" s="242">
        <v>35</v>
      </c>
      <c r="J25" s="242">
        <v>42</v>
      </c>
      <c r="K25" s="242">
        <v>49</v>
      </c>
      <c r="L25" s="242">
        <v>56</v>
      </c>
      <c r="M25" s="242">
        <v>63</v>
      </c>
      <c r="N25" s="242">
        <v>70</v>
      </c>
      <c r="O25" s="242">
        <v>77</v>
      </c>
      <c r="P25" s="242">
        <v>84</v>
      </c>
      <c r="Q25" s="242">
        <v>91</v>
      </c>
      <c r="R25" s="242">
        <v>98</v>
      </c>
      <c r="S25" s="242">
        <v>105</v>
      </c>
      <c r="T25" s="242">
        <v>112</v>
      </c>
      <c r="U25" s="242">
        <v>119</v>
      </c>
      <c r="V25" s="242">
        <v>126</v>
      </c>
      <c r="W25" s="242">
        <v>133</v>
      </c>
      <c r="X25" s="242">
        <v>140</v>
      </c>
      <c r="Y25" s="242">
        <v>147</v>
      </c>
      <c r="Z25" s="242">
        <v>154</v>
      </c>
      <c r="AA25" s="242">
        <v>161</v>
      </c>
      <c r="AB25" s="242">
        <v>168</v>
      </c>
      <c r="AC25" s="242">
        <v>175</v>
      </c>
      <c r="AD25" s="242">
        <v>182</v>
      </c>
      <c r="AE25" s="242">
        <v>189</v>
      </c>
      <c r="AF25" s="242">
        <v>196</v>
      </c>
      <c r="AG25" s="242">
        <v>203</v>
      </c>
      <c r="AH25" s="242">
        <v>210</v>
      </c>
      <c r="AI25" s="242">
        <v>217</v>
      </c>
      <c r="AJ25" s="242">
        <v>224</v>
      </c>
      <c r="AK25" s="243">
        <v>231</v>
      </c>
    </row>
    <row r="26" spans="1:37" s="30" customFormat="1" x14ac:dyDescent="0.25">
      <c r="A26" s="463" t="s">
        <v>813</v>
      </c>
      <c r="B26" s="464"/>
      <c r="C26" s="464"/>
      <c r="D26" s="235">
        <f t="array" ref="D26:AK26">RoutineMeanAdmissions+AdditionalMeanAdmissions</f>
        <v>0</v>
      </c>
      <c r="E26" s="235">
        <v>0</v>
      </c>
      <c r="F26" s="235">
        <v>0</v>
      </c>
      <c r="G26" s="235">
        <v>0</v>
      </c>
      <c r="H26" s="235">
        <v>0</v>
      </c>
      <c r="I26" s="235">
        <v>0</v>
      </c>
      <c r="J26" s="235">
        <v>0</v>
      </c>
      <c r="K26" s="235">
        <v>0</v>
      </c>
      <c r="L26" s="235">
        <v>0</v>
      </c>
      <c r="M26" s="235">
        <v>0</v>
      </c>
      <c r="N26" s="235">
        <v>0</v>
      </c>
      <c r="O26" s="235">
        <v>0</v>
      </c>
      <c r="P26" s="235">
        <v>0</v>
      </c>
      <c r="Q26" s="235">
        <v>0</v>
      </c>
      <c r="R26" s="235">
        <v>0</v>
      </c>
      <c r="S26" s="235">
        <v>0</v>
      </c>
      <c r="T26" s="235">
        <v>0</v>
      </c>
      <c r="U26" s="235">
        <v>0</v>
      </c>
      <c r="V26" s="235">
        <v>0</v>
      </c>
      <c r="W26" s="235">
        <v>0</v>
      </c>
      <c r="X26" s="235">
        <v>0</v>
      </c>
      <c r="Y26" s="235">
        <v>0</v>
      </c>
      <c r="Z26" s="235">
        <v>0</v>
      </c>
      <c r="AA26" s="235">
        <v>0</v>
      </c>
      <c r="AB26" s="235">
        <v>0</v>
      </c>
      <c r="AC26" s="235">
        <v>0</v>
      </c>
      <c r="AD26" s="235">
        <v>0</v>
      </c>
      <c r="AE26" s="235">
        <v>0</v>
      </c>
      <c r="AF26" s="235">
        <v>0</v>
      </c>
      <c r="AG26" s="235">
        <v>0</v>
      </c>
      <c r="AH26" s="235">
        <v>0</v>
      </c>
      <c r="AI26" s="235">
        <v>0</v>
      </c>
      <c r="AJ26" s="235">
        <v>0</v>
      </c>
      <c r="AK26" s="241">
        <v>0</v>
      </c>
    </row>
    <row r="27" spans="1:37" s="32" customFormat="1" x14ac:dyDescent="0.25">
      <c r="A27" s="473" t="s">
        <v>400</v>
      </c>
      <c r="B27" s="474"/>
      <c r="C27" s="47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row>
    <row r="28" spans="1:37" s="31" customFormat="1" x14ac:dyDescent="0.25">
      <c r="A28" s="471" t="s">
        <v>401</v>
      </c>
      <c r="B28" s="472"/>
      <c r="C28" s="472"/>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2"/>
    </row>
    <row r="29" spans="1:37" s="31" customFormat="1" x14ac:dyDescent="0.25">
      <c r="A29" s="471" t="s">
        <v>402</v>
      </c>
      <c r="B29" s="472"/>
      <c r="C29" s="472"/>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2"/>
    </row>
    <row r="30" spans="1:37" s="32" customFormat="1" x14ac:dyDescent="0.25">
      <c r="A30" s="471" t="s">
        <v>403</v>
      </c>
      <c r="B30" s="472"/>
      <c r="C30" s="472"/>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row>
    <row r="31" spans="1:37" s="30" customFormat="1" x14ac:dyDescent="0.25">
      <c r="A31" s="475" t="str">
        <f>"Total " &amp; Specialty &amp; " Capacity"</f>
        <v>Total A Specialty Capacity</v>
      </c>
      <c r="B31" s="476"/>
      <c r="C31" s="476"/>
      <c r="D31" s="235">
        <f t="shared" ref="D31:AK31" si="1">SUM(D26:D30)</f>
        <v>0</v>
      </c>
      <c r="E31" s="235">
        <f t="shared" si="1"/>
        <v>0</v>
      </c>
      <c r="F31" s="235">
        <f t="shared" si="1"/>
        <v>0</v>
      </c>
      <c r="G31" s="235">
        <f t="shared" si="1"/>
        <v>0</v>
      </c>
      <c r="H31" s="235">
        <f t="shared" si="1"/>
        <v>0</v>
      </c>
      <c r="I31" s="235">
        <f t="shared" si="1"/>
        <v>0</v>
      </c>
      <c r="J31" s="235">
        <f t="shared" si="1"/>
        <v>0</v>
      </c>
      <c r="K31" s="235">
        <f t="shared" si="1"/>
        <v>0</v>
      </c>
      <c r="L31" s="235">
        <f t="shared" si="1"/>
        <v>0</v>
      </c>
      <c r="M31" s="235">
        <f t="shared" si="1"/>
        <v>0</v>
      </c>
      <c r="N31" s="235">
        <f t="shared" si="1"/>
        <v>0</v>
      </c>
      <c r="O31" s="235">
        <f t="shared" si="1"/>
        <v>0</v>
      </c>
      <c r="P31" s="235">
        <f t="shared" si="1"/>
        <v>0</v>
      </c>
      <c r="Q31" s="235">
        <f t="shared" si="1"/>
        <v>0</v>
      </c>
      <c r="R31" s="235">
        <f t="shared" si="1"/>
        <v>0</v>
      </c>
      <c r="S31" s="235">
        <f t="shared" si="1"/>
        <v>0</v>
      </c>
      <c r="T31" s="235">
        <f t="shared" si="1"/>
        <v>0</v>
      </c>
      <c r="U31" s="235">
        <f t="shared" si="1"/>
        <v>0</v>
      </c>
      <c r="V31" s="235">
        <f t="shared" si="1"/>
        <v>0</v>
      </c>
      <c r="W31" s="235">
        <f t="shared" si="1"/>
        <v>0</v>
      </c>
      <c r="X31" s="235">
        <f t="shared" si="1"/>
        <v>0</v>
      </c>
      <c r="Y31" s="235">
        <f t="shared" si="1"/>
        <v>0</v>
      </c>
      <c r="Z31" s="235">
        <f t="shared" si="1"/>
        <v>0</v>
      </c>
      <c r="AA31" s="235">
        <f t="shared" si="1"/>
        <v>0</v>
      </c>
      <c r="AB31" s="235">
        <f t="shared" si="1"/>
        <v>0</v>
      </c>
      <c r="AC31" s="235">
        <f t="shared" si="1"/>
        <v>0</v>
      </c>
      <c r="AD31" s="235">
        <f t="shared" si="1"/>
        <v>0</v>
      </c>
      <c r="AE31" s="235">
        <f t="shared" si="1"/>
        <v>0</v>
      </c>
      <c r="AF31" s="235">
        <f t="shared" si="1"/>
        <v>0</v>
      </c>
      <c r="AG31" s="235">
        <f t="shared" si="1"/>
        <v>0</v>
      </c>
      <c r="AH31" s="235">
        <f t="shared" si="1"/>
        <v>0</v>
      </c>
      <c r="AI31" s="235">
        <f t="shared" si="1"/>
        <v>0</v>
      </c>
      <c r="AJ31" s="235">
        <f t="shared" si="1"/>
        <v>0</v>
      </c>
      <c r="AK31" s="236">
        <f t="shared" si="1"/>
        <v>0</v>
      </c>
    </row>
    <row r="32" spans="1:37" s="30" customFormat="1" ht="15" customHeight="1" thickBot="1" x14ac:dyDescent="0.3">
      <c r="A32" s="477" t="str">
        <f>Specialty &amp; " PTL"</f>
        <v>A Specialty PTL</v>
      </c>
      <c r="B32" s="478"/>
      <c r="C32" s="478"/>
      <c r="D32" s="239">
        <f ca="1">WaitingList+DTAsPerWeek-D31-(DTAsPerWeek*ROTTRate)</f>
        <v>0</v>
      </c>
      <c r="E32" s="239">
        <f t="array" ref="E32:AK32" ca="1">IFERROR(D32:AJ32+DTAsPerWeek-E31:AK31-(DTAsPerWeek*ROTTRate),"")</f>
        <v>0</v>
      </c>
      <c r="F32" s="239">
        <f ca="1"/>
        <v>0</v>
      </c>
      <c r="G32" s="239">
        <f ca="1"/>
        <v>0</v>
      </c>
      <c r="H32" s="239">
        <f ca="1"/>
        <v>0</v>
      </c>
      <c r="I32" s="239">
        <f ca="1"/>
        <v>0</v>
      </c>
      <c r="J32" s="239">
        <f ca="1"/>
        <v>0</v>
      </c>
      <c r="K32" s="239">
        <f ca="1"/>
        <v>0</v>
      </c>
      <c r="L32" s="239">
        <f ca="1"/>
        <v>0</v>
      </c>
      <c r="M32" s="239">
        <f ca="1"/>
        <v>0</v>
      </c>
      <c r="N32" s="239">
        <f ca="1"/>
        <v>0</v>
      </c>
      <c r="O32" s="239">
        <f ca="1"/>
        <v>0</v>
      </c>
      <c r="P32" s="239">
        <f ca="1"/>
        <v>0</v>
      </c>
      <c r="Q32" s="239">
        <f ca="1"/>
        <v>0</v>
      </c>
      <c r="R32" s="239">
        <f ca="1"/>
        <v>0</v>
      </c>
      <c r="S32" s="239">
        <f ca="1"/>
        <v>0</v>
      </c>
      <c r="T32" s="239">
        <f ca="1"/>
        <v>0</v>
      </c>
      <c r="U32" s="239">
        <f ca="1"/>
        <v>0</v>
      </c>
      <c r="V32" s="239">
        <f ca="1"/>
        <v>0</v>
      </c>
      <c r="W32" s="239">
        <f ca="1"/>
        <v>0</v>
      </c>
      <c r="X32" s="239">
        <f ca="1"/>
        <v>0</v>
      </c>
      <c r="Y32" s="239">
        <f ca="1"/>
        <v>0</v>
      </c>
      <c r="Z32" s="239">
        <f ca="1"/>
        <v>0</v>
      </c>
      <c r="AA32" s="239">
        <f ca="1"/>
        <v>0</v>
      </c>
      <c r="AB32" s="239">
        <f ca="1"/>
        <v>0</v>
      </c>
      <c r="AC32" s="239">
        <f ca="1"/>
        <v>0</v>
      </c>
      <c r="AD32" s="239">
        <f ca="1"/>
        <v>0</v>
      </c>
      <c r="AE32" s="239">
        <f ca="1"/>
        <v>0</v>
      </c>
      <c r="AF32" s="239">
        <f ca="1"/>
        <v>0</v>
      </c>
      <c r="AG32" s="239">
        <f ca="1"/>
        <v>0</v>
      </c>
      <c r="AH32" s="239">
        <f ca="1"/>
        <v>0</v>
      </c>
      <c r="AI32" s="239">
        <f ca="1"/>
        <v>0</v>
      </c>
      <c r="AJ32" s="239">
        <f ca="1"/>
        <v>0</v>
      </c>
      <c r="AK32" s="240">
        <f ca="1"/>
        <v>0</v>
      </c>
    </row>
    <row r="33" spans="1:37" s="44" customFormat="1" ht="15.75" thickBot="1" x14ac:dyDescent="0.3">
      <c r="D33" s="44">
        <f t="array" aca="1" ref="D33:AK33" ca="1">MaxWaitingList*1.05</f>
        <v>0</v>
      </c>
      <c r="E33" s="44">
        <f ca="1"/>
        <v>0</v>
      </c>
      <c r="F33" s="44">
        <f ca="1"/>
        <v>0</v>
      </c>
      <c r="G33" s="44">
        <f ca="1"/>
        <v>0</v>
      </c>
      <c r="H33" s="44">
        <f ca="1"/>
        <v>0</v>
      </c>
      <c r="I33" s="44">
        <f ca="1"/>
        <v>0</v>
      </c>
      <c r="J33" s="44">
        <f ca="1"/>
        <v>0</v>
      </c>
      <c r="K33" s="44">
        <f ca="1"/>
        <v>0</v>
      </c>
      <c r="L33" s="44">
        <f ca="1"/>
        <v>0</v>
      </c>
      <c r="M33" s="44">
        <f ca="1"/>
        <v>0</v>
      </c>
      <c r="N33" s="44">
        <f ca="1"/>
        <v>0</v>
      </c>
      <c r="O33" s="44">
        <f ca="1"/>
        <v>0</v>
      </c>
      <c r="P33" s="44">
        <f ca="1"/>
        <v>0</v>
      </c>
      <c r="Q33" s="44">
        <f ca="1"/>
        <v>0</v>
      </c>
      <c r="R33" s="44">
        <f ca="1"/>
        <v>0</v>
      </c>
      <c r="S33" s="44">
        <f ca="1"/>
        <v>0</v>
      </c>
      <c r="T33" s="44">
        <f ca="1"/>
        <v>0</v>
      </c>
      <c r="U33" s="44">
        <f ca="1"/>
        <v>0</v>
      </c>
      <c r="V33" s="44">
        <f ca="1"/>
        <v>0</v>
      </c>
      <c r="W33" s="44">
        <f ca="1"/>
        <v>0</v>
      </c>
      <c r="X33" s="44">
        <f ca="1"/>
        <v>0</v>
      </c>
      <c r="Y33" s="44">
        <f ca="1"/>
        <v>0</v>
      </c>
      <c r="Z33" s="44">
        <f ca="1"/>
        <v>0</v>
      </c>
      <c r="AA33" s="44">
        <f ca="1"/>
        <v>0</v>
      </c>
      <c r="AB33" s="44">
        <f ca="1"/>
        <v>0</v>
      </c>
      <c r="AC33" s="44">
        <f ca="1"/>
        <v>0</v>
      </c>
      <c r="AD33" s="44">
        <f ca="1"/>
        <v>0</v>
      </c>
      <c r="AE33" s="44">
        <f ca="1"/>
        <v>0</v>
      </c>
      <c r="AF33" s="44">
        <f ca="1"/>
        <v>0</v>
      </c>
      <c r="AG33" s="44">
        <f ca="1"/>
        <v>0</v>
      </c>
      <c r="AH33" s="44">
        <f ca="1"/>
        <v>0</v>
      </c>
      <c r="AI33" s="44">
        <f ca="1"/>
        <v>0</v>
      </c>
      <c r="AJ33" s="44">
        <f ca="1"/>
        <v>0</v>
      </c>
      <c r="AK33" s="44">
        <f ca="1"/>
        <v>0</v>
      </c>
    </row>
    <row r="34" spans="1:37" ht="27.75" customHeight="1" x14ac:dyDescent="0.25">
      <c r="A34" s="461" t="s">
        <v>2</v>
      </c>
      <c r="B34" s="462"/>
      <c r="C34" s="462"/>
      <c r="D34" s="242">
        <f t="array" ref="D34:AK34">D16:AK16</f>
        <v>0</v>
      </c>
      <c r="E34" s="242">
        <v>7</v>
      </c>
      <c r="F34" s="242">
        <v>14</v>
      </c>
      <c r="G34" s="242">
        <v>21</v>
      </c>
      <c r="H34" s="242">
        <v>28</v>
      </c>
      <c r="I34" s="242">
        <v>35</v>
      </c>
      <c r="J34" s="242">
        <v>42</v>
      </c>
      <c r="K34" s="242">
        <v>49</v>
      </c>
      <c r="L34" s="242">
        <v>56</v>
      </c>
      <c r="M34" s="242">
        <v>63</v>
      </c>
      <c r="N34" s="242">
        <v>70</v>
      </c>
      <c r="O34" s="242">
        <v>77</v>
      </c>
      <c r="P34" s="242">
        <v>84</v>
      </c>
      <c r="Q34" s="242">
        <v>91</v>
      </c>
      <c r="R34" s="242">
        <v>98</v>
      </c>
      <c r="S34" s="242">
        <v>105</v>
      </c>
      <c r="T34" s="242">
        <v>112</v>
      </c>
      <c r="U34" s="242">
        <v>119</v>
      </c>
      <c r="V34" s="242">
        <v>126</v>
      </c>
      <c r="W34" s="242">
        <v>133</v>
      </c>
      <c r="X34" s="242">
        <v>140</v>
      </c>
      <c r="Y34" s="242">
        <v>147</v>
      </c>
      <c r="Z34" s="242">
        <v>154</v>
      </c>
      <c r="AA34" s="242">
        <v>161</v>
      </c>
      <c r="AB34" s="242">
        <v>168</v>
      </c>
      <c r="AC34" s="242">
        <v>175</v>
      </c>
      <c r="AD34" s="242">
        <v>182</v>
      </c>
      <c r="AE34" s="242">
        <v>189</v>
      </c>
      <c r="AF34" s="242">
        <v>196</v>
      </c>
      <c r="AG34" s="242">
        <v>203</v>
      </c>
      <c r="AH34" s="242">
        <v>210</v>
      </c>
      <c r="AI34" s="242">
        <v>217</v>
      </c>
      <c r="AJ34" s="242">
        <v>224</v>
      </c>
      <c r="AK34" s="243">
        <v>231</v>
      </c>
    </row>
    <row r="35" spans="1:37" s="30" customFormat="1" x14ac:dyDescent="0.25">
      <c r="A35" s="463" t="s">
        <v>3</v>
      </c>
      <c r="B35" s="464"/>
      <c r="C35" s="464"/>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2"/>
    </row>
    <row r="36" spans="1:37" s="30" customFormat="1" x14ac:dyDescent="0.25">
      <c r="A36" s="233" t="s">
        <v>4</v>
      </c>
      <c r="B36" s="234"/>
      <c r="C36" s="234"/>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2"/>
    </row>
    <row r="37" spans="1:37" s="32" customFormat="1" x14ac:dyDescent="0.25">
      <c r="A37" s="471" t="s">
        <v>5</v>
      </c>
      <c r="B37" s="472"/>
      <c r="C37" s="472"/>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1:37" s="31" customFormat="1" x14ac:dyDescent="0.25">
      <c r="A38" s="471" t="s">
        <v>6</v>
      </c>
      <c r="B38" s="472"/>
      <c r="C38" s="472"/>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2"/>
    </row>
    <row r="39" spans="1:37" s="31" customFormat="1" x14ac:dyDescent="0.25">
      <c r="A39" s="471" t="s">
        <v>7</v>
      </c>
      <c r="B39" s="472"/>
      <c r="C39" s="472"/>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2"/>
    </row>
    <row r="40" spans="1:37" s="32" customFormat="1" x14ac:dyDescent="0.25">
      <c r="A40" s="471" t="s">
        <v>8</v>
      </c>
      <c r="B40" s="472"/>
      <c r="C40" s="472"/>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2"/>
    </row>
    <row r="41" spans="1:37" s="30" customFormat="1" x14ac:dyDescent="0.25">
      <c r="A41" s="475" t="str">
        <f>"Total "&amp;Specialty&amp;" Admissions"</f>
        <v>Total A Specialty Admissions</v>
      </c>
      <c r="B41" s="476"/>
      <c r="C41" s="476"/>
      <c r="D41" s="235"/>
      <c r="E41" s="235">
        <f>E35+SUM(E37:E40)</f>
        <v>0</v>
      </c>
      <c r="F41" s="235">
        <f t="shared" ref="F41:AK41" si="2">F35+SUM(F37:F40)</f>
        <v>0</v>
      </c>
      <c r="G41" s="235">
        <f t="shared" si="2"/>
        <v>0</v>
      </c>
      <c r="H41" s="235">
        <f t="shared" si="2"/>
        <v>0</v>
      </c>
      <c r="I41" s="235">
        <f t="shared" si="2"/>
        <v>0</v>
      </c>
      <c r="J41" s="235">
        <f t="shared" si="2"/>
        <v>0</v>
      </c>
      <c r="K41" s="235">
        <f t="shared" si="2"/>
        <v>0</v>
      </c>
      <c r="L41" s="235">
        <f t="shared" si="2"/>
        <v>0</v>
      </c>
      <c r="M41" s="235">
        <f t="shared" si="2"/>
        <v>0</v>
      </c>
      <c r="N41" s="235">
        <f t="shared" si="2"/>
        <v>0</v>
      </c>
      <c r="O41" s="235">
        <f t="shared" si="2"/>
        <v>0</v>
      </c>
      <c r="P41" s="235">
        <f t="shared" si="2"/>
        <v>0</v>
      </c>
      <c r="Q41" s="235">
        <f t="shared" si="2"/>
        <v>0</v>
      </c>
      <c r="R41" s="235">
        <f t="shared" si="2"/>
        <v>0</v>
      </c>
      <c r="S41" s="235">
        <f t="shared" si="2"/>
        <v>0</v>
      </c>
      <c r="T41" s="235">
        <f t="shared" si="2"/>
        <v>0</v>
      </c>
      <c r="U41" s="235">
        <f t="shared" si="2"/>
        <v>0</v>
      </c>
      <c r="V41" s="235">
        <f t="shared" si="2"/>
        <v>0</v>
      </c>
      <c r="W41" s="235">
        <f t="shared" si="2"/>
        <v>0</v>
      </c>
      <c r="X41" s="235">
        <f t="shared" si="2"/>
        <v>0</v>
      </c>
      <c r="Y41" s="235">
        <f t="shared" si="2"/>
        <v>0</v>
      </c>
      <c r="Z41" s="235">
        <f t="shared" si="2"/>
        <v>0</v>
      </c>
      <c r="AA41" s="235">
        <f t="shared" si="2"/>
        <v>0</v>
      </c>
      <c r="AB41" s="235">
        <f t="shared" si="2"/>
        <v>0</v>
      </c>
      <c r="AC41" s="235">
        <f t="shared" si="2"/>
        <v>0</v>
      </c>
      <c r="AD41" s="235">
        <f t="shared" si="2"/>
        <v>0</v>
      </c>
      <c r="AE41" s="235">
        <f t="shared" si="2"/>
        <v>0</v>
      </c>
      <c r="AF41" s="235">
        <f t="shared" si="2"/>
        <v>0</v>
      </c>
      <c r="AG41" s="235">
        <f t="shared" si="2"/>
        <v>0</v>
      </c>
      <c r="AH41" s="235">
        <f t="shared" si="2"/>
        <v>0</v>
      </c>
      <c r="AI41" s="235">
        <f t="shared" si="2"/>
        <v>0</v>
      </c>
      <c r="AJ41" s="235">
        <f t="shared" si="2"/>
        <v>0</v>
      </c>
      <c r="AK41" s="236">
        <f t="shared" si="2"/>
        <v>0</v>
      </c>
    </row>
    <row r="42" spans="1:37" s="47" customFormat="1" x14ac:dyDescent="0.25">
      <c r="A42" s="479" t="s">
        <v>437</v>
      </c>
      <c r="B42" s="480"/>
      <c r="C42" s="48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2"/>
    </row>
    <row r="43" spans="1:37" s="30" customFormat="1" ht="15" customHeight="1" thickBot="1" x14ac:dyDescent="0.3">
      <c r="A43" s="477" t="str">
        <f>Specialty &amp; " Waiting list"</f>
        <v>A Specialty Waiting list</v>
      </c>
      <c r="B43" s="478"/>
      <c r="C43" s="478"/>
      <c r="D43" s="239">
        <f>WaitingList-D41-D36+D42</f>
        <v>0</v>
      </c>
      <c r="E43" s="239">
        <f t="array" ref="E43:AK43">D43:AJ43-E41:AK41-E36:AK36+E42:AK42</f>
        <v>0</v>
      </c>
      <c r="F43" s="239">
        <v>0</v>
      </c>
      <c r="G43" s="239">
        <v>0</v>
      </c>
      <c r="H43" s="239">
        <v>0</v>
      </c>
      <c r="I43" s="239">
        <v>0</v>
      </c>
      <c r="J43" s="239">
        <v>0</v>
      </c>
      <c r="K43" s="239">
        <v>0</v>
      </c>
      <c r="L43" s="239">
        <v>0</v>
      </c>
      <c r="M43" s="239">
        <v>0</v>
      </c>
      <c r="N43" s="239">
        <v>0</v>
      </c>
      <c r="O43" s="239">
        <v>0</v>
      </c>
      <c r="P43" s="239">
        <v>0</v>
      </c>
      <c r="Q43" s="239">
        <v>0</v>
      </c>
      <c r="R43" s="239">
        <v>0</v>
      </c>
      <c r="S43" s="239">
        <v>0</v>
      </c>
      <c r="T43" s="239">
        <v>0</v>
      </c>
      <c r="U43" s="239">
        <v>0</v>
      </c>
      <c r="V43" s="239">
        <v>0</v>
      </c>
      <c r="W43" s="239">
        <v>0</v>
      </c>
      <c r="X43" s="239">
        <v>0</v>
      </c>
      <c r="Y43" s="239">
        <v>0</v>
      </c>
      <c r="Z43" s="239">
        <v>0</v>
      </c>
      <c r="AA43" s="239">
        <v>0</v>
      </c>
      <c r="AB43" s="239">
        <v>0</v>
      </c>
      <c r="AC43" s="239">
        <v>0</v>
      </c>
      <c r="AD43" s="239">
        <v>0</v>
      </c>
      <c r="AE43" s="239">
        <v>0</v>
      </c>
      <c r="AF43" s="239">
        <v>0</v>
      </c>
      <c r="AG43" s="239">
        <v>0</v>
      </c>
      <c r="AH43" s="239">
        <v>0</v>
      </c>
      <c r="AI43" s="239">
        <v>0</v>
      </c>
      <c r="AJ43" s="239">
        <v>0</v>
      </c>
      <c r="AK43" s="240">
        <v>0</v>
      </c>
    </row>
  </sheetData>
  <sheetProtection password="CD36" sheet="1" objects="1" scenarios="1" insertRows="0" selectLockedCells="1"/>
  <mergeCells count="31">
    <mergeCell ref="A39:C39"/>
    <mergeCell ref="A40:C40"/>
    <mergeCell ref="A41:C41"/>
    <mergeCell ref="A43:C43"/>
    <mergeCell ref="A42:C42"/>
    <mergeCell ref="A23:C23"/>
    <mergeCell ref="A38:C38"/>
    <mergeCell ref="A25:C25"/>
    <mergeCell ref="A26:C26"/>
    <mergeCell ref="A27:C27"/>
    <mergeCell ref="A28:C28"/>
    <mergeCell ref="A29:C29"/>
    <mergeCell ref="A30:C30"/>
    <mergeCell ref="A31:C31"/>
    <mergeCell ref="A32:C32"/>
    <mergeCell ref="A34:C34"/>
    <mergeCell ref="A35:C35"/>
    <mergeCell ref="A37:C37"/>
    <mergeCell ref="A18:C18"/>
    <mergeCell ref="A19:C19"/>
    <mergeCell ref="A20:C20"/>
    <mergeCell ref="A21:C21"/>
    <mergeCell ref="A22:C22"/>
    <mergeCell ref="A2:N2"/>
    <mergeCell ref="A3:N3"/>
    <mergeCell ref="A5:N5"/>
    <mergeCell ref="A16:C16"/>
    <mergeCell ref="A17:C17"/>
    <mergeCell ref="E9:N11"/>
    <mergeCell ref="A12:N12"/>
    <mergeCell ref="A13:N14"/>
  </mergeCells>
  <conditionalFormatting sqref="D18:AK22 D37:AK42 D27:AK31">
    <cfRule type="cellIs" dxfId="1" priority="4" stopIfTrue="1" operator="equal">
      <formula>0</formula>
    </cfRule>
  </conditionalFormatting>
  <conditionalFormatting sqref="D23:AK23 D32:AK32 D43:AK43">
    <cfRule type="colorScale" priority="2">
      <colorScale>
        <cfvo type="formula" val="MaxWaitingList*0.95"/>
        <cfvo type="percentile" val="50"/>
        <cfvo type="max"/>
        <color rgb="FF009E49"/>
        <color rgb="FFE28C05"/>
        <color rgb="FFD81E05"/>
      </colorScale>
    </cfRule>
  </conditionalFormatting>
  <conditionalFormatting sqref="D16:AK16 D25:AK25 D34:AK34">
    <cfRule type="expression" dxfId="0" priority="1" stopIfTrue="1">
      <formula>$H$7=""</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NOW()</formula1>
    </dataValidation>
  </dataValidations>
  <pageMargins left="0.39370078740157483" right="0.39370078740157483" top="1.5748031496062993" bottom="0.59055118110236227" header="0.59055118110236227" footer="0"/>
  <pageSetup paperSize="9" scale="70" fitToWidth="0" fitToHeight="0" pageOrder="overThenDown" orientation="landscape" errors="blank" r:id="rId1"/>
  <headerFooter>
    <oddHeader>&amp;R&amp;G</oddHeader>
  </headerFooter>
  <colBreaks count="1" manualBreakCount="1">
    <brk id="20"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58"/>
  <sheetViews>
    <sheetView showGridLines="0" workbookViewId="0">
      <selection activeCell="A9" sqref="A9:A10"/>
    </sheetView>
  </sheetViews>
  <sheetFormatPr defaultRowHeight="15" x14ac:dyDescent="0.25"/>
  <cols>
    <col min="1" max="1" width="28.85546875" style="92" customWidth="1"/>
    <col min="2" max="7" width="9.140625" style="92"/>
    <col min="8" max="8" width="7.85546875" style="92" customWidth="1"/>
    <col min="9" max="12" width="9.140625" style="92"/>
    <col min="13" max="13" width="2" style="92" customWidth="1"/>
    <col min="14" max="16384" width="9.140625" style="92"/>
  </cols>
  <sheetData>
    <row r="1" spans="1:13" ht="10.5" customHeight="1" x14ac:dyDescent="0.25">
      <c r="A1" s="5"/>
      <c r="B1" s="5"/>
      <c r="C1" s="5"/>
      <c r="D1" s="5"/>
      <c r="E1" s="5"/>
      <c r="F1" s="5"/>
      <c r="G1" s="5"/>
      <c r="H1" s="5"/>
      <c r="I1" s="5"/>
      <c r="J1" s="5"/>
      <c r="K1" s="5"/>
      <c r="L1" s="5"/>
      <c r="M1" s="5"/>
    </row>
    <row r="2" spans="1:13" ht="57.75" customHeight="1" x14ac:dyDescent="0.25">
      <c r="A2" s="484" t="str">
        <f>"Notes and Assumptions -"&amp;ModelName</f>
        <v>Notes and Assumptions -The NHS IMAS IST Admitted Care Demand and Capacity (D&amp;C) Model</v>
      </c>
      <c r="B2" s="485"/>
      <c r="C2" s="485"/>
      <c r="D2" s="485"/>
      <c r="E2" s="485"/>
      <c r="F2" s="485"/>
      <c r="G2" s="485"/>
      <c r="H2" s="485"/>
      <c r="I2" s="96"/>
      <c r="J2" s="97"/>
      <c r="K2" s="97"/>
      <c r="L2" s="98"/>
      <c r="M2" s="99"/>
    </row>
    <row r="3" spans="1:13" ht="22.5" customHeight="1" x14ac:dyDescent="0.25">
      <c r="A3" s="486" t="s">
        <v>800</v>
      </c>
      <c r="B3" s="487"/>
      <c r="C3" s="487"/>
      <c r="D3" s="487"/>
      <c r="E3" s="487"/>
      <c r="F3" s="487"/>
      <c r="G3" s="487"/>
      <c r="H3" s="487"/>
      <c r="I3" s="487"/>
      <c r="J3" s="487"/>
      <c r="K3" s="487"/>
      <c r="L3" s="488"/>
      <c r="M3" s="5"/>
    </row>
    <row r="4" spans="1:13" x14ac:dyDescent="0.25">
      <c r="A4" s="100"/>
      <c r="B4" s="5"/>
      <c r="C4" s="5"/>
      <c r="D4" s="5"/>
      <c r="E4" s="5"/>
      <c r="F4" s="5"/>
      <c r="G4" s="5"/>
      <c r="H4" s="5"/>
      <c r="I4" s="5"/>
      <c r="J4" s="5"/>
      <c r="K4" s="5"/>
      <c r="L4" s="101"/>
      <c r="M4" s="5"/>
    </row>
    <row r="5" spans="1:13" ht="15" customHeight="1" x14ac:dyDescent="0.25">
      <c r="A5" s="489" t="s">
        <v>801</v>
      </c>
      <c r="B5" s="490"/>
      <c r="C5" s="490"/>
      <c r="D5" s="490"/>
      <c r="E5" s="490"/>
      <c r="F5" s="490"/>
      <c r="G5" s="490"/>
      <c r="H5" s="490"/>
      <c r="I5" s="490"/>
      <c r="J5" s="490"/>
      <c r="K5" s="490"/>
      <c r="L5" s="491"/>
      <c r="M5" s="5"/>
    </row>
    <row r="6" spans="1:13" x14ac:dyDescent="0.25">
      <c r="A6" s="489"/>
      <c r="B6" s="490"/>
      <c r="C6" s="490"/>
      <c r="D6" s="490"/>
      <c r="E6" s="490"/>
      <c r="F6" s="490"/>
      <c r="G6" s="490"/>
      <c r="H6" s="490"/>
      <c r="I6" s="490"/>
      <c r="J6" s="490"/>
      <c r="K6" s="490"/>
      <c r="L6" s="491"/>
      <c r="M6" s="5"/>
    </row>
    <row r="7" spans="1:13" x14ac:dyDescent="0.25">
      <c r="A7" s="489"/>
      <c r="B7" s="490"/>
      <c r="C7" s="490"/>
      <c r="D7" s="490"/>
      <c r="E7" s="490"/>
      <c r="F7" s="490"/>
      <c r="G7" s="490"/>
      <c r="H7" s="490"/>
      <c r="I7" s="490"/>
      <c r="J7" s="490"/>
      <c r="K7" s="490"/>
      <c r="L7" s="491"/>
      <c r="M7" s="5"/>
    </row>
    <row r="8" spans="1:13" x14ac:dyDescent="0.25">
      <c r="A8" s="100"/>
      <c r="B8" s="5"/>
      <c r="C8" s="5"/>
      <c r="D8" s="5"/>
      <c r="E8" s="5"/>
      <c r="F8" s="5"/>
      <c r="G8" s="5"/>
      <c r="H8" s="5"/>
      <c r="I8" s="5"/>
      <c r="J8" s="5"/>
      <c r="K8" s="5"/>
      <c r="L8" s="101"/>
      <c r="M8" s="5"/>
    </row>
    <row r="9" spans="1:13" ht="21" customHeight="1" x14ac:dyDescent="0.25">
      <c r="A9" s="492" t="s">
        <v>802</v>
      </c>
      <c r="B9" s="492" t="s">
        <v>803</v>
      </c>
      <c r="C9" s="492"/>
      <c r="D9" s="492"/>
      <c r="E9" s="492"/>
      <c r="F9" s="492"/>
      <c r="G9" s="492"/>
      <c r="H9" s="492"/>
      <c r="I9" s="492"/>
      <c r="J9" s="492"/>
      <c r="K9" s="492"/>
      <c r="L9" s="492"/>
      <c r="M9" s="5"/>
    </row>
    <row r="10" spans="1:13" ht="11.25" customHeight="1" x14ac:dyDescent="0.25">
      <c r="A10" s="492"/>
      <c r="B10" s="492"/>
      <c r="C10" s="492"/>
      <c r="D10" s="492"/>
      <c r="E10" s="492"/>
      <c r="F10" s="492"/>
      <c r="G10" s="492"/>
      <c r="H10" s="492"/>
      <c r="I10" s="492"/>
      <c r="J10" s="492"/>
      <c r="K10" s="492"/>
      <c r="L10" s="492"/>
      <c r="M10" s="5"/>
    </row>
    <row r="11" spans="1:13" ht="25.5" customHeight="1" x14ac:dyDescent="0.25">
      <c r="A11" s="14"/>
      <c r="B11" s="481"/>
      <c r="C11" s="482"/>
      <c r="D11" s="482"/>
      <c r="E11" s="482"/>
      <c r="F11" s="482"/>
      <c r="G11" s="482"/>
      <c r="H11" s="482"/>
      <c r="I11" s="482"/>
      <c r="J11" s="482"/>
      <c r="K11" s="482"/>
      <c r="L11" s="483"/>
      <c r="M11" s="5"/>
    </row>
    <row r="12" spans="1:13" ht="25.5" customHeight="1" x14ac:dyDescent="0.25">
      <c r="A12" s="263"/>
      <c r="B12" s="264"/>
      <c r="C12" s="265"/>
      <c r="D12" s="265"/>
      <c r="E12" s="265"/>
      <c r="F12" s="265"/>
      <c r="G12" s="265"/>
      <c r="H12" s="265"/>
      <c r="I12" s="265"/>
      <c r="J12" s="265"/>
      <c r="K12" s="265"/>
      <c r="L12" s="266"/>
      <c r="M12" s="5"/>
    </row>
    <row r="13" spans="1:13" ht="25.5" customHeight="1" x14ac:dyDescent="0.25">
      <c r="A13" s="263"/>
      <c r="B13" s="264"/>
      <c r="C13" s="265"/>
      <c r="D13" s="265"/>
      <c r="E13" s="265"/>
      <c r="F13" s="265"/>
      <c r="G13" s="265"/>
      <c r="H13" s="265"/>
      <c r="I13" s="265"/>
      <c r="J13" s="265"/>
      <c r="K13" s="265"/>
      <c r="L13" s="266"/>
      <c r="M13" s="5"/>
    </row>
    <row r="14" spans="1:13" ht="25.5" customHeight="1" x14ac:dyDescent="0.25">
      <c r="A14" s="263"/>
      <c r="B14" s="264"/>
      <c r="C14" s="265"/>
      <c r="D14" s="265"/>
      <c r="E14" s="265"/>
      <c r="F14" s="265"/>
      <c r="G14" s="265"/>
      <c r="H14" s="265"/>
      <c r="I14" s="265"/>
      <c r="J14" s="265"/>
      <c r="K14" s="265"/>
      <c r="L14" s="266"/>
      <c r="M14" s="5"/>
    </row>
    <row r="15" spans="1:13" ht="25.5" customHeight="1" x14ac:dyDescent="0.25">
      <c r="A15" s="263"/>
      <c r="B15" s="264"/>
      <c r="C15" s="265"/>
      <c r="D15" s="265"/>
      <c r="E15" s="265"/>
      <c r="F15" s="265"/>
      <c r="G15" s="265"/>
      <c r="H15" s="265"/>
      <c r="I15" s="265"/>
      <c r="J15" s="265"/>
      <c r="K15" s="265"/>
      <c r="L15" s="266"/>
      <c r="M15" s="5"/>
    </row>
    <row r="16" spans="1:13" ht="25.5" customHeight="1" x14ac:dyDescent="0.25">
      <c r="A16" s="263"/>
      <c r="B16" s="264"/>
      <c r="C16" s="265"/>
      <c r="D16" s="265"/>
      <c r="E16" s="265"/>
      <c r="F16" s="265"/>
      <c r="G16" s="265"/>
      <c r="H16" s="265"/>
      <c r="I16" s="265"/>
      <c r="J16" s="265"/>
      <c r="K16" s="265"/>
      <c r="L16" s="266"/>
      <c r="M16" s="5"/>
    </row>
    <row r="17" spans="1:13" ht="25.5" customHeight="1" x14ac:dyDescent="0.25">
      <c r="A17" s="263"/>
      <c r="B17" s="264"/>
      <c r="C17" s="265"/>
      <c r="D17" s="265"/>
      <c r="E17" s="265"/>
      <c r="F17" s="265"/>
      <c r="G17" s="265"/>
      <c r="H17" s="265"/>
      <c r="I17" s="265"/>
      <c r="J17" s="265"/>
      <c r="K17" s="265"/>
      <c r="L17" s="266"/>
      <c r="M17" s="5"/>
    </row>
    <row r="18" spans="1:13" ht="25.5" customHeight="1" x14ac:dyDescent="0.25">
      <c r="A18" s="263"/>
      <c r="B18" s="264"/>
      <c r="C18" s="265"/>
      <c r="D18" s="265"/>
      <c r="E18" s="265"/>
      <c r="F18" s="265"/>
      <c r="G18" s="265"/>
      <c r="H18" s="265"/>
      <c r="I18" s="265"/>
      <c r="J18" s="265"/>
      <c r="K18" s="265"/>
      <c r="L18" s="266"/>
      <c r="M18" s="5"/>
    </row>
    <row r="19" spans="1:13" ht="25.5" customHeight="1" x14ac:dyDescent="0.25">
      <c r="A19" s="263"/>
      <c r="B19" s="264"/>
      <c r="C19" s="265"/>
      <c r="D19" s="265"/>
      <c r="E19" s="265"/>
      <c r="F19" s="265"/>
      <c r="G19" s="265"/>
      <c r="H19" s="265"/>
      <c r="I19" s="265"/>
      <c r="J19" s="265"/>
      <c r="K19" s="265"/>
      <c r="L19" s="266"/>
      <c r="M19" s="5"/>
    </row>
    <row r="20" spans="1:13" ht="25.5" customHeight="1" x14ac:dyDescent="0.25">
      <c r="A20" s="263"/>
      <c r="B20" s="264"/>
      <c r="C20" s="265"/>
      <c r="D20" s="265"/>
      <c r="E20" s="265"/>
      <c r="F20" s="265"/>
      <c r="G20" s="265"/>
      <c r="H20" s="265"/>
      <c r="I20" s="265"/>
      <c r="J20" s="265"/>
      <c r="K20" s="265"/>
      <c r="L20" s="266"/>
      <c r="M20" s="5"/>
    </row>
    <row r="21" spans="1:13" ht="25.5" customHeight="1" x14ac:dyDescent="0.25">
      <c r="A21" s="263"/>
      <c r="B21" s="264"/>
      <c r="C21" s="265"/>
      <c r="D21" s="265"/>
      <c r="E21" s="265"/>
      <c r="F21" s="265"/>
      <c r="G21" s="265"/>
      <c r="H21" s="265"/>
      <c r="I21" s="265"/>
      <c r="J21" s="265"/>
      <c r="K21" s="265"/>
      <c r="L21" s="266"/>
      <c r="M21" s="5"/>
    </row>
    <row r="22" spans="1:13" ht="25.5" customHeight="1" x14ac:dyDescent="0.25">
      <c r="A22" s="263"/>
      <c r="B22" s="264"/>
      <c r="C22" s="265"/>
      <c r="D22" s="265"/>
      <c r="E22" s="265"/>
      <c r="F22" s="265"/>
      <c r="G22" s="265"/>
      <c r="H22" s="265"/>
      <c r="I22" s="265"/>
      <c r="J22" s="265"/>
      <c r="K22" s="265"/>
      <c r="L22" s="266"/>
      <c r="M22" s="5"/>
    </row>
    <row r="23" spans="1:13" ht="25.5" customHeight="1" x14ac:dyDescent="0.25">
      <c r="A23" s="263"/>
      <c r="B23" s="264"/>
      <c r="C23" s="265"/>
      <c r="D23" s="265"/>
      <c r="E23" s="265"/>
      <c r="F23" s="265"/>
      <c r="G23" s="265"/>
      <c r="H23" s="265"/>
      <c r="I23" s="265"/>
      <c r="J23" s="265"/>
      <c r="K23" s="265"/>
      <c r="L23" s="266"/>
      <c r="M23" s="5"/>
    </row>
    <row r="24" spans="1:13" ht="25.5" customHeight="1" x14ac:dyDescent="0.25">
      <c r="A24" s="263"/>
      <c r="B24" s="264"/>
      <c r="C24" s="265"/>
      <c r="D24" s="265"/>
      <c r="E24" s="265"/>
      <c r="F24" s="265"/>
      <c r="G24" s="265"/>
      <c r="H24" s="265"/>
      <c r="I24" s="265"/>
      <c r="J24" s="265"/>
      <c r="K24" s="265"/>
      <c r="L24" s="266"/>
      <c r="M24" s="5"/>
    </row>
    <row r="25" spans="1:13" ht="25.5" customHeight="1" x14ac:dyDescent="0.25">
      <c r="A25" s="263"/>
      <c r="B25" s="264"/>
      <c r="C25" s="265"/>
      <c r="D25" s="265"/>
      <c r="E25" s="265"/>
      <c r="F25" s="265"/>
      <c r="G25" s="265"/>
      <c r="H25" s="265"/>
      <c r="I25" s="265"/>
      <c r="J25" s="265"/>
      <c r="K25" s="265"/>
      <c r="L25" s="266"/>
      <c r="M25" s="5"/>
    </row>
    <row r="26" spans="1:13" ht="25.5" customHeight="1" x14ac:dyDescent="0.25">
      <c r="A26" s="263"/>
      <c r="B26" s="264"/>
      <c r="C26" s="265"/>
      <c r="D26" s="265"/>
      <c r="E26" s="265"/>
      <c r="F26" s="265"/>
      <c r="G26" s="265"/>
      <c r="H26" s="265"/>
      <c r="I26" s="265"/>
      <c r="J26" s="265"/>
      <c r="K26" s="265"/>
      <c r="L26" s="266"/>
      <c r="M26" s="5"/>
    </row>
    <row r="27" spans="1:13" ht="25.5" customHeight="1" x14ac:dyDescent="0.25">
      <c r="A27" s="263"/>
      <c r="B27" s="264"/>
      <c r="C27" s="265"/>
      <c r="D27" s="265"/>
      <c r="E27" s="265"/>
      <c r="F27" s="265"/>
      <c r="G27" s="265"/>
      <c r="H27" s="265"/>
      <c r="I27" s="265"/>
      <c r="J27" s="265"/>
      <c r="K27" s="265"/>
      <c r="L27" s="266"/>
      <c r="M27" s="5"/>
    </row>
    <row r="28" spans="1:13" ht="25.5" customHeight="1" x14ac:dyDescent="0.25">
      <c r="A28" s="263"/>
      <c r="B28" s="264"/>
      <c r="C28" s="265"/>
      <c r="D28" s="265"/>
      <c r="E28" s="265"/>
      <c r="F28" s="265"/>
      <c r="G28" s="265"/>
      <c r="H28" s="265"/>
      <c r="I28" s="265"/>
      <c r="J28" s="265"/>
      <c r="K28" s="265"/>
      <c r="L28" s="266"/>
      <c r="M28" s="5"/>
    </row>
    <row r="29" spans="1:13" ht="25.5" customHeight="1" x14ac:dyDescent="0.25">
      <c r="A29" s="263"/>
      <c r="B29" s="264"/>
      <c r="C29" s="265"/>
      <c r="D29" s="265"/>
      <c r="E29" s="265"/>
      <c r="F29" s="265"/>
      <c r="G29" s="265"/>
      <c r="H29" s="265"/>
      <c r="I29" s="265"/>
      <c r="J29" s="265"/>
      <c r="K29" s="265"/>
      <c r="L29" s="266"/>
      <c r="M29" s="5"/>
    </row>
    <row r="30" spans="1:13" ht="25.5" customHeight="1" x14ac:dyDescent="0.25">
      <c r="A30" s="263"/>
      <c r="B30" s="264"/>
      <c r="C30" s="265"/>
      <c r="D30" s="265"/>
      <c r="E30" s="265"/>
      <c r="F30" s="265"/>
      <c r="G30" s="265"/>
      <c r="H30" s="265"/>
      <c r="I30" s="265"/>
      <c r="J30" s="265"/>
      <c r="K30" s="265"/>
      <c r="L30" s="266"/>
      <c r="M30" s="5"/>
    </row>
    <row r="31" spans="1:13" ht="25.5" customHeight="1" x14ac:dyDescent="0.25">
      <c r="A31" s="263"/>
      <c r="B31" s="264"/>
      <c r="C31" s="265"/>
      <c r="D31" s="265"/>
      <c r="E31" s="265"/>
      <c r="F31" s="265"/>
      <c r="G31" s="265"/>
      <c r="H31" s="265"/>
      <c r="I31" s="265"/>
      <c r="J31" s="265"/>
      <c r="K31" s="265"/>
      <c r="L31" s="266"/>
      <c r="M31" s="5"/>
    </row>
    <row r="32" spans="1:13" ht="25.5" customHeight="1" x14ac:dyDescent="0.25">
      <c r="A32" s="263"/>
      <c r="B32" s="264"/>
      <c r="C32" s="265"/>
      <c r="D32" s="265"/>
      <c r="E32" s="265"/>
      <c r="F32" s="265"/>
      <c r="G32" s="265"/>
      <c r="H32" s="265"/>
      <c r="I32" s="265"/>
      <c r="J32" s="265"/>
      <c r="K32" s="265"/>
      <c r="L32" s="266"/>
    </row>
    <row r="33" spans="1:12" ht="25.5" customHeight="1" x14ac:dyDescent="0.25">
      <c r="A33" s="263"/>
      <c r="B33" s="264"/>
      <c r="C33" s="265"/>
      <c r="D33" s="265"/>
      <c r="E33" s="265"/>
      <c r="F33" s="265"/>
      <c r="G33" s="265"/>
      <c r="H33" s="265"/>
      <c r="I33" s="265"/>
      <c r="J33" s="265"/>
      <c r="K33" s="265"/>
      <c r="L33" s="266"/>
    </row>
    <row r="34" spans="1:12" ht="25.5" customHeight="1" x14ac:dyDescent="0.25">
      <c r="A34" s="263"/>
      <c r="B34" s="264"/>
      <c r="C34" s="265"/>
      <c r="D34" s="265"/>
      <c r="E34" s="265"/>
      <c r="F34" s="265"/>
      <c r="G34" s="265"/>
      <c r="H34" s="265"/>
      <c r="I34" s="265"/>
      <c r="J34" s="265"/>
      <c r="K34" s="265"/>
      <c r="L34" s="266"/>
    </row>
    <row r="35" spans="1:12" ht="25.5" customHeight="1" x14ac:dyDescent="0.25">
      <c r="A35" s="263"/>
      <c r="B35" s="264"/>
      <c r="C35" s="265"/>
      <c r="D35" s="265"/>
      <c r="E35" s="265"/>
      <c r="F35" s="265"/>
      <c r="G35" s="265"/>
      <c r="H35" s="265"/>
      <c r="I35" s="265"/>
      <c r="J35" s="265"/>
      <c r="K35" s="265"/>
      <c r="L35" s="266"/>
    </row>
    <row r="36" spans="1:12" ht="25.5" customHeight="1" x14ac:dyDescent="0.25">
      <c r="A36" s="263"/>
      <c r="B36" s="264"/>
      <c r="C36" s="265"/>
      <c r="D36" s="265"/>
      <c r="E36" s="265"/>
      <c r="F36" s="265"/>
      <c r="G36" s="265"/>
      <c r="H36" s="265"/>
      <c r="I36" s="265"/>
      <c r="J36" s="265"/>
      <c r="K36" s="265"/>
      <c r="L36" s="266"/>
    </row>
    <row r="37" spans="1:12" ht="25.5" customHeight="1" x14ac:dyDescent="0.25">
      <c r="A37" s="263"/>
      <c r="B37" s="264"/>
      <c r="C37" s="265"/>
      <c r="D37" s="265"/>
      <c r="E37" s="265"/>
      <c r="F37" s="265"/>
      <c r="G37" s="265"/>
      <c r="H37" s="265"/>
      <c r="I37" s="265"/>
      <c r="J37" s="265"/>
      <c r="K37" s="265"/>
      <c r="L37" s="266"/>
    </row>
    <row r="38" spans="1:12" ht="25.5" customHeight="1" x14ac:dyDescent="0.25">
      <c r="A38" s="263"/>
      <c r="B38" s="264"/>
      <c r="C38" s="265"/>
      <c r="D38" s="265"/>
      <c r="E38" s="265"/>
      <c r="F38" s="265"/>
      <c r="G38" s="265"/>
      <c r="H38" s="265"/>
      <c r="I38" s="265"/>
      <c r="J38" s="265"/>
      <c r="K38" s="265"/>
      <c r="L38" s="266"/>
    </row>
    <row r="39" spans="1:12" ht="25.5" customHeight="1" x14ac:dyDescent="0.25">
      <c r="A39" s="263"/>
      <c r="B39" s="264"/>
      <c r="C39" s="265"/>
      <c r="D39" s="265"/>
      <c r="E39" s="265"/>
      <c r="F39" s="265"/>
      <c r="G39" s="265"/>
      <c r="H39" s="265"/>
      <c r="I39" s="265"/>
      <c r="J39" s="265"/>
      <c r="K39" s="265"/>
      <c r="L39" s="266"/>
    </row>
    <row r="40" spans="1:12" ht="25.5" customHeight="1" x14ac:dyDescent="0.25">
      <c r="A40" s="263"/>
      <c r="B40" s="264"/>
      <c r="C40" s="265"/>
      <c r="D40" s="265"/>
      <c r="E40" s="265"/>
      <c r="F40" s="265"/>
      <c r="G40" s="265"/>
      <c r="H40" s="265"/>
      <c r="I40" s="265"/>
      <c r="J40" s="265"/>
      <c r="K40" s="265"/>
      <c r="L40" s="266"/>
    </row>
    <row r="41" spans="1:12" ht="25.5" customHeight="1" x14ac:dyDescent="0.25">
      <c r="A41" s="263"/>
      <c r="B41" s="264"/>
      <c r="C41" s="265"/>
      <c r="D41" s="265"/>
      <c r="E41" s="265"/>
      <c r="F41" s="265"/>
      <c r="G41" s="265"/>
      <c r="H41" s="265"/>
      <c r="I41" s="265"/>
      <c r="J41" s="265"/>
      <c r="K41" s="265"/>
      <c r="L41" s="266"/>
    </row>
    <row r="42" spans="1:12" ht="25.5" customHeight="1" x14ac:dyDescent="0.25">
      <c r="A42" s="263"/>
      <c r="B42" s="264"/>
      <c r="C42" s="265"/>
      <c r="D42" s="265"/>
      <c r="E42" s="265"/>
      <c r="F42" s="265"/>
      <c r="G42" s="265"/>
      <c r="H42" s="265"/>
      <c r="I42" s="265"/>
      <c r="J42" s="265"/>
      <c r="K42" s="265"/>
      <c r="L42" s="266"/>
    </row>
    <row r="43" spans="1:12" ht="25.5" customHeight="1" x14ac:dyDescent="0.25">
      <c r="A43" s="263"/>
      <c r="B43" s="264"/>
      <c r="C43" s="265"/>
      <c r="D43" s="265"/>
      <c r="E43" s="265"/>
      <c r="F43" s="265"/>
      <c r="G43" s="265"/>
      <c r="H43" s="265"/>
      <c r="I43" s="265"/>
      <c r="J43" s="265"/>
      <c r="K43" s="265"/>
      <c r="L43" s="266"/>
    </row>
    <row r="44" spans="1:12" ht="25.5" customHeight="1" x14ac:dyDescent="0.25">
      <c r="A44" s="263"/>
      <c r="B44" s="264"/>
      <c r="C44" s="265"/>
      <c r="D44" s="265"/>
      <c r="E44" s="265"/>
      <c r="F44" s="265"/>
      <c r="G44" s="265"/>
      <c r="H44" s="265"/>
      <c r="I44" s="265"/>
      <c r="J44" s="265"/>
      <c r="K44" s="265"/>
      <c r="L44" s="266"/>
    </row>
    <row r="45" spans="1:12" ht="25.5" customHeight="1" x14ac:dyDescent="0.25">
      <c r="A45" s="263"/>
      <c r="B45" s="264"/>
      <c r="C45" s="265"/>
      <c r="D45" s="265"/>
      <c r="E45" s="265"/>
      <c r="F45" s="265"/>
      <c r="G45" s="265"/>
      <c r="H45" s="265"/>
      <c r="I45" s="265"/>
      <c r="J45" s="265"/>
      <c r="K45" s="265"/>
      <c r="L45" s="266"/>
    </row>
    <row r="46" spans="1:12" ht="25.5" customHeight="1" x14ac:dyDescent="0.25">
      <c r="A46" s="263"/>
      <c r="B46" s="264"/>
      <c r="C46" s="265"/>
      <c r="D46" s="265"/>
      <c r="E46" s="265"/>
      <c r="F46" s="265"/>
      <c r="G46" s="265"/>
      <c r="H46" s="265"/>
      <c r="I46" s="265"/>
      <c r="J46" s="265"/>
      <c r="K46" s="265"/>
      <c r="L46" s="266"/>
    </row>
    <row r="47" spans="1:12" ht="25.5" customHeight="1" x14ac:dyDescent="0.25">
      <c r="A47" s="263"/>
      <c r="B47" s="264"/>
      <c r="C47" s="265"/>
      <c r="D47" s="265"/>
      <c r="E47" s="265"/>
      <c r="F47" s="265"/>
      <c r="G47" s="265"/>
      <c r="H47" s="265"/>
      <c r="I47" s="265"/>
      <c r="J47" s="265"/>
      <c r="K47" s="265"/>
      <c r="L47" s="266"/>
    </row>
    <row r="48" spans="1:12" ht="25.5" customHeight="1" x14ac:dyDescent="0.25">
      <c r="A48" s="263"/>
      <c r="B48" s="264"/>
      <c r="C48" s="265"/>
      <c r="D48" s="265"/>
      <c r="E48" s="265"/>
      <c r="F48" s="265"/>
      <c r="G48" s="265"/>
      <c r="H48" s="265"/>
      <c r="I48" s="265"/>
      <c r="J48" s="265"/>
      <c r="K48" s="265"/>
      <c r="L48" s="266"/>
    </row>
    <row r="49" spans="1:12" ht="25.5" customHeight="1" x14ac:dyDescent="0.25">
      <c r="A49" s="263"/>
      <c r="B49" s="264"/>
      <c r="C49" s="265"/>
      <c r="D49" s="265"/>
      <c r="E49" s="265"/>
      <c r="F49" s="265"/>
      <c r="G49" s="265"/>
      <c r="H49" s="265"/>
      <c r="I49" s="265"/>
      <c r="J49" s="265"/>
      <c r="K49" s="265"/>
      <c r="L49" s="266"/>
    </row>
    <row r="50" spans="1:12" ht="25.5" customHeight="1" x14ac:dyDescent="0.25">
      <c r="A50" s="263"/>
      <c r="B50" s="264"/>
      <c r="C50" s="265"/>
      <c r="D50" s="265"/>
      <c r="E50" s="265"/>
      <c r="F50" s="265"/>
      <c r="G50" s="265"/>
      <c r="H50" s="265"/>
      <c r="I50" s="265"/>
      <c r="J50" s="265"/>
      <c r="K50" s="265"/>
      <c r="L50" s="266"/>
    </row>
    <row r="51" spans="1:12" ht="25.5" customHeight="1" x14ac:dyDescent="0.25">
      <c r="A51" s="263"/>
      <c r="B51" s="264"/>
      <c r="C51" s="265"/>
      <c r="D51" s="265"/>
      <c r="E51" s="265"/>
      <c r="F51" s="265"/>
      <c r="G51" s="265"/>
      <c r="H51" s="265"/>
      <c r="I51" s="265"/>
      <c r="J51" s="265"/>
      <c r="K51" s="265"/>
      <c r="L51" s="266"/>
    </row>
    <row r="52" spans="1:12" ht="25.5" customHeight="1" x14ac:dyDescent="0.25">
      <c r="A52" s="263"/>
      <c r="B52" s="264"/>
      <c r="C52" s="265"/>
      <c r="D52" s="265"/>
      <c r="E52" s="265"/>
      <c r="F52" s="265"/>
      <c r="G52" s="265"/>
      <c r="H52" s="265"/>
      <c r="I52" s="265"/>
      <c r="J52" s="265"/>
      <c r="K52" s="265"/>
      <c r="L52" s="266"/>
    </row>
    <row r="53" spans="1:12" x14ac:dyDescent="0.25">
      <c r="A53" s="14"/>
      <c r="B53" s="14"/>
      <c r="C53" s="14"/>
      <c r="D53" s="14"/>
      <c r="E53" s="14"/>
      <c r="F53" s="14"/>
      <c r="G53" s="14"/>
      <c r="H53" s="14"/>
      <c r="I53" s="14"/>
      <c r="J53" s="14"/>
      <c r="K53" s="14"/>
      <c r="L53" s="14"/>
    </row>
    <row r="54" spans="1:12" x14ac:dyDescent="0.25">
      <c r="A54" s="14"/>
      <c r="B54" s="14"/>
      <c r="C54" s="14"/>
      <c r="D54" s="14"/>
      <c r="E54" s="14"/>
      <c r="F54" s="14"/>
      <c r="G54" s="14"/>
      <c r="H54" s="14"/>
      <c r="I54" s="14"/>
      <c r="J54" s="14"/>
      <c r="K54" s="14"/>
      <c r="L54" s="14"/>
    </row>
    <row r="55" spans="1:12" x14ac:dyDescent="0.25">
      <c r="A55" s="14"/>
      <c r="B55" s="14"/>
      <c r="C55" s="14"/>
      <c r="D55" s="14"/>
      <c r="E55" s="14"/>
      <c r="F55" s="14"/>
      <c r="G55" s="14"/>
      <c r="H55" s="14"/>
      <c r="I55" s="14"/>
      <c r="J55" s="14"/>
      <c r="K55" s="14"/>
      <c r="L55" s="14"/>
    </row>
    <row r="56" spans="1:12" x14ac:dyDescent="0.25">
      <c r="A56" s="14"/>
      <c r="B56" s="14"/>
      <c r="C56" s="14"/>
      <c r="D56" s="14"/>
      <c r="E56" s="14"/>
      <c r="F56" s="14"/>
      <c r="G56" s="14"/>
      <c r="H56" s="14"/>
      <c r="I56" s="14"/>
      <c r="J56" s="14"/>
      <c r="K56" s="14"/>
      <c r="L56" s="14"/>
    </row>
    <row r="57" spans="1:12" x14ac:dyDescent="0.25">
      <c r="A57" s="14"/>
      <c r="B57" s="14"/>
      <c r="C57" s="14"/>
      <c r="D57" s="14"/>
      <c r="E57" s="14"/>
      <c r="F57" s="14"/>
      <c r="G57" s="14"/>
      <c r="H57" s="14"/>
      <c r="I57" s="14"/>
      <c r="J57" s="14"/>
      <c r="K57" s="14"/>
      <c r="L57" s="14"/>
    </row>
    <row r="58" spans="1:12" x14ac:dyDescent="0.25">
      <c r="A58" s="14"/>
      <c r="B58" s="14"/>
      <c r="C58" s="14"/>
      <c r="D58" s="14"/>
      <c r="E58" s="14"/>
      <c r="F58" s="14"/>
      <c r="G58" s="14"/>
      <c r="H58" s="14"/>
      <c r="I58" s="14"/>
      <c r="J58" s="14"/>
      <c r="K58" s="14"/>
      <c r="L58" s="14"/>
    </row>
    <row r="59" spans="1:12" x14ac:dyDescent="0.25">
      <c r="A59" s="14"/>
      <c r="B59" s="14"/>
      <c r="C59" s="14"/>
      <c r="D59" s="14"/>
      <c r="E59" s="14"/>
      <c r="F59" s="14"/>
      <c r="G59" s="14"/>
      <c r="H59" s="14"/>
      <c r="I59" s="14"/>
      <c r="J59" s="14"/>
      <c r="K59" s="14"/>
      <c r="L59" s="14"/>
    </row>
    <row r="60" spans="1:12" x14ac:dyDescent="0.25">
      <c r="A60" s="14"/>
      <c r="B60" s="14"/>
      <c r="C60" s="14"/>
      <c r="D60" s="14"/>
      <c r="E60" s="14"/>
      <c r="F60" s="14"/>
      <c r="G60" s="14"/>
      <c r="H60" s="14"/>
      <c r="I60" s="14"/>
      <c r="J60" s="14"/>
      <c r="K60" s="14"/>
      <c r="L60" s="14"/>
    </row>
    <row r="61" spans="1:12" x14ac:dyDescent="0.25">
      <c r="A61" s="14"/>
      <c r="B61" s="14"/>
      <c r="C61" s="14"/>
      <c r="D61" s="14"/>
      <c r="E61" s="14"/>
      <c r="F61" s="14"/>
      <c r="G61" s="14"/>
      <c r="H61" s="14"/>
      <c r="I61" s="14"/>
      <c r="J61" s="14"/>
      <c r="K61" s="14"/>
      <c r="L61" s="14"/>
    </row>
    <row r="62" spans="1:12" x14ac:dyDescent="0.25">
      <c r="A62" s="14"/>
      <c r="B62" s="14"/>
      <c r="C62" s="14"/>
      <c r="D62" s="14"/>
      <c r="E62" s="14"/>
      <c r="F62" s="14"/>
      <c r="G62" s="14"/>
      <c r="H62" s="14"/>
      <c r="I62" s="14"/>
      <c r="J62" s="14"/>
      <c r="K62" s="14"/>
      <c r="L62" s="14"/>
    </row>
    <row r="63" spans="1:12" x14ac:dyDescent="0.25">
      <c r="A63" s="14"/>
      <c r="B63" s="14"/>
      <c r="C63" s="14"/>
      <c r="D63" s="14"/>
      <c r="E63" s="14"/>
      <c r="F63" s="14"/>
      <c r="G63" s="14"/>
      <c r="H63" s="14"/>
      <c r="I63" s="14"/>
      <c r="J63" s="14"/>
      <c r="K63" s="14"/>
      <c r="L63" s="14"/>
    </row>
    <row r="64" spans="1:12" x14ac:dyDescent="0.25">
      <c r="A64" s="14"/>
      <c r="B64" s="14"/>
      <c r="C64" s="14"/>
      <c r="D64" s="14"/>
      <c r="E64" s="14"/>
      <c r="F64" s="14"/>
      <c r="G64" s="14"/>
      <c r="H64" s="14"/>
      <c r="I64" s="14"/>
      <c r="J64" s="14"/>
      <c r="K64" s="14"/>
      <c r="L64" s="14"/>
    </row>
    <row r="65" spans="1:12" x14ac:dyDescent="0.25">
      <c r="A65" s="14"/>
      <c r="B65" s="14"/>
      <c r="C65" s="14"/>
      <c r="D65" s="14"/>
      <c r="E65" s="14"/>
      <c r="F65" s="14"/>
      <c r="G65" s="14"/>
      <c r="H65" s="14"/>
      <c r="I65" s="14"/>
      <c r="J65" s="14"/>
      <c r="K65" s="14"/>
      <c r="L65" s="14"/>
    </row>
    <row r="66" spans="1:12" x14ac:dyDescent="0.25">
      <c r="A66" s="14"/>
      <c r="B66" s="14"/>
      <c r="C66" s="14"/>
      <c r="D66" s="14"/>
      <c r="E66" s="14"/>
      <c r="F66" s="14"/>
      <c r="G66" s="14"/>
      <c r="H66" s="14"/>
      <c r="I66" s="14"/>
      <c r="J66" s="14"/>
      <c r="K66" s="14"/>
      <c r="L66" s="14"/>
    </row>
    <row r="67" spans="1:12" x14ac:dyDescent="0.25">
      <c r="A67" s="14"/>
      <c r="B67" s="14"/>
      <c r="C67" s="14"/>
      <c r="D67" s="14"/>
      <c r="E67" s="14"/>
      <c r="F67" s="14"/>
      <c r="G67" s="14"/>
      <c r="H67" s="14"/>
      <c r="I67" s="14"/>
      <c r="J67" s="14"/>
      <c r="K67" s="14"/>
      <c r="L67" s="14"/>
    </row>
    <row r="68" spans="1:12" x14ac:dyDescent="0.25">
      <c r="A68" s="14"/>
      <c r="B68" s="14"/>
      <c r="C68" s="14"/>
      <c r="D68" s="14"/>
      <c r="E68" s="14"/>
      <c r="F68" s="14"/>
      <c r="G68" s="14"/>
      <c r="H68" s="14"/>
      <c r="I68" s="14"/>
      <c r="J68" s="14"/>
      <c r="K68" s="14"/>
      <c r="L68" s="14"/>
    </row>
    <row r="69" spans="1:12" x14ac:dyDescent="0.25">
      <c r="A69" s="14"/>
      <c r="B69" s="14"/>
      <c r="C69" s="14"/>
      <c r="D69" s="14"/>
      <c r="E69" s="14"/>
      <c r="F69" s="14"/>
      <c r="G69" s="14"/>
      <c r="H69" s="14"/>
      <c r="I69" s="14"/>
      <c r="J69" s="14"/>
      <c r="K69" s="14"/>
      <c r="L69" s="14"/>
    </row>
    <row r="70" spans="1:12" x14ac:dyDescent="0.25">
      <c r="A70" s="14"/>
      <c r="B70" s="14"/>
      <c r="C70" s="14"/>
      <c r="D70" s="14"/>
      <c r="E70" s="14"/>
      <c r="F70" s="14"/>
      <c r="G70" s="14"/>
      <c r="H70" s="14"/>
      <c r="I70" s="14"/>
      <c r="J70" s="14"/>
      <c r="K70" s="14"/>
      <c r="L70" s="14"/>
    </row>
    <row r="71" spans="1:12" x14ac:dyDescent="0.25">
      <c r="A71" s="14"/>
      <c r="B71" s="14"/>
      <c r="C71" s="14"/>
      <c r="D71" s="14"/>
      <c r="E71" s="14"/>
      <c r="F71" s="14"/>
      <c r="G71" s="14"/>
      <c r="H71" s="14"/>
      <c r="I71" s="14"/>
      <c r="J71" s="14"/>
      <c r="K71" s="14"/>
      <c r="L71" s="14"/>
    </row>
    <row r="72" spans="1:12" x14ac:dyDescent="0.25">
      <c r="A72" s="14"/>
      <c r="B72" s="14"/>
      <c r="C72" s="14"/>
      <c r="D72" s="14"/>
      <c r="E72" s="14"/>
      <c r="F72" s="14"/>
      <c r="G72" s="14"/>
      <c r="H72" s="14"/>
      <c r="I72" s="14"/>
      <c r="J72" s="14"/>
      <c r="K72" s="14"/>
      <c r="L72" s="14"/>
    </row>
    <row r="73" spans="1:12" x14ac:dyDescent="0.25">
      <c r="A73" s="14"/>
      <c r="B73" s="14"/>
      <c r="C73" s="14"/>
      <c r="D73" s="14"/>
      <c r="E73" s="14"/>
      <c r="F73" s="14"/>
      <c r="G73" s="14"/>
      <c r="H73" s="14"/>
      <c r="I73" s="14"/>
      <c r="J73" s="14"/>
      <c r="K73" s="14"/>
      <c r="L73" s="14"/>
    </row>
    <row r="74" spans="1:12" x14ac:dyDescent="0.25">
      <c r="A74" s="14"/>
      <c r="B74" s="14"/>
      <c r="C74" s="14"/>
      <c r="D74" s="14"/>
      <c r="E74" s="14"/>
      <c r="F74" s="14"/>
      <c r="G74" s="14"/>
      <c r="H74" s="14"/>
      <c r="I74" s="14"/>
      <c r="J74" s="14"/>
      <c r="K74" s="14"/>
      <c r="L74" s="14"/>
    </row>
    <row r="75" spans="1:12" x14ac:dyDescent="0.25">
      <c r="A75" s="14"/>
      <c r="B75" s="14"/>
      <c r="C75" s="14"/>
      <c r="D75" s="14"/>
      <c r="E75" s="14"/>
      <c r="F75" s="14"/>
      <c r="G75" s="14"/>
      <c r="H75" s="14"/>
      <c r="I75" s="14"/>
      <c r="J75" s="14"/>
      <c r="K75" s="14"/>
      <c r="L75" s="14"/>
    </row>
    <row r="76" spans="1:12" x14ac:dyDescent="0.25">
      <c r="A76" s="14"/>
      <c r="B76" s="14"/>
      <c r="C76" s="14"/>
      <c r="D76" s="14"/>
      <c r="E76" s="14"/>
      <c r="F76" s="14"/>
      <c r="G76" s="14"/>
      <c r="H76" s="14"/>
      <c r="I76" s="14"/>
      <c r="J76" s="14"/>
      <c r="K76" s="14"/>
      <c r="L76" s="14"/>
    </row>
    <row r="77" spans="1:12" x14ac:dyDescent="0.25">
      <c r="A77" s="14"/>
      <c r="B77" s="14"/>
      <c r="C77" s="14"/>
      <c r="D77" s="14"/>
      <c r="E77" s="14"/>
      <c r="F77" s="14"/>
      <c r="G77" s="14"/>
      <c r="H77" s="14"/>
      <c r="I77" s="14"/>
      <c r="J77" s="14"/>
      <c r="K77" s="14"/>
      <c r="L77" s="14"/>
    </row>
    <row r="78" spans="1:12" x14ac:dyDescent="0.25">
      <c r="A78" s="14"/>
      <c r="B78" s="14"/>
      <c r="C78" s="14"/>
      <c r="D78" s="14"/>
      <c r="E78" s="14"/>
      <c r="F78" s="14"/>
      <c r="G78" s="14"/>
      <c r="H78" s="14"/>
      <c r="I78" s="14"/>
      <c r="J78" s="14"/>
      <c r="K78" s="14"/>
      <c r="L78" s="14"/>
    </row>
    <row r="79" spans="1:12" x14ac:dyDescent="0.25">
      <c r="A79" s="14"/>
      <c r="B79" s="14"/>
      <c r="C79" s="14"/>
      <c r="D79" s="14"/>
      <c r="E79" s="14"/>
      <c r="F79" s="14"/>
      <c r="G79" s="14"/>
      <c r="H79" s="14"/>
      <c r="I79" s="14"/>
      <c r="J79" s="14"/>
      <c r="K79" s="14"/>
      <c r="L79" s="14"/>
    </row>
    <row r="80" spans="1:12" x14ac:dyDescent="0.25">
      <c r="A80" s="14"/>
      <c r="B80" s="14"/>
      <c r="C80" s="14"/>
      <c r="D80" s="14"/>
      <c r="E80" s="14"/>
      <c r="F80" s="14"/>
      <c r="G80" s="14"/>
      <c r="H80" s="14"/>
      <c r="I80" s="14"/>
      <c r="J80" s="14"/>
      <c r="K80" s="14"/>
      <c r="L80" s="14"/>
    </row>
    <row r="81" spans="1:12" x14ac:dyDescent="0.25">
      <c r="A81" s="14"/>
      <c r="B81" s="14"/>
      <c r="C81" s="14"/>
      <c r="D81" s="14"/>
      <c r="E81" s="14"/>
      <c r="F81" s="14"/>
      <c r="G81" s="14"/>
      <c r="H81" s="14"/>
      <c r="I81" s="14"/>
      <c r="J81" s="14"/>
      <c r="K81" s="14"/>
      <c r="L81" s="14"/>
    </row>
    <row r="82" spans="1:12" x14ac:dyDescent="0.25">
      <c r="A82" s="14"/>
      <c r="B82" s="14"/>
      <c r="C82" s="14"/>
      <c r="D82" s="14"/>
      <c r="E82" s="14"/>
      <c r="F82" s="14"/>
      <c r="G82" s="14"/>
      <c r="H82" s="14"/>
      <c r="I82" s="14"/>
      <c r="J82" s="14"/>
      <c r="K82" s="14"/>
      <c r="L82" s="14"/>
    </row>
    <row r="83" spans="1:12" x14ac:dyDescent="0.25">
      <c r="A83" s="14"/>
      <c r="B83" s="14"/>
      <c r="C83" s="14"/>
      <c r="D83" s="14"/>
      <c r="E83" s="14"/>
      <c r="F83" s="14"/>
      <c r="G83" s="14"/>
      <c r="H83" s="14"/>
      <c r="I83" s="14"/>
      <c r="J83" s="14"/>
      <c r="K83" s="14"/>
      <c r="L83" s="14"/>
    </row>
    <row r="84" spans="1:12" x14ac:dyDescent="0.25">
      <c r="A84" s="14"/>
      <c r="B84" s="14"/>
      <c r="C84" s="14"/>
      <c r="D84" s="14"/>
      <c r="E84" s="14"/>
      <c r="F84" s="14"/>
      <c r="G84" s="14"/>
      <c r="H84" s="14"/>
      <c r="I84" s="14"/>
      <c r="J84" s="14"/>
      <c r="K84" s="14"/>
      <c r="L84" s="14"/>
    </row>
    <row r="85" spans="1:12" x14ac:dyDescent="0.25">
      <c r="A85" s="14"/>
      <c r="B85" s="14"/>
      <c r="C85" s="14"/>
      <c r="D85" s="14"/>
      <c r="E85" s="14"/>
      <c r="F85" s="14"/>
      <c r="G85" s="14"/>
      <c r="H85" s="14"/>
      <c r="I85" s="14"/>
      <c r="J85" s="14"/>
      <c r="K85" s="14"/>
      <c r="L85" s="14"/>
    </row>
    <row r="86" spans="1:12" x14ac:dyDescent="0.25">
      <c r="A86" s="14"/>
      <c r="B86" s="14"/>
      <c r="C86" s="14"/>
      <c r="D86" s="14"/>
      <c r="E86" s="14"/>
      <c r="F86" s="14"/>
      <c r="G86" s="14"/>
      <c r="H86" s="14"/>
      <c r="I86" s="14"/>
      <c r="J86" s="14"/>
      <c r="K86" s="14"/>
      <c r="L86" s="14"/>
    </row>
    <row r="87" spans="1:12" x14ac:dyDescent="0.25">
      <c r="A87" s="14"/>
      <c r="B87" s="14"/>
      <c r="C87" s="14"/>
      <c r="D87" s="14"/>
      <c r="E87" s="14"/>
      <c r="F87" s="14"/>
      <c r="G87" s="14"/>
      <c r="H87" s="14"/>
      <c r="I87" s="14"/>
      <c r="J87" s="14"/>
      <c r="K87" s="14"/>
      <c r="L87" s="14"/>
    </row>
    <row r="88" spans="1:12" x14ac:dyDescent="0.25">
      <c r="A88" s="14"/>
      <c r="B88" s="14"/>
      <c r="C88" s="14"/>
      <c r="D88" s="14"/>
      <c r="E88" s="14"/>
      <c r="F88" s="14"/>
      <c r="G88" s="14"/>
      <c r="H88" s="14"/>
      <c r="I88" s="14"/>
      <c r="J88" s="14"/>
      <c r="K88" s="14"/>
      <c r="L88" s="14"/>
    </row>
    <row r="89" spans="1:12" x14ac:dyDescent="0.25">
      <c r="A89" s="14"/>
      <c r="B89" s="14"/>
      <c r="C89" s="14"/>
      <c r="D89" s="14"/>
      <c r="E89" s="14"/>
      <c r="F89" s="14"/>
      <c r="G89" s="14"/>
      <c r="H89" s="14"/>
      <c r="I89" s="14"/>
      <c r="J89" s="14"/>
      <c r="K89" s="14"/>
      <c r="L89" s="14"/>
    </row>
    <row r="90" spans="1:12" x14ac:dyDescent="0.25">
      <c r="A90" s="14"/>
      <c r="B90" s="14"/>
      <c r="C90" s="14"/>
      <c r="D90" s="14"/>
      <c r="E90" s="14"/>
      <c r="F90" s="14"/>
      <c r="G90" s="14"/>
      <c r="H90" s="14"/>
      <c r="I90" s="14"/>
      <c r="J90" s="14"/>
      <c r="K90" s="14"/>
      <c r="L90" s="14"/>
    </row>
    <row r="91" spans="1:12" x14ac:dyDescent="0.25">
      <c r="A91" s="14"/>
      <c r="B91" s="14"/>
      <c r="C91" s="14"/>
      <c r="D91" s="14"/>
      <c r="E91" s="14"/>
      <c r="F91" s="14"/>
      <c r="G91" s="14"/>
      <c r="H91" s="14"/>
      <c r="I91" s="14"/>
      <c r="J91" s="14"/>
      <c r="K91" s="14"/>
      <c r="L91" s="14"/>
    </row>
    <row r="92" spans="1:12" x14ac:dyDescent="0.25">
      <c r="A92" s="14"/>
      <c r="B92" s="14"/>
      <c r="C92" s="14"/>
      <c r="D92" s="14"/>
      <c r="E92" s="14"/>
      <c r="F92" s="14"/>
      <c r="G92" s="14"/>
      <c r="H92" s="14"/>
      <c r="I92" s="14"/>
      <c r="J92" s="14"/>
      <c r="K92" s="14"/>
      <c r="L92" s="14"/>
    </row>
    <row r="93" spans="1:12" x14ac:dyDescent="0.25">
      <c r="A93" s="14"/>
      <c r="B93" s="14"/>
      <c r="C93" s="14"/>
      <c r="D93" s="14"/>
      <c r="E93" s="14"/>
      <c r="F93" s="14"/>
      <c r="G93" s="14"/>
      <c r="H93" s="14"/>
      <c r="I93" s="14"/>
      <c r="J93" s="14"/>
      <c r="K93" s="14"/>
      <c r="L93" s="14"/>
    </row>
    <row r="94" spans="1:12" x14ac:dyDescent="0.25">
      <c r="A94" s="14"/>
      <c r="B94" s="14"/>
      <c r="C94" s="14"/>
      <c r="D94" s="14"/>
      <c r="E94" s="14"/>
      <c r="F94" s="14"/>
      <c r="G94" s="14"/>
      <c r="H94" s="14"/>
      <c r="I94" s="14"/>
      <c r="J94" s="14"/>
      <c r="K94" s="14"/>
      <c r="L94" s="14"/>
    </row>
    <row r="95" spans="1:12" x14ac:dyDescent="0.25">
      <c r="A95" s="14"/>
      <c r="B95" s="14"/>
      <c r="C95" s="14"/>
      <c r="D95" s="14"/>
      <c r="E95" s="14"/>
      <c r="F95" s="14"/>
      <c r="G95" s="14"/>
      <c r="H95" s="14"/>
      <c r="I95" s="14"/>
      <c r="J95" s="14"/>
      <c r="K95" s="14"/>
      <c r="L95" s="14"/>
    </row>
    <row r="96" spans="1:12" x14ac:dyDescent="0.25">
      <c r="A96" s="14"/>
      <c r="B96" s="14"/>
      <c r="C96" s="14"/>
      <c r="D96" s="14"/>
      <c r="E96" s="14"/>
      <c r="F96" s="14"/>
      <c r="G96" s="14"/>
      <c r="H96" s="14"/>
      <c r="I96" s="14"/>
      <c r="J96" s="14"/>
      <c r="K96" s="14"/>
      <c r="L96" s="14"/>
    </row>
    <row r="97" spans="1:12" x14ac:dyDescent="0.25">
      <c r="A97" s="14"/>
      <c r="B97" s="14"/>
      <c r="C97" s="14"/>
      <c r="D97" s="14"/>
      <c r="E97" s="14"/>
      <c r="F97" s="14"/>
      <c r="G97" s="14"/>
      <c r="H97" s="14"/>
      <c r="I97" s="14"/>
      <c r="J97" s="14"/>
      <c r="K97" s="14"/>
      <c r="L97" s="14"/>
    </row>
    <row r="98" spans="1:12" x14ac:dyDescent="0.25">
      <c r="A98" s="14"/>
      <c r="B98" s="14"/>
      <c r="C98" s="14"/>
      <c r="D98" s="14"/>
      <c r="E98" s="14"/>
      <c r="F98" s="14"/>
      <c r="G98" s="14"/>
      <c r="H98" s="14"/>
      <c r="I98" s="14"/>
      <c r="J98" s="14"/>
      <c r="K98" s="14"/>
      <c r="L98" s="14"/>
    </row>
    <row r="99" spans="1:12" x14ac:dyDescent="0.25">
      <c r="A99" s="14"/>
      <c r="B99" s="14"/>
      <c r="C99" s="14"/>
      <c r="D99" s="14"/>
      <c r="E99" s="14"/>
      <c r="F99" s="14"/>
      <c r="G99" s="14"/>
      <c r="H99" s="14"/>
      <c r="I99" s="14"/>
      <c r="J99" s="14"/>
      <c r="K99" s="14"/>
      <c r="L99" s="14"/>
    </row>
    <row r="100" spans="1:12" x14ac:dyDescent="0.25">
      <c r="A100" s="14"/>
      <c r="B100" s="14"/>
      <c r="C100" s="14"/>
      <c r="D100" s="14"/>
      <c r="E100" s="14"/>
      <c r="F100" s="14"/>
      <c r="G100" s="14"/>
      <c r="H100" s="14"/>
      <c r="I100" s="14"/>
      <c r="J100" s="14"/>
      <c r="K100" s="14"/>
      <c r="L100" s="14"/>
    </row>
    <row r="101" spans="1:12" x14ac:dyDescent="0.25">
      <c r="A101" s="14"/>
      <c r="B101" s="14"/>
      <c r="C101" s="14"/>
      <c r="D101" s="14"/>
      <c r="E101" s="14"/>
      <c r="F101" s="14"/>
      <c r="G101" s="14"/>
      <c r="H101" s="14"/>
      <c r="I101" s="14"/>
      <c r="J101" s="14"/>
      <c r="K101" s="14"/>
      <c r="L101" s="14"/>
    </row>
    <row r="102" spans="1:12" x14ac:dyDescent="0.25">
      <c r="A102" s="14"/>
      <c r="B102" s="14"/>
      <c r="C102" s="14"/>
      <c r="D102" s="14"/>
      <c r="E102" s="14"/>
      <c r="F102" s="14"/>
      <c r="G102" s="14"/>
      <c r="H102" s="14"/>
      <c r="I102" s="14"/>
      <c r="J102" s="14"/>
      <c r="K102" s="14"/>
      <c r="L102" s="14"/>
    </row>
    <row r="103" spans="1:12" x14ac:dyDescent="0.25">
      <c r="A103" s="14"/>
      <c r="B103" s="14"/>
      <c r="C103" s="14"/>
      <c r="D103" s="14"/>
      <c r="E103" s="14"/>
      <c r="F103" s="14"/>
      <c r="G103" s="14"/>
      <c r="H103" s="14"/>
      <c r="I103" s="14"/>
      <c r="J103" s="14"/>
      <c r="K103" s="14"/>
      <c r="L103" s="14"/>
    </row>
    <row r="104" spans="1:12" x14ac:dyDescent="0.25">
      <c r="A104" s="14"/>
      <c r="B104" s="14"/>
      <c r="C104" s="14"/>
      <c r="D104" s="14"/>
      <c r="E104" s="14"/>
      <c r="F104" s="14"/>
      <c r="G104" s="14"/>
      <c r="H104" s="14"/>
      <c r="I104" s="14"/>
      <c r="J104" s="14"/>
      <c r="K104" s="14"/>
      <c r="L104" s="14"/>
    </row>
    <row r="105" spans="1:12" x14ac:dyDescent="0.25">
      <c r="A105" s="14"/>
      <c r="B105" s="14"/>
      <c r="C105" s="14"/>
      <c r="D105" s="14"/>
      <c r="E105" s="14"/>
      <c r="F105" s="14"/>
      <c r="G105" s="14"/>
      <c r="H105" s="14"/>
      <c r="I105" s="14"/>
      <c r="J105" s="14"/>
      <c r="K105" s="14"/>
      <c r="L105" s="14"/>
    </row>
    <row r="106" spans="1:12" x14ac:dyDescent="0.25">
      <c r="A106" s="14"/>
      <c r="B106" s="14"/>
      <c r="C106" s="14"/>
      <c r="D106" s="14"/>
      <c r="E106" s="14"/>
      <c r="F106" s="14"/>
      <c r="G106" s="14"/>
      <c r="H106" s="14"/>
      <c r="I106" s="14"/>
      <c r="J106" s="14"/>
      <c r="K106" s="14"/>
      <c r="L106" s="14"/>
    </row>
    <row r="107" spans="1:12" x14ac:dyDescent="0.25">
      <c r="A107" s="14"/>
      <c r="B107" s="14"/>
      <c r="C107" s="14"/>
      <c r="D107" s="14"/>
      <c r="E107" s="14"/>
      <c r="F107" s="14"/>
      <c r="G107" s="14"/>
      <c r="H107" s="14"/>
      <c r="I107" s="14"/>
      <c r="J107" s="14"/>
      <c r="K107" s="14"/>
      <c r="L107" s="14"/>
    </row>
    <row r="108" spans="1:12" x14ac:dyDescent="0.25">
      <c r="A108" s="14"/>
      <c r="B108" s="14"/>
      <c r="C108" s="14"/>
      <c r="D108" s="14"/>
      <c r="E108" s="14"/>
      <c r="F108" s="14"/>
      <c r="G108" s="14"/>
      <c r="H108" s="14"/>
      <c r="I108" s="14"/>
      <c r="J108" s="14"/>
      <c r="K108" s="14"/>
      <c r="L108" s="14"/>
    </row>
    <row r="109" spans="1:12" x14ac:dyDescent="0.25">
      <c r="A109" s="14"/>
      <c r="B109" s="14"/>
      <c r="C109" s="14"/>
      <c r="D109" s="14"/>
      <c r="E109" s="14"/>
      <c r="F109" s="14"/>
      <c r="G109" s="14"/>
      <c r="H109" s="14"/>
      <c r="I109" s="14"/>
      <c r="J109" s="14"/>
      <c r="K109" s="14"/>
      <c r="L109" s="14"/>
    </row>
    <row r="110" spans="1:12" x14ac:dyDescent="0.25">
      <c r="A110" s="14"/>
      <c r="B110" s="14"/>
      <c r="C110" s="14"/>
      <c r="D110" s="14"/>
      <c r="E110" s="14"/>
      <c r="F110" s="14"/>
      <c r="G110" s="14"/>
      <c r="H110" s="14"/>
      <c r="I110" s="14"/>
      <c r="J110" s="14"/>
      <c r="K110" s="14"/>
      <c r="L110" s="14"/>
    </row>
    <row r="111" spans="1:12" x14ac:dyDescent="0.25">
      <c r="A111" s="14"/>
      <c r="B111" s="14"/>
      <c r="C111" s="14"/>
      <c r="D111" s="14"/>
      <c r="E111" s="14"/>
      <c r="F111" s="14"/>
      <c r="G111" s="14"/>
      <c r="H111" s="14"/>
      <c r="I111" s="14"/>
      <c r="J111" s="14"/>
      <c r="K111" s="14"/>
      <c r="L111" s="14"/>
    </row>
    <row r="112" spans="1:12" x14ac:dyDescent="0.25">
      <c r="A112" s="14"/>
      <c r="B112" s="14"/>
      <c r="C112" s="14"/>
      <c r="D112" s="14"/>
      <c r="E112" s="14"/>
      <c r="F112" s="14"/>
      <c r="G112" s="14"/>
      <c r="H112" s="14"/>
      <c r="I112" s="14"/>
      <c r="J112" s="14"/>
      <c r="K112" s="14"/>
      <c r="L112" s="14"/>
    </row>
    <row r="113" spans="1:12" x14ac:dyDescent="0.25">
      <c r="A113" s="14"/>
      <c r="B113" s="14"/>
      <c r="C113" s="14"/>
      <c r="D113" s="14"/>
      <c r="E113" s="14"/>
      <c r="F113" s="14"/>
      <c r="G113" s="14"/>
      <c r="H113" s="14"/>
      <c r="I113" s="14"/>
      <c r="J113" s="14"/>
      <c r="K113" s="14"/>
      <c r="L113" s="14"/>
    </row>
    <row r="114" spans="1:12" x14ac:dyDescent="0.25">
      <c r="A114" s="14"/>
      <c r="B114" s="14"/>
      <c r="C114" s="14"/>
      <c r="D114" s="14"/>
      <c r="E114" s="14"/>
      <c r="F114" s="14"/>
      <c r="G114" s="14"/>
      <c r="H114" s="14"/>
      <c r="I114" s="14"/>
      <c r="J114" s="14"/>
      <c r="K114" s="14"/>
      <c r="L114" s="14"/>
    </row>
    <row r="115" spans="1:12" x14ac:dyDescent="0.25">
      <c r="A115" s="14"/>
      <c r="B115" s="14"/>
      <c r="C115" s="14"/>
      <c r="D115" s="14"/>
      <c r="E115" s="14"/>
      <c r="F115" s="14"/>
      <c r="G115" s="14"/>
      <c r="H115" s="14"/>
      <c r="I115" s="14"/>
      <c r="J115" s="14"/>
      <c r="K115" s="14"/>
      <c r="L115" s="14"/>
    </row>
    <row r="116" spans="1:12" x14ac:dyDescent="0.25">
      <c r="A116" s="14"/>
      <c r="B116" s="14"/>
      <c r="C116" s="14"/>
      <c r="D116" s="14"/>
      <c r="E116" s="14"/>
      <c r="F116" s="14"/>
      <c r="G116" s="14"/>
      <c r="H116" s="14"/>
      <c r="I116" s="14"/>
      <c r="J116" s="14"/>
      <c r="K116" s="14"/>
      <c r="L116" s="14"/>
    </row>
    <row r="117" spans="1:12" x14ac:dyDescent="0.25">
      <c r="A117" s="14"/>
      <c r="B117" s="14"/>
      <c r="C117" s="14"/>
      <c r="D117" s="14"/>
      <c r="E117" s="14"/>
      <c r="F117" s="14"/>
      <c r="G117" s="14"/>
      <c r="H117" s="14"/>
      <c r="I117" s="14"/>
      <c r="J117" s="14"/>
      <c r="K117" s="14"/>
      <c r="L117" s="14"/>
    </row>
    <row r="118" spans="1:12" x14ac:dyDescent="0.25">
      <c r="A118" s="14"/>
      <c r="B118" s="14"/>
      <c r="C118" s="14"/>
      <c r="D118" s="14"/>
      <c r="E118" s="14"/>
      <c r="F118" s="14"/>
      <c r="G118" s="14"/>
      <c r="H118" s="14"/>
      <c r="I118" s="14"/>
      <c r="J118" s="14"/>
      <c r="K118" s="14"/>
      <c r="L118" s="14"/>
    </row>
    <row r="119" spans="1:12" x14ac:dyDescent="0.25">
      <c r="A119" s="14"/>
      <c r="B119" s="14"/>
      <c r="C119" s="14"/>
      <c r="D119" s="14"/>
      <c r="E119" s="14"/>
      <c r="F119" s="14"/>
      <c r="G119" s="14"/>
      <c r="H119" s="14"/>
      <c r="I119" s="14"/>
      <c r="J119" s="14"/>
      <c r="K119" s="14"/>
      <c r="L119" s="14"/>
    </row>
    <row r="120" spans="1:12" x14ac:dyDescent="0.25">
      <c r="A120" s="14"/>
      <c r="B120" s="14"/>
      <c r="C120" s="14"/>
      <c r="D120" s="14"/>
      <c r="E120" s="14"/>
      <c r="F120" s="14"/>
      <c r="G120" s="14"/>
      <c r="H120" s="14"/>
      <c r="I120" s="14"/>
      <c r="J120" s="14"/>
      <c r="K120" s="14"/>
      <c r="L120" s="14"/>
    </row>
    <row r="121" spans="1:12" x14ac:dyDescent="0.25">
      <c r="A121" s="14"/>
      <c r="B121" s="14"/>
      <c r="C121" s="14"/>
      <c r="D121" s="14"/>
      <c r="E121" s="14"/>
      <c r="F121" s="14"/>
      <c r="G121" s="14"/>
      <c r="H121" s="14"/>
      <c r="I121" s="14"/>
      <c r="J121" s="14"/>
      <c r="K121" s="14"/>
      <c r="L121" s="14"/>
    </row>
    <row r="122" spans="1:12" x14ac:dyDescent="0.25">
      <c r="A122" s="14"/>
      <c r="B122" s="14"/>
      <c r="C122" s="14"/>
      <c r="D122" s="14"/>
      <c r="E122" s="14"/>
      <c r="F122" s="14"/>
      <c r="G122" s="14"/>
      <c r="H122" s="14"/>
      <c r="I122" s="14"/>
      <c r="J122" s="14"/>
      <c r="K122" s="14"/>
      <c r="L122" s="14"/>
    </row>
    <row r="123" spans="1:12" x14ac:dyDescent="0.25">
      <c r="A123" s="14"/>
      <c r="B123" s="14"/>
      <c r="C123" s="14"/>
      <c r="D123" s="14"/>
      <c r="E123" s="14"/>
      <c r="F123" s="14"/>
      <c r="G123" s="14"/>
      <c r="H123" s="14"/>
      <c r="I123" s="14"/>
      <c r="J123" s="14"/>
      <c r="K123" s="14"/>
      <c r="L123" s="14"/>
    </row>
    <row r="124" spans="1:12" x14ac:dyDescent="0.25">
      <c r="A124" s="14"/>
      <c r="B124" s="14"/>
      <c r="C124" s="14"/>
      <c r="D124" s="14"/>
      <c r="E124" s="14"/>
      <c r="F124" s="14"/>
      <c r="G124" s="14"/>
      <c r="H124" s="14"/>
      <c r="I124" s="14"/>
      <c r="J124" s="14"/>
      <c r="K124" s="14"/>
      <c r="L124" s="14"/>
    </row>
    <row r="125" spans="1:12" x14ac:dyDescent="0.25">
      <c r="A125" s="14"/>
      <c r="B125" s="14"/>
      <c r="C125" s="14"/>
      <c r="D125" s="14"/>
      <c r="E125" s="14"/>
      <c r="F125" s="14"/>
      <c r="G125" s="14"/>
      <c r="H125" s="14"/>
      <c r="I125" s="14"/>
      <c r="J125" s="14"/>
      <c r="K125" s="14"/>
      <c r="L125" s="14"/>
    </row>
    <row r="126" spans="1:12" x14ac:dyDescent="0.25">
      <c r="A126" s="14"/>
      <c r="B126" s="14"/>
      <c r="C126" s="14"/>
      <c r="D126" s="14"/>
      <c r="E126" s="14"/>
      <c r="F126" s="14"/>
      <c r="G126" s="14"/>
      <c r="H126" s="14"/>
      <c r="I126" s="14"/>
      <c r="J126" s="14"/>
      <c r="K126" s="14"/>
      <c r="L126" s="14"/>
    </row>
    <row r="127" spans="1:12" x14ac:dyDescent="0.25">
      <c r="A127" s="14"/>
      <c r="B127" s="14"/>
      <c r="C127" s="14"/>
      <c r="D127" s="14"/>
      <c r="E127" s="14"/>
      <c r="F127" s="14"/>
      <c r="G127" s="14"/>
      <c r="H127" s="14"/>
      <c r="I127" s="14"/>
      <c r="J127" s="14"/>
      <c r="K127" s="14"/>
      <c r="L127" s="14"/>
    </row>
    <row r="128" spans="1:12" x14ac:dyDescent="0.25">
      <c r="A128" s="14"/>
      <c r="B128" s="14"/>
      <c r="C128" s="14"/>
      <c r="D128" s="14"/>
      <c r="E128" s="14"/>
      <c r="F128" s="14"/>
      <c r="G128" s="14"/>
      <c r="H128" s="14"/>
      <c r="I128" s="14"/>
      <c r="J128" s="14"/>
      <c r="K128" s="14"/>
      <c r="L128" s="14"/>
    </row>
    <row r="129" spans="1:12" x14ac:dyDescent="0.25">
      <c r="A129" s="14"/>
      <c r="B129" s="14"/>
      <c r="C129" s="14"/>
      <c r="D129" s="14"/>
      <c r="E129" s="14"/>
      <c r="F129" s="14"/>
      <c r="G129" s="14"/>
      <c r="H129" s="14"/>
      <c r="I129" s="14"/>
      <c r="J129" s="14"/>
      <c r="K129" s="14"/>
      <c r="L129" s="14"/>
    </row>
    <row r="130" spans="1:12" x14ac:dyDescent="0.25">
      <c r="A130" s="14"/>
      <c r="B130" s="14"/>
      <c r="C130" s="14"/>
      <c r="D130" s="14"/>
      <c r="E130" s="14"/>
      <c r="F130" s="14"/>
      <c r="G130" s="14"/>
      <c r="H130" s="14"/>
      <c r="I130" s="14"/>
      <c r="J130" s="14"/>
      <c r="K130" s="14"/>
      <c r="L130" s="14"/>
    </row>
    <row r="131" spans="1:12" x14ac:dyDescent="0.25">
      <c r="A131" s="14"/>
      <c r="B131" s="14"/>
      <c r="C131" s="14"/>
      <c r="D131" s="14"/>
      <c r="E131" s="14"/>
      <c r="F131" s="14"/>
      <c r="G131" s="14"/>
      <c r="H131" s="14"/>
      <c r="I131" s="14"/>
      <c r="J131" s="14"/>
      <c r="K131" s="14"/>
      <c r="L131" s="14"/>
    </row>
    <row r="132" spans="1:12" x14ac:dyDescent="0.25">
      <c r="A132" s="14"/>
      <c r="B132" s="14"/>
      <c r="C132" s="14"/>
      <c r="D132" s="14"/>
      <c r="E132" s="14"/>
      <c r="F132" s="14"/>
      <c r="G132" s="14"/>
      <c r="H132" s="14"/>
      <c r="I132" s="14"/>
      <c r="J132" s="14"/>
      <c r="K132" s="14"/>
      <c r="L132" s="14"/>
    </row>
    <row r="133" spans="1:12" x14ac:dyDescent="0.25">
      <c r="A133" s="14"/>
      <c r="B133" s="14"/>
      <c r="C133" s="14"/>
      <c r="D133" s="14"/>
      <c r="E133" s="14"/>
      <c r="F133" s="14"/>
      <c r="G133" s="14"/>
      <c r="H133" s="14"/>
      <c r="I133" s="14"/>
      <c r="J133" s="14"/>
      <c r="K133" s="14"/>
      <c r="L133" s="14"/>
    </row>
    <row r="134" spans="1:12" x14ac:dyDescent="0.25">
      <c r="A134" s="14"/>
      <c r="B134" s="14"/>
      <c r="C134" s="14"/>
      <c r="D134" s="14"/>
      <c r="E134" s="14"/>
      <c r="F134" s="14"/>
      <c r="G134" s="14"/>
      <c r="H134" s="14"/>
      <c r="I134" s="14"/>
      <c r="J134" s="14"/>
      <c r="K134" s="14"/>
      <c r="L134" s="14"/>
    </row>
    <row r="135" spans="1:12" x14ac:dyDescent="0.25">
      <c r="A135" s="14"/>
      <c r="B135" s="14"/>
      <c r="C135" s="14"/>
      <c r="D135" s="14"/>
      <c r="E135" s="14"/>
      <c r="F135" s="14"/>
      <c r="G135" s="14"/>
      <c r="H135" s="14"/>
      <c r="I135" s="14"/>
      <c r="J135" s="14"/>
      <c r="K135" s="14"/>
      <c r="L135" s="14"/>
    </row>
    <row r="136" spans="1:12" x14ac:dyDescent="0.25">
      <c r="A136" s="14"/>
      <c r="B136" s="14"/>
      <c r="C136" s="14"/>
      <c r="D136" s="14"/>
      <c r="E136" s="14"/>
      <c r="F136" s="14"/>
      <c r="G136" s="14"/>
      <c r="H136" s="14"/>
      <c r="I136" s="14"/>
      <c r="J136" s="14"/>
      <c r="K136" s="14"/>
      <c r="L136" s="14"/>
    </row>
    <row r="137" spans="1:12" x14ac:dyDescent="0.25">
      <c r="A137" s="14"/>
      <c r="B137" s="14"/>
      <c r="C137" s="14"/>
      <c r="D137" s="14"/>
      <c r="E137" s="14"/>
      <c r="F137" s="14"/>
      <c r="G137" s="14"/>
      <c r="H137" s="14"/>
      <c r="I137" s="14"/>
      <c r="J137" s="14"/>
      <c r="K137" s="14"/>
      <c r="L137" s="14"/>
    </row>
    <row r="138" spans="1:12" x14ac:dyDescent="0.25">
      <c r="A138" s="14"/>
      <c r="B138" s="14"/>
      <c r="C138" s="14"/>
      <c r="D138" s="14"/>
      <c r="E138" s="14"/>
      <c r="F138" s="14"/>
      <c r="G138" s="14"/>
      <c r="H138" s="14"/>
      <c r="I138" s="14"/>
      <c r="J138" s="14"/>
      <c r="K138" s="14"/>
      <c r="L138" s="14"/>
    </row>
    <row r="139" spans="1:12" x14ac:dyDescent="0.25">
      <c r="A139" s="14"/>
      <c r="B139" s="14"/>
      <c r="C139" s="14"/>
      <c r="D139" s="14"/>
      <c r="E139" s="14"/>
      <c r="F139" s="14"/>
      <c r="G139" s="14"/>
      <c r="H139" s="14"/>
      <c r="I139" s="14"/>
      <c r="J139" s="14"/>
      <c r="K139" s="14"/>
      <c r="L139" s="14"/>
    </row>
    <row r="140" spans="1:12" x14ac:dyDescent="0.25">
      <c r="A140" s="14"/>
      <c r="B140" s="14"/>
      <c r="C140" s="14"/>
      <c r="D140" s="14"/>
      <c r="E140" s="14"/>
      <c r="F140" s="14"/>
      <c r="G140" s="14"/>
      <c r="H140" s="14"/>
      <c r="I140" s="14"/>
      <c r="J140" s="14"/>
      <c r="K140" s="14"/>
      <c r="L140" s="14"/>
    </row>
    <row r="141" spans="1:12" x14ac:dyDescent="0.25">
      <c r="A141" s="14"/>
      <c r="B141" s="14"/>
      <c r="C141" s="14"/>
      <c r="D141" s="14"/>
      <c r="E141" s="14"/>
      <c r="F141" s="14"/>
      <c r="G141" s="14"/>
      <c r="H141" s="14"/>
      <c r="I141" s="14"/>
      <c r="J141" s="14"/>
      <c r="K141" s="14"/>
      <c r="L141" s="14"/>
    </row>
    <row r="142" spans="1:12" x14ac:dyDescent="0.25">
      <c r="A142" s="14"/>
      <c r="B142" s="14"/>
      <c r="C142" s="14"/>
      <c r="D142" s="14"/>
      <c r="E142" s="14"/>
      <c r="F142" s="14"/>
      <c r="G142" s="14"/>
      <c r="H142" s="14"/>
      <c r="I142" s="14"/>
      <c r="J142" s="14"/>
      <c r="K142" s="14"/>
      <c r="L142" s="14"/>
    </row>
    <row r="143" spans="1:12" x14ac:dyDescent="0.25">
      <c r="A143" s="14"/>
      <c r="B143" s="14"/>
      <c r="C143" s="14"/>
      <c r="D143" s="14"/>
      <c r="E143" s="14"/>
      <c r="F143" s="14"/>
      <c r="G143" s="14"/>
      <c r="H143" s="14"/>
      <c r="I143" s="14"/>
      <c r="J143" s="14"/>
      <c r="K143" s="14"/>
      <c r="L143" s="14"/>
    </row>
    <row r="144" spans="1:12" x14ac:dyDescent="0.25">
      <c r="A144" s="14"/>
      <c r="B144" s="14"/>
      <c r="C144" s="14"/>
      <c r="D144" s="14"/>
      <c r="E144" s="14"/>
      <c r="F144" s="14"/>
      <c r="G144" s="14"/>
      <c r="H144" s="14"/>
      <c r="I144" s="14"/>
      <c r="J144" s="14"/>
      <c r="K144" s="14"/>
      <c r="L144" s="14"/>
    </row>
    <row r="145" spans="1:12" x14ac:dyDescent="0.25">
      <c r="A145" s="14"/>
      <c r="B145" s="14"/>
      <c r="C145" s="14"/>
      <c r="D145" s="14"/>
      <c r="E145" s="14"/>
      <c r="F145" s="14"/>
      <c r="G145" s="14"/>
      <c r="H145" s="14"/>
      <c r="I145" s="14"/>
      <c r="J145" s="14"/>
      <c r="K145" s="14"/>
      <c r="L145" s="14"/>
    </row>
    <row r="146" spans="1:12" x14ac:dyDescent="0.25">
      <c r="A146" s="14"/>
      <c r="B146" s="14"/>
      <c r="C146" s="14"/>
      <c r="D146" s="14"/>
      <c r="E146" s="14"/>
      <c r="F146" s="14"/>
      <c r="G146" s="14"/>
      <c r="H146" s="14"/>
      <c r="I146" s="14"/>
      <c r="J146" s="14"/>
      <c r="K146" s="14"/>
      <c r="L146" s="14"/>
    </row>
    <row r="147" spans="1:12" x14ac:dyDescent="0.25">
      <c r="A147" s="14"/>
      <c r="B147" s="14"/>
      <c r="C147" s="14"/>
      <c r="D147" s="14"/>
      <c r="E147" s="14"/>
      <c r="F147" s="14"/>
      <c r="G147" s="14"/>
      <c r="H147" s="14"/>
      <c r="I147" s="14"/>
      <c r="J147" s="14"/>
      <c r="K147" s="14"/>
      <c r="L147" s="14"/>
    </row>
    <row r="148" spans="1:12" x14ac:dyDescent="0.25">
      <c r="A148" s="14"/>
      <c r="B148" s="14"/>
      <c r="C148" s="14"/>
      <c r="D148" s="14"/>
      <c r="E148" s="14"/>
      <c r="F148" s="14"/>
      <c r="G148" s="14"/>
      <c r="H148" s="14"/>
      <c r="I148" s="14"/>
      <c r="J148" s="14"/>
      <c r="K148" s="14"/>
      <c r="L148" s="14"/>
    </row>
    <row r="149" spans="1:12" x14ac:dyDescent="0.25">
      <c r="A149" s="14"/>
      <c r="B149" s="14"/>
      <c r="C149" s="14"/>
      <c r="D149" s="14"/>
      <c r="E149" s="14"/>
      <c r="F149" s="14"/>
      <c r="G149" s="14"/>
      <c r="H149" s="14"/>
      <c r="I149" s="14"/>
      <c r="J149" s="14"/>
      <c r="K149" s="14"/>
      <c r="L149" s="14"/>
    </row>
    <row r="150" spans="1:12" x14ac:dyDescent="0.25">
      <c r="A150" s="14"/>
      <c r="B150" s="14"/>
      <c r="C150" s="14"/>
      <c r="D150" s="14"/>
      <c r="E150" s="14"/>
      <c r="F150" s="14"/>
      <c r="G150" s="14"/>
      <c r="H150" s="14"/>
      <c r="I150" s="14"/>
      <c r="J150" s="14"/>
      <c r="K150" s="14"/>
      <c r="L150" s="14"/>
    </row>
    <row r="151" spans="1:12" x14ac:dyDescent="0.25">
      <c r="A151" s="14"/>
      <c r="B151" s="14"/>
      <c r="C151" s="14"/>
      <c r="D151" s="14"/>
      <c r="E151" s="14"/>
      <c r="F151" s="14"/>
      <c r="G151" s="14"/>
      <c r="H151" s="14"/>
      <c r="I151" s="14"/>
      <c r="J151" s="14"/>
      <c r="K151" s="14"/>
      <c r="L151" s="14"/>
    </row>
    <row r="152" spans="1:12" x14ac:dyDescent="0.25">
      <c r="A152" s="14"/>
      <c r="B152" s="14"/>
      <c r="C152" s="14"/>
      <c r="D152" s="14"/>
      <c r="E152" s="14"/>
      <c r="F152" s="14"/>
      <c r="G152" s="14"/>
      <c r="H152" s="14"/>
      <c r="I152" s="14"/>
      <c r="J152" s="14"/>
      <c r="K152" s="14"/>
      <c r="L152" s="14"/>
    </row>
    <row r="153" spans="1:12" x14ac:dyDescent="0.25">
      <c r="A153" s="14"/>
      <c r="B153" s="14"/>
      <c r="C153" s="14"/>
      <c r="D153" s="14"/>
      <c r="E153" s="14"/>
      <c r="F153" s="14"/>
      <c r="G153" s="14"/>
      <c r="H153" s="14"/>
      <c r="I153" s="14"/>
      <c r="J153" s="14"/>
      <c r="K153" s="14"/>
      <c r="L153" s="14"/>
    </row>
    <row r="154" spans="1:12" x14ac:dyDescent="0.25">
      <c r="A154" s="14"/>
      <c r="B154" s="14"/>
      <c r="C154" s="14"/>
      <c r="D154" s="14"/>
      <c r="E154" s="14"/>
      <c r="F154" s="14"/>
      <c r="G154" s="14"/>
      <c r="H154" s="14"/>
      <c r="I154" s="14"/>
      <c r="J154" s="14"/>
      <c r="K154" s="14"/>
      <c r="L154" s="14"/>
    </row>
    <row r="155" spans="1:12" x14ac:dyDescent="0.25">
      <c r="A155" s="14"/>
      <c r="B155" s="14"/>
      <c r="C155" s="14"/>
      <c r="D155" s="14"/>
      <c r="E155" s="14"/>
      <c r="F155" s="14"/>
      <c r="G155" s="14"/>
      <c r="H155" s="14"/>
      <c r="I155" s="14"/>
      <c r="J155" s="14"/>
      <c r="K155" s="14"/>
      <c r="L155" s="14"/>
    </row>
    <row r="156" spans="1:12" x14ac:dyDescent="0.25">
      <c r="A156" s="14"/>
      <c r="B156" s="14"/>
      <c r="C156" s="14"/>
      <c r="D156" s="14"/>
      <c r="E156" s="14"/>
      <c r="F156" s="14"/>
      <c r="G156" s="14"/>
      <c r="H156" s="14"/>
      <c r="I156" s="14"/>
      <c r="J156" s="14"/>
      <c r="K156" s="14"/>
      <c r="L156" s="14"/>
    </row>
    <row r="157" spans="1:12" x14ac:dyDescent="0.25">
      <c r="A157" s="14"/>
      <c r="B157" s="14"/>
      <c r="C157" s="14"/>
      <c r="D157" s="14"/>
      <c r="E157" s="14"/>
      <c r="F157" s="14"/>
      <c r="G157" s="14"/>
      <c r="H157" s="14"/>
      <c r="I157" s="14"/>
      <c r="J157" s="14"/>
      <c r="K157" s="14"/>
      <c r="L157" s="14"/>
    </row>
    <row r="158" spans="1:12" x14ac:dyDescent="0.25">
      <c r="A158" s="14"/>
      <c r="B158" s="14"/>
      <c r="C158" s="14"/>
      <c r="D158" s="14"/>
      <c r="E158" s="14"/>
      <c r="F158" s="14"/>
      <c r="G158" s="14"/>
      <c r="H158" s="14"/>
      <c r="I158" s="14"/>
      <c r="J158" s="14"/>
      <c r="K158" s="14"/>
      <c r="L158" s="14"/>
    </row>
    <row r="159" spans="1:12" x14ac:dyDescent="0.25">
      <c r="A159" s="14"/>
      <c r="B159" s="14"/>
      <c r="C159" s="14"/>
      <c r="D159" s="14"/>
      <c r="E159" s="14"/>
      <c r="F159" s="14"/>
      <c r="G159" s="14"/>
      <c r="H159" s="14"/>
      <c r="I159" s="14"/>
      <c r="J159" s="14"/>
      <c r="K159" s="14"/>
      <c r="L159" s="14"/>
    </row>
    <row r="160" spans="1:12" x14ac:dyDescent="0.25">
      <c r="A160" s="14"/>
      <c r="B160" s="14"/>
      <c r="C160" s="14"/>
      <c r="D160" s="14"/>
      <c r="E160" s="14"/>
      <c r="F160" s="14"/>
      <c r="G160" s="14"/>
      <c r="H160" s="14"/>
      <c r="I160" s="14"/>
      <c r="J160" s="14"/>
      <c r="K160" s="14"/>
      <c r="L160" s="14"/>
    </row>
    <row r="161" spans="1:12" x14ac:dyDescent="0.25">
      <c r="A161" s="14"/>
      <c r="B161" s="14"/>
      <c r="C161" s="14"/>
      <c r="D161" s="14"/>
      <c r="E161" s="14"/>
      <c r="F161" s="14"/>
      <c r="G161" s="14"/>
      <c r="H161" s="14"/>
      <c r="I161" s="14"/>
      <c r="J161" s="14"/>
      <c r="K161" s="14"/>
      <c r="L161" s="14"/>
    </row>
    <row r="162" spans="1:12" x14ac:dyDescent="0.25">
      <c r="A162" s="14"/>
      <c r="B162" s="14"/>
      <c r="C162" s="14"/>
      <c r="D162" s="14"/>
      <c r="E162" s="14"/>
      <c r="F162" s="14"/>
      <c r="G162" s="14"/>
      <c r="H162" s="14"/>
      <c r="I162" s="14"/>
      <c r="J162" s="14"/>
      <c r="K162" s="14"/>
      <c r="L162" s="14"/>
    </row>
    <row r="163" spans="1:12" x14ac:dyDescent="0.25">
      <c r="A163" s="14"/>
      <c r="B163" s="14"/>
      <c r="C163" s="14"/>
      <c r="D163" s="14"/>
      <c r="E163" s="14"/>
      <c r="F163" s="14"/>
      <c r="G163" s="14"/>
      <c r="H163" s="14"/>
      <c r="I163" s="14"/>
      <c r="J163" s="14"/>
      <c r="K163" s="14"/>
      <c r="L163" s="14"/>
    </row>
    <row r="164" spans="1:12" x14ac:dyDescent="0.25">
      <c r="A164" s="14"/>
      <c r="B164" s="14"/>
      <c r="C164" s="14"/>
      <c r="D164" s="14"/>
      <c r="E164" s="14"/>
      <c r="F164" s="14"/>
      <c r="G164" s="14"/>
      <c r="H164" s="14"/>
      <c r="I164" s="14"/>
      <c r="J164" s="14"/>
      <c r="K164" s="14"/>
      <c r="L164" s="14"/>
    </row>
    <row r="165" spans="1:12" x14ac:dyDescent="0.25">
      <c r="A165" s="14"/>
      <c r="B165" s="14"/>
      <c r="C165" s="14"/>
      <c r="D165" s="14"/>
      <c r="E165" s="14"/>
      <c r="F165" s="14"/>
      <c r="G165" s="14"/>
      <c r="H165" s="14"/>
      <c r="I165" s="14"/>
      <c r="J165" s="14"/>
      <c r="K165" s="14"/>
      <c r="L165" s="14"/>
    </row>
    <row r="166" spans="1:12" x14ac:dyDescent="0.25">
      <c r="A166" s="14"/>
      <c r="B166" s="14"/>
      <c r="C166" s="14"/>
      <c r="D166" s="14"/>
      <c r="E166" s="14"/>
      <c r="F166" s="14"/>
      <c r="G166" s="14"/>
      <c r="H166" s="14"/>
      <c r="I166" s="14"/>
      <c r="J166" s="14"/>
      <c r="K166" s="14"/>
      <c r="L166" s="14"/>
    </row>
    <row r="167" spans="1:12" x14ac:dyDescent="0.25">
      <c r="A167" s="14"/>
      <c r="B167" s="14"/>
      <c r="C167" s="14"/>
      <c r="D167" s="14"/>
      <c r="E167" s="14"/>
      <c r="F167" s="14"/>
      <c r="G167" s="14"/>
      <c r="H167" s="14"/>
      <c r="I167" s="14"/>
      <c r="J167" s="14"/>
      <c r="K167" s="14"/>
      <c r="L167" s="14"/>
    </row>
    <row r="168" spans="1:12" x14ac:dyDescent="0.25">
      <c r="A168" s="14"/>
      <c r="B168" s="14"/>
      <c r="C168" s="14"/>
      <c r="D168" s="14"/>
      <c r="E168" s="14"/>
      <c r="F168" s="14"/>
      <c r="G168" s="14"/>
      <c r="H168" s="14"/>
      <c r="I168" s="14"/>
      <c r="J168" s="14"/>
      <c r="K168" s="14"/>
      <c r="L168" s="14"/>
    </row>
    <row r="169" spans="1:12" x14ac:dyDescent="0.25">
      <c r="A169" s="14"/>
      <c r="B169" s="14"/>
      <c r="C169" s="14"/>
      <c r="D169" s="14"/>
      <c r="E169" s="14"/>
      <c r="F169" s="14"/>
      <c r="G169" s="14"/>
      <c r="H169" s="14"/>
      <c r="I169" s="14"/>
      <c r="J169" s="14"/>
      <c r="K169" s="14"/>
      <c r="L169" s="14"/>
    </row>
    <row r="170" spans="1:12" x14ac:dyDescent="0.25">
      <c r="A170" s="14"/>
      <c r="B170" s="14"/>
      <c r="C170" s="14"/>
      <c r="D170" s="14"/>
      <c r="E170" s="14"/>
      <c r="F170" s="14"/>
      <c r="G170" s="14"/>
      <c r="H170" s="14"/>
      <c r="I170" s="14"/>
      <c r="J170" s="14"/>
      <c r="K170" s="14"/>
      <c r="L170" s="14"/>
    </row>
    <row r="171" spans="1:12" x14ac:dyDescent="0.25">
      <c r="A171" s="14"/>
      <c r="B171" s="14"/>
      <c r="C171" s="14"/>
      <c r="D171" s="14"/>
      <c r="E171" s="14"/>
      <c r="F171" s="14"/>
      <c r="G171" s="14"/>
      <c r="H171" s="14"/>
      <c r="I171" s="14"/>
      <c r="J171" s="14"/>
      <c r="K171" s="14"/>
      <c r="L171" s="14"/>
    </row>
    <row r="172" spans="1:12" x14ac:dyDescent="0.25">
      <c r="A172" s="14"/>
      <c r="B172" s="14"/>
      <c r="C172" s="14"/>
      <c r="D172" s="14"/>
      <c r="E172" s="14"/>
      <c r="F172" s="14"/>
      <c r="G172" s="14"/>
      <c r="H172" s="14"/>
      <c r="I172" s="14"/>
      <c r="J172" s="14"/>
      <c r="K172" s="14"/>
      <c r="L172" s="14"/>
    </row>
    <row r="173" spans="1:12" x14ac:dyDescent="0.25">
      <c r="A173" s="14"/>
      <c r="B173" s="14"/>
      <c r="C173" s="14"/>
      <c r="D173" s="14"/>
      <c r="E173" s="14"/>
      <c r="F173" s="14"/>
      <c r="G173" s="14"/>
      <c r="H173" s="14"/>
      <c r="I173" s="14"/>
      <c r="J173" s="14"/>
      <c r="K173" s="14"/>
      <c r="L173" s="14"/>
    </row>
    <row r="174" spans="1:12" x14ac:dyDescent="0.25">
      <c r="A174" s="14"/>
      <c r="B174" s="14"/>
      <c r="C174" s="14"/>
      <c r="D174" s="14"/>
      <c r="E174" s="14"/>
      <c r="F174" s="14"/>
      <c r="G174" s="14"/>
      <c r="H174" s="14"/>
      <c r="I174" s="14"/>
      <c r="J174" s="14"/>
      <c r="K174" s="14"/>
      <c r="L174" s="14"/>
    </row>
    <row r="175" spans="1:12" x14ac:dyDescent="0.25">
      <c r="A175" s="14"/>
      <c r="B175" s="14"/>
      <c r="C175" s="14"/>
      <c r="D175" s="14"/>
      <c r="E175" s="14"/>
      <c r="F175" s="14"/>
      <c r="G175" s="14"/>
      <c r="H175" s="14"/>
      <c r="I175" s="14"/>
      <c r="J175" s="14"/>
      <c r="K175" s="14"/>
      <c r="L175" s="14"/>
    </row>
    <row r="176" spans="1:12" x14ac:dyDescent="0.25">
      <c r="A176" s="14"/>
      <c r="B176" s="14"/>
      <c r="C176" s="14"/>
      <c r="D176" s="14"/>
      <c r="E176" s="14"/>
      <c r="F176" s="14"/>
      <c r="G176" s="14"/>
      <c r="H176" s="14"/>
      <c r="I176" s="14"/>
      <c r="J176" s="14"/>
      <c r="K176" s="14"/>
      <c r="L176" s="14"/>
    </row>
    <row r="177" spans="1:12" x14ac:dyDescent="0.25">
      <c r="A177" s="14"/>
      <c r="B177" s="14"/>
      <c r="C177" s="14"/>
      <c r="D177" s="14"/>
      <c r="E177" s="14"/>
      <c r="F177" s="14"/>
      <c r="G177" s="14"/>
      <c r="H177" s="14"/>
      <c r="I177" s="14"/>
      <c r="J177" s="14"/>
      <c r="K177" s="14"/>
      <c r="L177" s="14"/>
    </row>
    <row r="178" spans="1:12" x14ac:dyDescent="0.25">
      <c r="A178" s="14"/>
      <c r="B178" s="14"/>
      <c r="C178" s="14"/>
      <c r="D178" s="14"/>
      <c r="E178" s="14"/>
      <c r="F178" s="14"/>
      <c r="G178" s="14"/>
      <c r="H178" s="14"/>
      <c r="I178" s="14"/>
      <c r="J178" s="14"/>
      <c r="K178" s="14"/>
      <c r="L178" s="14"/>
    </row>
    <row r="179" spans="1:12" x14ac:dyDescent="0.25">
      <c r="A179" s="14"/>
      <c r="B179" s="14"/>
      <c r="C179" s="14"/>
      <c r="D179" s="14"/>
      <c r="E179" s="14"/>
      <c r="F179" s="14"/>
      <c r="G179" s="14"/>
      <c r="H179" s="14"/>
      <c r="I179" s="14"/>
      <c r="J179" s="14"/>
      <c r="K179" s="14"/>
      <c r="L179" s="14"/>
    </row>
    <row r="180" spans="1:12" x14ac:dyDescent="0.25">
      <c r="A180" s="14"/>
      <c r="B180" s="14"/>
      <c r="C180" s="14"/>
      <c r="D180" s="14"/>
      <c r="E180" s="14"/>
      <c r="F180" s="14"/>
      <c r="G180" s="14"/>
      <c r="H180" s="14"/>
      <c r="I180" s="14"/>
      <c r="J180" s="14"/>
      <c r="K180" s="14"/>
      <c r="L180" s="14"/>
    </row>
    <row r="181" spans="1:12" x14ac:dyDescent="0.25">
      <c r="A181" s="14"/>
      <c r="B181" s="14"/>
      <c r="C181" s="14"/>
      <c r="D181" s="14"/>
      <c r="E181" s="14"/>
      <c r="F181" s="14"/>
      <c r="G181" s="14"/>
      <c r="H181" s="14"/>
      <c r="I181" s="14"/>
      <c r="J181" s="14"/>
      <c r="K181" s="14"/>
      <c r="L181" s="14"/>
    </row>
    <row r="182" spans="1:12" x14ac:dyDescent="0.25">
      <c r="A182" s="14"/>
      <c r="B182" s="14"/>
      <c r="C182" s="14"/>
      <c r="D182" s="14"/>
      <c r="E182" s="14"/>
      <c r="F182" s="14"/>
      <c r="G182" s="14"/>
      <c r="H182" s="14"/>
      <c r="I182" s="14"/>
      <c r="J182" s="14"/>
      <c r="K182" s="14"/>
      <c r="L182" s="14"/>
    </row>
    <row r="183" spans="1:12" x14ac:dyDescent="0.25">
      <c r="A183" s="14"/>
      <c r="B183" s="14"/>
      <c r="C183" s="14"/>
      <c r="D183" s="14"/>
      <c r="E183" s="14"/>
      <c r="F183" s="14"/>
      <c r="G183" s="14"/>
      <c r="H183" s="14"/>
      <c r="I183" s="14"/>
      <c r="J183" s="14"/>
      <c r="K183" s="14"/>
      <c r="L183" s="14"/>
    </row>
    <row r="184" spans="1:12" x14ac:dyDescent="0.25">
      <c r="A184" s="14"/>
      <c r="B184" s="14"/>
      <c r="C184" s="14"/>
      <c r="D184" s="14"/>
      <c r="E184" s="14"/>
      <c r="F184" s="14"/>
      <c r="G184" s="14"/>
      <c r="H184" s="14"/>
      <c r="I184" s="14"/>
      <c r="J184" s="14"/>
      <c r="K184" s="14"/>
      <c r="L184" s="14"/>
    </row>
    <row r="185" spans="1:12" x14ac:dyDescent="0.25">
      <c r="A185" s="14"/>
      <c r="B185" s="14"/>
      <c r="C185" s="14"/>
      <c r="D185" s="14"/>
      <c r="E185" s="14"/>
      <c r="F185" s="14"/>
      <c r="G185" s="14"/>
      <c r="H185" s="14"/>
      <c r="I185" s="14"/>
      <c r="J185" s="14"/>
      <c r="K185" s="14"/>
      <c r="L185" s="14"/>
    </row>
    <row r="186" spans="1:12" x14ac:dyDescent="0.25">
      <c r="A186" s="14"/>
      <c r="B186" s="14"/>
      <c r="C186" s="14"/>
      <c r="D186" s="14"/>
      <c r="E186" s="14"/>
      <c r="F186" s="14"/>
      <c r="G186" s="14"/>
      <c r="H186" s="14"/>
      <c r="I186" s="14"/>
      <c r="J186" s="14"/>
      <c r="K186" s="14"/>
      <c r="L186" s="14"/>
    </row>
    <row r="187" spans="1:12" x14ac:dyDescent="0.25">
      <c r="A187" s="14"/>
      <c r="B187" s="14"/>
      <c r="C187" s="14"/>
      <c r="D187" s="14"/>
      <c r="E187" s="14"/>
      <c r="F187" s="14"/>
      <c r="G187" s="14"/>
      <c r="H187" s="14"/>
      <c r="I187" s="14"/>
      <c r="J187" s="14"/>
      <c r="K187" s="14"/>
      <c r="L187" s="14"/>
    </row>
    <row r="188" spans="1:12" x14ac:dyDescent="0.25">
      <c r="A188" s="14"/>
      <c r="B188" s="14"/>
      <c r="C188" s="14"/>
      <c r="D188" s="14"/>
      <c r="E188" s="14"/>
      <c r="F188" s="14"/>
      <c r="G188" s="14"/>
      <c r="H188" s="14"/>
      <c r="I188" s="14"/>
      <c r="J188" s="14"/>
      <c r="K188" s="14"/>
      <c r="L188" s="14"/>
    </row>
    <row r="189" spans="1:12" x14ac:dyDescent="0.25">
      <c r="A189" s="14"/>
      <c r="B189" s="14"/>
      <c r="C189" s="14"/>
      <c r="D189" s="14"/>
      <c r="E189" s="14"/>
      <c r="F189" s="14"/>
      <c r="G189" s="14"/>
      <c r="H189" s="14"/>
      <c r="I189" s="14"/>
      <c r="J189" s="14"/>
      <c r="K189" s="14"/>
      <c r="L189" s="14"/>
    </row>
    <row r="190" spans="1:12" x14ac:dyDescent="0.25">
      <c r="A190" s="14"/>
      <c r="B190" s="14"/>
      <c r="C190" s="14"/>
      <c r="D190" s="14"/>
      <c r="E190" s="14"/>
      <c r="F190" s="14"/>
      <c r="G190" s="14"/>
      <c r="H190" s="14"/>
      <c r="I190" s="14"/>
      <c r="J190" s="14"/>
      <c r="K190" s="14"/>
      <c r="L190" s="14"/>
    </row>
    <row r="191" spans="1:12" x14ac:dyDescent="0.25">
      <c r="A191" s="14"/>
      <c r="B191" s="14"/>
      <c r="C191" s="14"/>
      <c r="D191" s="14"/>
      <c r="E191" s="14"/>
      <c r="F191" s="14"/>
      <c r="G191" s="14"/>
      <c r="H191" s="14"/>
      <c r="I191" s="14"/>
      <c r="J191" s="14"/>
      <c r="K191" s="14"/>
      <c r="L191" s="14"/>
    </row>
    <row r="192" spans="1:12" x14ac:dyDescent="0.25">
      <c r="A192" s="14"/>
      <c r="B192" s="14"/>
      <c r="C192" s="14"/>
      <c r="D192" s="14"/>
      <c r="E192" s="14"/>
      <c r="F192" s="14"/>
      <c r="G192" s="14"/>
      <c r="H192" s="14"/>
      <c r="I192" s="14"/>
      <c r="J192" s="14"/>
      <c r="K192" s="14"/>
      <c r="L192" s="14"/>
    </row>
    <row r="193" spans="1:12" x14ac:dyDescent="0.25">
      <c r="A193" s="14"/>
      <c r="B193" s="14"/>
      <c r="C193" s="14"/>
      <c r="D193" s="14"/>
      <c r="E193" s="14"/>
      <c r="F193" s="14"/>
      <c r="G193" s="14"/>
      <c r="H193" s="14"/>
      <c r="I193" s="14"/>
      <c r="J193" s="14"/>
      <c r="K193" s="14"/>
      <c r="L193" s="14"/>
    </row>
    <row r="194" spans="1:12" x14ac:dyDescent="0.25">
      <c r="A194" s="14"/>
      <c r="B194" s="14"/>
      <c r="C194" s="14"/>
      <c r="D194" s="14"/>
      <c r="E194" s="14"/>
      <c r="F194" s="14"/>
      <c r="G194" s="14"/>
      <c r="H194" s="14"/>
      <c r="I194" s="14"/>
      <c r="J194" s="14"/>
      <c r="K194" s="14"/>
      <c r="L194" s="14"/>
    </row>
    <row r="195" spans="1:12" x14ac:dyDescent="0.25">
      <c r="A195" s="14"/>
      <c r="B195" s="14"/>
      <c r="C195" s="14"/>
      <c r="D195" s="14"/>
      <c r="E195" s="14"/>
      <c r="F195" s="14"/>
      <c r="G195" s="14"/>
      <c r="H195" s="14"/>
      <c r="I195" s="14"/>
      <c r="J195" s="14"/>
      <c r="K195" s="14"/>
      <c r="L195" s="14"/>
    </row>
    <row r="196" spans="1:12" x14ac:dyDescent="0.25">
      <c r="A196" s="14"/>
      <c r="B196" s="14"/>
      <c r="C196" s="14"/>
      <c r="D196" s="14"/>
      <c r="E196" s="14"/>
      <c r="F196" s="14"/>
      <c r="G196" s="14"/>
      <c r="H196" s="14"/>
      <c r="I196" s="14"/>
      <c r="J196" s="14"/>
      <c r="K196" s="14"/>
      <c r="L196" s="14"/>
    </row>
    <row r="197" spans="1:12" x14ac:dyDescent="0.25">
      <c r="A197" s="14"/>
      <c r="B197" s="14"/>
      <c r="C197" s="14"/>
      <c r="D197" s="14"/>
      <c r="E197" s="14"/>
      <c r="F197" s="14"/>
      <c r="G197" s="14"/>
      <c r="H197" s="14"/>
      <c r="I197" s="14"/>
      <c r="J197" s="14"/>
      <c r="K197" s="14"/>
      <c r="L197" s="14"/>
    </row>
    <row r="198" spans="1:12" x14ac:dyDescent="0.25">
      <c r="A198" s="14"/>
      <c r="B198" s="14"/>
      <c r="C198" s="14"/>
      <c r="D198" s="14"/>
      <c r="E198" s="14"/>
      <c r="F198" s="14"/>
      <c r="G198" s="14"/>
      <c r="H198" s="14"/>
      <c r="I198" s="14"/>
      <c r="J198" s="14"/>
      <c r="K198" s="14"/>
      <c r="L198" s="14"/>
    </row>
    <row r="199" spans="1:12" x14ac:dyDescent="0.25">
      <c r="A199" s="14"/>
      <c r="B199" s="14"/>
      <c r="C199" s="14"/>
      <c r="D199" s="14"/>
      <c r="E199" s="14"/>
      <c r="F199" s="14"/>
      <c r="G199" s="14"/>
      <c r="H199" s="14"/>
      <c r="I199" s="14"/>
      <c r="J199" s="14"/>
      <c r="K199" s="14"/>
      <c r="L199" s="14"/>
    </row>
    <row r="200" spans="1:12" x14ac:dyDescent="0.25">
      <c r="A200" s="14"/>
      <c r="B200" s="14"/>
      <c r="C200" s="14"/>
      <c r="D200" s="14"/>
      <c r="E200" s="14"/>
      <c r="F200" s="14"/>
      <c r="G200" s="14"/>
      <c r="H200" s="14"/>
      <c r="I200" s="14"/>
      <c r="J200" s="14"/>
      <c r="K200" s="14"/>
      <c r="L200" s="14"/>
    </row>
    <row r="201" spans="1:12" x14ac:dyDescent="0.25">
      <c r="A201" s="14"/>
      <c r="B201" s="14"/>
      <c r="C201" s="14"/>
      <c r="D201" s="14"/>
      <c r="E201" s="14"/>
      <c r="F201" s="14"/>
      <c r="G201" s="14"/>
      <c r="H201" s="14"/>
      <c r="I201" s="14"/>
      <c r="J201" s="14"/>
      <c r="K201" s="14"/>
      <c r="L201" s="14"/>
    </row>
    <row r="202" spans="1:12" x14ac:dyDescent="0.25">
      <c r="A202" s="14"/>
      <c r="B202" s="14"/>
      <c r="C202" s="14"/>
      <c r="D202" s="14"/>
      <c r="E202" s="14"/>
      <c r="F202" s="14"/>
      <c r="G202" s="14"/>
      <c r="H202" s="14"/>
      <c r="I202" s="14"/>
      <c r="J202" s="14"/>
      <c r="K202" s="14"/>
      <c r="L202" s="14"/>
    </row>
    <row r="203" spans="1:12" x14ac:dyDescent="0.25">
      <c r="A203" s="14"/>
      <c r="B203" s="14"/>
      <c r="C203" s="14"/>
      <c r="D203" s="14"/>
      <c r="E203" s="14"/>
      <c r="F203" s="14"/>
      <c r="G203" s="14"/>
      <c r="H203" s="14"/>
      <c r="I203" s="14"/>
      <c r="J203" s="14"/>
      <c r="K203" s="14"/>
      <c r="L203" s="14"/>
    </row>
    <row r="204" spans="1:12" x14ac:dyDescent="0.25">
      <c r="A204" s="14"/>
      <c r="B204" s="14"/>
      <c r="C204" s="14"/>
      <c r="D204" s="14"/>
      <c r="E204" s="14"/>
      <c r="F204" s="14"/>
      <c r="G204" s="14"/>
      <c r="H204" s="14"/>
      <c r="I204" s="14"/>
      <c r="J204" s="14"/>
      <c r="K204" s="14"/>
      <c r="L204" s="14"/>
    </row>
    <row r="205" spans="1:12" x14ac:dyDescent="0.25">
      <c r="A205" s="14"/>
      <c r="B205" s="14"/>
      <c r="C205" s="14"/>
      <c r="D205" s="14"/>
      <c r="E205" s="14"/>
      <c r="F205" s="14"/>
      <c r="G205" s="14"/>
      <c r="H205" s="14"/>
      <c r="I205" s="14"/>
      <c r="J205" s="14"/>
      <c r="K205" s="14"/>
      <c r="L205" s="14"/>
    </row>
    <row r="206" spans="1:12" x14ac:dyDescent="0.25">
      <c r="A206" s="14"/>
      <c r="B206" s="14"/>
      <c r="C206" s="14"/>
      <c r="D206" s="14"/>
      <c r="E206" s="14"/>
      <c r="F206" s="14"/>
      <c r="G206" s="14"/>
      <c r="H206" s="14"/>
      <c r="I206" s="14"/>
      <c r="J206" s="14"/>
      <c r="K206" s="14"/>
      <c r="L206" s="14"/>
    </row>
    <row r="207" spans="1:12" x14ac:dyDescent="0.25">
      <c r="A207" s="14"/>
      <c r="B207" s="14"/>
      <c r="C207" s="14"/>
      <c r="D207" s="14"/>
      <c r="E207" s="14"/>
      <c r="F207" s="14"/>
      <c r="G207" s="14"/>
      <c r="H207" s="14"/>
      <c r="I207" s="14"/>
      <c r="J207" s="14"/>
      <c r="K207" s="14"/>
      <c r="L207" s="14"/>
    </row>
    <row r="208" spans="1:12" x14ac:dyDescent="0.25">
      <c r="A208" s="14"/>
      <c r="B208" s="14"/>
      <c r="C208" s="14"/>
      <c r="D208" s="14"/>
      <c r="E208" s="14"/>
      <c r="F208" s="14"/>
      <c r="G208" s="14"/>
      <c r="H208" s="14"/>
      <c r="I208" s="14"/>
      <c r="J208" s="14"/>
      <c r="K208" s="14"/>
      <c r="L208" s="14"/>
    </row>
    <row r="209" spans="1:12" x14ac:dyDescent="0.25">
      <c r="A209" s="14"/>
      <c r="B209" s="14"/>
      <c r="C209" s="14"/>
      <c r="D209" s="14"/>
      <c r="E209" s="14"/>
      <c r="F209" s="14"/>
      <c r="G209" s="14"/>
      <c r="H209" s="14"/>
      <c r="I209" s="14"/>
      <c r="J209" s="14"/>
      <c r="K209" s="14"/>
      <c r="L209" s="14"/>
    </row>
    <row r="210" spans="1:12" x14ac:dyDescent="0.25">
      <c r="A210" s="14"/>
      <c r="B210" s="14"/>
      <c r="C210" s="14"/>
      <c r="D210" s="14"/>
      <c r="E210" s="14"/>
      <c r="F210" s="14"/>
      <c r="G210" s="14"/>
      <c r="H210" s="14"/>
      <c r="I210" s="14"/>
      <c r="J210" s="14"/>
      <c r="K210" s="14"/>
      <c r="L210" s="14"/>
    </row>
    <row r="211" spans="1:12" x14ac:dyDescent="0.25">
      <c r="A211" s="14"/>
      <c r="B211" s="14"/>
      <c r="C211" s="14"/>
      <c r="D211" s="14"/>
      <c r="E211" s="14"/>
      <c r="F211" s="14"/>
      <c r="G211" s="14"/>
      <c r="H211" s="14"/>
      <c r="I211" s="14"/>
      <c r="J211" s="14"/>
      <c r="K211" s="14"/>
      <c r="L211" s="14"/>
    </row>
    <row r="212" spans="1:12" x14ac:dyDescent="0.25">
      <c r="A212" s="14"/>
      <c r="B212" s="14"/>
      <c r="C212" s="14"/>
      <c r="D212" s="14"/>
      <c r="E212" s="14"/>
      <c r="F212" s="14"/>
      <c r="G212" s="14"/>
      <c r="H212" s="14"/>
      <c r="I212" s="14"/>
      <c r="J212" s="14"/>
      <c r="K212" s="14"/>
      <c r="L212" s="14"/>
    </row>
    <row r="213" spans="1:12" x14ac:dyDescent="0.25">
      <c r="A213" s="14"/>
      <c r="B213" s="14"/>
      <c r="C213" s="14"/>
      <c r="D213" s="14"/>
      <c r="E213" s="14"/>
      <c r="F213" s="14"/>
      <c r="G213" s="14"/>
      <c r="H213" s="14"/>
      <c r="I213" s="14"/>
      <c r="J213" s="14"/>
      <c r="K213" s="14"/>
      <c r="L213" s="14"/>
    </row>
    <row r="214" spans="1:12" x14ac:dyDescent="0.25">
      <c r="A214" s="14"/>
      <c r="B214" s="14"/>
      <c r="C214" s="14"/>
      <c r="D214" s="14"/>
      <c r="E214" s="14"/>
      <c r="F214" s="14"/>
      <c r="G214" s="14"/>
      <c r="H214" s="14"/>
      <c r="I214" s="14"/>
      <c r="J214" s="14"/>
      <c r="K214" s="14"/>
      <c r="L214" s="14"/>
    </row>
    <row r="215" spans="1:12" x14ac:dyDescent="0.25">
      <c r="A215" s="14"/>
      <c r="B215" s="14"/>
      <c r="C215" s="14"/>
      <c r="D215" s="14"/>
      <c r="E215" s="14"/>
      <c r="F215" s="14"/>
      <c r="G215" s="14"/>
      <c r="H215" s="14"/>
      <c r="I215" s="14"/>
      <c r="J215" s="14"/>
      <c r="K215" s="14"/>
      <c r="L215" s="14"/>
    </row>
    <row r="216" spans="1:12" x14ac:dyDescent="0.25">
      <c r="A216" s="14"/>
      <c r="B216" s="14"/>
      <c r="C216" s="14"/>
      <c r="D216" s="14"/>
      <c r="E216" s="14"/>
      <c r="F216" s="14"/>
      <c r="G216" s="14"/>
      <c r="H216" s="14"/>
      <c r="I216" s="14"/>
      <c r="J216" s="14"/>
      <c r="K216" s="14"/>
      <c r="L216" s="14"/>
    </row>
    <row r="217" spans="1:12" x14ac:dyDescent="0.25">
      <c r="A217" s="14"/>
      <c r="B217" s="14"/>
      <c r="C217" s="14"/>
      <c r="D217" s="14"/>
      <c r="E217" s="14"/>
      <c r="F217" s="14"/>
      <c r="G217" s="14"/>
      <c r="H217" s="14"/>
      <c r="I217" s="14"/>
      <c r="J217" s="14"/>
      <c r="K217" s="14"/>
      <c r="L217" s="14"/>
    </row>
    <row r="218" spans="1:12" x14ac:dyDescent="0.25">
      <c r="A218" s="14"/>
      <c r="B218" s="14"/>
      <c r="C218" s="14"/>
      <c r="D218" s="14"/>
      <c r="E218" s="14"/>
      <c r="F218" s="14"/>
      <c r="G218" s="14"/>
      <c r="H218" s="14"/>
      <c r="I218" s="14"/>
      <c r="J218" s="14"/>
      <c r="K218" s="14"/>
      <c r="L218" s="14"/>
    </row>
    <row r="219" spans="1:12" x14ac:dyDescent="0.25">
      <c r="A219" s="14"/>
      <c r="B219" s="14"/>
      <c r="C219" s="14"/>
      <c r="D219" s="14"/>
      <c r="E219" s="14"/>
      <c r="F219" s="14"/>
      <c r="G219" s="14"/>
      <c r="H219" s="14"/>
      <c r="I219" s="14"/>
      <c r="J219" s="14"/>
      <c r="K219" s="14"/>
      <c r="L219" s="14"/>
    </row>
    <row r="220" spans="1:12" x14ac:dyDescent="0.25">
      <c r="A220" s="14"/>
      <c r="B220" s="14"/>
      <c r="C220" s="14"/>
      <c r="D220" s="14"/>
      <c r="E220" s="14"/>
      <c r="F220" s="14"/>
      <c r="G220" s="14"/>
      <c r="H220" s="14"/>
      <c r="I220" s="14"/>
      <c r="J220" s="14"/>
      <c r="K220" s="14"/>
      <c r="L220" s="14"/>
    </row>
    <row r="221" spans="1:12" x14ac:dyDescent="0.25">
      <c r="A221" s="14"/>
      <c r="B221" s="14"/>
      <c r="C221" s="14"/>
      <c r="D221" s="14"/>
      <c r="E221" s="14"/>
      <c r="F221" s="14"/>
      <c r="G221" s="14"/>
      <c r="H221" s="14"/>
      <c r="I221" s="14"/>
      <c r="J221" s="14"/>
      <c r="K221" s="14"/>
      <c r="L221" s="14"/>
    </row>
    <row r="222" spans="1:12" x14ac:dyDescent="0.25">
      <c r="A222" s="14"/>
      <c r="B222" s="14"/>
      <c r="C222" s="14"/>
      <c r="D222" s="14"/>
      <c r="E222" s="14"/>
      <c r="F222" s="14"/>
      <c r="G222" s="14"/>
      <c r="H222" s="14"/>
      <c r="I222" s="14"/>
      <c r="J222" s="14"/>
      <c r="K222" s="14"/>
      <c r="L222" s="14"/>
    </row>
    <row r="223" spans="1:12" x14ac:dyDescent="0.25">
      <c r="A223" s="14"/>
      <c r="B223" s="14"/>
      <c r="C223" s="14"/>
      <c r="D223" s="14"/>
      <c r="E223" s="14"/>
      <c r="F223" s="14"/>
      <c r="G223" s="14"/>
      <c r="H223" s="14"/>
      <c r="I223" s="14"/>
      <c r="J223" s="14"/>
      <c r="K223" s="14"/>
      <c r="L223" s="14"/>
    </row>
    <row r="224" spans="1:12" x14ac:dyDescent="0.25">
      <c r="A224" s="14"/>
      <c r="B224" s="14"/>
      <c r="C224" s="14"/>
      <c r="D224" s="14"/>
      <c r="E224" s="14"/>
      <c r="F224" s="14"/>
      <c r="G224" s="14"/>
      <c r="H224" s="14"/>
      <c r="I224" s="14"/>
      <c r="J224" s="14"/>
      <c r="K224" s="14"/>
      <c r="L224" s="14"/>
    </row>
    <row r="225" spans="1:12" x14ac:dyDescent="0.25">
      <c r="A225" s="14"/>
      <c r="B225" s="14"/>
      <c r="C225" s="14"/>
      <c r="D225" s="14"/>
      <c r="E225" s="14"/>
      <c r="F225" s="14"/>
      <c r="G225" s="14"/>
      <c r="H225" s="14"/>
      <c r="I225" s="14"/>
      <c r="J225" s="14"/>
      <c r="K225" s="14"/>
      <c r="L225" s="14"/>
    </row>
    <row r="226" spans="1:12" x14ac:dyDescent="0.25">
      <c r="A226" s="14"/>
      <c r="B226" s="14"/>
      <c r="C226" s="14"/>
      <c r="D226" s="14"/>
      <c r="E226" s="14"/>
      <c r="F226" s="14"/>
      <c r="G226" s="14"/>
      <c r="H226" s="14"/>
      <c r="I226" s="14"/>
      <c r="J226" s="14"/>
      <c r="K226" s="14"/>
      <c r="L226" s="14"/>
    </row>
    <row r="227" spans="1:12" x14ac:dyDescent="0.25">
      <c r="A227" s="14"/>
      <c r="B227" s="14"/>
      <c r="C227" s="14"/>
      <c r="D227" s="14"/>
      <c r="E227" s="14"/>
      <c r="F227" s="14"/>
      <c r="G227" s="14"/>
      <c r="H227" s="14"/>
      <c r="I227" s="14"/>
      <c r="J227" s="14"/>
      <c r="K227" s="14"/>
      <c r="L227" s="14"/>
    </row>
    <row r="228" spans="1:12" x14ac:dyDescent="0.25">
      <c r="A228" s="14"/>
      <c r="B228" s="14"/>
      <c r="C228" s="14"/>
      <c r="D228" s="14"/>
      <c r="E228" s="14"/>
      <c r="F228" s="14"/>
      <c r="G228" s="14"/>
      <c r="H228" s="14"/>
      <c r="I228" s="14"/>
      <c r="J228" s="14"/>
      <c r="K228" s="14"/>
      <c r="L228" s="14"/>
    </row>
    <row r="229" spans="1:12" x14ac:dyDescent="0.25">
      <c r="A229" s="14"/>
      <c r="B229" s="14"/>
      <c r="C229" s="14"/>
      <c r="D229" s="14"/>
      <c r="E229" s="14"/>
      <c r="F229" s="14"/>
      <c r="G229" s="14"/>
      <c r="H229" s="14"/>
      <c r="I229" s="14"/>
      <c r="J229" s="14"/>
      <c r="K229" s="14"/>
      <c r="L229" s="14"/>
    </row>
    <row r="230" spans="1:12" x14ac:dyDescent="0.25">
      <c r="A230" s="14"/>
      <c r="B230" s="14"/>
      <c r="C230" s="14"/>
      <c r="D230" s="14"/>
      <c r="E230" s="14"/>
      <c r="F230" s="14"/>
      <c r="G230" s="14"/>
      <c r="H230" s="14"/>
      <c r="I230" s="14"/>
      <c r="J230" s="14"/>
      <c r="K230" s="14"/>
      <c r="L230" s="14"/>
    </row>
    <row r="231" spans="1:12" x14ac:dyDescent="0.25">
      <c r="A231" s="14"/>
      <c r="B231" s="14"/>
      <c r="C231" s="14"/>
      <c r="D231" s="14"/>
      <c r="E231" s="14"/>
      <c r="F231" s="14"/>
      <c r="G231" s="14"/>
      <c r="H231" s="14"/>
      <c r="I231" s="14"/>
      <c r="J231" s="14"/>
      <c r="K231" s="14"/>
      <c r="L231" s="14"/>
    </row>
    <row r="232" spans="1:12" x14ac:dyDescent="0.25">
      <c r="A232" s="14"/>
      <c r="B232" s="14"/>
      <c r="C232" s="14"/>
      <c r="D232" s="14"/>
      <c r="E232" s="14"/>
      <c r="F232" s="14"/>
      <c r="G232" s="14"/>
      <c r="H232" s="14"/>
      <c r="I232" s="14"/>
      <c r="J232" s="14"/>
      <c r="K232" s="14"/>
      <c r="L232" s="14"/>
    </row>
    <row r="233" spans="1:12" x14ac:dyDescent="0.25">
      <c r="A233" s="14"/>
      <c r="B233" s="14"/>
      <c r="C233" s="14"/>
      <c r="D233" s="14"/>
      <c r="E233" s="14"/>
      <c r="F233" s="14"/>
      <c r="G233" s="14"/>
      <c r="H233" s="14"/>
      <c r="I233" s="14"/>
      <c r="J233" s="14"/>
      <c r="K233" s="14"/>
      <c r="L233" s="14"/>
    </row>
    <row r="234" spans="1:12" x14ac:dyDescent="0.25">
      <c r="A234" s="14"/>
      <c r="B234" s="14"/>
      <c r="C234" s="14"/>
      <c r="D234" s="14"/>
      <c r="E234" s="14"/>
      <c r="F234" s="14"/>
      <c r="G234" s="14"/>
      <c r="H234" s="14"/>
      <c r="I234" s="14"/>
      <c r="J234" s="14"/>
      <c r="K234" s="14"/>
      <c r="L234" s="14"/>
    </row>
    <row r="235" spans="1:12" x14ac:dyDescent="0.25">
      <c r="A235" s="14"/>
      <c r="B235" s="14"/>
      <c r="C235" s="14"/>
      <c r="D235" s="14"/>
      <c r="E235" s="14"/>
      <c r="F235" s="14"/>
      <c r="G235" s="14"/>
      <c r="H235" s="14"/>
      <c r="I235" s="14"/>
      <c r="J235" s="14"/>
      <c r="K235" s="14"/>
      <c r="L235" s="14"/>
    </row>
    <row r="236" spans="1:12" x14ac:dyDescent="0.25">
      <c r="A236" s="14"/>
      <c r="B236" s="14"/>
      <c r="C236" s="14"/>
      <c r="D236" s="14"/>
      <c r="E236" s="14"/>
      <c r="F236" s="14"/>
      <c r="G236" s="14"/>
      <c r="H236" s="14"/>
      <c r="I236" s="14"/>
      <c r="J236" s="14"/>
      <c r="K236" s="14"/>
      <c r="L236" s="14"/>
    </row>
    <row r="237" spans="1:12" x14ac:dyDescent="0.25">
      <c r="A237" s="14"/>
      <c r="B237" s="14"/>
      <c r="C237" s="14"/>
      <c r="D237" s="14"/>
      <c r="E237" s="14"/>
      <c r="F237" s="14"/>
      <c r="G237" s="14"/>
      <c r="H237" s="14"/>
      <c r="I237" s="14"/>
      <c r="J237" s="14"/>
      <c r="K237" s="14"/>
      <c r="L237" s="14"/>
    </row>
    <row r="238" spans="1:12" x14ac:dyDescent="0.25">
      <c r="A238" s="14"/>
      <c r="B238" s="14"/>
      <c r="C238" s="14"/>
      <c r="D238" s="14"/>
      <c r="E238" s="14"/>
      <c r="F238" s="14"/>
      <c r="G238" s="14"/>
      <c r="H238" s="14"/>
      <c r="I238" s="14"/>
      <c r="J238" s="14"/>
      <c r="K238" s="14"/>
      <c r="L238" s="14"/>
    </row>
    <row r="239" spans="1:12" x14ac:dyDescent="0.25">
      <c r="A239" s="14"/>
      <c r="B239" s="14"/>
      <c r="C239" s="14"/>
      <c r="D239" s="14"/>
      <c r="E239" s="14"/>
      <c r="F239" s="14"/>
      <c r="G239" s="14"/>
      <c r="H239" s="14"/>
      <c r="I239" s="14"/>
      <c r="J239" s="14"/>
      <c r="K239" s="14"/>
      <c r="L239" s="14"/>
    </row>
    <row r="240" spans="1:12" x14ac:dyDescent="0.25">
      <c r="A240" s="14"/>
      <c r="B240" s="14"/>
      <c r="C240" s="14"/>
      <c r="D240" s="14"/>
      <c r="E240" s="14"/>
      <c r="F240" s="14"/>
      <c r="G240" s="14"/>
      <c r="H240" s="14"/>
      <c r="I240" s="14"/>
      <c r="J240" s="14"/>
      <c r="K240" s="14"/>
      <c r="L240" s="14"/>
    </row>
    <row r="241" spans="1:12" x14ac:dyDescent="0.25">
      <c r="A241" s="14"/>
      <c r="B241" s="14"/>
      <c r="C241" s="14"/>
      <c r="D241" s="14"/>
      <c r="E241" s="14"/>
      <c r="F241" s="14"/>
      <c r="G241" s="14"/>
      <c r="H241" s="14"/>
      <c r="I241" s="14"/>
      <c r="J241" s="14"/>
      <c r="K241" s="14"/>
      <c r="L241" s="14"/>
    </row>
    <row r="242" spans="1:12" x14ac:dyDescent="0.25">
      <c r="A242" s="14"/>
      <c r="B242" s="14"/>
      <c r="C242" s="14"/>
      <c r="D242" s="14"/>
      <c r="E242" s="14"/>
      <c r="F242" s="14"/>
      <c r="G242" s="14"/>
      <c r="H242" s="14"/>
      <c r="I242" s="14"/>
      <c r="J242" s="14"/>
      <c r="K242" s="14"/>
      <c r="L242" s="14"/>
    </row>
    <row r="243" spans="1:12" x14ac:dyDescent="0.25">
      <c r="A243" s="14"/>
      <c r="B243" s="14"/>
      <c r="C243" s="14"/>
      <c r="D243" s="14"/>
      <c r="E243" s="14"/>
      <c r="F243" s="14"/>
      <c r="G243" s="14"/>
      <c r="H243" s="14"/>
      <c r="I243" s="14"/>
      <c r="J243" s="14"/>
      <c r="K243" s="14"/>
      <c r="L243" s="14"/>
    </row>
    <row r="244" spans="1:12" x14ac:dyDescent="0.25">
      <c r="A244" s="14"/>
      <c r="B244" s="14"/>
      <c r="C244" s="14"/>
      <c r="D244" s="14"/>
      <c r="E244" s="14"/>
      <c r="F244" s="14"/>
      <c r="G244" s="14"/>
      <c r="H244" s="14"/>
      <c r="I244" s="14"/>
      <c r="J244" s="14"/>
      <c r="K244" s="14"/>
      <c r="L244" s="14"/>
    </row>
    <row r="245" spans="1:12" x14ac:dyDescent="0.25">
      <c r="A245" s="14"/>
      <c r="B245" s="14"/>
      <c r="C245" s="14"/>
      <c r="D245" s="14"/>
      <c r="E245" s="14"/>
      <c r="F245" s="14"/>
      <c r="G245" s="14"/>
      <c r="H245" s="14"/>
      <c r="I245" s="14"/>
      <c r="J245" s="14"/>
      <c r="K245" s="14"/>
      <c r="L245" s="14"/>
    </row>
    <row r="246" spans="1:12" x14ac:dyDescent="0.25">
      <c r="A246" s="14"/>
      <c r="B246" s="14"/>
      <c r="C246" s="14"/>
      <c r="D246" s="14"/>
      <c r="E246" s="14"/>
      <c r="F246" s="14"/>
      <c r="G246" s="14"/>
      <c r="H246" s="14"/>
      <c r="I246" s="14"/>
      <c r="J246" s="14"/>
      <c r="K246" s="14"/>
      <c r="L246" s="14"/>
    </row>
    <row r="247" spans="1:12" x14ac:dyDescent="0.25">
      <c r="A247" s="14"/>
      <c r="B247" s="14"/>
      <c r="C247" s="14"/>
      <c r="D247" s="14"/>
      <c r="E247" s="14"/>
      <c r="F247" s="14"/>
      <c r="G247" s="14"/>
      <c r="H247" s="14"/>
      <c r="I247" s="14"/>
      <c r="J247" s="14"/>
      <c r="K247" s="14"/>
      <c r="L247" s="14"/>
    </row>
    <row r="248" spans="1:12" x14ac:dyDescent="0.25">
      <c r="A248" s="14"/>
      <c r="B248" s="14"/>
      <c r="C248" s="14"/>
      <c r="D248" s="14"/>
      <c r="E248" s="14"/>
      <c r="F248" s="14"/>
      <c r="G248" s="14"/>
      <c r="H248" s="14"/>
      <c r="I248" s="14"/>
      <c r="J248" s="14"/>
      <c r="K248" s="14"/>
      <c r="L248" s="14"/>
    </row>
    <row r="249" spans="1:12" x14ac:dyDescent="0.25">
      <c r="A249" s="14"/>
      <c r="B249" s="14"/>
      <c r="C249" s="14"/>
      <c r="D249" s="14"/>
      <c r="E249" s="14"/>
      <c r="F249" s="14"/>
      <c r="G249" s="14"/>
      <c r="H249" s="14"/>
      <c r="I249" s="14"/>
      <c r="J249" s="14"/>
      <c r="K249" s="14"/>
      <c r="L249" s="14"/>
    </row>
    <row r="250" spans="1:12" x14ac:dyDescent="0.25">
      <c r="A250" s="14"/>
      <c r="B250" s="14"/>
      <c r="C250" s="14"/>
      <c r="D250" s="14"/>
      <c r="E250" s="14"/>
      <c r="F250" s="14"/>
      <c r="G250" s="14"/>
      <c r="H250" s="14"/>
      <c r="I250" s="14"/>
      <c r="J250" s="14"/>
      <c r="K250" s="14"/>
      <c r="L250" s="14"/>
    </row>
    <row r="251" spans="1:12" x14ac:dyDescent="0.25">
      <c r="A251" s="14"/>
      <c r="B251" s="14"/>
      <c r="C251" s="14"/>
      <c r="D251" s="14"/>
      <c r="E251" s="14"/>
      <c r="F251" s="14"/>
      <c r="G251" s="14"/>
      <c r="H251" s="14"/>
      <c r="I251" s="14"/>
      <c r="J251" s="14"/>
      <c r="K251" s="14"/>
      <c r="L251" s="14"/>
    </row>
    <row r="252" spans="1:12" x14ac:dyDescent="0.25">
      <c r="A252" s="14"/>
      <c r="B252" s="14"/>
      <c r="C252" s="14"/>
      <c r="D252" s="14"/>
      <c r="E252" s="14"/>
      <c r="F252" s="14"/>
      <c r="G252" s="14"/>
      <c r="H252" s="14"/>
      <c r="I252" s="14"/>
      <c r="J252" s="14"/>
      <c r="K252" s="14"/>
      <c r="L252" s="14"/>
    </row>
    <row r="253" spans="1:12" x14ac:dyDescent="0.25">
      <c r="A253" s="14"/>
      <c r="B253" s="14"/>
      <c r="C253" s="14"/>
      <c r="D253" s="14"/>
      <c r="E253" s="14"/>
      <c r="F253" s="14"/>
      <c r="G253" s="14"/>
      <c r="H253" s="14"/>
      <c r="I253" s="14"/>
      <c r="J253" s="14"/>
      <c r="K253" s="14"/>
      <c r="L253" s="14"/>
    </row>
    <row r="254" spans="1:12" x14ac:dyDescent="0.25">
      <c r="A254" s="14"/>
      <c r="B254" s="14"/>
      <c r="C254" s="14"/>
      <c r="D254" s="14"/>
      <c r="E254" s="14"/>
      <c r="F254" s="14"/>
      <c r="G254" s="14"/>
      <c r="H254" s="14"/>
      <c r="I254" s="14"/>
      <c r="J254" s="14"/>
      <c r="K254" s="14"/>
      <c r="L254" s="14"/>
    </row>
    <row r="255" spans="1:12" x14ac:dyDescent="0.25">
      <c r="A255" s="14"/>
      <c r="B255" s="14"/>
      <c r="C255" s="14"/>
      <c r="D255" s="14"/>
      <c r="E255" s="14"/>
      <c r="F255" s="14"/>
      <c r="G255" s="14"/>
      <c r="H255" s="14"/>
      <c r="I255" s="14"/>
      <c r="J255" s="14"/>
      <c r="K255" s="14"/>
      <c r="L255" s="14"/>
    </row>
    <row r="256" spans="1:12" x14ac:dyDescent="0.25">
      <c r="A256" s="14"/>
      <c r="B256" s="14"/>
      <c r="C256" s="14"/>
      <c r="D256" s="14"/>
      <c r="E256" s="14"/>
      <c r="F256" s="14"/>
      <c r="G256" s="14"/>
      <c r="H256" s="14"/>
      <c r="I256" s="14"/>
      <c r="J256" s="14"/>
      <c r="K256" s="14"/>
      <c r="L256" s="14"/>
    </row>
    <row r="257" spans="1:12" x14ac:dyDescent="0.25">
      <c r="A257" s="14"/>
      <c r="B257" s="14"/>
      <c r="C257" s="14"/>
      <c r="D257" s="14"/>
      <c r="E257" s="14"/>
      <c r="F257" s="14"/>
      <c r="G257" s="14"/>
      <c r="H257" s="14"/>
      <c r="I257" s="14"/>
      <c r="J257" s="14"/>
      <c r="K257" s="14"/>
      <c r="L257" s="14"/>
    </row>
    <row r="258" spans="1:12" x14ac:dyDescent="0.25">
      <c r="A258" s="14"/>
      <c r="B258" s="14"/>
      <c r="C258" s="14"/>
      <c r="D258" s="14"/>
      <c r="E258" s="14"/>
      <c r="F258" s="14"/>
      <c r="G258" s="14"/>
      <c r="H258" s="14"/>
      <c r="I258" s="14"/>
      <c r="J258" s="14"/>
      <c r="K258" s="14"/>
      <c r="L258" s="14"/>
    </row>
  </sheetData>
  <sheetProtection algorithmName="SHA-512" hashValue="0U6qhz+W/Wntd8pfptiS8+fepYjCWSzG1H2RkKswFwXff2eLrS6r5RZ8oo9WIYxeTWmZ09Te/eJT4QOB24tBjA==" saltValue="74P+aHGhvHMZeCQs5ortzA==" spinCount="100000" sheet="1" objects="1" scenarios="1"/>
  <mergeCells count="6">
    <mergeCell ref="B11:L11"/>
    <mergeCell ref="A2:H2"/>
    <mergeCell ref="A3:L3"/>
    <mergeCell ref="A5:L7"/>
    <mergeCell ref="A9:A10"/>
    <mergeCell ref="B9: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Welcome</vt:lpstr>
      <vt:lpstr>Demand</vt:lpstr>
      <vt:lpstr>SPC</vt:lpstr>
      <vt:lpstr>Capacity</vt:lpstr>
      <vt:lpstr>Parameters</vt:lpstr>
      <vt:lpstr>Summary</vt:lpstr>
      <vt:lpstr>Graphs</vt:lpstr>
      <vt:lpstr>Calculations</vt:lpstr>
      <vt:lpstr>Backlog Clearance</vt:lpstr>
      <vt:lpstr>Notes</vt:lpstr>
      <vt:lpstr>AdditionalAdmissions</vt:lpstr>
      <vt:lpstr>AdditionalMeanAdmissions</vt:lpstr>
      <vt:lpstr>DTAsPerWeek</vt:lpstr>
      <vt:lpstr>MaxWait</vt:lpstr>
      <vt:lpstr>MaxWaitingListRange</vt:lpstr>
      <vt:lpstr>MinWait</vt:lpstr>
      <vt:lpstr>MinWaitingListRange</vt:lpstr>
      <vt:lpstr>ModelName</vt:lpstr>
      <vt:lpstr>Calculations!Print_Area</vt:lpstr>
      <vt:lpstr>Capacity!Print_Area</vt:lpstr>
      <vt:lpstr>Demand!Print_Area</vt:lpstr>
      <vt:lpstr>Graphs!Print_Area</vt:lpstr>
      <vt:lpstr>Parameters!Print_Area</vt:lpstr>
      <vt:lpstr>SPC!Print_Area</vt:lpstr>
      <vt:lpstr>Summary!Print_Area</vt:lpstr>
      <vt:lpstr>Welcome!Print_Area</vt:lpstr>
      <vt:lpstr>Capacity!Print_Titles</vt:lpstr>
      <vt:lpstr>ProportionUrgent</vt:lpstr>
      <vt:lpstr>ROTTRate</vt:lpstr>
      <vt:lpstr>RoutineAdmissions</vt:lpstr>
      <vt:lpstr>RoutineMeanAdmissions</vt:lpstr>
      <vt:lpstr>TargetUrgent</vt:lpstr>
      <vt:lpstr>Trust</vt:lpstr>
      <vt:lpstr>WaitingList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Inpatient Waiting List Model</dc:title>
  <dc:subject>Inpatient Waiting List</dc:subject>
  <dc:creator>Michael Watson</dc:creator>
  <cp:lastModifiedBy>Khunpha, Keith</cp:lastModifiedBy>
  <cp:lastPrinted>2011-12-06T11:51:59Z</cp:lastPrinted>
  <dcterms:created xsi:type="dcterms:W3CDTF">2011-03-01T13:40:03Z</dcterms:created>
  <dcterms:modified xsi:type="dcterms:W3CDTF">2017-04-18T14:36:02Z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