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drawings/drawing3.xml" ContentType="application/vnd.openxmlformats-officedocument.drawing+xml"/>
  <Override PartName="/xl/ctrlProps/ctrlProp2.xml" ContentType="application/vnd.ms-excel.controlproperties+xml"/>
  <Override PartName="/xl/charts/chart1.xml" ContentType="application/vnd.openxmlformats-officedocument.drawingml.chart+xml"/>
  <Override PartName="/xl/drawings/drawing4.xml" ContentType="application/vnd.openxmlformats-officedocument.drawing+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drawings/drawing5.xml" ContentType="application/vnd.openxmlformats-officedocument.drawing+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drawings/drawing6.xml" ContentType="application/vnd.openxmlformats-officedocument.drawing+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drawings/drawing7.xml" ContentType="application/vnd.openxmlformats-officedocument.drawing+xml"/>
  <Override PartName="/xl/charts/chart5.xml" ContentType="application/vnd.openxmlformats-officedocument.drawingml.chart+xml"/>
  <Override PartName="/xl/charts/chart6.xml" ContentType="application/vnd.openxmlformats-officedocument.drawingml.chart+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updateLinks="never" codeName="ThisWorkbook" defaultThemeVersion="124226"/>
  <bookViews>
    <workbookView xWindow="360" yWindow="180" windowWidth="8205" windowHeight="6810" tabRatio="779"/>
  </bookViews>
  <sheets>
    <sheet name="Welcome" sheetId="11" r:id="rId1"/>
    <sheet name="Demand" sheetId="21" r:id="rId2"/>
    <sheet name="SPC" sheetId="24" r:id="rId3"/>
    <sheet name="Capacity" sheetId="20" r:id="rId4"/>
    <sheet name="Parameters" sheetId="18" r:id="rId5"/>
    <sheet name="Summary" sheetId="12" r:id="rId6"/>
    <sheet name="Graphs" sheetId="19" r:id="rId7"/>
    <sheet name="Calculations" sheetId="23" r:id="rId8"/>
    <sheet name="Backlog Clearance" sheetId="25" r:id="rId9"/>
    <sheet name="Notes" sheetId="27" r:id="rId10"/>
  </sheets>
  <externalReferences>
    <externalReference r:id="rId11"/>
  </externalReferences>
  <definedNames>
    <definedName name="_LCL1">Mean1-3*Sigma1</definedName>
    <definedName name="_LCL2">Mean2-3*Sigma2</definedName>
    <definedName name="_UCL1">Mean1+3*Sigma1</definedName>
    <definedName name="_UCL2">Mean2+3*Sigma2</definedName>
    <definedName name="AdditionalAdmissions">Capacity!$S$146</definedName>
    <definedName name="AdditionalCapacityRange">OFFSET(Capacity!$R$202:$R$253,0,0,ROWS(DTARange),1)</definedName>
    <definedName name="AdditionalMeanAdmissions">Capacity!$K$143</definedName>
    <definedName name="AdditionalNetChange">ROUNDDOWN(IF((RefsPerWeek+DNARebooked-DNADischarged-SlotsPerWeek)&lt;0,-AdHocSlotsPerWeek,IF((RefsPerWeek+DNARebooked-DNADischarged-SlotsPerWeek)&gt;=AdHocSlotsPerWeek,0,(RefsPerWeek+DNARebooked-DNADischarged-SlotsPerWeek)-AdHocSlotsPerWeek)),0)</definedName>
    <definedName name="AdHocCapacityRange">OFFSET(Capacity!$M$125:$M$176,0,0,ROWS(ReferralsRange),1)</definedName>
    <definedName name="AdHocSlots">Capacity!$O$15</definedName>
    <definedName name="AdHocSlotsPerWeek">Capacity!$K$13</definedName>
    <definedName name="BookingPeriod">MaxWait-MinWait+1</definedName>
    <definedName name="CalculationRange">OFFSET(Demand!$C$25,IF(Split&gt;0,Split-1,0),0,MaxWeeks-IF(Split&gt;0,Split-1,0),1)</definedName>
    <definedName name="CoreCapacityRange">OFFSET(Capacity!$D$125:$D$176,0,0,ROWS(ReferralsRange),1)</definedName>
    <definedName name="CoreNetChange">ROUNDDOWN(RefsPerWeek+DNARebooked-DNADischarged-SlotsPerWeek,0)</definedName>
    <definedName name="DateSeenRange">OFFSET(Demand!$N$25,0,0,COUNTIF(Demand!$N$25:$N$1024,"&gt;0"),1)</definedName>
    <definedName name="DaysWaitedRange">OFFSET(Demand!$P$25,0,0,ROWS(DateSeenRange),1)</definedName>
    <definedName name="DemandLabel">IF(AddRemovePlanned=1,"Demand (Requests including Planned)","Demand (Requests)")</definedName>
    <definedName name="Deviation">STDEV(ReferralsRange)</definedName>
    <definedName name="DNADischarged">DNARate*(RefsPerWeek-RefsPerWeekUrgent)*DNADischargeRate</definedName>
    <definedName name="DNADischargeRate">Parameters!$J$24</definedName>
    <definedName name="DNARate">Parameters!$F$25</definedName>
    <definedName name="DNARebooked">DNARate*(RefsPerWeek-RefsPerWeekUrgent)*(1-DNADischargeRate)</definedName>
    <definedName name="ElectiveDNADischarged">DNARate*RoutineElectiveDTAsPerWeek*(1-ROTTRate)*DNADischargeRate</definedName>
    <definedName name="ElectiveDNAsRebooked">DNARate*RoutineElectiveDTAsPerWeek*(1-ROTTRate)*(1-DNADischargeRate)</definedName>
    <definedName name="ElectiveWaitingList">[1]Data!$S$7</definedName>
    <definedName name="EReferral">Parameters!$F$20</definedName>
    <definedName name="GraphAdditionalCapacityRange">OFFSET(Graphs!$B$31,0,0,1,MaxWeeks)</definedName>
    <definedName name="GraphCoreCapacityRange">OFFSET(Graphs!$B$30,0,0,1,MaxWeeks)</definedName>
    <definedName name="GraphWeeksWaited">OFFSET(Demand!$Q$25,0,0,MAX(Demand!$S$25:$S$49),1)</definedName>
    <definedName name="InLastWeek">(COUNTIF(DaysWaitedRange,CONCATENATE("&gt;=",TEXT((MaxWait-1)*7,0)))-COUNTIF(DaysWaitedRange,CONCATENATE("&gt;",TEXT(MaxWait*7,0))))/ROWS(DateSeenRange)</definedName>
    <definedName name="LCL">Mean-3*Sigma</definedName>
    <definedName name="LCLRange">OFFSET(SPC!$O$2,0,0,ROWS(ReferralsRange),1)</definedName>
    <definedName name="MaxWait">Parameters!$N$19</definedName>
    <definedName name="MaxWaitingList">CEILING(MAX(Calculations!$M$16:$N$41),1)</definedName>
    <definedName name="MaxWaitingListRange">'Backlog Clearance'!$D$32:$AK$32</definedName>
    <definedName name="MaxWeeks">MAX(Demand!$A$25:$A$76)</definedName>
    <definedName name="Mean">IF(MaxWeeks&gt;0,AVERAGE(ReferralsRange),0)</definedName>
    <definedName name="Mean1">AVERAGE(OFFSET(Demand!$C$25,0,0,Split-1,1))</definedName>
    <definedName name="Mean2">IF(MaxWeeks&gt;0,AVERAGE(OFFSET(Demand!$C$25,Split-1,0,MaxWeeks-(Split-1),1)),0)</definedName>
    <definedName name="MeanNetChange">ROUNDDOWN(RefsPerWeek+DNARebooked-SlotsPerWeek-AdHocSlotsPerWeek,0)</definedName>
    <definedName name="MeanRange">OFFSET(SPC!$L$2,0,0,ROWS(ReferralsRange),1)</definedName>
    <definedName name="MeanWait">AVERAGE(WeeksWaitedRange)</definedName>
    <definedName name="MedianWait">PERCENTILE(WeeksWaitedRange,0.5)</definedName>
    <definedName name="MinWait">Parameters!$J$19</definedName>
    <definedName name="MinWaitingListRange">'Backlog Clearance'!$D$23:$AK$23</definedName>
    <definedName name="ModelName">Welcome!$B$1</definedName>
    <definedName name="NDData">OFFSET(Demand!$I$25,IF(Split=0,0,Split-1),0,MaxWeeks-IF(Split=0,0,Split-1),1)</definedName>
    <definedName name="NDScale">OFFSET(Demand!$H$25,IF(Split=0,0,Split-1),0,MaxWeeks-IF(Split=0,0,Split-1),1)</definedName>
    <definedName name="NormDistProbRange">OFFSET([1]Data!$O$13,0,0,ROWS(DTARange),1)</definedName>
    <definedName name="NormDistValueRange">OFFSET([1]Data!$N$13,0,0,ROWS(DTARange),1)</definedName>
    <definedName name="OverMidPoint">COUNTIF(DaysWaitedRange,CONCATENATE("&gt;=",TEXT(ROUNDUP(MinWait*7+(MaxWait-MinWait)*7*0.5,0),"#.#")))/ROWS(DateSeenRange)</definedName>
    <definedName name="Percentile65">PERCENTILE(CalculationRange,0.65)*(1+DNARate*(1-DNADischargeRate))</definedName>
    <definedName name="Percentile85">PERCENTILE(CalculationRange,0.85)*(1+DNARate*(1-DNADischargeRate))</definedName>
    <definedName name="PlannedLCL">PlannedMean-3*PlannedSigma</definedName>
    <definedName name="PlannedLCL1">PlannedMean1-3*PlannedSigma1</definedName>
    <definedName name="PlannedLCL2">PlannedMean2-3*PlannedSigma2</definedName>
    <definedName name="PlannedMean">SUM(TotalPlannedDueRange)/MaxPlannedWeeks</definedName>
    <definedName name="PlannedMean1">SUMIF(PlannedSplitRange,"&lt;" &amp; PlannedSplit,TotalPlannedDueRange)/(PlannedSplit-1)</definedName>
    <definedName name="PlannedMean2">SUMIF(PlannedSplitRange,"&gt;="&amp;PlannedSplit,TotalPlannedDueRange)/(MaxPlannedWeeks-PlannedSplit)</definedName>
    <definedName name="PlannedPercentile65">PERCENTILE(TotalPlannedDueRange,0.65)</definedName>
    <definedName name="PlannedPercentile85">PERCENTILE(TotalPlannedDueRange,0.85)</definedName>
    <definedName name="PlannedRange">OFFSET([1]Data!$D$24,0,0,ROWS(DTARange),1)*Multiplier</definedName>
    <definedName name="PlannedReduction">IF(AddRemovePlanned=1,0,IF(Capacity!$N$15=1,Capacity!$K$14,Capacity!$K$14*COUNTIF(Capacity!$S$25:$S$139,"&gt;0")))</definedName>
    <definedName name="PlannedSigma1Minus">PlannedMean-PlannedSigma</definedName>
    <definedName name="PlannedSigma1Minus1">PlannedMean1-PlannedSigma1</definedName>
    <definedName name="PlannedSigma1Minus2">PlannedMean2-PlannedSigma2</definedName>
    <definedName name="PlannedSigma1Plus">PlannedMean+PlannedSigma</definedName>
    <definedName name="PlannedSigma1Plus1">PlannedMean1+PlannedSigma1</definedName>
    <definedName name="PlannedSigma1Plus2">PlannedMean2+PlannedSigma2</definedName>
    <definedName name="PlannedSigma2Minus">PlannedMean-2*PlannedSigma</definedName>
    <definedName name="PlannedSigma2Minus1">PlannedMean1-2*PlannedSigma1</definedName>
    <definedName name="PlannedSigma2Minus2">PlannedMean2-2*PlannedSigma2</definedName>
    <definedName name="PlannedSigma2Plus">PlannedMean+2*PlannedSigma</definedName>
    <definedName name="PlannedSigma2Plus1">PlannedMean1+2*PlannedSigma1</definedName>
    <definedName name="PlannedSigma2Plus2">PlannedMean2+2*PlannedSigma2</definedName>
    <definedName name="PlannedUCL">PlannedMean+3*PlannedSigma</definedName>
    <definedName name="PlannedUCL1">PlannedMean1+3*PlannedSigma1</definedName>
    <definedName name="PlannedUCL2">PlannedMean2+3*PlannedSigma2</definedName>
    <definedName name="_xlnm.Print_Area" localSheetId="8">'Backlog Clearance'!$A$1:$AK$42</definedName>
    <definedName name="_xlnm.Print_Area" localSheetId="7">Calculations!$A:$N</definedName>
    <definedName name="_xlnm.Print_Area" localSheetId="3">Capacity!$A:$P</definedName>
    <definedName name="_xlnm.Print_Area" localSheetId="1">Demand!$A$2:$O$1024</definedName>
    <definedName name="_xlnm.Print_Area" localSheetId="6">Graphs!$A:$O</definedName>
    <definedName name="_xlnm.Print_Area" localSheetId="4">Parameters!$A$2:$Q$27</definedName>
    <definedName name="_xlnm.Print_Area" localSheetId="2">SPC!$Q$2:$AE$37</definedName>
    <definedName name="_xlnm.Print_Area" localSheetId="5">Summary!$A$2:$O$95</definedName>
    <definedName name="_xlnm.Print_Area" localSheetId="0">Welcome!$A$2:$O$40</definedName>
    <definedName name="_xlnm.Print_Titles" localSheetId="8">'Backlog Clearance'!$A:$D,'Backlog Clearance'!$1:$5</definedName>
    <definedName name="_xlnm.Print_Titles" localSheetId="3">Capacity!$16:$16</definedName>
    <definedName name="ProportionUrgent">Parameters!$J$14</definedName>
    <definedName name="RearrangedRate">Parameters!$B$25</definedName>
    <definedName name="ReferralsRange">OFFSET(Demand!$C$25,0,0,MaxWeeks,1)</definedName>
    <definedName name="RefsPerWeek">Parameters!$B$15</definedName>
    <definedName name="RefsPerWeekRoutine">RefsPerWeek*(1-ProportionUrgent)</definedName>
    <definedName name="RefsPerWeekUrgent">RefsPerWeek*ProportionUrgent</definedName>
    <definedName name="ROTTRate">Parameters!$F$25</definedName>
    <definedName name="RoutineAdmissions">Capacity!$T$22</definedName>
    <definedName name="RoutineDTAsPerWeek">DTAsPerWeek*(1-'Backlog Clearance'!Proportion2WW)</definedName>
    <definedName name="RoutineElectiveDTAsPerWeek">IF(AddRemovePlanned=1,RoutineDTAsPerWeek-PlannedDTAsPerWeek,RoutineDTAsPerWeek)</definedName>
    <definedName name="RoutineGrossDTAsPerWeek">DTAsPerWeek*(1-ProportionUrgent)</definedName>
    <definedName name="RoutineMeanAdmissions">Capacity!$K$19</definedName>
    <definedName name="RoutineSlots">Capacity!$F$15</definedName>
    <definedName name="SCV1Range">OFFSET(SPC!$B$2,0,0,ROWS(ReferralsRange),1)</definedName>
    <definedName name="SCV2Range">OFFSET(SPC!$D$2,0,0,ROWS(ReferralsRange),1)</definedName>
    <definedName name="SCV3Range">OFFSET(SPC!$F$2,0,0,ROWS(ReferralsRange),1)</definedName>
    <definedName name="SCV4Range">OFFSET(SPC!$H$2,0,0,ROWS(ReferralsRange),1)</definedName>
    <definedName name="Sigma">AVERAGE(SPC!$A$3:$A$53)/1.128</definedName>
    <definedName name="Sigma1">(SUM(OFFSET(SPC!$A$3,0,0,Split-1,1))/Split)/1.128</definedName>
    <definedName name="Sigma1Minus">Mean-Sigma</definedName>
    <definedName name="Sigma1Minus1">Mean1-Sigma1</definedName>
    <definedName name="Sigma1Minus2">Mean2-Sigma2</definedName>
    <definedName name="Sigma1Plus">Mean+Sigma</definedName>
    <definedName name="Sigma1Plus1">Mean1+Sigma1</definedName>
    <definedName name="Sigma1Plus2">Mean2+Sigma2</definedName>
    <definedName name="Sigma2">(SUM(OFFSET(SPC!$A$3,Split-1,0,COUNT(ReferralsRange)-Split,1))/(COUNT(ReferralsRange)-Split))/1.128</definedName>
    <definedName name="Sigma2Minus">Mean-2*Sigma</definedName>
    <definedName name="Sigma2Minus1">Mean1-2*Sigma1</definedName>
    <definedName name="Sigma2Minus2">Mean2-2*Sigma2</definedName>
    <definedName name="Sigma2Plus">Mean+2*Sigma</definedName>
    <definedName name="Sigma2Plus1">Mean1+2*Sigma1</definedName>
    <definedName name="Sigma2Plus2">Mean2+2*Sigma2</definedName>
    <definedName name="SigmaMinus1Range">OFFSET(SPC!$M$2,0,0,ROWS(ReferralsRange),1)</definedName>
    <definedName name="SigmaMinus2Range">OFFSET(SPC!$N$2,0,0,ROWS(ReferralsRange),1)</definedName>
    <definedName name="SigmaPlus1Range">OFFSET(SPC!$K$2,0,0,ROWS(ReferralsRange),1)</definedName>
    <definedName name="SigmaPlus2Range">OFFSET(SPC!$J$2,0,0,ROWS(ReferralsRange),1)</definedName>
    <definedName name="SlotsPerWeek">Capacity!$B$13</definedName>
    <definedName name="Specialty">IF(Demand!$B$8="Other (Enter Below)",Demand!$B$9,Demand!$B$8)</definedName>
    <definedName name="Split">SPC!$S$32-1</definedName>
    <definedName name="SplitListRange">OFFSET(SPC!$Q$1,0,0,MaxWeeks+1,1)</definedName>
    <definedName name="SplitRange">OFFSET(SPC!$P$1,0,0,ROWS(ReferralsRange)+1,1)</definedName>
    <definedName name="TargetUrgent">Parameters!$O$15</definedName>
    <definedName name="TotalNetChange">IF(MeanNetChange&gt;0,AdditionalNetChange,MeanNetChange+AdditionalNetChange)</definedName>
    <definedName name="Trust">Demand!$B$6</definedName>
    <definedName name="UCL">Mean+3*Sigma</definedName>
    <definedName name="UCLRange">OFFSET(SPC!$I$2,0,0,ROWS(ReferralsRange),1)</definedName>
    <definedName name="Variance">MAX(GraphVarianceRange)/DTAsPerWeek</definedName>
    <definedName name="WaitingList">Demand!$K$7</definedName>
    <definedName name="WaitingListActualRange">OFFSET('Backlog Clearance'!$D$42,0,0,1,COUNTA('Backlog Clearance'!$D$34:$AK$34)+1)</definedName>
    <definedName name="WaitingListPlanRange1">'Backlog Clearance'!$D$22:$AK$22</definedName>
    <definedName name="WaitingListPlanRange2">'Backlog Clearance'!$D$31:$AK$31</definedName>
    <definedName name="Weeks">OFFSET(Demand!$B$25,0,0,ROWS(ReferralsRange),1)</definedName>
    <definedName name="WeeksWaitedRange">OFFSET(Demand!$O$25,0,0,ROWS(DateSeenRange),1)</definedName>
    <definedName name="WLDecayRange">OFFSET(Calculations!$K$16,0,0,MaxWait+MinWait+1,1)</definedName>
    <definedName name="WLGraphData">OFFSET(Calculations!$K$16,0,0,MinWait+MaxWait+1,1)</definedName>
    <definedName name="WLGraphWeeks">OFFSET(Calculations!$A$16,0,0,MinWait+MaxWait+1,1)</definedName>
  </definedNames>
  <calcPr calcId="145621"/>
</workbook>
</file>

<file path=xl/calcChain.xml><?xml version="1.0" encoding="utf-8"?>
<calcChain xmlns="http://schemas.openxmlformats.org/spreadsheetml/2006/main">
  <c r="D20" i="18" l="1"/>
  <c r="D25" i="18"/>
  <c r="H25" i="18"/>
  <c r="D42" i="25" l="1"/>
  <c r="A77" i="12" l="1"/>
  <c r="A2" i="11" l="1"/>
  <c r="A3" i="23" l="1"/>
  <c r="A2" i="25" l="1"/>
  <c r="A2" i="23"/>
  <c r="A2" i="19"/>
  <c r="A2" i="12"/>
  <c r="A2" i="18"/>
  <c r="A2" i="20"/>
  <c r="Q2" i="24"/>
  <c r="A2" i="21"/>
  <c r="A31" i="12"/>
  <c r="B7" i="12"/>
  <c r="B22" i="21"/>
  <c r="D7" i="23" l="1"/>
  <c r="F25" i="18"/>
  <c r="K13" i="20"/>
  <c r="F20" i="18"/>
  <c r="B12" i="18"/>
  <c r="A2" i="27" l="1"/>
  <c r="F17" i="20" l="1"/>
  <c r="G17" i="20" s="1"/>
  <c r="O17" i="20"/>
  <c r="P17" i="20" s="1"/>
  <c r="F18" i="20"/>
  <c r="G18" i="20" s="1"/>
  <c r="O18" i="20"/>
  <c r="P18" i="20" s="1"/>
  <c r="F19" i="20"/>
  <c r="G19" i="20" s="1"/>
  <c r="O19" i="20"/>
  <c r="P19" i="20" s="1"/>
  <c r="F20" i="20"/>
  <c r="G20" i="20" s="1"/>
  <c r="O20" i="20"/>
  <c r="P20" i="20"/>
  <c r="F21" i="20"/>
  <c r="G21" i="20" s="1"/>
  <c r="O21" i="20"/>
  <c r="P21" i="20" s="1"/>
  <c r="F22" i="20"/>
  <c r="G22" i="20" s="1"/>
  <c r="O22" i="20"/>
  <c r="P22" i="20" s="1"/>
  <c r="F23" i="20"/>
  <c r="G23" i="20" s="1"/>
  <c r="O23" i="20"/>
  <c r="P23" i="20" s="1"/>
  <c r="F24" i="20"/>
  <c r="G24" i="20" s="1"/>
  <c r="O24" i="20"/>
  <c r="P24" i="20"/>
  <c r="F25" i="20"/>
  <c r="G25" i="20" s="1"/>
  <c r="O25" i="20"/>
  <c r="P25" i="20" s="1"/>
  <c r="F26" i="20"/>
  <c r="G26" i="20" s="1"/>
  <c r="O26" i="20"/>
  <c r="P26" i="20" s="1"/>
  <c r="F27" i="20"/>
  <c r="G27" i="20" s="1"/>
  <c r="O27" i="20"/>
  <c r="P27" i="20" s="1"/>
  <c r="F28" i="20"/>
  <c r="G28" i="20" s="1"/>
  <c r="O28" i="20"/>
  <c r="P28" i="20"/>
  <c r="F29" i="20"/>
  <c r="G29" i="20" s="1"/>
  <c r="O29" i="20"/>
  <c r="P29" i="20" s="1"/>
  <c r="F30" i="20"/>
  <c r="G30" i="20" s="1"/>
  <c r="O30" i="20"/>
  <c r="P30" i="20" s="1"/>
  <c r="F31" i="20"/>
  <c r="G31" i="20" s="1"/>
  <c r="O31" i="20"/>
  <c r="P31" i="20" s="1"/>
  <c r="F32" i="20"/>
  <c r="G32" i="20" s="1"/>
  <c r="O32" i="20"/>
  <c r="P32" i="20"/>
  <c r="F33" i="20"/>
  <c r="G33" i="20" s="1"/>
  <c r="O33" i="20"/>
  <c r="P33" i="20" s="1"/>
  <c r="F34" i="20"/>
  <c r="G34" i="20" s="1"/>
  <c r="O34" i="20"/>
  <c r="P34" i="20" s="1"/>
  <c r="F35" i="20"/>
  <c r="G35" i="20" s="1"/>
  <c r="O35" i="20"/>
  <c r="P35" i="20" s="1"/>
  <c r="F36" i="20"/>
  <c r="G36" i="20" s="1"/>
  <c r="O36" i="20"/>
  <c r="P36" i="20"/>
  <c r="F37" i="20"/>
  <c r="G37" i="20" s="1"/>
  <c r="O37" i="20"/>
  <c r="P37" i="20" s="1"/>
  <c r="F38" i="20"/>
  <c r="G38" i="20" s="1"/>
  <c r="O38" i="20"/>
  <c r="P38" i="20" s="1"/>
  <c r="F39" i="20"/>
  <c r="G39" i="20" s="1"/>
  <c r="O39" i="20"/>
  <c r="P39" i="20" s="1"/>
  <c r="F40" i="20"/>
  <c r="G40" i="20" s="1"/>
  <c r="O40" i="20"/>
  <c r="P40" i="20"/>
  <c r="F41" i="20"/>
  <c r="G41" i="20" s="1"/>
  <c r="O41" i="20"/>
  <c r="P41" i="20" s="1"/>
  <c r="F42" i="20"/>
  <c r="G42" i="20" s="1"/>
  <c r="O42" i="20"/>
  <c r="P42" i="20" s="1"/>
  <c r="F43" i="20"/>
  <c r="G43" i="20" s="1"/>
  <c r="O43" i="20"/>
  <c r="P43" i="20" s="1"/>
  <c r="F44" i="20"/>
  <c r="G44" i="20" s="1"/>
  <c r="O44" i="20"/>
  <c r="P44" i="20"/>
  <c r="F45" i="20"/>
  <c r="G45" i="20" s="1"/>
  <c r="O45" i="20"/>
  <c r="P45" i="20" s="1"/>
  <c r="F46" i="20"/>
  <c r="G46" i="20" s="1"/>
  <c r="O46" i="20"/>
  <c r="P46" i="20" s="1"/>
  <c r="F47" i="20"/>
  <c r="G47" i="20" s="1"/>
  <c r="O47" i="20"/>
  <c r="P47" i="20" s="1"/>
  <c r="F48" i="20"/>
  <c r="G48" i="20" s="1"/>
  <c r="O48" i="20"/>
  <c r="P48" i="20" s="1"/>
  <c r="F49" i="20"/>
  <c r="G49" i="20" s="1"/>
  <c r="O49" i="20"/>
  <c r="P49" i="20" s="1"/>
  <c r="F50" i="20"/>
  <c r="G50" i="20" s="1"/>
  <c r="O50" i="20"/>
  <c r="P50" i="20" s="1"/>
  <c r="F51" i="20"/>
  <c r="G51" i="20" s="1"/>
  <c r="O51" i="20"/>
  <c r="P51" i="20" s="1"/>
  <c r="F52" i="20"/>
  <c r="G52" i="20" s="1"/>
  <c r="O52" i="20"/>
  <c r="P52" i="20" s="1"/>
  <c r="F53" i="20"/>
  <c r="G53" i="20" s="1"/>
  <c r="O53" i="20"/>
  <c r="P53" i="20" s="1"/>
  <c r="F54" i="20"/>
  <c r="G54" i="20" s="1"/>
  <c r="O54" i="20"/>
  <c r="P54" i="20" s="1"/>
  <c r="F55" i="20"/>
  <c r="G55" i="20" s="1"/>
  <c r="O55" i="20"/>
  <c r="P55" i="20" s="1"/>
  <c r="F56" i="20"/>
  <c r="G56" i="20" s="1"/>
  <c r="O56" i="20"/>
  <c r="P56" i="20" s="1"/>
  <c r="F57" i="20"/>
  <c r="G57" i="20" s="1"/>
  <c r="O57" i="20"/>
  <c r="P57" i="20" s="1"/>
  <c r="F58" i="20"/>
  <c r="G58" i="20" s="1"/>
  <c r="O58" i="20"/>
  <c r="P58" i="20" s="1"/>
  <c r="F59" i="20"/>
  <c r="G59" i="20" s="1"/>
  <c r="O59" i="20"/>
  <c r="P59" i="20" s="1"/>
  <c r="F60" i="20"/>
  <c r="G60" i="20" s="1"/>
  <c r="O60" i="20"/>
  <c r="P60" i="20" s="1"/>
  <c r="F61" i="20"/>
  <c r="G61" i="20" s="1"/>
  <c r="O61" i="20"/>
  <c r="P61" i="20" s="1"/>
  <c r="F62" i="20"/>
  <c r="G62" i="20" s="1"/>
  <c r="O62" i="20"/>
  <c r="P62" i="20" s="1"/>
  <c r="F63" i="20"/>
  <c r="G63" i="20" s="1"/>
  <c r="O63" i="20"/>
  <c r="P63" i="20" s="1"/>
  <c r="F64" i="20"/>
  <c r="G64" i="20" s="1"/>
  <c r="O64" i="20"/>
  <c r="P64" i="20" s="1"/>
  <c r="F65" i="20"/>
  <c r="G65" i="20" s="1"/>
  <c r="O65" i="20"/>
  <c r="P65" i="20" s="1"/>
  <c r="F66" i="20"/>
  <c r="G66" i="20" s="1"/>
  <c r="O66" i="20"/>
  <c r="P66" i="20" s="1"/>
  <c r="F67" i="20"/>
  <c r="G67" i="20" s="1"/>
  <c r="O67" i="20"/>
  <c r="P67" i="20" s="1"/>
  <c r="F68" i="20"/>
  <c r="G68" i="20" s="1"/>
  <c r="O68" i="20"/>
  <c r="P68" i="20" s="1"/>
  <c r="F69" i="20"/>
  <c r="G69" i="20" s="1"/>
  <c r="O69" i="20"/>
  <c r="P69" i="20" s="1"/>
  <c r="F70" i="20"/>
  <c r="G70" i="20" s="1"/>
  <c r="O70" i="20"/>
  <c r="P70" i="20" s="1"/>
  <c r="F71" i="20"/>
  <c r="G71" i="20" s="1"/>
  <c r="O71" i="20"/>
  <c r="P71" i="20" s="1"/>
  <c r="F72" i="20"/>
  <c r="G72" i="20" s="1"/>
  <c r="O72" i="20"/>
  <c r="P72" i="20" s="1"/>
  <c r="F73" i="20"/>
  <c r="G73" i="20" s="1"/>
  <c r="O73" i="20"/>
  <c r="P73" i="20" s="1"/>
  <c r="F74" i="20"/>
  <c r="G74" i="20" s="1"/>
  <c r="O74" i="20"/>
  <c r="P74" i="20" s="1"/>
  <c r="F75" i="20"/>
  <c r="G75" i="20" s="1"/>
  <c r="O75" i="20"/>
  <c r="P75" i="20" s="1"/>
  <c r="F76" i="20"/>
  <c r="G76" i="20" s="1"/>
  <c r="O76" i="20"/>
  <c r="P76" i="20" s="1"/>
  <c r="F77" i="20"/>
  <c r="G77" i="20" s="1"/>
  <c r="O77" i="20"/>
  <c r="P77" i="20" s="1"/>
  <c r="F78" i="20"/>
  <c r="G78" i="20" s="1"/>
  <c r="O78" i="20"/>
  <c r="P78" i="20" s="1"/>
  <c r="F79" i="20"/>
  <c r="G79" i="20" s="1"/>
  <c r="O79" i="20"/>
  <c r="P79" i="20" s="1"/>
  <c r="F80" i="20"/>
  <c r="G80" i="20" s="1"/>
  <c r="O80" i="20"/>
  <c r="P80" i="20" s="1"/>
  <c r="F81" i="20"/>
  <c r="G81" i="20" s="1"/>
  <c r="O81" i="20"/>
  <c r="P81" i="20" s="1"/>
  <c r="F82" i="20"/>
  <c r="G82" i="20" s="1"/>
  <c r="O82" i="20"/>
  <c r="P82" i="20" s="1"/>
  <c r="F83" i="20"/>
  <c r="G83" i="20" s="1"/>
  <c r="O83" i="20"/>
  <c r="P83" i="20" s="1"/>
  <c r="F84" i="20"/>
  <c r="G84" i="20" s="1"/>
  <c r="O84" i="20"/>
  <c r="P84" i="20" s="1"/>
  <c r="F85" i="20"/>
  <c r="G85" i="20" s="1"/>
  <c r="O85" i="20"/>
  <c r="P85" i="20" s="1"/>
  <c r="F86" i="20"/>
  <c r="G86" i="20" s="1"/>
  <c r="O86" i="20"/>
  <c r="P86" i="20" s="1"/>
  <c r="F87" i="20"/>
  <c r="G87" i="20" s="1"/>
  <c r="O87" i="20"/>
  <c r="P87" i="20" s="1"/>
  <c r="F88" i="20"/>
  <c r="G88" i="20" s="1"/>
  <c r="O88" i="20"/>
  <c r="P88" i="20" s="1"/>
  <c r="F89" i="20"/>
  <c r="G89" i="20" s="1"/>
  <c r="O89" i="20"/>
  <c r="P89" i="20" s="1"/>
  <c r="F90" i="20"/>
  <c r="G90" i="20" s="1"/>
  <c r="O90" i="20"/>
  <c r="P90" i="20" s="1"/>
  <c r="F91" i="20"/>
  <c r="G91" i="20" s="1"/>
  <c r="O91" i="20"/>
  <c r="P91" i="20" s="1"/>
  <c r="F92" i="20"/>
  <c r="G92" i="20" s="1"/>
  <c r="O92" i="20"/>
  <c r="P92" i="20" s="1"/>
  <c r="F93" i="20"/>
  <c r="G93" i="20" s="1"/>
  <c r="O93" i="20"/>
  <c r="P93" i="20" s="1"/>
  <c r="F94" i="20"/>
  <c r="G94" i="20" s="1"/>
  <c r="O94" i="20"/>
  <c r="P94" i="20" s="1"/>
  <c r="F95" i="20"/>
  <c r="G95" i="20"/>
  <c r="O95" i="20"/>
  <c r="P95" i="20" s="1"/>
  <c r="F96" i="20"/>
  <c r="G96" i="20" s="1"/>
  <c r="O96" i="20"/>
  <c r="P96" i="20" s="1"/>
  <c r="F97" i="20"/>
  <c r="G97" i="20"/>
  <c r="O97" i="20"/>
  <c r="P97" i="20" s="1"/>
  <c r="F98" i="20"/>
  <c r="G98" i="20" s="1"/>
  <c r="O98" i="20"/>
  <c r="P98" i="20" s="1"/>
  <c r="F99" i="20"/>
  <c r="G99" i="20" s="1"/>
  <c r="O99" i="20"/>
  <c r="P99" i="20" s="1"/>
  <c r="F100" i="20"/>
  <c r="G100" i="20"/>
  <c r="O100" i="20"/>
  <c r="P100" i="20" s="1"/>
  <c r="F101" i="20"/>
  <c r="G101" i="20" s="1"/>
  <c r="O101" i="20"/>
  <c r="P101" i="20" s="1"/>
  <c r="F102" i="20"/>
  <c r="G102" i="20" s="1"/>
  <c r="O102" i="20"/>
  <c r="P102" i="20" s="1"/>
  <c r="F103" i="20"/>
  <c r="G103" i="20" s="1"/>
  <c r="O103" i="20"/>
  <c r="P103" i="20" s="1"/>
  <c r="F104" i="20"/>
  <c r="G104" i="20" s="1"/>
  <c r="O104" i="20"/>
  <c r="P104" i="20" s="1"/>
  <c r="F105" i="20"/>
  <c r="G105" i="20" s="1"/>
  <c r="O105" i="20"/>
  <c r="P105" i="20" s="1"/>
  <c r="F106" i="20"/>
  <c r="G106" i="20" s="1"/>
  <c r="O106" i="20"/>
  <c r="P106" i="20" s="1"/>
  <c r="F107" i="20"/>
  <c r="G107" i="20" s="1"/>
  <c r="O107" i="20"/>
  <c r="P107" i="20" s="1"/>
  <c r="F108" i="20"/>
  <c r="G108" i="20" s="1"/>
  <c r="O108" i="20"/>
  <c r="P108" i="20" s="1"/>
  <c r="F109" i="20"/>
  <c r="G109" i="20" s="1"/>
  <c r="O109" i="20"/>
  <c r="P109" i="20" s="1"/>
  <c r="F110" i="20"/>
  <c r="G110" i="20" s="1"/>
  <c r="O110" i="20"/>
  <c r="P110" i="20" s="1"/>
  <c r="F111" i="20"/>
  <c r="G111" i="20" s="1"/>
  <c r="O111" i="20"/>
  <c r="P111" i="20" s="1"/>
  <c r="F112" i="20"/>
  <c r="G112" i="20" s="1"/>
  <c r="O112" i="20"/>
  <c r="P112" i="20" s="1"/>
  <c r="F113" i="20"/>
  <c r="G113" i="20" s="1"/>
  <c r="O113" i="20"/>
  <c r="P113" i="20" s="1"/>
  <c r="F114" i="20"/>
  <c r="G114" i="20" s="1"/>
  <c r="O114" i="20"/>
  <c r="P114" i="20" s="1"/>
  <c r="F115" i="20"/>
  <c r="G115" i="20" s="1"/>
  <c r="O115" i="20"/>
  <c r="P115" i="20" s="1"/>
  <c r="F116" i="20"/>
  <c r="G116" i="20" s="1"/>
  <c r="O116" i="20"/>
  <c r="P116" i="20" s="1"/>
  <c r="F117" i="20"/>
  <c r="G117" i="20" s="1"/>
  <c r="O117" i="20"/>
  <c r="P117" i="20" s="1"/>
  <c r="F118" i="20"/>
  <c r="G118" i="20" s="1"/>
  <c r="O118" i="20"/>
  <c r="P118" i="20" s="1"/>
  <c r="F15" i="20" l="1"/>
  <c r="O15" i="20"/>
  <c r="P15" i="20" s="1"/>
  <c r="G15" i="20" l="1"/>
  <c r="P25" i="21" l="1" a="1"/>
  <c r="P184" i="21" s="1"/>
  <c r="O25" i="21" a="1"/>
  <c r="P1017" i="21" l="1"/>
  <c r="P1001" i="21"/>
  <c r="P985" i="21"/>
  <c r="P969" i="21"/>
  <c r="P947" i="21"/>
  <c r="P915" i="21"/>
  <c r="P899" i="21"/>
  <c r="P867" i="21"/>
  <c r="P835" i="21"/>
  <c r="P803" i="21"/>
  <c r="P753" i="21"/>
  <c r="P620" i="21"/>
  <c r="P450" i="21"/>
  <c r="P1016" i="21"/>
  <c r="P1000" i="21"/>
  <c r="P984" i="21"/>
  <c r="P968" i="21"/>
  <c r="P946" i="21"/>
  <c r="P898" i="21"/>
  <c r="P866" i="21"/>
  <c r="P834" i="21"/>
  <c r="P802" i="21"/>
  <c r="P752" i="21"/>
  <c r="P599" i="21"/>
  <c r="P1021" i="21"/>
  <c r="P1013" i="21"/>
  <c r="P1005" i="21"/>
  <c r="P997" i="21"/>
  <c r="P989" i="21"/>
  <c r="P981" i="21"/>
  <c r="P973" i="21"/>
  <c r="P965" i="21"/>
  <c r="P955" i="21"/>
  <c r="P939" i="21"/>
  <c r="P923" i="21"/>
  <c r="P907" i="21"/>
  <c r="P891" i="21"/>
  <c r="P875" i="21"/>
  <c r="P859" i="21"/>
  <c r="P843" i="21"/>
  <c r="P827" i="21"/>
  <c r="P811" i="21"/>
  <c r="P795" i="21"/>
  <c r="P769" i="21"/>
  <c r="P737" i="21"/>
  <c r="P663" i="21"/>
  <c r="P578" i="21"/>
  <c r="P492" i="21"/>
  <c r="P365" i="21"/>
  <c r="P1009" i="21"/>
  <c r="P993" i="21"/>
  <c r="P977" i="21"/>
  <c r="P961" i="21"/>
  <c r="P931" i="21"/>
  <c r="P883" i="21"/>
  <c r="P851" i="21"/>
  <c r="P819" i="21"/>
  <c r="P785" i="21"/>
  <c r="P705" i="21"/>
  <c r="P535" i="21"/>
  <c r="P1024" i="21"/>
  <c r="P1008" i="21"/>
  <c r="P992" i="21"/>
  <c r="P976" i="21"/>
  <c r="P960" i="21"/>
  <c r="P930" i="21"/>
  <c r="P914" i="21"/>
  <c r="P882" i="21"/>
  <c r="P850" i="21"/>
  <c r="P818" i="21"/>
  <c r="P784" i="21"/>
  <c r="P684" i="21"/>
  <c r="P514" i="21"/>
  <c r="P407" i="21"/>
  <c r="P1020" i="21"/>
  <c r="P1012" i="21"/>
  <c r="P1004" i="21"/>
  <c r="P996" i="21"/>
  <c r="P988" i="21"/>
  <c r="P980" i="21"/>
  <c r="P972" i="21"/>
  <c r="P964" i="21"/>
  <c r="P954" i="21"/>
  <c r="P938" i="21"/>
  <c r="P922" i="21"/>
  <c r="P906" i="21"/>
  <c r="P890" i="21"/>
  <c r="P874" i="21"/>
  <c r="P858" i="21"/>
  <c r="P842" i="21"/>
  <c r="P826" i="21"/>
  <c r="P810" i="21"/>
  <c r="P794" i="21"/>
  <c r="P768" i="21"/>
  <c r="P721" i="21"/>
  <c r="P642" i="21"/>
  <c r="P556" i="21"/>
  <c r="P471" i="21"/>
  <c r="P282" i="21"/>
  <c r="O25" i="21"/>
  <c r="O72" i="21"/>
  <c r="O197" i="21"/>
  <c r="O261" i="21"/>
  <c r="O302" i="21"/>
  <c r="O334" i="21"/>
  <c r="O366" i="21"/>
  <c r="O398" i="21"/>
  <c r="O430" i="21"/>
  <c r="O462" i="21"/>
  <c r="O494" i="21"/>
  <c r="O526" i="21"/>
  <c r="O540" i="21"/>
  <c r="O548" i="21"/>
  <c r="O555" i="21"/>
  <c r="O560" i="21"/>
  <c r="O565" i="21"/>
  <c r="O571" i="21"/>
  <c r="O576" i="21"/>
  <c r="O581" i="21"/>
  <c r="O587" i="21"/>
  <c r="O592" i="21"/>
  <c r="O597" i="21"/>
  <c r="O603" i="21"/>
  <c r="O608" i="21"/>
  <c r="O613" i="21"/>
  <c r="O619" i="21"/>
  <c r="O624" i="21"/>
  <c r="O629" i="21"/>
  <c r="O635" i="21"/>
  <c r="O640" i="21"/>
  <c r="O645" i="21"/>
  <c r="O651" i="21"/>
  <c r="O656" i="21"/>
  <c r="O661" i="21"/>
  <c r="O667" i="21"/>
  <c r="O672" i="21"/>
  <c r="O677" i="21"/>
  <c r="O683" i="21"/>
  <c r="O688" i="21"/>
  <c r="O693" i="21"/>
  <c r="O699" i="21"/>
  <c r="O704" i="21"/>
  <c r="O709" i="21"/>
  <c r="O715" i="21"/>
  <c r="O720" i="21"/>
  <c r="O725" i="21"/>
  <c r="O731" i="21"/>
  <c r="O736" i="21"/>
  <c r="O741" i="21"/>
  <c r="O747" i="21"/>
  <c r="O752" i="21"/>
  <c r="O757" i="21"/>
  <c r="O763" i="21"/>
  <c r="O768" i="21"/>
  <c r="O773" i="21"/>
  <c r="O779" i="21"/>
  <c r="O784" i="21"/>
  <c r="O789" i="21"/>
  <c r="O795" i="21"/>
  <c r="O800" i="21"/>
  <c r="O805" i="21"/>
  <c r="O811" i="21"/>
  <c r="O816" i="21"/>
  <c r="O821" i="21"/>
  <c r="O827" i="21"/>
  <c r="O832" i="21"/>
  <c r="O837" i="21"/>
  <c r="O843" i="21"/>
  <c r="O848" i="21"/>
  <c r="O853" i="21"/>
  <c r="O859" i="21"/>
  <c r="O864" i="21"/>
  <c r="O869" i="21"/>
  <c r="O875" i="21"/>
  <c r="O880" i="21"/>
  <c r="O885" i="21"/>
  <c r="O891" i="21"/>
  <c r="O896" i="21"/>
  <c r="O901" i="21"/>
  <c r="O907" i="21"/>
  <c r="O912" i="21"/>
  <c r="O917" i="21"/>
  <c r="O923" i="21"/>
  <c r="O928" i="21"/>
  <c r="O933" i="21"/>
  <c r="O939" i="21"/>
  <c r="O944" i="21"/>
  <c r="O949" i="21"/>
  <c r="O955" i="21"/>
  <c r="O960" i="21"/>
  <c r="O965" i="21"/>
  <c r="O971" i="21"/>
  <c r="O976" i="21"/>
  <c r="O981" i="21"/>
  <c r="O987" i="21"/>
  <c r="O992" i="21"/>
  <c r="O997" i="21"/>
  <c r="O1003" i="21"/>
  <c r="O1008" i="21"/>
  <c r="O1013" i="21"/>
  <c r="O1019" i="21"/>
  <c r="O1024" i="21"/>
  <c r="O88" i="21"/>
  <c r="O205" i="21"/>
  <c r="O269" i="21"/>
  <c r="O306" i="21"/>
  <c r="O338" i="21"/>
  <c r="O370" i="21"/>
  <c r="O402" i="21"/>
  <c r="O434" i="21"/>
  <c r="O466" i="21"/>
  <c r="O498" i="21"/>
  <c r="O530" i="21"/>
  <c r="O541" i="21"/>
  <c r="O549" i="21"/>
  <c r="O556" i="21"/>
  <c r="O561" i="21"/>
  <c r="O567" i="21"/>
  <c r="O572" i="21"/>
  <c r="O577" i="21"/>
  <c r="O583" i="21"/>
  <c r="O588" i="21"/>
  <c r="O593" i="21"/>
  <c r="O599" i="21"/>
  <c r="O604" i="21"/>
  <c r="O609" i="21"/>
  <c r="O615" i="21"/>
  <c r="O620" i="21"/>
  <c r="O625" i="21"/>
  <c r="O631" i="21"/>
  <c r="O636" i="21"/>
  <c r="O641" i="21"/>
  <c r="O647" i="21"/>
  <c r="O652" i="21"/>
  <c r="O657" i="21"/>
  <c r="O663" i="21"/>
  <c r="O668" i="21"/>
  <c r="O673" i="21"/>
  <c r="O679" i="21"/>
  <c r="O684" i="21"/>
  <c r="O689" i="21"/>
  <c r="O695" i="21"/>
  <c r="O700" i="21"/>
  <c r="O705" i="21"/>
  <c r="O711" i="21"/>
  <c r="O716" i="21"/>
  <c r="O721" i="21"/>
  <c r="O727" i="21"/>
  <c r="O732" i="21"/>
  <c r="O737" i="21"/>
  <c r="O743" i="21"/>
  <c r="O748" i="21"/>
  <c r="O753" i="21"/>
  <c r="O759" i="21"/>
  <c r="O764" i="21"/>
  <c r="O769" i="21"/>
  <c r="O775" i="21"/>
  <c r="O780" i="21"/>
  <c r="O785" i="21"/>
  <c r="O791" i="21"/>
  <c r="O796" i="21"/>
  <c r="O801" i="21"/>
  <c r="O807" i="21"/>
  <c r="O812" i="21"/>
  <c r="O817" i="21"/>
  <c r="O823" i="21"/>
  <c r="O828" i="21"/>
  <c r="O833" i="21"/>
  <c r="O839" i="21"/>
  <c r="O844" i="21"/>
  <c r="O849" i="21"/>
  <c r="O855" i="21"/>
  <c r="O860" i="21"/>
  <c r="O865" i="21"/>
  <c r="O871" i="21"/>
  <c r="O876" i="21"/>
  <c r="O881" i="21"/>
  <c r="O887" i="21"/>
  <c r="O892" i="21"/>
  <c r="O897" i="21"/>
  <c r="O903" i="21"/>
  <c r="O908" i="21"/>
  <c r="O913" i="21"/>
  <c r="O919" i="21"/>
  <c r="O924" i="21"/>
  <c r="O929" i="21"/>
  <c r="O935" i="21"/>
  <c r="O940" i="21"/>
  <c r="O945" i="21"/>
  <c r="O951" i="21"/>
  <c r="O956" i="21"/>
  <c r="O961" i="21"/>
  <c r="O967" i="21"/>
  <c r="O972" i="21"/>
  <c r="O977" i="21"/>
  <c r="O983" i="21"/>
  <c r="O988" i="21"/>
  <c r="O993" i="21"/>
  <c r="O999" i="21"/>
  <c r="O1004" i="21"/>
  <c r="O1009" i="21"/>
  <c r="O1015" i="21"/>
  <c r="O1020" i="21"/>
  <c r="O1016" i="21"/>
  <c r="O995" i="21"/>
  <c r="O973" i="21"/>
  <c r="O952" i="21"/>
  <c r="O931" i="21"/>
  <c r="O909" i="21"/>
  <c r="O888" i="21"/>
  <c r="O867" i="21"/>
  <c r="O845" i="21"/>
  <c r="O824" i="21"/>
  <c r="O803" i="21"/>
  <c r="O781" i="21"/>
  <c r="O760" i="21"/>
  <c r="O739" i="21"/>
  <c r="O717" i="21"/>
  <c r="O696" i="21"/>
  <c r="O675" i="21"/>
  <c r="O653" i="21"/>
  <c r="O632" i="21"/>
  <c r="O611" i="21"/>
  <c r="O589" i="21"/>
  <c r="O568" i="21"/>
  <c r="O544" i="21"/>
  <c r="O446" i="21"/>
  <c r="O318" i="21"/>
  <c r="O1023" i="21"/>
  <c r="O1012" i="21"/>
  <c r="O1001" i="21"/>
  <c r="O991" i="21"/>
  <c r="O980" i="21"/>
  <c r="O969" i="21"/>
  <c r="O959" i="21"/>
  <c r="O948" i="21"/>
  <c r="O937" i="21"/>
  <c r="O927" i="21"/>
  <c r="O916" i="21"/>
  <c r="O905" i="21"/>
  <c r="O895" i="21"/>
  <c r="O884" i="21"/>
  <c r="O873" i="21"/>
  <c r="O863" i="21"/>
  <c r="O852" i="21"/>
  <c r="O841" i="21"/>
  <c r="O831" i="21"/>
  <c r="O820" i="21"/>
  <c r="O809" i="21"/>
  <c r="O799" i="21"/>
  <c r="O788" i="21"/>
  <c r="O777" i="21"/>
  <c r="O767" i="21"/>
  <c r="O756" i="21"/>
  <c r="O745" i="21"/>
  <c r="O735" i="21"/>
  <c r="O724" i="21"/>
  <c r="O713" i="21"/>
  <c r="O703" i="21"/>
  <c r="O692" i="21"/>
  <c r="O681" i="21"/>
  <c r="O671" i="21"/>
  <c r="O660" i="21"/>
  <c r="O649" i="21"/>
  <c r="O639" i="21"/>
  <c r="O628" i="21"/>
  <c r="O617" i="21"/>
  <c r="O607" i="21"/>
  <c r="O596" i="21"/>
  <c r="O585" i="21"/>
  <c r="O575" i="21"/>
  <c r="O564" i="21"/>
  <c r="O553" i="21"/>
  <c r="O537" i="21"/>
  <c r="O482" i="21"/>
  <c r="O418" i="21"/>
  <c r="O354" i="21"/>
  <c r="O290" i="21"/>
  <c r="O152" i="21"/>
  <c r="O1017" i="21"/>
  <c r="O996" i="21"/>
  <c r="O985" i="21"/>
  <c r="O975" i="21"/>
  <c r="O964" i="21"/>
  <c r="O953" i="21"/>
  <c r="O943" i="21"/>
  <c r="O932" i="21"/>
  <c r="O921" i="21"/>
  <c r="O911" i="21"/>
  <c r="O900" i="21"/>
  <c r="O889" i="21"/>
  <c r="O879" i="21"/>
  <c r="O868" i="21"/>
  <c r="O857" i="21"/>
  <c r="O847" i="21"/>
  <c r="O836" i="21"/>
  <c r="O825" i="21"/>
  <c r="O815" i="21"/>
  <c r="O804" i="21"/>
  <c r="O793" i="21"/>
  <c r="O783" i="21"/>
  <c r="O772" i="21"/>
  <c r="O761" i="21"/>
  <c r="O751" i="21"/>
  <c r="O740" i="21"/>
  <c r="O729" i="21"/>
  <c r="O719" i="21"/>
  <c r="O708" i="21"/>
  <c r="O697" i="21"/>
  <c r="O687" i="21"/>
  <c r="O676" i="21"/>
  <c r="O665" i="21"/>
  <c r="O655" i="21"/>
  <c r="O644" i="21"/>
  <c r="O633" i="21"/>
  <c r="O623" i="21"/>
  <c r="O612" i="21"/>
  <c r="O601" i="21"/>
  <c r="O591" i="21"/>
  <c r="O580" i="21"/>
  <c r="O569" i="21"/>
  <c r="O559" i="21"/>
  <c r="O545" i="21"/>
  <c r="O514" i="21"/>
  <c r="O450" i="21"/>
  <c r="O322" i="21"/>
  <c r="O237" i="21"/>
  <c r="O1005" i="21"/>
  <c r="O984" i="21"/>
  <c r="O963" i="21"/>
  <c r="O941" i="21"/>
  <c r="O920" i="21"/>
  <c r="O899" i="21"/>
  <c r="O877" i="21"/>
  <c r="O856" i="21"/>
  <c r="O835" i="21"/>
  <c r="O813" i="21"/>
  <c r="O792" i="21"/>
  <c r="O771" i="21"/>
  <c r="O749" i="21"/>
  <c r="O728" i="21"/>
  <c r="O707" i="21"/>
  <c r="O685" i="21"/>
  <c r="O664" i="21"/>
  <c r="O643" i="21"/>
  <c r="O621" i="21"/>
  <c r="O600" i="21"/>
  <c r="O579" i="21"/>
  <c r="O557" i="21"/>
  <c r="O510" i="21"/>
  <c r="O382" i="21"/>
  <c r="O229" i="21"/>
  <c r="O1021" i="21"/>
  <c r="O1011" i="21"/>
  <c r="O1000" i="21"/>
  <c r="O989" i="21"/>
  <c r="O979" i="21"/>
  <c r="O968" i="21"/>
  <c r="O957" i="21"/>
  <c r="O947" i="21"/>
  <c r="O936" i="21"/>
  <c r="O925" i="21"/>
  <c r="O915" i="21"/>
  <c r="O904" i="21"/>
  <c r="O893" i="21"/>
  <c r="O883" i="21"/>
  <c r="O872" i="21"/>
  <c r="O861" i="21"/>
  <c r="O851" i="21"/>
  <c r="O840" i="21"/>
  <c r="O829" i="21"/>
  <c r="O819" i="21"/>
  <c r="O808" i="21"/>
  <c r="O797" i="21"/>
  <c r="O787" i="21"/>
  <c r="O776" i="21"/>
  <c r="O765" i="21"/>
  <c r="O755" i="21"/>
  <c r="O744" i="21"/>
  <c r="O733" i="21"/>
  <c r="O723" i="21"/>
  <c r="O712" i="21"/>
  <c r="O701" i="21"/>
  <c r="O691" i="21"/>
  <c r="O680" i="21"/>
  <c r="O669" i="21"/>
  <c r="O659" i="21"/>
  <c r="O648" i="21"/>
  <c r="O637" i="21"/>
  <c r="O627" i="21"/>
  <c r="O616" i="21"/>
  <c r="O605" i="21"/>
  <c r="O595" i="21"/>
  <c r="O584" i="21"/>
  <c r="O573" i="21"/>
  <c r="O563" i="21"/>
  <c r="O552" i="21"/>
  <c r="O536" i="21"/>
  <c r="O478" i="21"/>
  <c r="O414" i="21"/>
  <c r="O350" i="21"/>
  <c r="O286" i="21"/>
  <c r="O136" i="21"/>
  <c r="O1007" i="21"/>
  <c r="O386" i="21"/>
  <c r="P736" i="21"/>
  <c r="P704" i="21"/>
  <c r="P662" i="21"/>
  <c r="P619" i="21"/>
  <c r="P576" i="21"/>
  <c r="P534" i="21"/>
  <c r="P491" i="21"/>
  <c r="P447" i="21"/>
  <c r="P269" i="21"/>
  <c r="P1023" i="21"/>
  <c r="P1019" i="21"/>
  <c r="P1015" i="21"/>
  <c r="P1011" i="21"/>
  <c r="P1007" i="21"/>
  <c r="P1003" i="21"/>
  <c r="P999" i="21"/>
  <c r="P995" i="21"/>
  <c r="P991" i="21"/>
  <c r="P987" i="21"/>
  <c r="P983" i="21"/>
  <c r="P979" i="21"/>
  <c r="P975" i="21"/>
  <c r="P971" i="21"/>
  <c r="P967" i="21"/>
  <c r="P963" i="21"/>
  <c r="P959" i="21"/>
  <c r="P951" i="21"/>
  <c r="P943" i="21"/>
  <c r="P935" i="21"/>
  <c r="P927" i="21"/>
  <c r="P919" i="21"/>
  <c r="P911" i="21"/>
  <c r="P903" i="21"/>
  <c r="P895" i="21"/>
  <c r="P887" i="21"/>
  <c r="P879" i="21"/>
  <c r="P871" i="21"/>
  <c r="P863" i="21"/>
  <c r="P855" i="21"/>
  <c r="P847" i="21"/>
  <c r="P839" i="21"/>
  <c r="P831" i="21"/>
  <c r="P823" i="21"/>
  <c r="P815" i="21"/>
  <c r="P807" i="21"/>
  <c r="P799" i="21"/>
  <c r="P791" i="21"/>
  <c r="P777" i="21"/>
  <c r="P761" i="21"/>
  <c r="P745" i="21"/>
  <c r="P729" i="21"/>
  <c r="P713" i="21"/>
  <c r="P695" i="21"/>
  <c r="P674" i="21"/>
  <c r="P652" i="21"/>
  <c r="P631" i="21"/>
  <c r="P610" i="21"/>
  <c r="P588" i="21"/>
  <c r="P567" i="21"/>
  <c r="P546" i="21"/>
  <c r="P524" i="21"/>
  <c r="P503" i="21"/>
  <c r="P482" i="21"/>
  <c r="P460" i="21"/>
  <c r="P429" i="21"/>
  <c r="P387" i="21"/>
  <c r="P322" i="21"/>
  <c r="P197" i="21"/>
  <c r="P720" i="21"/>
  <c r="P683" i="21"/>
  <c r="P640" i="21"/>
  <c r="P598" i="21"/>
  <c r="P555" i="21"/>
  <c r="P512" i="21"/>
  <c r="P470" i="21"/>
  <c r="P405" i="21"/>
  <c r="P362" i="21"/>
  <c r="P1022" i="21"/>
  <c r="P1018" i="21"/>
  <c r="P1014" i="21"/>
  <c r="P1010" i="21"/>
  <c r="P1006" i="21"/>
  <c r="P1002" i="21"/>
  <c r="P998" i="21"/>
  <c r="P994" i="21"/>
  <c r="P990" i="21"/>
  <c r="P986" i="21"/>
  <c r="P982" i="21"/>
  <c r="P978" i="21"/>
  <c r="P974" i="21"/>
  <c r="P970" i="21"/>
  <c r="P966" i="21"/>
  <c r="P962" i="21"/>
  <c r="P958" i="21"/>
  <c r="P950" i="21"/>
  <c r="P942" i="21"/>
  <c r="P934" i="21"/>
  <c r="P926" i="21"/>
  <c r="P918" i="21"/>
  <c r="P910" i="21"/>
  <c r="P902" i="21"/>
  <c r="P894" i="21"/>
  <c r="P886" i="21"/>
  <c r="P878" i="21"/>
  <c r="P870" i="21"/>
  <c r="P862" i="21"/>
  <c r="P854" i="21"/>
  <c r="P846" i="21"/>
  <c r="P838" i="21"/>
  <c r="P830" i="21"/>
  <c r="P822" i="21"/>
  <c r="P814" i="21"/>
  <c r="P806" i="21"/>
  <c r="P798" i="21"/>
  <c r="P790" i="21"/>
  <c r="P776" i="21"/>
  <c r="P760" i="21"/>
  <c r="P744" i="21"/>
  <c r="P728" i="21"/>
  <c r="P712" i="21"/>
  <c r="P694" i="21"/>
  <c r="P672" i="21"/>
  <c r="P651" i="21"/>
  <c r="P630" i="21"/>
  <c r="P608" i="21"/>
  <c r="P587" i="21"/>
  <c r="P566" i="21"/>
  <c r="P544" i="21"/>
  <c r="P523" i="21"/>
  <c r="P502" i="21"/>
  <c r="P480" i="21"/>
  <c r="P459" i="21"/>
  <c r="P427" i="21"/>
  <c r="P383" i="21"/>
  <c r="P318" i="21"/>
  <c r="P25" i="21"/>
  <c r="P56" i="21"/>
  <c r="P136" i="21"/>
  <c r="P205" i="21"/>
  <c r="P253" i="21"/>
  <c r="P286" i="21"/>
  <c r="P306" i="21"/>
  <c r="P330" i="21"/>
  <c r="P350" i="21"/>
  <c r="P367" i="21"/>
  <c r="P379" i="21"/>
  <c r="P389" i="21"/>
  <c r="P399" i="21"/>
  <c r="P411" i="21"/>
  <c r="P421" i="21"/>
  <c r="P431" i="21"/>
  <c r="P443" i="21"/>
  <c r="P451" i="21"/>
  <c r="P456" i="21"/>
  <c r="P462" i="21"/>
  <c r="P467" i="21"/>
  <c r="P472" i="21"/>
  <c r="P478" i="21"/>
  <c r="P483" i="21"/>
  <c r="P488" i="21"/>
  <c r="P494" i="21"/>
  <c r="P499" i="21"/>
  <c r="P504" i="21"/>
  <c r="P510" i="21"/>
  <c r="P515" i="21"/>
  <c r="P520" i="21"/>
  <c r="P526" i="21"/>
  <c r="P531" i="21"/>
  <c r="P536" i="21"/>
  <c r="P542" i="21"/>
  <c r="P547" i="21"/>
  <c r="P552" i="21"/>
  <c r="P558" i="21"/>
  <c r="P563" i="21"/>
  <c r="P568" i="21"/>
  <c r="P574" i="21"/>
  <c r="P579" i="21"/>
  <c r="P584" i="21"/>
  <c r="P590" i="21"/>
  <c r="P595" i="21"/>
  <c r="P600" i="21"/>
  <c r="P606" i="21"/>
  <c r="P611" i="21"/>
  <c r="P616" i="21"/>
  <c r="P622" i="21"/>
  <c r="P627" i="21"/>
  <c r="P632" i="21"/>
  <c r="P638" i="21"/>
  <c r="P643" i="21"/>
  <c r="P648" i="21"/>
  <c r="P654" i="21"/>
  <c r="P659" i="21"/>
  <c r="P664" i="21"/>
  <c r="P670" i="21"/>
  <c r="P675" i="21"/>
  <c r="P680" i="21"/>
  <c r="P686" i="21"/>
  <c r="P691" i="21"/>
  <c r="P696" i="21"/>
  <c r="P702" i="21"/>
  <c r="P706" i="21"/>
  <c r="P710" i="21"/>
  <c r="P714" i="21"/>
  <c r="P718" i="21"/>
  <c r="P722" i="21"/>
  <c r="P726" i="21"/>
  <c r="P730" i="21"/>
  <c r="P734" i="21"/>
  <c r="P738" i="21"/>
  <c r="P742" i="21"/>
  <c r="P746" i="21"/>
  <c r="P750" i="21"/>
  <c r="P754" i="21"/>
  <c r="P758" i="21"/>
  <c r="P762" i="21"/>
  <c r="P766" i="21"/>
  <c r="P770" i="21"/>
  <c r="P774" i="21"/>
  <c r="P778" i="21"/>
  <c r="P782" i="21"/>
  <c r="P786" i="21"/>
  <c r="P72" i="21"/>
  <c r="P152" i="21"/>
  <c r="P221" i="21"/>
  <c r="P261" i="21"/>
  <c r="P290" i="21"/>
  <c r="P314" i="21"/>
  <c r="P334" i="21"/>
  <c r="P354" i="21"/>
  <c r="P371" i="21"/>
  <c r="P381" i="21"/>
  <c r="P391" i="21"/>
  <c r="P403" i="21"/>
  <c r="P413" i="21"/>
  <c r="P423" i="21"/>
  <c r="P435" i="21"/>
  <c r="P445" i="21"/>
  <c r="P452" i="21"/>
  <c r="P458" i="21"/>
  <c r="P463" i="21"/>
  <c r="P468" i="21"/>
  <c r="P474" i="21"/>
  <c r="P479" i="21"/>
  <c r="P484" i="21"/>
  <c r="P490" i="21"/>
  <c r="P495" i="21"/>
  <c r="P500" i="21"/>
  <c r="P506" i="21"/>
  <c r="P511" i="21"/>
  <c r="P516" i="21"/>
  <c r="P522" i="21"/>
  <c r="P527" i="21"/>
  <c r="P532" i="21"/>
  <c r="P538" i="21"/>
  <c r="P543" i="21"/>
  <c r="P548" i="21"/>
  <c r="P554" i="21"/>
  <c r="P559" i="21"/>
  <c r="P564" i="21"/>
  <c r="P570" i="21"/>
  <c r="P575" i="21"/>
  <c r="P580" i="21"/>
  <c r="P586" i="21"/>
  <c r="P591" i="21"/>
  <c r="P596" i="21"/>
  <c r="P602" i="21"/>
  <c r="P607" i="21"/>
  <c r="P612" i="21"/>
  <c r="P618" i="21"/>
  <c r="P623" i="21"/>
  <c r="P628" i="21"/>
  <c r="P634" i="21"/>
  <c r="P639" i="21"/>
  <c r="P644" i="21"/>
  <c r="P650" i="21"/>
  <c r="P655" i="21"/>
  <c r="P660" i="21"/>
  <c r="P666" i="21"/>
  <c r="P671" i="21"/>
  <c r="P676" i="21"/>
  <c r="P682" i="21"/>
  <c r="P687" i="21"/>
  <c r="P692" i="21"/>
  <c r="P698" i="21"/>
  <c r="P703" i="21"/>
  <c r="P707" i="21"/>
  <c r="P711" i="21"/>
  <c r="P715" i="21"/>
  <c r="P719" i="21"/>
  <c r="P723" i="21"/>
  <c r="P727" i="21"/>
  <c r="P731" i="21"/>
  <c r="P735" i="21"/>
  <c r="P739" i="21"/>
  <c r="P743" i="21"/>
  <c r="P747" i="21"/>
  <c r="P751" i="21"/>
  <c r="P755" i="21"/>
  <c r="P759" i="21"/>
  <c r="P763" i="21"/>
  <c r="P767" i="21"/>
  <c r="P771" i="21"/>
  <c r="P775" i="21"/>
  <c r="P779" i="21"/>
  <c r="P783" i="21"/>
  <c r="P787" i="21"/>
  <c r="P88" i="21"/>
  <c r="P229" i="21"/>
  <c r="P298" i="21"/>
  <c r="P338" i="21"/>
  <c r="P373" i="21"/>
  <c r="P395" i="21"/>
  <c r="P415" i="21"/>
  <c r="P437" i="21"/>
  <c r="P454" i="21"/>
  <c r="P464" i="21"/>
  <c r="P475" i="21"/>
  <c r="P486" i="21"/>
  <c r="P496" i="21"/>
  <c r="P507" i="21"/>
  <c r="P518" i="21"/>
  <c r="P528" i="21"/>
  <c r="P539" i="21"/>
  <c r="P550" i="21"/>
  <c r="P560" i="21"/>
  <c r="P571" i="21"/>
  <c r="P582" i="21"/>
  <c r="P592" i="21"/>
  <c r="P603" i="21"/>
  <c r="P614" i="21"/>
  <c r="P624" i="21"/>
  <c r="P635" i="21"/>
  <c r="P646" i="21"/>
  <c r="P656" i="21"/>
  <c r="P667" i="21"/>
  <c r="P678" i="21"/>
  <c r="P688" i="21"/>
  <c r="P699" i="21"/>
  <c r="P708" i="21"/>
  <c r="P716" i="21"/>
  <c r="P724" i="21"/>
  <c r="P732" i="21"/>
  <c r="P740" i="21"/>
  <c r="P748" i="21"/>
  <c r="P756" i="21"/>
  <c r="P764" i="21"/>
  <c r="P772" i="21"/>
  <c r="P780" i="21"/>
  <c r="P788" i="21"/>
  <c r="P792" i="21"/>
  <c r="P796" i="21"/>
  <c r="P800" i="21"/>
  <c r="P804" i="21"/>
  <c r="P808" i="21"/>
  <c r="P812" i="21"/>
  <c r="P816" i="21"/>
  <c r="P820" i="21"/>
  <c r="P824" i="21"/>
  <c r="P828" i="21"/>
  <c r="P832" i="21"/>
  <c r="P836" i="21"/>
  <c r="P840" i="21"/>
  <c r="P844" i="21"/>
  <c r="P848" i="21"/>
  <c r="P852" i="21"/>
  <c r="P856" i="21"/>
  <c r="P860" i="21"/>
  <c r="P864" i="21"/>
  <c r="P868" i="21"/>
  <c r="P872" i="21"/>
  <c r="P876" i="21"/>
  <c r="P880" i="21"/>
  <c r="P884" i="21"/>
  <c r="P888" i="21"/>
  <c r="P892" i="21"/>
  <c r="P896" i="21"/>
  <c r="P900" i="21"/>
  <c r="P904" i="21"/>
  <c r="P908" i="21"/>
  <c r="P912" i="21"/>
  <c r="P916" i="21"/>
  <c r="P920" i="21"/>
  <c r="P924" i="21"/>
  <c r="P928" i="21"/>
  <c r="P932" i="21"/>
  <c r="P936" i="21"/>
  <c r="P940" i="21"/>
  <c r="P944" i="21"/>
  <c r="P948" i="21"/>
  <c r="P952" i="21"/>
  <c r="P956" i="21"/>
  <c r="P120" i="21"/>
  <c r="P237" i="21"/>
  <c r="P302" i="21"/>
  <c r="P346" i="21"/>
  <c r="P375" i="21"/>
  <c r="P397" i="21"/>
  <c r="P419" i="21"/>
  <c r="P439" i="21"/>
  <c r="P455" i="21"/>
  <c r="P466" i="21"/>
  <c r="P476" i="21"/>
  <c r="P487" i="21"/>
  <c r="P498" i="21"/>
  <c r="P508" i="21"/>
  <c r="P519" i="21"/>
  <c r="P530" i="21"/>
  <c r="P540" i="21"/>
  <c r="P551" i="21"/>
  <c r="P562" i="21"/>
  <c r="P572" i="21"/>
  <c r="P583" i="21"/>
  <c r="P594" i="21"/>
  <c r="P604" i="21"/>
  <c r="P615" i="21"/>
  <c r="P626" i="21"/>
  <c r="P636" i="21"/>
  <c r="P647" i="21"/>
  <c r="P658" i="21"/>
  <c r="P668" i="21"/>
  <c r="P679" i="21"/>
  <c r="P690" i="21"/>
  <c r="P700" i="21"/>
  <c r="P709" i="21"/>
  <c r="P717" i="21"/>
  <c r="P725" i="21"/>
  <c r="P733" i="21"/>
  <c r="P741" i="21"/>
  <c r="P749" i="21"/>
  <c r="P757" i="21"/>
  <c r="P765" i="21"/>
  <c r="P773" i="21"/>
  <c r="P781" i="21"/>
  <c r="P789" i="21"/>
  <c r="P793" i="21"/>
  <c r="P797" i="21"/>
  <c r="P801" i="21"/>
  <c r="P805" i="21"/>
  <c r="P809" i="21"/>
  <c r="P813" i="21"/>
  <c r="P817" i="21"/>
  <c r="P821" i="21"/>
  <c r="P825" i="21"/>
  <c r="P829" i="21"/>
  <c r="P833" i="21"/>
  <c r="P837" i="21"/>
  <c r="P841" i="21"/>
  <c r="P845" i="21"/>
  <c r="P849" i="21"/>
  <c r="P853" i="21"/>
  <c r="P857" i="21"/>
  <c r="P861" i="21"/>
  <c r="P865" i="21"/>
  <c r="P869" i="21"/>
  <c r="P873" i="21"/>
  <c r="P877" i="21"/>
  <c r="P881" i="21"/>
  <c r="P885" i="21"/>
  <c r="P889" i="21"/>
  <c r="P893" i="21"/>
  <c r="P897" i="21"/>
  <c r="P901" i="21"/>
  <c r="P905" i="21"/>
  <c r="P909" i="21"/>
  <c r="P913" i="21"/>
  <c r="P917" i="21"/>
  <c r="P921" i="21"/>
  <c r="P925" i="21"/>
  <c r="P929" i="21"/>
  <c r="P933" i="21"/>
  <c r="P937" i="21"/>
  <c r="P941" i="21"/>
  <c r="P945" i="21"/>
  <c r="P949" i="21"/>
  <c r="P953" i="21"/>
  <c r="P957" i="21"/>
  <c r="O551" i="21"/>
  <c r="O547" i="21"/>
  <c r="O543" i="21"/>
  <c r="O539" i="21"/>
  <c r="O535" i="21"/>
  <c r="O522" i="21"/>
  <c r="O506" i="21"/>
  <c r="O490" i="21"/>
  <c r="O474" i="21"/>
  <c r="O458" i="21"/>
  <c r="O442" i="21"/>
  <c r="O426" i="21"/>
  <c r="O410" i="21"/>
  <c r="O394" i="21"/>
  <c r="O378" i="21"/>
  <c r="O362" i="21"/>
  <c r="O346" i="21"/>
  <c r="O330" i="21"/>
  <c r="O314" i="21"/>
  <c r="O298" i="21"/>
  <c r="O282" i="21"/>
  <c r="O253" i="21"/>
  <c r="O221" i="21"/>
  <c r="O184" i="21"/>
  <c r="O120" i="21"/>
  <c r="O56" i="21"/>
  <c r="O1022" i="21"/>
  <c r="O1018" i="21"/>
  <c r="O1014" i="21"/>
  <c r="O1010" i="21"/>
  <c r="O1006" i="21"/>
  <c r="O1002" i="21"/>
  <c r="O998" i="21"/>
  <c r="O994" i="21"/>
  <c r="O990" i="21"/>
  <c r="O986" i="21"/>
  <c r="O982" i="21"/>
  <c r="O978" i="21"/>
  <c r="O974" i="21"/>
  <c r="O970" i="21"/>
  <c r="O966" i="21"/>
  <c r="O962" i="21"/>
  <c r="O958" i="21"/>
  <c r="O954" i="21"/>
  <c r="O950" i="21"/>
  <c r="O946" i="21"/>
  <c r="O942" i="21"/>
  <c r="O938" i="21"/>
  <c r="O934" i="21"/>
  <c r="O930" i="21"/>
  <c r="O926" i="21"/>
  <c r="O922" i="21"/>
  <c r="O918" i="21"/>
  <c r="O914" i="21"/>
  <c r="O910" i="21"/>
  <c r="O906" i="21"/>
  <c r="O902" i="21"/>
  <c r="O898" i="21"/>
  <c r="O894" i="21"/>
  <c r="O890" i="21"/>
  <c r="O886" i="21"/>
  <c r="O882" i="21"/>
  <c r="O878" i="21"/>
  <c r="O874" i="21"/>
  <c r="O870" i="21"/>
  <c r="O866" i="21"/>
  <c r="O862" i="21"/>
  <c r="O858" i="21"/>
  <c r="O854" i="21"/>
  <c r="O850" i="21"/>
  <c r="O846" i="21"/>
  <c r="O842" i="21"/>
  <c r="O838" i="21"/>
  <c r="O834" i="21"/>
  <c r="O830" i="21"/>
  <c r="O826" i="21"/>
  <c r="O822" i="21"/>
  <c r="O818" i="21"/>
  <c r="O814" i="21"/>
  <c r="O810" i="21"/>
  <c r="O806" i="21"/>
  <c r="O802" i="21"/>
  <c r="O798" i="21"/>
  <c r="O794" i="21"/>
  <c r="O790" i="21"/>
  <c r="O786" i="21"/>
  <c r="O782" i="21"/>
  <c r="O778" i="21"/>
  <c r="O774" i="21"/>
  <c r="O770" i="21"/>
  <c r="O766" i="21"/>
  <c r="O762" i="21"/>
  <c r="O758" i="21"/>
  <c r="O754" i="21"/>
  <c r="O750" i="21"/>
  <c r="O746" i="21"/>
  <c r="O742" i="21"/>
  <c r="O738" i="21"/>
  <c r="O734" i="21"/>
  <c r="O730" i="21"/>
  <c r="O726" i="21"/>
  <c r="O722" i="21"/>
  <c r="O718" i="21"/>
  <c r="O714" i="21"/>
  <c r="O710" i="21"/>
  <c r="O706" i="21"/>
  <c r="O702" i="21"/>
  <c r="O698" i="21"/>
  <c r="O694" i="21"/>
  <c r="O690" i="21"/>
  <c r="O686" i="21"/>
  <c r="O682" i="21"/>
  <c r="O678" i="21"/>
  <c r="O674" i="21"/>
  <c r="O670" i="21"/>
  <c r="O666" i="21"/>
  <c r="O662" i="21"/>
  <c r="O658" i="21"/>
  <c r="O654" i="21"/>
  <c r="O650" i="21"/>
  <c r="O646" i="21"/>
  <c r="O642" i="21"/>
  <c r="O638" i="21"/>
  <c r="O634" i="21"/>
  <c r="O630" i="21"/>
  <c r="O626" i="21"/>
  <c r="O622" i="21"/>
  <c r="O618" i="21"/>
  <c r="O614" i="21"/>
  <c r="O610" i="21"/>
  <c r="O606" i="21"/>
  <c r="O602" i="21"/>
  <c r="O598" i="21"/>
  <c r="O594" i="21"/>
  <c r="O590" i="21"/>
  <c r="O586" i="21"/>
  <c r="O582" i="21"/>
  <c r="O578" i="21"/>
  <c r="O574" i="21"/>
  <c r="O570" i="21"/>
  <c r="O566" i="21"/>
  <c r="O562" i="21"/>
  <c r="O558" i="21"/>
  <c r="O554" i="21"/>
  <c r="O550" i="21"/>
  <c r="O546" i="21"/>
  <c r="O542" i="21"/>
  <c r="O538" i="21"/>
  <c r="O534" i="21"/>
  <c r="O518" i="21"/>
  <c r="O502" i="21"/>
  <c r="O486" i="21"/>
  <c r="O470" i="21"/>
  <c r="O454" i="21"/>
  <c r="O438" i="21"/>
  <c r="O422" i="21"/>
  <c r="O406" i="21"/>
  <c r="O390" i="21"/>
  <c r="O374" i="21"/>
  <c r="O358" i="21"/>
  <c r="O342" i="21"/>
  <c r="O326" i="21"/>
  <c r="O310" i="21"/>
  <c r="O294" i="21"/>
  <c r="O277" i="21"/>
  <c r="O245" i="21"/>
  <c r="O213" i="21"/>
  <c r="O168" i="21"/>
  <c r="O104" i="21"/>
  <c r="O40" i="21"/>
  <c r="P701" i="21"/>
  <c r="P697" i="21"/>
  <c r="P693" i="21"/>
  <c r="P689" i="21"/>
  <c r="P685" i="21"/>
  <c r="P681" i="21"/>
  <c r="P677" i="21"/>
  <c r="P673" i="21"/>
  <c r="P669" i="21"/>
  <c r="P665" i="21"/>
  <c r="P661" i="21"/>
  <c r="P657" i="21"/>
  <c r="P653" i="21"/>
  <c r="P649" i="21"/>
  <c r="P645" i="21"/>
  <c r="P641" i="21"/>
  <c r="P637" i="21"/>
  <c r="P633" i="21"/>
  <c r="P629" i="21"/>
  <c r="P625" i="21"/>
  <c r="P621" i="21"/>
  <c r="P617" i="21"/>
  <c r="P613" i="21"/>
  <c r="P609" i="21"/>
  <c r="P605" i="21"/>
  <c r="P601" i="21"/>
  <c r="P597" i="21"/>
  <c r="P593" i="21"/>
  <c r="P589" i="21"/>
  <c r="P585" i="21"/>
  <c r="P581" i="21"/>
  <c r="P577" i="21"/>
  <c r="P573" i="21"/>
  <c r="P569" i="21"/>
  <c r="P565" i="21"/>
  <c r="P561" i="21"/>
  <c r="P557" i="21"/>
  <c r="P553" i="21"/>
  <c r="P549" i="21"/>
  <c r="P545" i="21"/>
  <c r="P541" i="21"/>
  <c r="P537" i="21"/>
  <c r="P533" i="21"/>
  <c r="P529" i="21"/>
  <c r="P525" i="21"/>
  <c r="P521" i="21"/>
  <c r="P517" i="21"/>
  <c r="P513" i="21"/>
  <c r="P509" i="21"/>
  <c r="P505" i="21"/>
  <c r="P501" i="21"/>
  <c r="P497" i="21"/>
  <c r="P493" i="21"/>
  <c r="P489" i="21"/>
  <c r="P485" i="21"/>
  <c r="P481" i="21"/>
  <c r="P477" i="21"/>
  <c r="P473" i="21"/>
  <c r="P469" i="21"/>
  <c r="P465" i="21"/>
  <c r="P461" i="21"/>
  <c r="P457" i="21"/>
  <c r="P453" i="21"/>
  <c r="P449" i="21"/>
  <c r="P441" i="21"/>
  <c r="P433" i="21"/>
  <c r="P425" i="21"/>
  <c r="P417" i="21"/>
  <c r="P409" i="21"/>
  <c r="P401" i="21"/>
  <c r="P393" i="21"/>
  <c r="P385" i="21"/>
  <c r="P377" i="21"/>
  <c r="P369" i="21"/>
  <c r="P358" i="21"/>
  <c r="P342" i="21"/>
  <c r="P326" i="21"/>
  <c r="P310" i="21"/>
  <c r="P294" i="21"/>
  <c r="P277" i="21"/>
  <c r="P245" i="21"/>
  <c r="P213" i="21"/>
  <c r="P168" i="21"/>
  <c r="P104" i="21"/>
  <c r="P40" i="21"/>
  <c r="O532" i="21"/>
  <c r="O528" i="21"/>
  <c r="O524" i="21"/>
  <c r="O520" i="21"/>
  <c r="O516" i="21"/>
  <c r="O512" i="21"/>
  <c r="O508" i="21"/>
  <c r="O504" i="21"/>
  <c r="O500" i="21"/>
  <c r="O496" i="21"/>
  <c r="O492" i="21"/>
  <c r="O488" i="21"/>
  <c r="O484" i="21"/>
  <c r="O480" i="21"/>
  <c r="O476" i="21"/>
  <c r="O472" i="21"/>
  <c r="O468" i="21"/>
  <c r="O464" i="21"/>
  <c r="O460" i="21"/>
  <c r="O456" i="21"/>
  <c r="O452" i="21"/>
  <c r="O448" i="21"/>
  <c r="O444" i="21"/>
  <c r="O440" i="21"/>
  <c r="O436" i="21"/>
  <c r="O432" i="21"/>
  <c r="O428" i="21"/>
  <c r="O424" i="21"/>
  <c r="O420" i="21"/>
  <c r="O416" i="21"/>
  <c r="O412" i="21"/>
  <c r="O408" i="21"/>
  <c r="O404" i="21"/>
  <c r="O400" i="21"/>
  <c r="O396" i="21"/>
  <c r="O392" i="21"/>
  <c r="O388" i="21"/>
  <c r="O384" i="21"/>
  <c r="O380" i="21"/>
  <c r="O376" i="21"/>
  <c r="O372" i="21"/>
  <c r="O368" i="21"/>
  <c r="O364" i="21"/>
  <c r="O360" i="21"/>
  <c r="O356" i="21"/>
  <c r="O352" i="21"/>
  <c r="O348" i="21"/>
  <c r="O344" i="21"/>
  <c r="O340" i="21"/>
  <c r="O336" i="21"/>
  <c r="O332" i="21"/>
  <c r="O328" i="21"/>
  <c r="O324" i="21"/>
  <c r="O320" i="21"/>
  <c r="O316" i="21"/>
  <c r="O312" i="21"/>
  <c r="O308" i="21"/>
  <c r="O304" i="21"/>
  <c r="O300" i="21"/>
  <c r="O296" i="21"/>
  <c r="O292" i="21"/>
  <c r="O288" i="21"/>
  <c r="O284" i="21"/>
  <c r="O280" i="21"/>
  <c r="O273" i="21"/>
  <c r="O265" i="21"/>
  <c r="O257" i="21"/>
  <c r="O249" i="21"/>
  <c r="O241" i="21"/>
  <c r="O233" i="21"/>
  <c r="O225" i="21"/>
  <c r="O217" i="21"/>
  <c r="O209" i="21"/>
  <c r="O201" i="21"/>
  <c r="O192" i="21"/>
  <c r="O176" i="21"/>
  <c r="O160" i="21"/>
  <c r="O144" i="21"/>
  <c r="O128" i="21"/>
  <c r="O112" i="21"/>
  <c r="O96" i="21"/>
  <c r="O80" i="21"/>
  <c r="O64" i="21"/>
  <c r="O48" i="21"/>
  <c r="O32" i="21"/>
  <c r="P448" i="21"/>
  <c r="P446" i="21"/>
  <c r="P444" i="21"/>
  <c r="P442" i="21"/>
  <c r="P440" i="21"/>
  <c r="P438" i="21"/>
  <c r="P436" i="21"/>
  <c r="P434" i="21"/>
  <c r="P432" i="21"/>
  <c r="P430" i="21"/>
  <c r="P428" i="21"/>
  <c r="P426" i="21"/>
  <c r="P424" i="21"/>
  <c r="P422" i="21"/>
  <c r="P420" i="21"/>
  <c r="P418" i="21"/>
  <c r="P416" i="21"/>
  <c r="P414" i="21"/>
  <c r="P412" i="21"/>
  <c r="P410" i="21"/>
  <c r="P408" i="21"/>
  <c r="P406" i="21"/>
  <c r="P404" i="21"/>
  <c r="P402" i="21"/>
  <c r="P400" i="21"/>
  <c r="P398" i="21"/>
  <c r="P396" i="21"/>
  <c r="P394" i="21"/>
  <c r="P392" i="21"/>
  <c r="P390" i="21"/>
  <c r="P388" i="21"/>
  <c r="P386" i="21"/>
  <c r="P384" i="21"/>
  <c r="P382" i="21"/>
  <c r="P380" i="21"/>
  <c r="P378" i="21"/>
  <c r="P376" i="21"/>
  <c r="P374" i="21"/>
  <c r="P372" i="21"/>
  <c r="P370" i="21"/>
  <c r="P368" i="21"/>
  <c r="P366" i="21"/>
  <c r="P364" i="21"/>
  <c r="P360" i="21"/>
  <c r="P356" i="21"/>
  <c r="P352" i="21"/>
  <c r="P348" i="21"/>
  <c r="P344" i="21"/>
  <c r="P340" i="21"/>
  <c r="P336" i="21"/>
  <c r="P332" i="21"/>
  <c r="P328" i="21"/>
  <c r="P324" i="21"/>
  <c r="P320" i="21"/>
  <c r="P316" i="21"/>
  <c r="P312" i="21"/>
  <c r="P308" i="21"/>
  <c r="P304" i="21"/>
  <c r="P300" i="21"/>
  <c r="P296" i="21"/>
  <c r="P292" i="21"/>
  <c r="P288" i="21"/>
  <c r="P284" i="21"/>
  <c r="P280" i="21"/>
  <c r="P273" i="21"/>
  <c r="P265" i="21"/>
  <c r="P257" i="21"/>
  <c r="P249" i="21"/>
  <c r="P241" i="21"/>
  <c r="P233" i="21"/>
  <c r="P225" i="21"/>
  <c r="P217" i="21"/>
  <c r="P209" i="21"/>
  <c r="P201" i="21"/>
  <c r="P192" i="21"/>
  <c r="P176" i="21"/>
  <c r="P160" i="21"/>
  <c r="P144" i="21"/>
  <c r="P128" i="21"/>
  <c r="P112" i="21"/>
  <c r="P96" i="21"/>
  <c r="P80" i="21"/>
  <c r="P64" i="21"/>
  <c r="P48" i="21"/>
  <c r="P32" i="21"/>
  <c r="O533" i="21"/>
  <c r="O531" i="21"/>
  <c r="O529" i="21"/>
  <c r="O527" i="21"/>
  <c r="O525" i="21"/>
  <c r="O523" i="21"/>
  <c r="O521" i="21"/>
  <c r="O519" i="21"/>
  <c r="O517" i="21"/>
  <c r="O515" i="21"/>
  <c r="O513" i="21"/>
  <c r="O511" i="21"/>
  <c r="O509" i="21"/>
  <c r="O507" i="21"/>
  <c r="O505" i="21"/>
  <c r="O503" i="21"/>
  <c r="O501" i="21"/>
  <c r="O499" i="21"/>
  <c r="O497" i="21"/>
  <c r="O495" i="21"/>
  <c r="O493" i="21"/>
  <c r="O491" i="21"/>
  <c r="O489" i="21"/>
  <c r="O487" i="21"/>
  <c r="O485" i="21"/>
  <c r="O483" i="21"/>
  <c r="O481" i="21"/>
  <c r="O479" i="21"/>
  <c r="O477" i="21"/>
  <c r="O475" i="21"/>
  <c r="O473" i="21"/>
  <c r="O471" i="21"/>
  <c r="O469" i="21"/>
  <c r="O467" i="21"/>
  <c r="O465" i="21"/>
  <c r="O463" i="21"/>
  <c r="O461" i="21"/>
  <c r="O459" i="21"/>
  <c r="O457" i="21"/>
  <c r="O455" i="21"/>
  <c r="O453" i="21"/>
  <c r="O451" i="21"/>
  <c r="O449" i="21"/>
  <c r="O447" i="21"/>
  <c r="O445" i="21"/>
  <c r="O443" i="21"/>
  <c r="O441" i="21"/>
  <c r="O439" i="21"/>
  <c r="O437" i="21"/>
  <c r="O435" i="21"/>
  <c r="O433" i="21"/>
  <c r="O431" i="21"/>
  <c r="O429" i="21"/>
  <c r="O427" i="21"/>
  <c r="O425" i="21"/>
  <c r="O423" i="21"/>
  <c r="O421" i="21"/>
  <c r="O419" i="21"/>
  <c r="O417" i="21"/>
  <c r="O415" i="21"/>
  <c r="O413" i="21"/>
  <c r="O411" i="21"/>
  <c r="O409" i="21"/>
  <c r="O407" i="21"/>
  <c r="O405" i="21"/>
  <c r="O403" i="21"/>
  <c r="O401" i="21"/>
  <c r="O399" i="21"/>
  <c r="O397" i="21"/>
  <c r="O395" i="21"/>
  <c r="O393" i="21"/>
  <c r="O391" i="21"/>
  <c r="O389" i="21"/>
  <c r="O387" i="21"/>
  <c r="O385" i="21"/>
  <c r="O383" i="21"/>
  <c r="O381" i="21"/>
  <c r="O379" i="21"/>
  <c r="O377" i="21"/>
  <c r="O375" i="21"/>
  <c r="O373" i="21"/>
  <c r="O371" i="21"/>
  <c r="O369" i="21"/>
  <c r="O367" i="21"/>
  <c r="O365" i="21"/>
  <c r="O363" i="21"/>
  <c r="O361" i="21"/>
  <c r="O359" i="21"/>
  <c r="O357" i="21"/>
  <c r="O355" i="21"/>
  <c r="O353" i="21"/>
  <c r="O351" i="21"/>
  <c r="O349" i="21"/>
  <c r="O347" i="21"/>
  <c r="O345" i="21"/>
  <c r="O343" i="21"/>
  <c r="O341" i="21"/>
  <c r="O339" i="21"/>
  <c r="O337" i="21"/>
  <c r="O335" i="21"/>
  <c r="O333" i="21"/>
  <c r="O331" i="21"/>
  <c r="O329" i="21"/>
  <c r="O327" i="21"/>
  <c r="O325" i="21"/>
  <c r="O323" i="21"/>
  <c r="O321" i="21"/>
  <c r="O319" i="21"/>
  <c r="O317" i="21"/>
  <c r="O315" i="21"/>
  <c r="O313" i="21"/>
  <c r="O311" i="21"/>
  <c r="O309" i="21"/>
  <c r="O307" i="21"/>
  <c r="O305" i="21"/>
  <c r="O303" i="21"/>
  <c r="O301" i="21"/>
  <c r="O299" i="21"/>
  <c r="O297" i="21"/>
  <c r="O295" i="21"/>
  <c r="O293" i="21"/>
  <c r="O291" i="21"/>
  <c r="O289" i="21"/>
  <c r="O287" i="21"/>
  <c r="O285" i="21"/>
  <c r="O283" i="21"/>
  <c r="O281" i="21"/>
  <c r="O279" i="21"/>
  <c r="O275" i="21"/>
  <c r="O271" i="21"/>
  <c r="O267" i="21"/>
  <c r="O263" i="21"/>
  <c r="O259" i="21"/>
  <c r="O255" i="21"/>
  <c r="O251" i="21"/>
  <c r="O247" i="21"/>
  <c r="O243" i="21"/>
  <c r="O239" i="21"/>
  <c r="O235" i="21"/>
  <c r="O231" i="21"/>
  <c r="O227" i="21"/>
  <c r="O223" i="21"/>
  <c r="O219" i="21"/>
  <c r="O215" i="21"/>
  <c r="O211" i="21"/>
  <c r="O207" i="21"/>
  <c r="O203" i="21"/>
  <c r="O199" i="21"/>
  <c r="O195" i="21"/>
  <c r="O188" i="21"/>
  <c r="O180" i="21"/>
  <c r="O172" i="21"/>
  <c r="O164" i="21"/>
  <c r="O156" i="21"/>
  <c r="O148" i="21"/>
  <c r="O140" i="21"/>
  <c r="O132" i="21"/>
  <c r="O124" i="21"/>
  <c r="O116" i="21"/>
  <c r="O108" i="21"/>
  <c r="O100" i="21"/>
  <c r="O92" i="21"/>
  <c r="O84" i="21"/>
  <c r="O76" i="21"/>
  <c r="O68" i="21"/>
  <c r="O60" i="21"/>
  <c r="O52" i="21"/>
  <c r="O44" i="21"/>
  <c r="O36" i="21"/>
  <c r="O28" i="21"/>
  <c r="P363" i="21"/>
  <c r="P361" i="21"/>
  <c r="P359" i="21"/>
  <c r="P357" i="21"/>
  <c r="P355" i="21"/>
  <c r="P353" i="21"/>
  <c r="P351" i="21"/>
  <c r="P349" i="21"/>
  <c r="P347" i="21"/>
  <c r="P345" i="21"/>
  <c r="P343" i="21"/>
  <c r="P341" i="21"/>
  <c r="P339" i="21"/>
  <c r="P337" i="21"/>
  <c r="P335" i="21"/>
  <c r="P333" i="21"/>
  <c r="P331" i="21"/>
  <c r="P329" i="21"/>
  <c r="P327" i="21"/>
  <c r="P325" i="21"/>
  <c r="P323" i="21"/>
  <c r="P321" i="21"/>
  <c r="P319" i="21"/>
  <c r="P317" i="21"/>
  <c r="P315" i="21"/>
  <c r="P313" i="21"/>
  <c r="P311" i="21"/>
  <c r="P309" i="21"/>
  <c r="P307" i="21"/>
  <c r="P305" i="21"/>
  <c r="P303" i="21"/>
  <c r="P301" i="21"/>
  <c r="P299" i="21"/>
  <c r="P297" i="21"/>
  <c r="P295" i="21"/>
  <c r="P293" i="21"/>
  <c r="P291" i="21"/>
  <c r="P289" i="21"/>
  <c r="P287" i="21"/>
  <c r="P285" i="21"/>
  <c r="P283" i="21"/>
  <c r="P281" i="21"/>
  <c r="P279" i="21"/>
  <c r="P275" i="21"/>
  <c r="P271" i="21"/>
  <c r="P267" i="21"/>
  <c r="P263" i="21"/>
  <c r="P259" i="21"/>
  <c r="P255" i="21"/>
  <c r="P251" i="21"/>
  <c r="P247" i="21"/>
  <c r="P243" i="21"/>
  <c r="P239" i="21"/>
  <c r="P235" i="21"/>
  <c r="P231" i="21"/>
  <c r="P227" i="21"/>
  <c r="P223" i="21"/>
  <c r="P219" i="21"/>
  <c r="P215" i="21"/>
  <c r="P211" i="21"/>
  <c r="P207" i="21"/>
  <c r="P203" i="21"/>
  <c r="P199" i="21"/>
  <c r="P195" i="21"/>
  <c r="P188" i="21"/>
  <c r="P180" i="21"/>
  <c r="P172" i="21"/>
  <c r="P164" i="21"/>
  <c r="P156" i="21"/>
  <c r="P148" i="21"/>
  <c r="P140" i="21"/>
  <c r="P132" i="21"/>
  <c r="P124" i="21"/>
  <c r="P116" i="21"/>
  <c r="P108" i="21"/>
  <c r="P100" i="21"/>
  <c r="P92" i="21"/>
  <c r="P84" i="21"/>
  <c r="P76" i="21"/>
  <c r="P68" i="21"/>
  <c r="P60" i="21"/>
  <c r="P52" i="21"/>
  <c r="P44" i="21"/>
  <c r="P36" i="21"/>
  <c r="P28" i="21"/>
  <c r="O278" i="21"/>
  <c r="O276" i="21"/>
  <c r="O274" i="21"/>
  <c r="O272" i="21"/>
  <c r="O270" i="21"/>
  <c r="O268" i="21"/>
  <c r="O266" i="21"/>
  <c r="O264" i="21"/>
  <c r="O262" i="21"/>
  <c r="O260" i="21"/>
  <c r="O258" i="21"/>
  <c r="O256" i="21"/>
  <c r="O254" i="21"/>
  <c r="O252" i="21"/>
  <c r="O250" i="21"/>
  <c r="O248" i="21"/>
  <c r="O246" i="21"/>
  <c r="O244" i="21"/>
  <c r="O242" i="21"/>
  <c r="O240" i="21"/>
  <c r="O238" i="21"/>
  <c r="O236" i="21"/>
  <c r="O234" i="21"/>
  <c r="O232" i="21"/>
  <c r="O230" i="21"/>
  <c r="O228" i="21"/>
  <c r="O226" i="21"/>
  <c r="O224" i="21"/>
  <c r="O222" i="21"/>
  <c r="O220" i="21"/>
  <c r="O218" i="21"/>
  <c r="O216" i="21"/>
  <c r="O214" i="21"/>
  <c r="O212" i="21"/>
  <c r="O210" i="21"/>
  <c r="O208" i="21"/>
  <c r="O206" i="21"/>
  <c r="O204" i="21"/>
  <c r="O202" i="21"/>
  <c r="O200" i="21"/>
  <c r="O198" i="21"/>
  <c r="O196" i="21"/>
  <c r="O194" i="21"/>
  <c r="O190" i="21"/>
  <c r="O186" i="21"/>
  <c r="O182" i="21"/>
  <c r="O178" i="21"/>
  <c r="O174" i="21"/>
  <c r="O170" i="21"/>
  <c r="O166" i="21"/>
  <c r="O162" i="21"/>
  <c r="O158" i="21"/>
  <c r="O154" i="21"/>
  <c r="O150" i="21"/>
  <c r="O146" i="21"/>
  <c r="O142" i="21"/>
  <c r="O138" i="21"/>
  <c r="O134" i="21"/>
  <c r="O130" i="21"/>
  <c r="O126" i="21"/>
  <c r="O122" i="21"/>
  <c r="O118" i="21"/>
  <c r="O114" i="21"/>
  <c r="O110" i="21"/>
  <c r="O106" i="21"/>
  <c r="O102" i="21"/>
  <c r="O98" i="21"/>
  <c r="O94" i="21"/>
  <c r="O90" i="21"/>
  <c r="O86" i="21"/>
  <c r="O82" i="21"/>
  <c r="O78" i="21"/>
  <c r="O74" i="21"/>
  <c r="O70" i="21"/>
  <c r="O66" i="21"/>
  <c r="O62" i="21"/>
  <c r="O58" i="21"/>
  <c r="O54" i="21"/>
  <c r="O50" i="21"/>
  <c r="O46" i="21"/>
  <c r="O42" i="21"/>
  <c r="O38" i="21"/>
  <c r="O34" i="21"/>
  <c r="O30" i="21"/>
  <c r="O26" i="21"/>
  <c r="P278" i="21"/>
  <c r="P276" i="21"/>
  <c r="P274" i="21"/>
  <c r="P272" i="21"/>
  <c r="P270" i="21"/>
  <c r="P268" i="21"/>
  <c r="P266" i="21"/>
  <c r="P264" i="21"/>
  <c r="P262" i="21"/>
  <c r="P260" i="21"/>
  <c r="P258" i="21"/>
  <c r="P256" i="21"/>
  <c r="P254" i="21"/>
  <c r="P252" i="21"/>
  <c r="P250" i="21"/>
  <c r="P248" i="21"/>
  <c r="P246" i="21"/>
  <c r="P244" i="21"/>
  <c r="P242" i="21"/>
  <c r="P240" i="21"/>
  <c r="P238" i="21"/>
  <c r="P236" i="21"/>
  <c r="P234" i="21"/>
  <c r="P232" i="21"/>
  <c r="P230" i="21"/>
  <c r="P228" i="21"/>
  <c r="P226" i="21"/>
  <c r="P224" i="21"/>
  <c r="P222" i="21"/>
  <c r="P220" i="21"/>
  <c r="P218" i="21"/>
  <c r="P216" i="21"/>
  <c r="P214" i="21"/>
  <c r="P212" i="21"/>
  <c r="P210" i="21"/>
  <c r="P208" i="21"/>
  <c r="P206" i="21"/>
  <c r="P204" i="21"/>
  <c r="P202" i="21"/>
  <c r="P200" i="21"/>
  <c r="P198" i="21"/>
  <c r="P196" i="21"/>
  <c r="P194" i="21"/>
  <c r="P190" i="21"/>
  <c r="P186" i="21"/>
  <c r="P182" i="21"/>
  <c r="P178" i="21"/>
  <c r="P174" i="21"/>
  <c r="P170" i="21"/>
  <c r="P166" i="21"/>
  <c r="P162" i="21"/>
  <c r="P158" i="21"/>
  <c r="P154" i="21"/>
  <c r="P150" i="21"/>
  <c r="P146" i="21"/>
  <c r="P142" i="21"/>
  <c r="P138" i="21"/>
  <c r="P134" i="21"/>
  <c r="P130" i="21"/>
  <c r="P126" i="21"/>
  <c r="P122" i="21"/>
  <c r="P118" i="21"/>
  <c r="P114" i="21"/>
  <c r="P110" i="21"/>
  <c r="P106" i="21"/>
  <c r="P102" i="21"/>
  <c r="P98" i="21"/>
  <c r="P94" i="21"/>
  <c r="P90" i="21"/>
  <c r="P86" i="21"/>
  <c r="P82" i="21"/>
  <c r="P78" i="21"/>
  <c r="P74" i="21"/>
  <c r="P70" i="21"/>
  <c r="P66" i="21"/>
  <c r="P62" i="21"/>
  <c r="P58" i="21"/>
  <c r="P54" i="21"/>
  <c r="P50" i="21"/>
  <c r="P46" i="21"/>
  <c r="P42" i="21"/>
  <c r="P38" i="21"/>
  <c r="P34" i="21"/>
  <c r="P30" i="21"/>
  <c r="P26" i="21"/>
  <c r="P193" i="21"/>
  <c r="P191" i="21"/>
  <c r="P189" i="21"/>
  <c r="P187" i="21"/>
  <c r="P185" i="21"/>
  <c r="P183" i="21"/>
  <c r="P181" i="21"/>
  <c r="P179" i="21"/>
  <c r="P177" i="21"/>
  <c r="P175" i="21"/>
  <c r="P173" i="21"/>
  <c r="P171" i="21"/>
  <c r="P169" i="21"/>
  <c r="P167" i="21"/>
  <c r="P165" i="21"/>
  <c r="P163" i="21"/>
  <c r="P161" i="21"/>
  <c r="P159" i="21"/>
  <c r="P157" i="21"/>
  <c r="P155" i="21"/>
  <c r="P153" i="21"/>
  <c r="P151" i="21"/>
  <c r="P149" i="21"/>
  <c r="P147" i="21"/>
  <c r="P145" i="21"/>
  <c r="P143" i="21"/>
  <c r="P141" i="21"/>
  <c r="P139" i="21"/>
  <c r="P137" i="21"/>
  <c r="P135" i="21"/>
  <c r="P133" i="21"/>
  <c r="P131" i="21"/>
  <c r="P129" i="21"/>
  <c r="P127" i="21"/>
  <c r="P125" i="21"/>
  <c r="P123" i="21"/>
  <c r="P121" i="21"/>
  <c r="P119" i="21"/>
  <c r="P117" i="21"/>
  <c r="P115" i="21"/>
  <c r="P113" i="21"/>
  <c r="P111" i="21"/>
  <c r="P109" i="21"/>
  <c r="P107" i="21"/>
  <c r="P105" i="21"/>
  <c r="P103" i="21"/>
  <c r="P101" i="21"/>
  <c r="P99" i="21"/>
  <c r="P97" i="21"/>
  <c r="P95" i="21"/>
  <c r="P93" i="21"/>
  <c r="P91" i="21"/>
  <c r="P89" i="21"/>
  <c r="P87" i="21"/>
  <c r="P85" i="21"/>
  <c r="P83" i="21"/>
  <c r="P81" i="21"/>
  <c r="P79" i="21"/>
  <c r="P77" i="21"/>
  <c r="P75" i="21"/>
  <c r="P73" i="21"/>
  <c r="P71" i="21"/>
  <c r="P69" i="21"/>
  <c r="P67" i="21"/>
  <c r="P65" i="21"/>
  <c r="P63" i="21"/>
  <c r="P61" i="21"/>
  <c r="P59" i="21"/>
  <c r="P57" i="21"/>
  <c r="P55" i="21"/>
  <c r="P53" i="21"/>
  <c r="P51" i="21"/>
  <c r="P49" i="21"/>
  <c r="P47" i="21"/>
  <c r="P45" i="21"/>
  <c r="P43" i="21"/>
  <c r="P41" i="21"/>
  <c r="P39" i="21"/>
  <c r="P37" i="21"/>
  <c r="P35" i="21"/>
  <c r="P33" i="21"/>
  <c r="P31" i="21"/>
  <c r="P29" i="21"/>
  <c r="P27" i="21"/>
  <c r="O193" i="21"/>
  <c r="O191" i="21"/>
  <c r="O189" i="21"/>
  <c r="O187" i="21"/>
  <c r="O185" i="21"/>
  <c r="O183" i="21"/>
  <c r="O181" i="21"/>
  <c r="O179" i="21"/>
  <c r="O177" i="21"/>
  <c r="O175" i="21"/>
  <c r="O173" i="21"/>
  <c r="O171" i="21"/>
  <c r="O169" i="21"/>
  <c r="O167" i="21"/>
  <c r="O165" i="21"/>
  <c r="O163" i="21"/>
  <c r="O161" i="21"/>
  <c r="O159" i="21"/>
  <c r="O157" i="21"/>
  <c r="O155" i="21"/>
  <c r="O153" i="21"/>
  <c r="O151" i="21"/>
  <c r="O149" i="21"/>
  <c r="O147" i="21"/>
  <c r="O145" i="21"/>
  <c r="O143" i="21"/>
  <c r="O141" i="21"/>
  <c r="O139" i="21"/>
  <c r="O137" i="21"/>
  <c r="O135" i="21"/>
  <c r="O133" i="21"/>
  <c r="O131" i="21"/>
  <c r="O129" i="21"/>
  <c r="O127" i="21"/>
  <c r="O125" i="21"/>
  <c r="O123" i="21"/>
  <c r="O121" i="21"/>
  <c r="O119" i="21"/>
  <c r="O117" i="21"/>
  <c r="O115" i="21"/>
  <c r="O113" i="21"/>
  <c r="O111" i="21"/>
  <c r="O109" i="21"/>
  <c r="O107" i="21"/>
  <c r="O105" i="21"/>
  <c r="O103" i="21"/>
  <c r="O101" i="21"/>
  <c r="O99" i="21"/>
  <c r="O97" i="21"/>
  <c r="O95" i="21"/>
  <c r="O93" i="21"/>
  <c r="O91" i="21"/>
  <c r="O89" i="21"/>
  <c r="O87" i="21"/>
  <c r="O85" i="21"/>
  <c r="O83" i="21"/>
  <c r="O81" i="21"/>
  <c r="O79" i="21"/>
  <c r="O77" i="21"/>
  <c r="O75" i="21"/>
  <c r="O73" i="21"/>
  <c r="O71" i="21"/>
  <c r="O69" i="21"/>
  <c r="O67" i="21"/>
  <c r="O65" i="21"/>
  <c r="O63" i="21"/>
  <c r="O61" i="21"/>
  <c r="O59" i="21"/>
  <c r="O57" i="21"/>
  <c r="O55" i="21"/>
  <c r="O53" i="21"/>
  <c r="O51" i="21"/>
  <c r="O49" i="21"/>
  <c r="O47" i="21"/>
  <c r="O45" i="21"/>
  <c r="O43" i="21"/>
  <c r="O41" i="21"/>
  <c r="O39" i="21"/>
  <c r="O37" i="21"/>
  <c r="O35" i="21"/>
  <c r="O33" i="21"/>
  <c r="O31" i="21"/>
  <c r="O29" i="21"/>
  <c r="O27" i="21"/>
  <c r="C25" i="21" l="1" a="1"/>
  <c r="C25" i="21" s="1"/>
  <c r="C77" i="21"/>
  <c r="D15" i="25"/>
  <c r="Q5" i="24"/>
  <c r="A5" i="25"/>
  <c r="A21" i="25"/>
  <c r="A22" i="25"/>
  <c r="A30" i="25"/>
  <c r="A31" i="25"/>
  <c r="A40" i="25"/>
  <c r="E40" i="25"/>
  <c r="F40" i="25"/>
  <c r="G40" i="25"/>
  <c r="H40" i="25"/>
  <c r="I40" i="25"/>
  <c r="J40" i="25"/>
  <c r="K40" i="25"/>
  <c r="L40" i="25"/>
  <c r="M40" i="25"/>
  <c r="N40" i="25"/>
  <c r="O40" i="25"/>
  <c r="P40" i="25"/>
  <c r="Q40" i="25"/>
  <c r="R40" i="25"/>
  <c r="S40" i="25"/>
  <c r="T40" i="25"/>
  <c r="U40" i="25"/>
  <c r="V40" i="25"/>
  <c r="W40" i="25"/>
  <c r="X40" i="25"/>
  <c r="Y40" i="25"/>
  <c r="Z40" i="25"/>
  <c r="AA40" i="25"/>
  <c r="AB40" i="25"/>
  <c r="AC40" i="25"/>
  <c r="AD40" i="25"/>
  <c r="AE40" i="25"/>
  <c r="AF40" i="25"/>
  <c r="AG40" i="25"/>
  <c r="AH40" i="25"/>
  <c r="AI40" i="25"/>
  <c r="AJ40" i="25"/>
  <c r="AK40" i="25"/>
  <c r="A42" i="25"/>
  <c r="A5" i="23"/>
  <c r="I9" i="23"/>
  <c r="A5" i="19"/>
  <c r="A5" i="12"/>
  <c r="E69" i="12"/>
  <c r="A5" i="18"/>
  <c r="J14" i="18"/>
  <c r="N14" i="18"/>
  <c r="J19" i="18"/>
  <c r="E67" i="12" s="1"/>
  <c r="N19" i="18"/>
  <c r="E70" i="12" s="1"/>
  <c r="B19" i="18"/>
  <c r="J24" i="18"/>
  <c r="F24" i="18"/>
  <c r="A5" i="20"/>
  <c r="K7" i="21"/>
  <c r="C11" i="25" s="1"/>
  <c r="C29" i="21"/>
  <c r="C60" i="21"/>
  <c r="C58" i="21"/>
  <c r="C36" i="21"/>
  <c r="C74" i="21"/>
  <c r="C57" i="21"/>
  <c r="C32" i="21"/>
  <c r="C64" i="21"/>
  <c r="C66" i="21"/>
  <c r="C31" i="21"/>
  <c r="C47" i="21"/>
  <c r="C63" i="21"/>
  <c r="C38" i="21"/>
  <c r="E21" i="12"/>
  <c r="P2" i="24" a="1"/>
  <c r="B25" i="21" a="1"/>
  <c r="B125" i="20" a="1"/>
  <c r="R25" i="21" a="1"/>
  <c r="T25" i="21" a="1"/>
  <c r="K125" i="20" a="1"/>
  <c r="A16" i="23" a="1"/>
  <c r="B25" i="18" l="1"/>
  <c r="B24" i="18"/>
  <c r="D16" i="25" a="1"/>
  <c r="D13" i="23"/>
  <c r="F13" i="23"/>
  <c r="E20" i="12"/>
  <c r="B20" i="12"/>
  <c r="C75" i="21"/>
  <c r="C59" i="21"/>
  <c r="C43" i="21"/>
  <c r="C27" i="21"/>
  <c r="C50" i="21"/>
  <c r="C56" i="21"/>
  <c r="C70" i="21"/>
  <c r="C49" i="21"/>
  <c r="C42" i="21"/>
  <c r="C69" i="21"/>
  <c r="C76" i="21"/>
  <c r="C45" i="21"/>
  <c r="C71" i="21"/>
  <c r="C55" i="21"/>
  <c r="C39" i="21"/>
  <c r="C62" i="21"/>
  <c r="C34" i="21"/>
  <c r="C48" i="21"/>
  <c r="C73" i="21"/>
  <c r="C41" i="21"/>
  <c r="C68" i="21"/>
  <c r="C53" i="21"/>
  <c r="C28" i="21"/>
  <c r="C26" i="21"/>
  <c r="C61" i="21"/>
  <c r="C54" i="21"/>
  <c r="C67" i="21"/>
  <c r="C51" i="21"/>
  <c r="C35" i="21"/>
  <c r="C30" i="21"/>
  <c r="C72" i="21"/>
  <c r="C40" i="21"/>
  <c r="C65" i="21"/>
  <c r="C33" i="21"/>
  <c r="C52" i="21"/>
  <c r="C37" i="21"/>
  <c r="C44" i="21"/>
  <c r="C46" i="21"/>
  <c r="I13" i="23"/>
  <c r="B21" i="12"/>
  <c r="D25" i="25" a="1"/>
  <c r="E81" i="12"/>
  <c r="T199" i="21"/>
  <c r="T165" i="21"/>
  <c r="T61" i="21"/>
  <c r="T130" i="21"/>
  <c r="T97" i="21"/>
  <c r="T92" i="21"/>
  <c r="T133" i="21"/>
  <c r="T192" i="21"/>
  <c r="T187" i="21"/>
  <c r="T70" i="21"/>
  <c r="T151" i="21"/>
  <c r="T51" i="21"/>
  <c r="T67" i="21"/>
  <c r="T98" i="21"/>
  <c r="T190" i="21"/>
  <c r="T120" i="21"/>
  <c r="T59" i="21"/>
  <c r="T76" i="21"/>
  <c r="T40" i="21"/>
  <c r="T45" i="21"/>
  <c r="T116" i="21"/>
  <c r="T104" i="21"/>
  <c r="T200" i="21"/>
  <c r="T162" i="21"/>
  <c r="T42" i="21"/>
  <c r="T101" i="21"/>
  <c r="T166" i="21"/>
  <c r="T186" i="21"/>
  <c r="T183" i="21"/>
  <c r="T191" i="21"/>
  <c r="T111" i="21"/>
  <c r="T93" i="21"/>
  <c r="T175" i="21"/>
  <c r="T86" i="21"/>
  <c r="T197" i="21"/>
  <c r="T115" i="21"/>
  <c r="T64" i="21"/>
  <c r="T78" i="21"/>
  <c r="T113" i="21"/>
  <c r="T29" i="21"/>
  <c r="T188" i="21"/>
  <c r="T41" i="21"/>
  <c r="T34" i="21"/>
  <c r="T55" i="21"/>
  <c r="T77" i="21"/>
  <c r="T102" i="21"/>
  <c r="T182" i="21"/>
  <c r="T177" i="21"/>
  <c r="T154" i="21"/>
  <c r="T105" i="21"/>
  <c r="T83" i="21"/>
  <c r="T145" i="21"/>
  <c r="T155" i="21"/>
  <c r="T141" i="21"/>
  <c r="T156" i="21"/>
  <c r="T127" i="21"/>
  <c r="T158" i="21"/>
  <c r="T60" i="21"/>
  <c r="T152" i="21"/>
  <c r="T94" i="21"/>
  <c r="T163" i="21"/>
  <c r="T99" i="21"/>
  <c r="T137" i="21"/>
  <c r="T56" i="21"/>
  <c r="T142" i="21"/>
  <c r="T171" i="21"/>
  <c r="T173" i="21"/>
  <c r="T138" i="21"/>
  <c r="T80" i="21"/>
  <c r="T73" i="21"/>
  <c r="T30" i="21"/>
  <c r="T176" i="21"/>
  <c r="T81" i="21"/>
  <c r="T108" i="21"/>
  <c r="T66" i="21"/>
  <c r="T100" i="21"/>
  <c r="T57" i="21"/>
  <c r="T103" i="21"/>
  <c r="T114" i="21"/>
  <c r="T194" i="21"/>
  <c r="T179" i="21"/>
  <c r="T119" i="21"/>
  <c r="T149" i="21"/>
  <c r="T189" i="21"/>
  <c r="T126" i="21"/>
  <c r="T180" i="21"/>
  <c r="T87" i="21"/>
  <c r="T128" i="21"/>
  <c r="T143" i="21"/>
  <c r="T170" i="21"/>
  <c r="T140" i="21"/>
  <c r="T75" i="21"/>
  <c r="T132" i="21"/>
  <c r="T131" i="21"/>
  <c r="T169" i="21"/>
  <c r="T167" i="21"/>
  <c r="T82" i="21"/>
  <c r="T89" i="21"/>
  <c r="T53" i="21"/>
  <c r="T184" i="21"/>
  <c r="T31" i="21"/>
  <c r="T181" i="21"/>
  <c r="T136" i="21"/>
  <c r="T135" i="21"/>
  <c r="T74" i="21"/>
  <c r="T95" i="21"/>
  <c r="T107" i="21"/>
  <c r="T161" i="21"/>
  <c r="T65" i="21"/>
  <c r="T79" i="21"/>
  <c r="T112" i="21"/>
  <c r="T195" i="21"/>
  <c r="T44" i="21"/>
  <c r="T46" i="21"/>
  <c r="T193" i="21"/>
  <c r="T69" i="21"/>
  <c r="T157" i="21"/>
  <c r="T96" i="21"/>
  <c r="T47" i="21"/>
  <c r="T109" i="21"/>
  <c r="T160" i="21"/>
  <c r="T172" i="21"/>
  <c r="T185" i="21"/>
  <c r="T38" i="21"/>
  <c r="T168" i="21"/>
  <c r="T118" i="21"/>
  <c r="T85" i="21"/>
  <c r="T49" i="21"/>
  <c r="T147" i="21"/>
  <c r="T91" i="21"/>
  <c r="T37" i="21"/>
  <c r="T48" i="21"/>
  <c r="T139" i="21"/>
  <c r="T52" i="21"/>
  <c r="T121" i="21"/>
  <c r="T84" i="21"/>
  <c r="T159" i="21"/>
  <c r="T50" i="21"/>
  <c r="T106" i="21"/>
  <c r="T164" i="21"/>
  <c r="T198" i="21"/>
  <c r="T124" i="21"/>
  <c r="T68" i="21"/>
  <c r="T196" i="21"/>
  <c r="T33" i="21"/>
  <c r="T144" i="21"/>
  <c r="T58" i="21"/>
  <c r="T148" i="21"/>
  <c r="T32" i="21"/>
  <c r="T153" i="21"/>
  <c r="T88" i="21"/>
  <c r="T54" i="21"/>
  <c r="T150" i="21"/>
  <c r="T25" i="21"/>
  <c r="T63" i="21"/>
  <c r="T178" i="21"/>
  <c r="T27" i="21"/>
  <c r="T146" i="21"/>
  <c r="T62" i="21"/>
  <c r="T39" i="21"/>
  <c r="T72" i="21"/>
  <c r="T35" i="21"/>
  <c r="T125" i="21"/>
  <c r="T174" i="21"/>
  <c r="T122" i="21"/>
  <c r="T26" i="21"/>
  <c r="T117" i="21"/>
  <c r="T43" i="21"/>
  <c r="T129" i="21"/>
  <c r="T36" i="21"/>
  <c r="T123" i="21"/>
  <c r="T110" i="21"/>
  <c r="T134" i="21"/>
  <c r="T71" i="21"/>
  <c r="T28" i="21"/>
  <c r="T90" i="21"/>
  <c r="B61" i="21"/>
  <c r="B46" i="21"/>
  <c r="B68" i="21"/>
  <c r="B47" i="21"/>
  <c r="A47" i="21" s="1"/>
  <c r="B71" i="21"/>
  <c r="B63" i="21"/>
  <c r="A63" i="21" s="1"/>
  <c r="B54" i="21"/>
  <c r="B39" i="21"/>
  <c r="B70" i="21"/>
  <c r="B35" i="21"/>
  <c r="B53" i="21"/>
  <c r="B33" i="21"/>
  <c r="B40" i="21"/>
  <c r="B48" i="21"/>
  <c r="B29" i="21"/>
  <c r="A29" i="21" s="1"/>
  <c r="B25" i="21"/>
  <c r="B76" i="21"/>
  <c r="B38" i="21"/>
  <c r="A38" i="21" s="1"/>
  <c r="B55" i="21"/>
  <c r="B43" i="21"/>
  <c r="B73" i="21"/>
  <c r="B59" i="21"/>
  <c r="B65" i="21"/>
  <c r="B60" i="21"/>
  <c r="A60" i="21" s="1"/>
  <c r="B32" i="21"/>
  <c r="A32" i="21" s="1"/>
  <c r="B26" i="21"/>
  <c r="B37" i="21"/>
  <c r="B58" i="21"/>
  <c r="A58" i="21" s="1"/>
  <c r="B44" i="21"/>
  <c r="B50" i="21"/>
  <c r="B49" i="21"/>
  <c r="B57" i="21"/>
  <c r="A57" i="21" s="1"/>
  <c r="B74" i="21"/>
  <c r="A74" i="21" s="1"/>
  <c r="B34" i="21"/>
  <c r="B64" i="21"/>
  <c r="A64" i="21" s="1"/>
  <c r="B67" i="21"/>
  <c r="B66" i="21"/>
  <c r="A66" i="21" s="1"/>
  <c r="B28" i="21"/>
  <c r="B27" i="21"/>
  <c r="B56" i="21"/>
  <c r="B62" i="21"/>
  <c r="B72" i="21"/>
  <c r="B36" i="21"/>
  <c r="A36" i="21" s="1"/>
  <c r="B75" i="21"/>
  <c r="B51" i="21"/>
  <c r="B30" i="21"/>
  <c r="B42" i="21"/>
  <c r="B52" i="21"/>
  <c r="B45" i="21"/>
  <c r="B31" i="21"/>
  <c r="A31" i="21" s="1"/>
  <c r="B41" i="21"/>
  <c r="B69" i="21"/>
  <c r="R29" i="21"/>
  <c r="R25" i="21"/>
  <c r="R48" i="21"/>
  <c r="R44" i="21"/>
  <c r="R49" i="21"/>
  <c r="R45" i="21"/>
  <c r="R40" i="21"/>
  <c r="R26" i="21"/>
  <c r="R31" i="21"/>
  <c r="R27" i="21"/>
  <c r="R42" i="21"/>
  <c r="R32" i="21"/>
  <c r="R41" i="21"/>
  <c r="R33" i="21"/>
  <c r="R39" i="21"/>
  <c r="R28" i="21"/>
  <c r="R35" i="21"/>
  <c r="R47" i="21"/>
  <c r="R46" i="21"/>
  <c r="R34" i="21"/>
  <c r="R36" i="21"/>
  <c r="R43" i="21"/>
  <c r="R37" i="21"/>
  <c r="R38" i="21"/>
  <c r="R30" i="21"/>
  <c r="A40" i="23"/>
  <c r="A29" i="23"/>
  <c r="A36" i="23"/>
  <c r="A27" i="23"/>
  <c r="A38" i="23"/>
  <c r="A23" i="23"/>
  <c r="A26" i="23"/>
  <c r="A18" i="23"/>
  <c r="A21" i="23"/>
  <c r="A35" i="23"/>
  <c r="A37" i="23"/>
  <c r="A24" i="23"/>
  <c r="A32" i="23"/>
  <c r="A33" i="23"/>
  <c r="A19" i="23"/>
  <c r="A20" i="23"/>
  <c r="A39" i="23"/>
  <c r="A22" i="23"/>
  <c r="A16" i="23"/>
  <c r="A30" i="23"/>
  <c r="A41" i="23"/>
  <c r="A34" i="23"/>
  <c r="A25" i="23"/>
  <c r="A28" i="23"/>
  <c r="A17" i="23"/>
  <c r="A31" i="23"/>
  <c r="B130" i="20"/>
  <c r="B127" i="20"/>
  <c r="B159" i="20"/>
  <c r="B163" i="20"/>
  <c r="B155" i="20"/>
  <c r="B141" i="20"/>
  <c r="B135" i="20"/>
  <c r="B150" i="20"/>
  <c r="B128" i="20"/>
  <c r="B138" i="20"/>
  <c r="B149" i="20"/>
  <c r="B133" i="20"/>
  <c r="B146" i="20"/>
  <c r="B166" i="20"/>
  <c r="B170" i="20"/>
  <c r="B162" i="20"/>
  <c r="B145" i="20"/>
  <c r="B176" i="20"/>
  <c r="B148" i="20"/>
  <c r="B136" i="20"/>
  <c r="B143" i="20"/>
  <c r="B173" i="20"/>
  <c r="B164" i="20"/>
  <c r="B165" i="20"/>
  <c r="B140" i="20"/>
  <c r="B153" i="20"/>
  <c r="B134" i="20"/>
  <c r="B172" i="20"/>
  <c r="B158" i="20"/>
  <c r="B174" i="20"/>
  <c r="B139" i="20"/>
  <c r="B168" i="20"/>
  <c r="B129" i="20"/>
  <c r="B157" i="20"/>
  <c r="B154" i="20"/>
  <c r="B167" i="20"/>
  <c r="B161" i="20"/>
  <c r="B132" i="20"/>
  <c r="B152" i="20"/>
  <c r="B160" i="20"/>
  <c r="B126" i="20"/>
  <c r="B142" i="20"/>
  <c r="B175" i="20"/>
  <c r="B144" i="20"/>
  <c r="B131" i="20"/>
  <c r="B137" i="20"/>
  <c r="B169" i="20"/>
  <c r="B147" i="20"/>
  <c r="B156" i="20"/>
  <c r="B171" i="20"/>
  <c r="B151" i="20"/>
  <c r="B125" i="20"/>
  <c r="K135" i="20"/>
  <c r="K146" i="20"/>
  <c r="K174" i="20"/>
  <c r="K169" i="20"/>
  <c r="K157" i="20"/>
  <c r="K156" i="20"/>
  <c r="K166" i="20"/>
  <c r="K175" i="20"/>
  <c r="K143" i="20"/>
  <c r="K151" i="20"/>
  <c r="K134" i="20"/>
  <c r="K154" i="20"/>
  <c r="K168" i="20"/>
  <c r="K155" i="20"/>
  <c r="K130" i="20"/>
  <c r="K131" i="20"/>
  <c r="K127" i="20"/>
  <c r="K159" i="20"/>
  <c r="K162" i="20"/>
  <c r="K144" i="20"/>
  <c r="K163" i="20"/>
  <c r="K126" i="20"/>
  <c r="K170" i="20"/>
  <c r="K140" i="20"/>
  <c r="K160" i="20"/>
  <c r="K172" i="20"/>
  <c r="K149" i="20"/>
  <c r="K125" i="20"/>
  <c r="K142" i="20"/>
  <c r="K139" i="20"/>
  <c r="K150" i="20"/>
  <c r="K158" i="20"/>
  <c r="K138" i="20"/>
  <c r="K173" i="20"/>
  <c r="K137" i="20"/>
  <c r="K176" i="20"/>
  <c r="K164" i="20"/>
  <c r="K132" i="20"/>
  <c r="K167" i="20"/>
  <c r="K161" i="20"/>
  <c r="K171" i="20"/>
  <c r="K129" i="20"/>
  <c r="K145" i="20"/>
  <c r="K153" i="20"/>
  <c r="K165" i="20"/>
  <c r="K152" i="20"/>
  <c r="K147" i="20"/>
  <c r="K133" i="20"/>
  <c r="K136" i="20"/>
  <c r="K141" i="20"/>
  <c r="K148" i="20"/>
  <c r="K128" i="20"/>
  <c r="P19" i="24"/>
  <c r="P8" i="24"/>
  <c r="P12" i="24"/>
  <c r="P10" i="24"/>
  <c r="P41" i="24"/>
  <c r="P36" i="24"/>
  <c r="P38" i="24"/>
  <c r="P6" i="24"/>
  <c r="P23" i="24"/>
  <c r="P37" i="24"/>
  <c r="P28" i="24"/>
  <c r="P22" i="24"/>
  <c r="P20" i="24"/>
  <c r="P11" i="24"/>
  <c r="P33" i="24"/>
  <c r="P25" i="24"/>
  <c r="P30" i="24"/>
  <c r="P13" i="24"/>
  <c r="P21" i="24"/>
  <c r="P5" i="24"/>
  <c r="P17" i="24"/>
  <c r="P31" i="24"/>
  <c r="P18" i="24"/>
  <c r="P48" i="24"/>
  <c r="P47" i="24"/>
  <c r="P53" i="24"/>
  <c r="P45" i="24"/>
  <c r="P3" i="24"/>
  <c r="P15" i="24"/>
  <c r="P51" i="24"/>
  <c r="P43" i="24"/>
  <c r="P14" i="24"/>
  <c r="P29" i="24"/>
  <c r="P32" i="24"/>
  <c r="P52" i="24"/>
  <c r="P27" i="24"/>
  <c r="P35" i="24"/>
  <c r="P24" i="24"/>
  <c r="P34" i="24"/>
  <c r="P26" i="24"/>
  <c r="P42" i="24"/>
  <c r="P39" i="24"/>
  <c r="P46" i="24"/>
  <c r="P9" i="24"/>
  <c r="P44" i="24"/>
  <c r="P7" i="24"/>
  <c r="P4" i="24"/>
  <c r="P49" i="24"/>
  <c r="P40" i="24"/>
  <c r="P2" i="24"/>
  <c r="P50" i="24"/>
  <c r="P16" i="24"/>
  <c r="Q25" i="21" l="1" a="1"/>
  <c r="Q26" i="21" s="1"/>
  <c r="H20" i="18"/>
  <c r="F19" i="18" s="1"/>
  <c r="A25" i="21"/>
  <c r="A72" i="21"/>
  <c r="A28" i="21"/>
  <c r="A37" i="21"/>
  <c r="A26" i="21"/>
  <c r="A41" i="21"/>
  <c r="A49" i="21"/>
  <c r="A27" i="21"/>
  <c r="A40" i="21"/>
  <c r="A51" i="21"/>
  <c r="A62" i="21"/>
  <c r="A45" i="21"/>
  <c r="A73" i="21"/>
  <c r="A76" i="21"/>
  <c r="A70" i="21"/>
  <c r="A39" i="21"/>
  <c r="A46" i="21"/>
  <c r="A33" i="21"/>
  <c r="A30" i="21"/>
  <c r="A54" i="21"/>
  <c r="A53" i="21"/>
  <c r="A48" i="21"/>
  <c r="A55" i="21"/>
  <c r="A69" i="21"/>
  <c r="A56" i="21"/>
  <c r="A59" i="21"/>
  <c r="A52" i="21"/>
  <c r="A67" i="21"/>
  <c r="A43" i="21"/>
  <c r="A44" i="21"/>
  <c r="A65" i="21"/>
  <c r="A35" i="21"/>
  <c r="A61" i="21"/>
  <c r="A68" i="21"/>
  <c r="A34" i="21"/>
  <c r="A71" i="21"/>
  <c r="A42" i="21"/>
  <c r="A50" i="21"/>
  <c r="A75" i="21"/>
  <c r="A3" i="24" a="1"/>
  <c r="A42" i="24" s="1"/>
  <c r="E18" i="12"/>
  <c r="E19" i="12"/>
  <c r="F17" i="23"/>
  <c r="G41" i="23"/>
  <c r="M41" i="23"/>
  <c r="E41" i="23"/>
  <c r="C41" i="23"/>
  <c r="F41" i="23"/>
  <c r="D41" i="23"/>
  <c r="K41" i="23"/>
  <c r="E39" i="23"/>
  <c r="C39" i="23"/>
  <c r="K39" i="23"/>
  <c r="M39" i="23"/>
  <c r="F39" i="23"/>
  <c r="D39" i="23"/>
  <c r="G39" i="23"/>
  <c r="K37" i="23"/>
  <c r="M37" i="23"/>
  <c r="E37" i="23"/>
  <c r="D37" i="23"/>
  <c r="F37" i="23"/>
  <c r="C37" i="23"/>
  <c r="G37" i="23"/>
  <c r="M38" i="23"/>
  <c r="D38" i="23"/>
  <c r="F38" i="23"/>
  <c r="E38" i="23"/>
  <c r="G38" i="23"/>
  <c r="C38" i="23"/>
  <c r="K38" i="23"/>
  <c r="G36" i="23"/>
  <c r="D36" i="23"/>
  <c r="M36" i="23"/>
  <c r="K36" i="23"/>
  <c r="E36" i="23"/>
  <c r="F36" i="23"/>
  <c r="C36" i="23"/>
  <c r="M40" i="23"/>
  <c r="D40" i="23"/>
  <c r="E40" i="23"/>
  <c r="G40" i="23"/>
  <c r="K40" i="23"/>
  <c r="C40" i="23"/>
  <c r="F40" i="23"/>
  <c r="C35" i="23"/>
  <c r="E35" i="23"/>
  <c r="D35" i="23"/>
  <c r="G35" i="23"/>
  <c r="K35" i="23"/>
  <c r="M35" i="23"/>
  <c r="U25" i="21" a="1"/>
  <c r="Q31" i="21" l="1"/>
  <c r="Q41" i="21"/>
  <c r="Q25" i="21"/>
  <c r="Q43" i="21"/>
  <c r="Q40" i="21"/>
  <c r="Q27" i="21"/>
  <c r="Q45" i="21"/>
  <c r="Q36" i="21"/>
  <c r="Q34" i="21"/>
  <c r="Q29" i="21"/>
  <c r="Q47" i="21"/>
  <c r="Q38" i="21"/>
  <c r="Q37" i="21"/>
  <c r="Q48" i="21"/>
  <c r="Q32" i="21"/>
  <c r="Q39" i="21"/>
  <c r="Q46" i="21"/>
  <c r="Q30" i="21"/>
  <c r="Q49" i="21"/>
  <c r="Q33" i="21"/>
  <c r="Q44" i="21"/>
  <c r="Q28" i="21"/>
  <c r="Q35" i="21"/>
  <c r="Q42" i="21"/>
  <c r="B12" i="20"/>
  <c r="B13" i="20"/>
  <c r="F37" i="12" s="1"/>
  <c r="H79" i="21"/>
  <c r="F81" i="21" a="1"/>
  <c r="F81" i="21" s="1"/>
  <c r="H81" i="21" s="1"/>
  <c r="H77" i="21"/>
  <c r="K12" i="20"/>
  <c r="F79" i="21" a="1"/>
  <c r="F77" i="21" a="1"/>
  <c r="H49" i="24"/>
  <c r="D123" i="20"/>
  <c r="H47" i="24"/>
  <c r="E38" i="12"/>
  <c r="L125" i="20" a="1"/>
  <c r="L147" i="20" s="1"/>
  <c r="C125" i="20" a="1"/>
  <c r="C153" i="20" s="1"/>
  <c r="H48" i="24"/>
  <c r="H52" i="24"/>
  <c r="E37" i="12"/>
  <c r="D15" i="18"/>
  <c r="G2" i="24"/>
  <c r="H53" i="24"/>
  <c r="H46" i="24"/>
  <c r="H51" i="24"/>
  <c r="H50" i="24"/>
  <c r="E34" i="12"/>
  <c r="L2" i="24" a="1"/>
  <c r="L31" i="24" s="1"/>
  <c r="M123" i="20"/>
  <c r="A17" i="24"/>
  <c r="A14" i="24"/>
  <c r="A49" i="24"/>
  <c r="A10" i="24"/>
  <c r="A48" i="24"/>
  <c r="A47" i="24"/>
  <c r="A33" i="24"/>
  <c r="A37" i="24"/>
  <c r="A11" i="24"/>
  <c r="A32" i="24"/>
  <c r="A26" i="24"/>
  <c r="A30" i="24"/>
  <c r="A50" i="24"/>
  <c r="A34" i="24"/>
  <c r="A6" i="24"/>
  <c r="A53" i="24"/>
  <c r="A39" i="24"/>
  <c r="A43" i="24"/>
  <c r="A40" i="24"/>
  <c r="A22" i="24"/>
  <c r="A28" i="24"/>
  <c r="A45" i="24"/>
  <c r="A16" i="24"/>
  <c r="A13" i="24"/>
  <c r="A21" i="24"/>
  <c r="A19" i="24"/>
  <c r="A9" i="24"/>
  <c r="A3" i="24"/>
  <c r="A23" i="24"/>
  <c r="A29" i="24"/>
  <c r="A36" i="24"/>
  <c r="A4" i="24"/>
  <c r="A51" i="24"/>
  <c r="A15" i="24"/>
  <c r="A12" i="24"/>
  <c r="A5" i="24"/>
  <c r="A41" i="24"/>
  <c r="A44" i="24"/>
  <c r="A38" i="24"/>
  <c r="A31" i="24"/>
  <c r="A46" i="24"/>
  <c r="A52" i="24"/>
  <c r="A25" i="24"/>
  <c r="A24" i="24"/>
  <c r="A27" i="24"/>
  <c r="A7" i="24"/>
  <c r="A8" i="24"/>
  <c r="A35" i="24"/>
  <c r="A20" i="24"/>
  <c r="A18" i="24"/>
  <c r="I37" i="23"/>
  <c r="I41" i="23"/>
  <c r="U190" i="21"/>
  <c r="U194" i="21"/>
  <c r="U163" i="21"/>
  <c r="U36" i="21"/>
  <c r="U86" i="21"/>
  <c r="U196" i="21"/>
  <c r="U61" i="21"/>
  <c r="U140" i="21"/>
  <c r="U131" i="21"/>
  <c r="U110" i="21"/>
  <c r="U114" i="21"/>
  <c r="U161" i="21"/>
  <c r="U34" i="21"/>
  <c r="U200" i="21"/>
  <c r="U67" i="21"/>
  <c r="U128" i="21"/>
  <c r="U42" i="21"/>
  <c r="U62" i="21"/>
  <c r="U93" i="21"/>
  <c r="U106" i="21"/>
  <c r="U90" i="21"/>
  <c r="U53" i="21"/>
  <c r="U127" i="21"/>
  <c r="U51" i="21"/>
  <c r="U56" i="21"/>
  <c r="U108" i="21"/>
  <c r="U99" i="21"/>
  <c r="U173" i="21"/>
  <c r="U26" i="21"/>
  <c r="U186" i="21"/>
  <c r="U45" i="21"/>
  <c r="U98" i="21"/>
  <c r="U197" i="21"/>
  <c r="U41" i="21"/>
  <c r="U32" i="21"/>
  <c r="U77" i="21"/>
  <c r="U198" i="21"/>
  <c r="U141" i="21"/>
  <c r="U100" i="21"/>
  <c r="U135" i="21"/>
  <c r="U167" i="21"/>
  <c r="U101" i="21"/>
  <c r="U89" i="21"/>
  <c r="U125" i="21"/>
  <c r="U147" i="21"/>
  <c r="U133" i="21"/>
  <c r="U156" i="21"/>
  <c r="U178" i="21"/>
  <c r="U103" i="21"/>
  <c r="U169" i="21"/>
  <c r="U59" i="21"/>
  <c r="U70" i="21"/>
  <c r="U143" i="21"/>
  <c r="U52" i="21"/>
  <c r="U35" i="21"/>
  <c r="U185" i="21"/>
  <c r="U170" i="21"/>
  <c r="U158" i="21"/>
  <c r="U69" i="21"/>
  <c r="U179" i="21"/>
  <c r="U153" i="21"/>
  <c r="U124" i="21"/>
  <c r="U44" i="21"/>
  <c r="U155" i="21"/>
  <c r="U189" i="21"/>
  <c r="U187" i="21"/>
  <c r="U142" i="21"/>
  <c r="U64" i="21"/>
  <c r="U82" i="21"/>
  <c r="U78" i="21"/>
  <c r="U192" i="21"/>
  <c r="U171" i="21"/>
  <c r="U182" i="21"/>
  <c r="U39" i="21"/>
  <c r="U123" i="21"/>
  <c r="U31" i="21"/>
  <c r="U112" i="21"/>
  <c r="U130" i="21"/>
  <c r="U164" i="21"/>
  <c r="U146" i="21"/>
  <c r="U46" i="21"/>
  <c r="U54" i="21"/>
  <c r="U97" i="21"/>
  <c r="U40" i="21"/>
  <c r="U195" i="21"/>
  <c r="U60" i="21"/>
  <c r="U94" i="21"/>
  <c r="U144" i="21"/>
  <c r="U138" i="21"/>
  <c r="U149" i="21"/>
  <c r="U105" i="21"/>
  <c r="U91" i="21"/>
  <c r="U71" i="21"/>
  <c r="U139" i="21"/>
  <c r="U122" i="21"/>
  <c r="U92" i="21"/>
  <c r="U174" i="21"/>
  <c r="U85" i="21"/>
  <c r="U183" i="21"/>
  <c r="U104" i="21"/>
  <c r="U83" i="21"/>
  <c r="U79" i="21"/>
  <c r="U181" i="21"/>
  <c r="U57" i="21"/>
  <c r="U76" i="21"/>
  <c r="U37" i="21"/>
  <c r="U172" i="21"/>
  <c r="U177" i="21"/>
  <c r="U188" i="21"/>
  <c r="U33" i="21"/>
  <c r="U68" i="21"/>
  <c r="U81" i="21"/>
  <c r="U27" i="21"/>
  <c r="U47" i="21"/>
  <c r="U129" i="21"/>
  <c r="U38" i="21"/>
  <c r="U95" i="21"/>
  <c r="U107" i="21"/>
  <c r="U117" i="21"/>
  <c r="U159" i="21"/>
  <c r="U166" i="21"/>
  <c r="U126" i="21"/>
  <c r="U134" i="21"/>
  <c r="U132" i="21"/>
  <c r="U148" i="21"/>
  <c r="U111" i="21"/>
  <c r="U63" i="21"/>
  <c r="U88" i="21"/>
  <c r="U165" i="21"/>
  <c r="U160" i="21"/>
  <c r="U176" i="21"/>
  <c r="U137" i="21"/>
  <c r="U25" i="21"/>
  <c r="U72" i="21"/>
  <c r="U48" i="21"/>
  <c r="U120" i="21"/>
  <c r="U29" i="21"/>
  <c r="U136" i="21"/>
  <c r="U168" i="21"/>
  <c r="U193" i="21"/>
  <c r="U74" i="21"/>
  <c r="U175" i="21"/>
  <c r="U65" i="21"/>
  <c r="U119" i="21"/>
  <c r="U118" i="21"/>
  <c r="U115" i="21"/>
  <c r="U80" i="21"/>
  <c r="U102" i="21"/>
  <c r="U150" i="21"/>
  <c r="U157" i="21"/>
  <c r="U152" i="21"/>
  <c r="U84" i="21"/>
  <c r="U121" i="21"/>
  <c r="U154" i="21"/>
  <c r="U75" i="21"/>
  <c r="U109" i="21"/>
  <c r="U73" i="21"/>
  <c r="U96" i="21"/>
  <c r="U116" i="21"/>
  <c r="U55" i="21"/>
  <c r="U184" i="21"/>
  <c r="U58" i="21"/>
  <c r="U145" i="21"/>
  <c r="U162" i="21"/>
  <c r="U191" i="21"/>
  <c r="U49" i="21"/>
  <c r="U43" i="21"/>
  <c r="U180" i="21"/>
  <c r="U30" i="21"/>
  <c r="U87" i="21"/>
  <c r="U199" i="21"/>
  <c r="U50" i="21"/>
  <c r="U28" i="21"/>
  <c r="U113" i="21"/>
  <c r="U151" i="21"/>
  <c r="U66" i="21"/>
  <c r="I40" i="23"/>
  <c r="I36" i="23"/>
  <c r="I38" i="23"/>
  <c r="I39" i="23"/>
  <c r="BA30" i="19" l="1"/>
  <c r="F38" i="12"/>
  <c r="F82" i="21"/>
  <c r="G16" i="25"/>
  <c r="G21" i="25" s="1"/>
  <c r="BA31" i="19"/>
  <c r="AK31" i="19"/>
  <c r="U31" i="19"/>
  <c r="E31" i="19"/>
  <c r="F31" i="19"/>
  <c r="AN31" i="19"/>
  <c r="X31" i="19"/>
  <c r="H31" i="19"/>
  <c r="Z31" i="19"/>
  <c r="AU31" i="19"/>
  <c r="AE31" i="19"/>
  <c r="O31" i="19"/>
  <c r="AX31" i="19"/>
  <c r="E27" i="12"/>
  <c r="AW31" i="19"/>
  <c r="AG31" i="19"/>
  <c r="Q31" i="19"/>
  <c r="AP31" i="19"/>
  <c r="AZ31" i="19"/>
  <c r="AJ31" i="19"/>
  <c r="T31" i="19"/>
  <c r="D31" i="19"/>
  <c r="N31" i="19"/>
  <c r="AQ31" i="19"/>
  <c r="AA31" i="19"/>
  <c r="K31" i="19"/>
  <c r="AH31" i="19"/>
  <c r="Y31" i="19"/>
  <c r="L31" i="19"/>
  <c r="AY31" i="19"/>
  <c r="S31" i="19"/>
  <c r="C31" i="19"/>
  <c r="AS31" i="19"/>
  <c r="AC31" i="19"/>
  <c r="M31" i="19"/>
  <c r="AD31" i="19"/>
  <c r="AV31" i="19"/>
  <c r="AF31" i="19"/>
  <c r="P31" i="19"/>
  <c r="AT31" i="19"/>
  <c r="B31" i="19"/>
  <c r="AM31" i="19"/>
  <c r="W31" i="19"/>
  <c r="G31" i="19"/>
  <c r="V31" i="19"/>
  <c r="AO31" i="19"/>
  <c r="I31" i="19"/>
  <c r="R31" i="19"/>
  <c r="AR31" i="19"/>
  <c r="AB31" i="19"/>
  <c r="AL31" i="19"/>
  <c r="AI31" i="19"/>
  <c r="J31" i="19"/>
  <c r="B14" i="18"/>
  <c r="B15" i="18"/>
  <c r="D31" i="25" s="1"/>
  <c r="AF25" i="25"/>
  <c r="AF30" i="25" s="1"/>
  <c r="J25" i="25"/>
  <c r="J30" i="25" s="1"/>
  <c r="G25" i="25"/>
  <c r="G30" i="25" s="1"/>
  <c r="T16" i="25"/>
  <c r="T21" i="25" s="1"/>
  <c r="S16" i="25"/>
  <c r="S21" i="25" s="1"/>
  <c r="U16" i="25"/>
  <c r="U21" i="25" s="1"/>
  <c r="AA25" i="25"/>
  <c r="AA30" i="25" s="1"/>
  <c r="R16" i="25"/>
  <c r="R21" i="25" s="1"/>
  <c r="AI25" i="25"/>
  <c r="AI30" i="25" s="1"/>
  <c r="M16" i="25"/>
  <c r="M21" i="25" s="1"/>
  <c r="T25" i="25"/>
  <c r="T30" i="25" s="1"/>
  <c r="Q25" i="25"/>
  <c r="Q30" i="25" s="1"/>
  <c r="L25" i="25"/>
  <c r="L30" i="25" s="1"/>
  <c r="J16" i="25"/>
  <c r="J21" i="25" s="1"/>
  <c r="W25" i="25"/>
  <c r="W30" i="25" s="1"/>
  <c r="AI16" i="25"/>
  <c r="AI21" i="25" s="1"/>
  <c r="Z16" i="25"/>
  <c r="Z21" i="25" s="1"/>
  <c r="F16" i="25"/>
  <c r="F21" i="25" s="1"/>
  <c r="W16" i="25"/>
  <c r="W21" i="25" s="1"/>
  <c r="AH25" i="25"/>
  <c r="AH30" i="25" s="1"/>
  <c r="N25" i="25"/>
  <c r="N30" i="25" s="1"/>
  <c r="L16" i="25"/>
  <c r="L21" i="25" s="1"/>
  <c r="F25" i="25"/>
  <c r="F30" i="25" s="1"/>
  <c r="AK25" i="25"/>
  <c r="AK30" i="25" s="1"/>
  <c r="D16" i="25"/>
  <c r="D21" i="25" s="1"/>
  <c r="P25" i="25"/>
  <c r="P30" i="25" s="1"/>
  <c r="S25" i="25"/>
  <c r="S30" i="25" s="1"/>
  <c r="E25" i="25"/>
  <c r="E30" i="25" s="1"/>
  <c r="AH16" i="25"/>
  <c r="AH21" i="25" s="1"/>
  <c r="AJ16" i="25"/>
  <c r="AJ21" i="25" s="1"/>
  <c r="D25" i="25"/>
  <c r="D30" i="25" s="1"/>
  <c r="O16" i="25"/>
  <c r="O21" i="25" s="1"/>
  <c r="V16" i="25"/>
  <c r="V21" i="25" s="1"/>
  <c r="I16" i="25"/>
  <c r="I21" i="25" s="1"/>
  <c r="AA16" i="25"/>
  <c r="AA21" i="25" s="1"/>
  <c r="O25" i="25"/>
  <c r="O30" i="25" s="1"/>
  <c r="AE25" i="25"/>
  <c r="AE30" i="25" s="1"/>
  <c r="AB16" i="25"/>
  <c r="AB21" i="25" s="1"/>
  <c r="AB25" i="25"/>
  <c r="AB30" i="25" s="1"/>
  <c r="X16" i="25"/>
  <c r="X21" i="25" s="1"/>
  <c r="E26" i="12"/>
  <c r="AI30" i="19"/>
  <c r="AX30" i="19"/>
  <c r="AF30" i="19"/>
  <c r="Z25" i="25"/>
  <c r="Z30" i="25" s="1"/>
  <c r="M25" i="25"/>
  <c r="M30" i="25" s="1"/>
  <c r="U25" i="25"/>
  <c r="U30" i="25" s="1"/>
  <c r="E16" i="25"/>
  <c r="E21" i="25" s="1"/>
  <c r="Y16" i="25"/>
  <c r="Y21" i="25" s="1"/>
  <c r="AE16" i="25"/>
  <c r="AE21" i="25" s="1"/>
  <c r="AC25" i="25"/>
  <c r="AC30" i="25" s="1"/>
  <c r="R25" i="25"/>
  <c r="R30" i="25" s="1"/>
  <c r="Q16" i="25"/>
  <c r="Q21" i="25" s="1"/>
  <c r="AD16" i="25"/>
  <c r="AD21" i="25" s="1"/>
  <c r="V25" i="25"/>
  <c r="V30" i="25" s="1"/>
  <c r="K16" i="25"/>
  <c r="K21" i="25" s="1"/>
  <c r="AC16" i="25"/>
  <c r="AC21" i="25" s="1"/>
  <c r="AG16" i="25"/>
  <c r="AG21" i="25" s="1"/>
  <c r="C30" i="19"/>
  <c r="V30" i="19"/>
  <c r="S30" i="19"/>
  <c r="P30" i="19"/>
  <c r="I30" i="19"/>
  <c r="Y30" i="19"/>
  <c r="X25" i="25"/>
  <c r="X30" i="25" s="1"/>
  <c r="H16" i="25"/>
  <c r="H21" i="25" s="1"/>
  <c r="AK16" i="25"/>
  <c r="AK21" i="25" s="1"/>
  <c r="AD25" i="25"/>
  <c r="AD30" i="25" s="1"/>
  <c r="Y25" i="25"/>
  <c r="Y30" i="25" s="1"/>
  <c r="I25" i="25"/>
  <c r="I30" i="25" s="1"/>
  <c r="K25" i="25"/>
  <c r="K30" i="25" s="1"/>
  <c r="AF16" i="25"/>
  <c r="AF21" i="25" s="1"/>
  <c r="P16" i="25"/>
  <c r="P21" i="25" s="1"/>
  <c r="AJ25" i="25"/>
  <c r="AJ30" i="25" s="1"/>
  <c r="AG25" i="25"/>
  <c r="AG30" i="25" s="1"/>
  <c r="H25" i="25"/>
  <c r="H30" i="25" s="1"/>
  <c r="N16" i="25"/>
  <c r="N21" i="25" s="1"/>
  <c r="E28" i="12"/>
  <c r="N30" i="19"/>
  <c r="AY30" i="19"/>
  <c r="AV30" i="19"/>
  <c r="AO30" i="19"/>
  <c r="Z30" i="19"/>
  <c r="G30" i="19"/>
  <c r="W30" i="19"/>
  <c r="AM30" i="19"/>
  <c r="F30" i="19"/>
  <c r="D30" i="19"/>
  <c r="T30" i="19"/>
  <c r="AJ30" i="19"/>
  <c r="AZ30" i="19"/>
  <c r="AH30" i="19"/>
  <c r="M30" i="19"/>
  <c r="AC30" i="19"/>
  <c r="AS30" i="19"/>
  <c r="AL30" i="19"/>
  <c r="K30" i="19"/>
  <c r="AA30" i="19"/>
  <c r="AQ30" i="19"/>
  <c r="R30" i="19"/>
  <c r="H30" i="19"/>
  <c r="X30" i="19"/>
  <c r="AN30" i="19"/>
  <c r="B30" i="19"/>
  <c r="AP30" i="19"/>
  <c r="Q30" i="19"/>
  <c r="AG30" i="19"/>
  <c r="AW30" i="19"/>
  <c r="AT30" i="19"/>
  <c r="O30" i="19"/>
  <c r="AE30" i="19"/>
  <c r="AU30" i="19"/>
  <c r="AD30" i="19"/>
  <c r="L30" i="19"/>
  <c r="AB30" i="19"/>
  <c r="AR30" i="19"/>
  <c r="J30" i="19"/>
  <c r="E30" i="19"/>
  <c r="U30" i="19"/>
  <c r="AK30" i="19"/>
  <c r="D34" i="23"/>
  <c r="C34" i="23"/>
  <c r="F35" i="23"/>
  <c r="I35" i="23" s="1"/>
  <c r="E34" i="23"/>
  <c r="E31" i="23"/>
  <c r="F31" i="23"/>
  <c r="D30" i="23"/>
  <c r="F30" i="23"/>
  <c r="D33" i="23"/>
  <c r="E29" i="23"/>
  <c r="F32" i="23"/>
  <c r="C32" i="23"/>
  <c r="E28" i="23"/>
  <c r="E30" i="23"/>
  <c r="D31" i="23"/>
  <c r="C30" i="23"/>
  <c r="E33" i="23"/>
  <c r="C29" i="23"/>
  <c r="D29" i="23"/>
  <c r="C28" i="23"/>
  <c r="F34" i="23"/>
  <c r="C33" i="23"/>
  <c r="D32" i="23"/>
  <c r="E32" i="23"/>
  <c r="C31" i="23"/>
  <c r="D28" i="23"/>
  <c r="F33" i="23"/>
  <c r="F29" i="23"/>
  <c r="E27" i="23"/>
  <c r="F28" i="23"/>
  <c r="C27" i="23"/>
  <c r="D27" i="23"/>
  <c r="D26" i="23"/>
  <c r="E26" i="23"/>
  <c r="C26" i="23"/>
  <c r="G29" i="23"/>
  <c r="G25" i="23"/>
  <c r="G32" i="23"/>
  <c r="G31" i="23"/>
  <c r="G33" i="23"/>
  <c r="G34" i="23"/>
  <c r="G24" i="23"/>
  <c r="G26" i="23"/>
  <c r="G28" i="23"/>
  <c r="G30" i="23"/>
  <c r="G27" i="23"/>
  <c r="G22" i="23"/>
  <c r="G23" i="23"/>
  <c r="G20" i="23"/>
  <c r="G21" i="23"/>
  <c r="G19" i="23"/>
  <c r="F80" i="21"/>
  <c r="F79" i="21"/>
  <c r="F77" i="21"/>
  <c r="F78" i="21"/>
  <c r="L175" i="20"/>
  <c r="F19" i="23"/>
  <c r="L153" i="20"/>
  <c r="L136" i="20"/>
  <c r="C140" i="20"/>
  <c r="L171" i="20"/>
  <c r="L48" i="24"/>
  <c r="L46" i="24"/>
  <c r="L39" i="24"/>
  <c r="L7" i="24"/>
  <c r="L9" i="24"/>
  <c r="L23" i="24"/>
  <c r="L27" i="24"/>
  <c r="L42" i="24"/>
  <c r="L19" i="24"/>
  <c r="L3" i="24"/>
  <c r="L17" i="24"/>
  <c r="L8" i="24"/>
  <c r="L2" i="24"/>
  <c r="L24" i="24"/>
  <c r="L4" i="24"/>
  <c r="L43" i="24"/>
  <c r="L16" i="24"/>
  <c r="L41" i="24"/>
  <c r="L13" i="24"/>
  <c r="L21" i="24"/>
  <c r="L34" i="24"/>
  <c r="L45" i="24"/>
  <c r="L50" i="24"/>
  <c r="L5" i="24"/>
  <c r="L28" i="24"/>
  <c r="L36" i="24"/>
  <c r="L40" i="24"/>
  <c r="L38" i="24"/>
  <c r="L26" i="24"/>
  <c r="L32" i="24"/>
  <c r="L37" i="24"/>
  <c r="L33" i="24"/>
  <c r="L22" i="24"/>
  <c r="L169" i="20"/>
  <c r="L125" i="20"/>
  <c r="C151" i="20"/>
  <c r="L137" i="20"/>
  <c r="L165" i="20"/>
  <c r="C131" i="20"/>
  <c r="F18" i="23"/>
  <c r="L139" i="20"/>
  <c r="L173" i="20"/>
  <c r="L126" i="20"/>
  <c r="L140" i="20"/>
  <c r="L142" i="20"/>
  <c r="C126" i="20"/>
  <c r="L163" i="20"/>
  <c r="L146" i="20"/>
  <c r="L157" i="20"/>
  <c r="L131" i="20"/>
  <c r="L133" i="20"/>
  <c r="L127" i="20"/>
  <c r="L158" i="20"/>
  <c r="C175" i="20"/>
  <c r="L143" i="20"/>
  <c r="C150" i="20"/>
  <c r="L138" i="20"/>
  <c r="L152" i="20"/>
  <c r="L162" i="20"/>
  <c r="L155" i="20"/>
  <c r="L174" i="20"/>
  <c r="C155" i="20"/>
  <c r="C139" i="20"/>
  <c r="E17" i="23"/>
  <c r="C17" i="23"/>
  <c r="D17" i="23"/>
  <c r="L15" i="24"/>
  <c r="L29" i="24"/>
  <c r="L168" i="20"/>
  <c r="L151" i="20"/>
  <c r="C137" i="20"/>
  <c r="L149" i="20"/>
  <c r="L128" i="20"/>
  <c r="L160" i="20"/>
  <c r="L130" i="20"/>
  <c r="L148" i="20"/>
  <c r="L164" i="20"/>
  <c r="L154" i="20"/>
  <c r="L172" i="20"/>
  <c r="L167" i="20"/>
  <c r="L134" i="20"/>
  <c r="L150" i="20"/>
  <c r="L176" i="20"/>
  <c r="C168" i="20"/>
  <c r="L156" i="20"/>
  <c r="L132" i="20"/>
  <c r="L144" i="20"/>
  <c r="L166" i="20"/>
  <c r="L141" i="20"/>
  <c r="L129" i="20"/>
  <c r="L145" i="20"/>
  <c r="L170" i="20"/>
  <c r="L135" i="20"/>
  <c r="L159" i="20"/>
  <c r="L161" i="20"/>
  <c r="C170" i="20"/>
  <c r="C125" i="20"/>
  <c r="L53" i="24"/>
  <c r="L20" i="24"/>
  <c r="L11" i="24"/>
  <c r="L51" i="24"/>
  <c r="L12" i="24"/>
  <c r="L35" i="24"/>
  <c r="L47" i="24"/>
  <c r="L44" i="24"/>
  <c r="L6" i="24"/>
  <c r="L10" i="24"/>
  <c r="L25" i="24"/>
  <c r="L52" i="24"/>
  <c r="L18" i="24"/>
  <c r="L30" i="24"/>
  <c r="L49" i="24"/>
  <c r="L14" i="24"/>
  <c r="C142" i="20"/>
  <c r="C135" i="20"/>
  <c r="C147" i="20"/>
  <c r="C144" i="20"/>
  <c r="C138" i="20"/>
  <c r="C145" i="20"/>
  <c r="C134" i="20"/>
  <c r="C146" i="20"/>
  <c r="C176" i="20"/>
  <c r="C169" i="20"/>
  <c r="C132" i="20"/>
  <c r="C143" i="20"/>
  <c r="C172" i="20"/>
  <c r="C167" i="20"/>
  <c r="C166" i="20"/>
  <c r="C127" i="20"/>
  <c r="C128" i="20"/>
  <c r="C174" i="20"/>
  <c r="C154" i="20"/>
  <c r="C163" i="20"/>
  <c r="C157" i="20"/>
  <c r="C141" i="20"/>
  <c r="C161" i="20"/>
  <c r="C159" i="20"/>
  <c r="C160" i="20"/>
  <c r="C152" i="20"/>
  <c r="C149" i="20"/>
  <c r="C158" i="20"/>
  <c r="C171" i="20"/>
  <c r="C162" i="20"/>
  <c r="C165" i="20"/>
  <c r="C164" i="20"/>
  <c r="C136" i="20"/>
  <c r="C148" i="20"/>
  <c r="C173" i="20"/>
  <c r="C156" i="20"/>
  <c r="C130" i="20"/>
  <c r="C133" i="20"/>
  <c r="C129" i="20"/>
  <c r="B10" i="24"/>
  <c r="B9" i="24"/>
  <c r="E51" i="24"/>
  <c r="E30" i="24"/>
  <c r="K2" i="24" a="1"/>
  <c r="K7" i="24" s="1"/>
  <c r="C44" i="24"/>
  <c r="B43" i="24"/>
  <c r="C17" i="24"/>
  <c r="C32" i="24"/>
  <c r="C6" i="24"/>
  <c r="C45" i="24"/>
  <c r="C28" i="24"/>
  <c r="B38" i="24"/>
  <c r="C34" i="24"/>
  <c r="E24" i="24"/>
  <c r="E47" i="24"/>
  <c r="N2" i="24" a="1"/>
  <c r="N35" i="24" s="1"/>
  <c r="E45" i="24"/>
  <c r="B39" i="24"/>
  <c r="B24" i="24"/>
  <c r="E37" i="24"/>
  <c r="B49" i="24"/>
  <c r="I2" i="24" a="1"/>
  <c r="I30" i="24" s="1"/>
  <c r="E46" i="24"/>
  <c r="B16" i="24"/>
  <c r="E4" i="24"/>
  <c r="J2" i="24" a="1"/>
  <c r="J7" i="24" s="1"/>
  <c r="E17" i="24"/>
  <c r="C48" i="24"/>
  <c r="C13" i="24"/>
  <c r="E25" i="24"/>
  <c r="E36" i="24"/>
  <c r="C7" i="24"/>
  <c r="B45" i="24"/>
  <c r="E15" i="24"/>
  <c r="B35" i="24"/>
  <c r="B28" i="24"/>
  <c r="C39" i="24"/>
  <c r="B2" i="24"/>
  <c r="E43" i="24"/>
  <c r="B17" i="24"/>
  <c r="E12" i="24"/>
  <c r="M2" i="24" a="1"/>
  <c r="M22" i="24" s="1"/>
  <c r="E11" i="24"/>
  <c r="C47" i="24"/>
  <c r="C10" i="24"/>
  <c r="C42" i="24"/>
  <c r="B6" i="24"/>
  <c r="E52" i="24"/>
  <c r="B8" i="24"/>
  <c r="B26" i="24"/>
  <c r="E48" i="24"/>
  <c r="C24" i="24"/>
  <c r="B41" i="24"/>
  <c r="E32" i="24"/>
  <c r="C23" i="24"/>
  <c r="E2" i="24"/>
  <c r="E39" i="24"/>
  <c r="C53" i="24"/>
  <c r="D53" i="24" s="1"/>
  <c r="C35" i="24"/>
  <c r="C8" i="24"/>
  <c r="B50" i="24"/>
  <c r="B46" i="24"/>
  <c r="E19" i="24"/>
  <c r="E21" i="24"/>
  <c r="B22" i="24"/>
  <c r="B31" i="24"/>
  <c r="C22" i="24"/>
  <c r="C19" i="24"/>
  <c r="E44" i="24"/>
  <c r="C26" i="24"/>
  <c r="C25" i="24"/>
  <c r="E41" i="24"/>
  <c r="C16" i="24"/>
  <c r="E7" i="24"/>
  <c r="B13" i="24"/>
  <c r="C49" i="24"/>
  <c r="C31" i="24"/>
  <c r="B19" i="24"/>
  <c r="C11" i="24"/>
  <c r="E13" i="24"/>
  <c r="E26" i="24"/>
  <c r="C50" i="24"/>
  <c r="C2" i="24"/>
  <c r="B14" i="24"/>
  <c r="E3" i="24"/>
  <c r="C21" i="24"/>
  <c r="C33" i="24"/>
  <c r="E34" i="24"/>
  <c r="E33" i="24"/>
  <c r="C43" i="24"/>
  <c r="B37" i="24"/>
  <c r="C15" i="24"/>
  <c r="B32" i="24"/>
  <c r="E16" i="24"/>
  <c r="B44" i="24"/>
  <c r="B40" i="24"/>
  <c r="C27" i="24"/>
  <c r="C38" i="24"/>
  <c r="E8" i="24"/>
  <c r="C14" i="24"/>
  <c r="E53" i="24"/>
  <c r="F53" i="24" s="1"/>
  <c r="E18" i="24"/>
  <c r="B27" i="24"/>
  <c r="C46" i="24"/>
  <c r="E28" i="24"/>
  <c r="B11" i="24"/>
  <c r="C29" i="24"/>
  <c r="B21" i="24"/>
  <c r="E35" i="24"/>
  <c r="C18" i="24"/>
  <c r="C36" i="24"/>
  <c r="B42" i="24"/>
  <c r="C37" i="24"/>
  <c r="B33" i="24"/>
  <c r="E6" i="24"/>
  <c r="E10" i="24"/>
  <c r="E23" i="24"/>
  <c r="C41" i="24"/>
  <c r="B29" i="24"/>
  <c r="B47" i="24"/>
  <c r="B7" i="24"/>
  <c r="B3" i="24"/>
  <c r="E5" i="24"/>
  <c r="B23" i="24"/>
  <c r="C40" i="24"/>
  <c r="C9" i="24"/>
  <c r="B48" i="24"/>
  <c r="E20" i="24"/>
  <c r="B12" i="24"/>
  <c r="B34" i="24"/>
  <c r="B51" i="24"/>
  <c r="E22" i="24"/>
  <c r="E14" i="24"/>
  <c r="B30" i="24"/>
  <c r="E27" i="24"/>
  <c r="C12" i="24"/>
  <c r="E38" i="24"/>
  <c r="B36" i="24"/>
  <c r="E49" i="24"/>
  <c r="B15" i="24"/>
  <c r="E31" i="24"/>
  <c r="C20" i="24"/>
  <c r="E50" i="24"/>
  <c r="C3" i="24"/>
  <c r="B53" i="24"/>
  <c r="O2" i="24" a="1"/>
  <c r="O19" i="24" s="1"/>
  <c r="B5" i="24"/>
  <c r="B4" i="24"/>
  <c r="B25" i="24"/>
  <c r="C51" i="24"/>
  <c r="E40" i="24"/>
  <c r="E29" i="24"/>
  <c r="C5" i="24"/>
  <c r="C30" i="24"/>
  <c r="B20" i="24"/>
  <c r="C52" i="24"/>
  <c r="E9" i="24"/>
  <c r="B52" i="24"/>
  <c r="B18" i="24"/>
  <c r="E42" i="24"/>
  <c r="C4" i="24"/>
  <c r="S25" i="21" a="1"/>
  <c r="S47" i="21" s="1"/>
  <c r="F24" i="23" l="1"/>
  <c r="D22" i="25"/>
  <c r="F14" i="18"/>
  <c r="C18" i="23"/>
  <c r="E15" i="12"/>
  <c r="B16" i="23"/>
  <c r="K16" i="23" s="1"/>
  <c r="M16" i="23" s="1"/>
  <c r="D21" i="23"/>
  <c r="D19" i="23"/>
  <c r="F27" i="23"/>
  <c r="I27" i="23" s="1"/>
  <c r="E83" i="12"/>
  <c r="E36" i="12"/>
  <c r="E84" i="12"/>
  <c r="C25" i="23"/>
  <c r="D22" i="23"/>
  <c r="F35" i="12"/>
  <c r="D11" i="23"/>
  <c r="E8" i="12"/>
  <c r="G17" i="23"/>
  <c r="I17" i="23" s="1"/>
  <c r="K17" i="23" s="1"/>
  <c r="F20" i="23"/>
  <c r="F23" i="23"/>
  <c r="D8" i="23"/>
  <c r="D12" i="23"/>
  <c r="E35" i="12"/>
  <c r="E12" i="12"/>
  <c r="E23" i="23"/>
  <c r="E24" i="23"/>
  <c r="D25" i="23"/>
  <c r="F21" i="23"/>
  <c r="E22" i="23"/>
  <c r="D20" i="23"/>
  <c r="E9" i="12"/>
  <c r="D18" i="23"/>
  <c r="D10" i="23"/>
  <c r="C19" i="23"/>
  <c r="E20" i="23"/>
  <c r="C21" i="23"/>
  <c r="D9" i="23"/>
  <c r="E18" i="23"/>
  <c r="E11" i="12"/>
  <c r="C23" i="23"/>
  <c r="F26" i="23"/>
  <c r="I26" i="23" s="1"/>
  <c r="D24" i="23"/>
  <c r="E19" i="23"/>
  <c r="E21" i="23"/>
  <c r="E85" i="12"/>
  <c r="F22" i="23"/>
  <c r="E29" i="12"/>
  <c r="E10" i="12"/>
  <c r="C20" i="23"/>
  <c r="E14" i="12"/>
  <c r="E13" i="12"/>
  <c r="B21" i="21"/>
  <c r="C22" i="23"/>
  <c r="G18" i="23"/>
  <c r="G42" i="23" s="1"/>
  <c r="D23" i="23"/>
  <c r="E25" i="23"/>
  <c r="C24" i="23"/>
  <c r="F25" i="23"/>
  <c r="I29" i="23"/>
  <c r="I31" i="23"/>
  <c r="I28" i="23"/>
  <c r="I33" i="23"/>
  <c r="I32" i="23"/>
  <c r="I30" i="23"/>
  <c r="I34" i="23"/>
  <c r="D46" i="24"/>
  <c r="D41" i="24"/>
  <c r="N24" i="24"/>
  <c r="D5" i="24"/>
  <c r="D13" i="24"/>
  <c r="D6" i="24"/>
  <c r="F9" i="24"/>
  <c r="F44" i="24"/>
  <c r="D4" i="24"/>
  <c r="D22" i="24"/>
  <c r="F33" i="24"/>
  <c r="F31" i="24"/>
  <c r="D40" i="24"/>
  <c r="D37" i="24"/>
  <c r="D16" i="24"/>
  <c r="D44" i="24"/>
  <c r="D52" i="24"/>
  <c r="F14" i="24"/>
  <c r="F40" i="24"/>
  <c r="F50" i="24"/>
  <c r="F27" i="24"/>
  <c r="D36" i="24"/>
  <c r="D29" i="24"/>
  <c r="D33" i="24"/>
  <c r="D11" i="24"/>
  <c r="D17" i="24"/>
  <c r="F38" i="24"/>
  <c r="F23" i="24"/>
  <c r="F35" i="24"/>
  <c r="F28" i="24"/>
  <c r="D27" i="24"/>
  <c r="F3" i="24"/>
  <c r="F26" i="24"/>
  <c r="D31" i="24"/>
  <c r="F39" i="24"/>
  <c r="D10" i="24"/>
  <c r="F12" i="24"/>
  <c r="D39" i="24"/>
  <c r="F4" i="24"/>
  <c r="F45" i="24"/>
  <c r="D34" i="24"/>
  <c r="F34" i="24"/>
  <c r="F42" i="24"/>
  <c r="F29" i="24"/>
  <c r="D3" i="24"/>
  <c r="D12" i="24"/>
  <c r="F22" i="24"/>
  <c r="F20" i="24"/>
  <c r="F10" i="24"/>
  <c r="D14" i="24"/>
  <c r="D15" i="24"/>
  <c r="F13" i="24"/>
  <c r="D49" i="24"/>
  <c r="F41" i="24"/>
  <c r="D19" i="24"/>
  <c r="F21" i="24"/>
  <c r="D8" i="24"/>
  <c r="F2" i="24"/>
  <c r="D24" i="24"/>
  <c r="F52" i="24"/>
  <c r="D47" i="24"/>
  <c r="D7" i="24"/>
  <c r="D48" i="24"/>
  <c r="F37" i="24"/>
  <c r="D32" i="24"/>
  <c r="F49" i="24"/>
  <c r="F5" i="24"/>
  <c r="F6" i="24"/>
  <c r="F8" i="24"/>
  <c r="D2" i="24"/>
  <c r="D25" i="24"/>
  <c r="F19" i="24"/>
  <c r="D35" i="24"/>
  <c r="D23" i="24"/>
  <c r="F48" i="24"/>
  <c r="F11" i="24"/>
  <c r="F43" i="24"/>
  <c r="F36" i="24"/>
  <c r="F17" i="24"/>
  <c r="F46" i="24"/>
  <c r="F47" i="24"/>
  <c r="D28" i="24"/>
  <c r="F30" i="24"/>
  <c r="D30" i="24"/>
  <c r="D51" i="24"/>
  <c r="D20" i="24"/>
  <c r="D9" i="24"/>
  <c r="D18" i="24"/>
  <c r="F18" i="24"/>
  <c r="D38" i="24"/>
  <c r="F16" i="24"/>
  <c r="D43" i="24"/>
  <c r="D21" i="24"/>
  <c r="D50" i="24"/>
  <c r="F7" i="24"/>
  <c r="D26" i="24"/>
  <c r="F32" i="24"/>
  <c r="D42" i="24"/>
  <c r="F15" i="24"/>
  <c r="F25" i="24"/>
  <c r="F24" i="24"/>
  <c r="D45" i="24"/>
  <c r="F51" i="24"/>
  <c r="K19" i="24"/>
  <c r="K9" i="24"/>
  <c r="N23" i="24"/>
  <c r="J42" i="24"/>
  <c r="J33" i="24"/>
  <c r="J14" i="24"/>
  <c r="O25" i="24"/>
  <c r="I2" i="24"/>
  <c r="O21" i="24"/>
  <c r="M6" i="24"/>
  <c r="I20" i="24"/>
  <c r="M31" i="24"/>
  <c r="J10" i="24"/>
  <c r="K17" i="24"/>
  <c r="K10" i="24"/>
  <c r="N28" i="24"/>
  <c r="K27" i="24"/>
  <c r="N11" i="24"/>
  <c r="K43" i="24"/>
  <c r="K12" i="24"/>
  <c r="K38" i="24"/>
  <c r="N22" i="24"/>
  <c r="N6" i="24"/>
  <c r="K53" i="24"/>
  <c r="K4" i="24"/>
  <c r="N48" i="24"/>
  <c r="N8" i="24"/>
  <c r="K26" i="24"/>
  <c r="K51" i="24"/>
  <c r="K31" i="24"/>
  <c r="K23" i="24"/>
  <c r="K45" i="24"/>
  <c r="K39" i="24"/>
  <c r="K6" i="24"/>
  <c r="K16" i="24"/>
  <c r="K25" i="24"/>
  <c r="K41" i="24"/>
  <c r="N46" i="24"/>
  <c r="N10" i="24"/>
  <c r="N39" i="24"/>
  <c r="K40" i="24"/>
  <c r="N52" i="24"/>
  <c r="N2" i="24"/>
  <c r="K29" i="24"/>
  <c r="K49" i="24"/>
  <c r="K15" i="24"/>
  <c r="K37" i="24"/>
  <c r="K52" i="24"/>
  <c r="K46" i="24"/>
  <c r="K22" i="24"/>
  <c r="N44" i="24"/>
  <c r="N53" i="24"/>
  <c r="N14" i="24"/>
  <c r="K44" i="24"/>
  <c r="N42" i="24"/>
  <c r="N21" i="24"/>
  <c r="K2" i="24"/>
  <c r="K48" i="24"/>
  <c r="K47" i="24"/>
  <c r="K33" i="24"/>
  <c r="K13" i="24"/>
  <c r="K50" i="24"/>
  <c r="K24" i="24"/>
  <c r="K14" i="24"/>
  <c r="N4" i="24"/>
  <c r="N30" i="24"/>
  <c r="N3" i="24"/>
  <c r="K32" i="24"/>
  <c r="N7" i="24"/>
  <c r="N13" i="24"/>
  <c r="N5" i="24"/>
  <c r="N26" i="24"/>
  <c r="K18" i="24"/>
  <c r="K30" i="24"/>
  <c r="K34" i="24"/>
  <c r="K11" i="24"/>
  <c r="K35" i="24"/>
  <c r="K36" i="24"/>
  <c r="K42" i="24"/>
  <c r="K8" i="24"/>
  <c r="K5" i="24"/>
  <c r="K28" i="24"/>
  <c r="K20" i="24"/>
  <c r="K21" i="24"/>
  <c r="N34" i="24"/>
  <c r="N45" i="24"/>
  <c r="N25" i="24"/>
  <c r="N27" i="24"/>
  <c r="N15" i="24"/>
  <c r="N47" i="24"/>
  <c r="K3" i="24"/>
  <c r="N17" i="24"/>
  <c r="N20" i="24"/>
  <c r="N18" i="24"/>
  <c r="N36" i="24"/>
  <c r="N29" i="24"/>
  <c r="N41" i="24"/>
  <c r="N16" i="24"/>
  <c r="N31" i="24"/>
  <c r="N38" i="24"/>
  <c r="N19" i="24"/>
  <c r="N32" i="24"/>
  <c r="N50" i="24"/>
  <c r="N43" i="24"/>
  <c r="N51" i="24"/>
  <c r="N33" i="24"/>
  <c r="N12" i="24"/>
  <c r="N9" i="24"/>
  <c r="N37" i="24"/>
  <c r="N40" i="24"/>
  <c r="N49" i="24"/>
  <c r="I25" i="24"/>
  <c r="J40" i="24"/>
  <c r="I34" i="24"/>
  <c r="O22" i="24"/>
  <c r="M21" i="24"/>
  <c r="M53" i="24"/>
  <c r="M50" i="24"/>
  <c r="M30" i="24"/>
  <c r="I10" i="24"/>
  <c r="I24" i="24"/>
  <c r="I45" i="24"/>
  <c r="J11" i="24"/>
  <c r="J36" i="24"/>
  <c r="J22" i="24"/>
  <c r="M12" i="24"/>
  <c r="M34" i="24"/>
  <c r="M15" i="24"/>
  <c r="I26" i="24"/>
  <c r="I14" i="24"/>
  <c r="I12" i="24"/>
  <c r="I11" i="24"/>
  <c r="J16" i="24"/>
  <c r="J23" i="24"/>
  <c r="J52" i="24"/>
  <c r="O9" i="24"/>
  <c r="J41" i="24"/>
  <c r="M19" i="24"/>
  <c r="M7" i="24"/>
  <c r="M23" i="24"/>
  <c r="I41" i="24"/>
  <c r="I50" i="24"/>
  <c r="J28" i="24"/>
  <c r="J43" i="24"/>
  <c r="I32" i="24"/>
  <c r="I13" i="24"/>
  <c r="J51" i="24"/>
  <c r="M26" i="24"/>
  <c r="M36" i="24"/>
  <c r="M47" i="24"/>
  <c r="M2" i="24"/>
  <c r="M13" i="24"/>
  <c r="O17" i="24"/>
  <c r="J2" i="24"/>
  <c r="J5" i="24"/>
  <c r="M51" i="24"/>
  <c r="M16" i="24"/>
  <c r="M27" i="24"/>
  <c r="M11" i="24"/>
  <c r="M45" i="24"/>
  <c r="J6" i="24"/>
  <c r="J34" i="24"/>
  <c r="I43" i="24"/>
  <c r="I51" i="24"/>
  <c r="I22" i="24"/>
  <c r="I27" i="24"/>
  <c r="I4" i="24"/>
  <c r="I36" i="24"/>
  <c r="I40" i="24"/>
  <c r="O39" i="24"/>
  <c r="I49" i="24"/>
  <c r="J30" i="24"/>
  <c r="J45" i="24"/>
  <c r="J24" i="24"/>
  <c r="I31" i="24"/>
  <c r="I17" i="24"/>
  <c r="J18" i="24"/>
  <c r="J4" i="24"/>
  <c r="J20" i="24"/>
  <c r="J17" i="24"/>
  <c r="J26" i="24"/>
  <c r="I46" i="24"/>
  <c r="O42" i="24"/>
  <c r="O52" i="24"/>
  <c r="O12" i="24"/>
  <c r="O50" i="24"/>
  <c r="J12" i="24"/>
  <c r="J38" i="24"/>
  <c r="J49" i="24"/>
  <c r="M25" i="24"/>
  <c r="M49" i="24"/>
  <c r="M52" i="24"/>
  <c r="M48" i="24"/>
  <c r="M18" i="24"/>
  <c r="M42" i="24"/>
  <c r="O30" i="24"/>
  <c r="J37" i="24"/>
  <c r="M39" i="24"/>
  <c r="M24" i="24"/>
  <c r="M35" i="24"/>
  <c r="J9" i="24"/>
  <c r="M17" i="24"/>
  <c r="M10" i="24"/>
  <c r="M9" i="24"/>
  <c r="M4" i="24"/>
  <c r="O44" i="24"/>
  <c r="M5" i="24"/>
  <c r="J46" i="24"/>
  <c r="I23" i="24"/>
  <c r="I16" i="24"/>
  <c r="I47" i="24"/>
  <c r="I33" i="24"/>
  <c r="I9" i="24"/>
  <c r="I3" i="24"/>
  <c r="I5" i="24"/>
  <c r="I38" i="24"/>
  <c r="O28" i="24"/>
  <c r="J8" i="24"/>
  <c r="J13" i="24"/>
  <c r="J50" i="24"/>
  <c r="I29" i="24"/>
  <c r="J21" i="24"/>
  <c r="J44" i="24"/>
  <c r="J29" i="24"/>
  <c r="I18" i="24"/>
  <c r="O14" i="24"/>
  <c r="O16" i="24"/>
  <c r="O13" i="24"/>
  <c r="M29" i="24"/>
  <c r="M8" i="24"/>
  <c r="I15" i="24"/>
  <c r="I35" i="24"/>
  <c r="I39" i="24"/>
  <c r="I28" i="24"/>
  <c r="I6" i="24"/>
  <c r="I52" i="24"/>
  <c r="I8" i="24"/>
  <c r="I19" i="24"/>
  <c r="I7" i="24"/>
  <c r="O8" i="24"/>
  <c r="I42" i="24"/>
  <c r="J53" i="24"/>
  <c r="J35" i="24"/>
  <c r="I37" i="24"/>
  <c r="I48" i="24"/>
  <c r="J31" i="24"/>
  <c r="J27" i="24"/>
  <c r="J48" i="24"/>
  <c r="J47" i="24"/>
  <c r="J39" i="24"/>
  <c r="I21" i="24"/>
  <c r="I53" i="24"/>
  <c r="O34" i="24"/>
  <c r="O5" i="24"/>
  <c r="O27" i="24"/>
  <c r="O3" i="24"/>
  <c r="O45" i="24"/>
  <c r="J32" i="24"/>
  <c r="J19" i="24"/>
  <c r="J3" i="24"/>
  <c r="M41" i="24"/>
  <c r="M3" i="24"/>
  <c r="M33" i="24"/>
  <c r="M28" i="24"/>
  <c r="M38" i="24"/>
  <c r="M20" i="24"/>
  <c r="I44" i="24"/>
  <c r="J25" i="24"/>
  <c r="M44" i="24"/>
  <c r="M14" i="24"/>
  <c r="M32" i="24"/>
  <c r="J15" i="24"/>
  <c r="M43" i="24"/>
  <c r="M40" i="24"/>
  <c r="M46" i="24"/>
  <c r="M37" i="24"/>
  <c r="O49" i="24"/>
  <c r="O40" i="24"/>
  <c r="O43" i="24"/>
  <c r="O48" i="24"/>
  <c r="O11" i="24"/>
  <c r="O7" i="24"/>
  <c r="O6" i="24"/>
  <c r="O2" i="24"/>
  <c r="O4" i="24"/>
  <c r="O26" i="24"/>
  <c r="O32" i="24"/>
  <c r="O46" i="24"/>
  <c r="O37" i="24"/>
  <c r="O47" i="24"/>
  <c r="O53" i="24"/>
  <c r="O29" i="24"/>
  <c r="O31" i="24"/>
  <c r="O38" i="24"/>
  <c r="O15" i="24"/>
  <c r="O35" i="24"/>
  <c r="O10" i="24"/>
  <c r="O33" i="24"/>
  <c r="O18" i="24"/>
  <c r="O20" i="24"/>
  <c r="O51" i="24"/>
  <c r="O41" i="24"/>
  <c r="O24" i="24"/>
  <c r="O23" i="24"/>
  <c r="O36" i="24"/>
  <c r="S49" i="21"/>
  <c r="S38" i="21"/>
  <c r="S36" i="21"/>
  <c r="S31" i="21"/>
  <c r="S35" i="21"/>
  <c r="S44" i="21"/>
  <c r="S33" i="21"/>
  <c r="S39" i="21"/>
  <c r="S30" i="21"/>
  <c r="S41" i="21"/>
  <c r="S46" i="21"/>
  <c r="S40" i="21"/>
  <c r="S28" i="21"/>
  <c r="S42" i="21"/>
  <c r="S27" i="21"/>
  <c r="S48" i="21"/>
  <c r="S32" i="21"/>
  <c r="S37" i="21"/>
  <c r="S43" i="21"/>
  <c r="S29" i="21"/>
  <c r="S34" i="21"/>
  <c r="S26" i="21"/>
  <c r="S25" i="21"/>
  <c r="S45" i="21"/>
  <c r="E42" i="23" l="1"/>
  <c r="D42" i="23"/>
  <c r="I24" i="23"/>
  <c r="I21" i="23"/>
  <c r="I18" i="23"/>
  <c r="I22" i="23"/>
  <c r="I23" i="23"/>
  <c r="I19" i="23"/>
  <c r="C42" i="23"/>
  <c r="I20" i="23"/>
  <c r="I25" i="23"/>
  <c r="F42" i="23"/>
  <c r="K18" i="23"/>
  <c r="M17" i="23"/>
  <c r="I42" i="23" l="1"/>
  <c r="K19" i="23"/>
  <c r="K20" i="23" s="1"/>
  <c r="K21" i="23" s="1"/>
  <c r="K22" i="23" s="1"/>
  <c r="K23" i="23" s="1"/>
  <c r="K24" i="23" s="1"/>
  <c r="K25" i="23" s="1"/>
  <c r="K26" i="23" s="1"/>
  <c r="K27" i="23" s="1"/>
  <c r="K28" i="23" s="1"/>
  <c r="K29" i="23" s="1"/>
  <c r="K30" i="23" s="1"/>
  <c r="K31" i="23" s="1"/>
  <c r="K32" i="23" s="1"/>
  <c r="K33" i="23" s="1"/>
  <c r="K34" i="23" s="1"/>
  <c r="M18" i="23"/>
  <c r="M19" i="23" l="1"/>
  <c r="M20" i="23" s="1"/>
  <c r="M21" i="23" s="1"/>
  <c r="M22" i="23" s="1"/>
  <c r="M23" i="23" s="1"/>
  <c r="M24" i="23" s="1"/>
  <c r="M25" i="23" s="1"/>
  <c r="M26" i="23" s="1"/>
  <c r="M27" i="23" s="1"/>
  <c r="M28" i="23" s="1"/>
  <c r="M29" i="23" s="1"/>
  <c r="M30" i="23" s="1"/>
  <c r="M31" i="23" s="1"/>
  <c r="M32" i="23" s="1"/>
  <c r="M33" i="23" s="1"/>
  <c r="M34" i="23" s="1"/>
  <c r="E80" i="12" s="1"/>
  <c r="M42" i="23" l="1"/>
  <c r="C13" i="25"/>
  <c r="E86" i="12"/>
  <c r="C12" i="25"/>
  <c r="E82" i="12"/>
  <c r="K43" i="23"/>
  <c r="D32" i="25" a="1"/>
  <c r="W32" i="25" s="1"/>
  <c r="D23" i="25" a="1"/>
  <c r="J23" i="25" s="1"/>
  <c r="D24" i="25" a="1"/>
  <c r="E15" i="25" a="1"/>
  <c r="E15" i="25"/>
  <c r="F15" i="25" s="1"/>
  <c r="D24" i="25"/>
  <c r="D33" i="25" a="1"/>
  <c r="D33" i="25"/>
  <c r="R23" i="25" l="1"/>
  <c r="E23" i="25"/>
  <c r="Q23" i="25"/>
  <c r="G23" i="25"/>
  <c r="N23" i="25"/>
  <c r="I23" i="25"/>
  <c r="L23" i="25"/>
  <c r="AB23" i="25"/>
  <c r="AI23" i="25"/>
  <c r="AC23" i="25"/>
  <c r="P23" i="25"/>
  <c r="W23" i="25"/>
  <c r="AG23" i="25"/>
  <c r="AE23" i="25"/>
  <c r="O23" i="25"/>
  <c r="M23" i="25"/>
  <c r="Z23" i="25"/>
  <c r="H23" i="25"/>
  <c r="V23" i="25"/>
  <c r="AD23" i="25"/>
  <c r="D23" i="25"/>
  <c r="AG32" i="25"/>
  <c r="AE32" i="25"/>
  <c r="G32" i="25"/>
  <c r="S23" i="25"/>
  <c r="K32" i="25"/>
  <c r="R32" i="25"/>
  <c r="AF23" i="25"/>
  <c r="X23" i="25"/>
  <c r="T32" i="25"/>
  <c r="T23" i="25"/>
  <c r="Y23" i="25"/>
  <c r="O32" i="25"/>
  <c r="K23" i="25"/>
  <c r="AA23" i="25"/>
  <c r="AB32" i="25"/>
  <c r="AH23" i="25"/>
  <c r="D32" i="25"/>
  <c r="S32" i="25"/>
  <c r="E32" i="25"/>
  <c r="AD32" i="25"/>
  <c r="AA32" i="25"/>
  <c r="J32" i="25"/>
  <c r="AJ23" i="25"/>
  <c r="X32" i="25"/>
  <c r="P32" i="25"/>
  <c r="AK23" i="25"/>
  <c r="U23" i="25"/>
  <c r="F23" i="25"/>
  <c r="N32" i="25"/>
  <c r="AF32" i="25"/>
  <c r="AJ32" i="25"/>
  <c r="AH32" i="25"/>
  <c r="V32" i="25"/>
  <c r="L32" i="25"/>
  <c r="AK32" i="25"/>
  <c r="Y32" i="25"/>
  <c r="AI32" i="25"/>
  <c r="U32" i="25"/>
  <c r="AC32" i="25"/>
  <c r="M32" i="25"/>
  <c r="F32" i="25"/>
  <c r="Q32" i="25"/>
  <c r="Z32" i="25"/>
  <c r="I32" i="25"/>
  <c r="H32" i="25"/>
  <c r="E24" i="25"/>
  <c r="F33" i="25"/>
  <c r="G15" i="25"/>
  <c r="F24" i="25"/>
  <c r="E33" i="25"/>
  <c r="G33" i="25" l="1"/>
  <c r="H15" i="25"/>
  <c r="G24" i="25"/>
  <c r="I15" i="25" l="1"/>
  <c r="H33" i="25"/>
  <c r="H24" i="25"/>
  <c r="J15" i="25" l="1"/>
  <c r="I24" i="25"/>
  <c r="I33" i="25"/>
  <c r="J33" i="25" l="1"/>
  <c r="K15" i="25"/>
  <c r="J24" i="25"/>
  <c r="L15" i="25" l="1"/>
  <c r="K24" i="25"/>
  <c r="K33" i="25"/>
  <c r="M15" i="25" l="1"/>
  <c r="L33" i="25"/>
  <c r="L24" i="25"/>
  <c r="N15" i="25" l="1"/>
  <c r="M33" i="25"/>
  <c r="M24" i="25"/>
  <c r="N24" i="25" l="1"/>
  <c r="O15" i="25"/>
  <c r="N33" i="25"/>
  <c r="O24" i="25" l="1"/>
  <c r="O33" i="25"/>
  <c r="P15" i="25"/>
  <c r="Q15" i="25" l="1"/>
  <c r="P33" i="25"/>
  <c r="P24" i="25"/>
  <c r="R15" i="25" l="1"/>
  <c r="Q33" i="25"/>
  <c r="Q24" i="25"/>
  <c r="R24" i="25" l="1"/>
  <c r="R33" i="25"/>
  <c r="S15" i="25"/>
  <c r="S24" i="25" l="1"/>
  <c r="T15" i="25"/>
  <c r="S33" i="25"/>
  <c r="U15" i="25" l="1"/>
  <c r="T24" i="25"/>
  <c r="T33" i="25"/>
  <c r="U33" i="25" l="1"/>
  <c r="V15" i="25"/>
  <c r="U24" i="25"/>
  <c r="V33" i="25" l="1"/>
  <c r="W15" i="25"/>
  <c r="V24" i="25"/>
  <c r="W24" i="25" l="1"/>
  <c r="W33" i="25"/>
  <c r="X15" i="25"/>
  <c r="Y15" i="25" l="1"/>
  <c r="X33" i="25"/>
  <c r="X24" i="25"/>
  <c r="Z15" i="25" l="1"/>
  <c r="Y24" i="25"/>
  <c r="Y33" i="25"/>
  <c r="Z33" i="25" l="1"/>
  <c r="Z24" i="25"/>
  <c r="AA15" i="25"/>
  <c r="AA24" i="25" l="1"/>
  <c r="AB15" i="25"/>
  <c r="AA33" i="25"/>
  <c r="AB24" i="25" l="1"/>
  <c r="AB33" i="25"/>
  <c r="AC15" i="25"/>
  <c r="AD15" i="25" l="1"/>
  <c r="AC24" i="25"/>
  <c r="AC33" i="25"/>
  <c r="AE15" i="25" l="1"/>
  <c r="AD24" i="25"/>
  <c r="AD33" i="25"/>
  <c r="AE24" i="25" l="1"/>
  <c r="AF15" i="25"/>
  <c r="AE33" i="25"/>
  <c r="AF24" i="25" l="1"/>
  <c r="AG15" i="25"/>
  <c r="AF33" i="25"/>
  <c r="AH15" i="25" l="1"/>
  <c r="AG24" i="25"/>
  <c r="AG33" i="25"/>
  <c r="AI15" i="25" l="1"/>
  <c r="AH33" i="25"/>
  <c r="AH24" i="25"/>
  <c r="AI24" i="25" l="1"/>
  <c r="AI33" i="25"/>
  <c r="AJ15" i="25"/>
  <c r="AJ33" i="25" l="1"/>
  <c r="AK15" i="25"/>
  <c r="AJ24" i="25"/>
  <c r="AK24" i="25" l="1"/>
  <c r="AK33" i="25"/>
  <c r="E31" i="25" l="1" a="1"/>
  <c r="E31" i="25"/>
  <c r="F31" i="25" s="1"/>
  <c r="G31" i="25" s="1"/>
  <c r="H31" i="25" s="1"/>
  <c r="I31" i="25" s="1"/>
  <c r="J31" i="25" s="1"/>
  <c r="K31" i="25" s="1"/>
  <c r="L31" i="25" s="1"/>
  <c r="M31" i="25" s="1"/>
  <c r="N31" i="25" s="1"/>
  <c r="O31" i="25" s="1"/>
  <c r="P31" i="25" s="1"/>
  <c r="Q31" i="25" s="1"/>
  <c r="R31" i="25" s="1"/>
  <c r="S31" i="25" s="1"/>
  <c r="T31" i="25" s="1"/>
  <c r="U31" i="25" s="1"/>
  <c r="V31" i="25" s="1"/>
  <c r="W31" i="25" s="1"/>
  <c r="X31" i="25" s="1"/>
  <c r="Y31" i="25" s="1"/>
  <c r="Z31" i="25" s="1"/>
  <c r="AA31" i="25" s="1"/>
  <c r="AB31" i="25" s="1"/>
  <c r="AC31" i="25" s="1"/>
  <c r="AD31" i="25" s="1"/>
  <c r="AE31" i="25" s="1"/>
  <c r="AF31" i="25" s="1"/>
  <c r="AG31" i="25" s="1"/>
  <c r="AH31" i="25" s="1"/>
  <c r="AI31" i="25" s="1"/>
  <c r="AJ31" i="25" s="1"/>
  <c r="AK31" i="25" s="1"/>
  <c r="E22" i="25" a="1"/>
  <c r="E22" i="25"/>
  <c r="F22" i="25" s="1"/>
  <c r="G22" i="25" s="1"/>
  <c r="H22" i="25" s="1"/>
  <c r="I22" i="25" s="1"/>
  <c r="J22" i="25" s="1"/>
  <c r="K22" i="25" s="1"/>
  <c r="L22" i="25" s="1"/>
  <c r="M22" i="25" s="1"/>
  <c r="N22" i="25" s="1"/>
  <c r="O22" i="25" s="1"/>
  <c r="P22" i="25" s="1"/>
  <c r="Q22" i="25" s="1"/>
  <c r="R22" i="25" s="1"/>
  <c r="S22" i="25" s="1"/>
  <c r="T22" i="25" s="1"/>
  <c r="U22" i="25" s="1"/>
  <c r="V22" i="25" s="1"/>
  <c r="W22" i="25" s="1"/>
  <c r="X22" i="25" s="1"/>
  <c r="Y22" i="25" s="1"/>
  <c r="Z22" i="25" s="1"/>
  <c r="AA22" i="25" s="1"/>
  <c r="AB22" i="25" s="1"/>
  <c r="AC22" i="25" s="1"/>
  <c r="AD22" i="25" s="1"/>
  <c r="AE22" i="25" s="1"/>
  <c r="AF22" i="25" s="1"/>
  <c r="AG22" i="25" s="1"/>
  <c r="AH22" i="25" s="1"/>
  <c r="AI22" i="25" s="1"/>
  <c r="AJ22" i="25" s="1"/>
  <c r="AK22" i="25" s="1"/>
  <c r="F25" i="21" l="1" a="1"/>
  <c r="F25" i="21"/>
  <c r="F26" i="21" s="1"/>
  <c r="F27" i="21" l="1"/>
  <c r="F28" i="21" s="1"/>
  <c r="F29" i="21" s="1"/>
  <c r="F30" i="21" s="1"/>
  <c r="F31" i="21" s="1"/>
  <c r="F32" i="21" s="1"/>
  <c r="F33" i="21" s="1"/>
  <c r="F34" i="21" s="1"/>
  <c r="F35" i="21" s="1"/>
  <c r="F36" i="21" s="1"/>
  <c r="F37" i="21" s="1"/>
  <c r="F38" i="21" s="1"/>
  <c r="F39" i="21" s="1"/>
  <c r="F40" i="21" s="1"/>
  <c r="F41" i="21" s="1"/>
  <c r="F42" i="21" s="1"/>
  <c r="F43" i="21" s="1"/>
  <c r="F44" i="21" s="1"/>
  <c r="F45" i="21" s="1"/>
  <c r="F46" i="21" s="1"/>
  <c r="F47" i="21" s="1"/>
  <c r="F48" i="21" s="1"/>
  <c r="F49" i="21" s="1"/>
  <c r="F50" i="21" s="1"/>
  <c r="F51" i="21" s="1"/>
  <c r="F52" i="21" s="1"/>
  <c r="F53" i="21" s="1"/>
  <c r="F54" i="21" s="1"/>
  <c r="F55" i="21" s="1"/>
  <c r="F56" i="21" s="1"/>
  <c r="F57" i="21" s="1"/>
  <c r="F58" i="21" s="1"/>
  <c r="F59" i="21" s="1"/>
  <c r="F60" i="21" s="1"/>
  <c r="F61" i="21" s="1"/>
  <c r="F62" i="21" s="1"/>
  <c r="F63" i="21" s="1"/>
  <c r="F64" i="21" s="1"/>
  <c r="F65" i="21" s="1"/>
  <c r="F66" i="21" s="1"/>
  <c r="F67" i="21" s="1"/>
  <c r="F68" i="21" s="1"/>
  <c r="F69" i="21" s="1"/>
  <c r="F70" i="21" s="1"/>
  <c r="F71" i="21" s="1"/>
  <c r="F72" i="21" s="1"/>
  <c r="F73" i="21" s="1"/>
  <c r="F74" i="21" s="1"/>
  <c r="F75" i="21" s="1"/>
  <c r="F76" i="21" s="1"/>
  <c r="H25" i="21" l="1" a="1"/>
  <c r="H30" i="21" l="1"/>
  <c r="H55" i="21"/>
  <c r="H46" i="21"/>
  <c r="H44" i="21"/>
  <c r="H37" i="21"/>
  <c r="H49" i="21"/>
  <c r="H58" i="21"/>
  <c r="H73" i="21"/>
  <c r="H36" i="21"/>
  <c r="H61" i="21"/>
  <c r="H65" i="21"/>
  <c r="H39" i="21"/>
  <c r="H31" i="21"/>
  <c r="H62" i="21"/>
  <c r="H68" i="21"/>
  <c r="H40" i="21"/>
  <c r="H56" i="21"/>
  <c r="H72" i="21"/>
  <c r="H54" i="21"/>
  <c r="H64" i="21"/>
  <c r="H35" i="21"/>
  <c r="H74" i="21"/>
  <c r="H63" i="21"/>
  <c r="H33" i="21"/>
  <c r="H43" i="21"/>
  <c r="H34" i="21"/>
  <c r="H29" i="21"/>
  <c r="H69" i="21"/>
  <c r="H48" i="21"/>
  <c r="H27" i="21"/>
  <c r="H28" i="21"/>
  <c r="H76" i="21"/>
  <c r="H50" i="21"/>
  <c r="H60" i="21"/>
  <c r="H71" i="21"/>
  <c r="H26" i="21"/>
  <c r="H57" i="21"/>
  <c r="H53" i="21"/>
  <c r="H32" i="21"/>
  <c r="H25" i="21"/>
  <c r="H70" i="21"/>
  <c r="H66" i="21"/>
  <c r="H52" i="21"/>
  <c r="H51" i="21"/>
  <c r="H67" i="21"/>
  <c r="H41" i="21"/>
  <c r="H59" i="21"/>
  <c r="H42" i="21"/>
  <c r="H38" i="21"/>
  <c r="H75" i="21"/>
  <c r="H45" i="21"/>
  <c r="H47" i="21"/>
  <c r="I25" i="21" l="1" a="1"/>
  <c r="I61" i="21" l="1"/>
  <c r="I74" i="21"/>
  <c r="I32" i="21"/>
  <c r="I28" i="21"/>
  <c r="I40" i="21"/>
  <c r="I26" i="21"/>
  <c r="I71" i="21"/>
  <c r="I27" i="21"/>
  <c r="I54" i="21"/>
  <c r="I38" i="21"/>
  <c r="I52" i="21"/>
  <c r="I37" i="21"/>
  <c r="I35" i="21"/>
  <c r="I63" i="21"/>
  <c r="I67" i="21"/>
  <c r="I42" i="21"/>
  <c r="I29" i="21"/>
  <c r="I60" i="21"/>
  <c r="I76" i="21"/>
  <c r="I55" i="21"/>
  <c r="I49" i="21"/>
  <c r="I59" i="21"/>
  <c r="I31" i="21"/>
  <c r="I73" i="21"/>
  <c r="I50" i="21"/>
  <c r="I58" i="21"/>
  <c r="I43" i="21"/>
  <c r="I30" i="21"/>
  <c r="I57" i="21"/>
  <c r="I45" i="21"/>
  <c r="I53" i="21"/>
  <c r="I33" i="21"/>
  <c r="I34" i="21"/>
  <c r="I46" i="21"/>
  <c r="I25" i="21"/>
  <c r="I75" i="21"/>
  <c r="I70" i="21"/>
  <c r="I44" i="21"/>
  <c r="I36" i="21"/>
  <c r="I48" i="21"/>
  <c r="I56" i="21"/>
  <c r="I69" i="21"/>
  <c r="I62" i="21"/>
  <c r="I51" i="21"/>
  <c r="I66" i="21"/>
  <c r="I39" i="21"/>
  <c r="I72" i="21"/>
  <c r="I47" i="21"/>
  <c r="I41" i="21"/>
  <c r="I65" i="21"/>
  <c r="I64" i="21"/>
  <c r="I68" i="21"/>
  <c r="E42" i="25" l="1" a="1"/>
  <c r="E42" i="25"/>
  <c r="F42" i="25"/>
  <c r="G42" i="25"/>
  <c r="H42" i="25"/>
  <c r="I42" i="25"/>
  <c r="J42" i="25"/>
  <c r="K42" i="25"/>
  <c r="L42" i="25"/>
  <c r="M42" i="25"/>
  <c r="N42" i="25"/>
  <c r="O42" i="25"/>
  <c r="P42" i="25"/>
  <c r="Q42" i="25"/>
  <c r="R42" i="25"/>
  <c r="S42" i="25"/>
  <c r="T42" i="25"/>
  <c r="U42" i="25"/>
  <c r="V42" i="25"/>
  <c r="W42" i="25"/>
  <c r="X42" i="25"/>
  <c r="Y42" i="25"/>
  <c r="Z42" i="25"/>
  <c r="AA42" i="25"/>
  <c r="AB42" i="25"/>
  <c r="AC42" i="25"/>
  <c r="AD42" i="25"/>
  <c r="AE42" i="25"/>
  <c r="AF42" i="25"/>
  <c r="AG42" i="25"/>
  <c r="AH42" i="25"/>
  <c r="AI42" i="25"/>
  <c r="AJ42" i="25"/>
  <c r="AK42" i="25"/>
  <c r="G3" i="24" l="1" a="1"/>
  <c r="G3" i="24"/>
  <c r="G4" i="24" s="1"/>
  <c r="G5" i="24" s="1"/>
  <c r="G6" i="24" s="1"/>
  <c r="G7" i="24" s="1"/>
  <c r="G8" i="24" s="1"/>
  <c r="G9" i="24" s="1"/>
  <c r="G10" i="24" s="1"/>
  <c r="H2" i="24" l="1"/>
  <c r="G11" i="24"/>
  <c r="G12" i="24" l="1"/>
  <c r="H3" i="24"/>
  <c r="G13" i="24" l="1"/>
  <c r="H4" i="24"/>
  <c r="H5" i="24" l="1"/>
  <c r="G14" i="24"/>
  <c r="H6" i="24" l="1"/>
  <c r="G15" i="24"/>
  <c r="G16" i="24" l="1"/>
  <c r="H7" i="24"/>
  <c r="G17" i="24" l="1"/>
  <c r="H8" i="24"/>
  <c r="H9" i="24" l="1"/>
  <c r="G18" i="24"/>
  <c r="H10" i="24" l="1"/>
  <c r="G19" i="24"/>
  <c r="G20" i="24" l="1"/>
  <c r="H11" i="24"/>
  <c r="G21" i="24" l="1"/>
  <c r="H12" i="24"/>
  <c r="H13" i="24" l="1"/>
  <c r="G22" i="24"/>
  <c r="H14" i="24" l="1"/>
  <c r="G23" i="24"/>
  <c r="G24" i="24" l="1"/>
  <c r="H15" i="24"/>
  <c r="G25" i="24" l="1"/>
  <c r="H16" i="24"/>
  <c r="H17" i="24" l="1"/>
  <c r="G26" i="24"/>
  <c r="H18" i="24" l="1"/>
  <c r="G27" i="24"/>
  <c r="G28" i="24" l="1"/>
  <c r="H19" i="24"/>
  <c r="G29" i="24" l="1"/>
  <c r="H20" i="24"/>
  <c r="H21" i="24" l="1"/>
  <c r="G30" i="24"/>
  <c r="H22" i="24" l="1"/>
  <c r="G31" i="24"/>
  <c r="G32" i="24" l="1"/>
  <c r="H23" i="24"/>
  <c r="G33" i="24" l="1"/>
  <c r="H24" i="24"/>
  <c r="H25" i="24" l="1"/>
  <c r="G34" i="24"/>
  <c r="H26" i="24" l="1"/>
  <c r="G35" i="24"/>
  <c r="G36" i="24" l="1"/>
  <c r="H27" i="24"/>
  <c r="G37" i="24" l="1"/>
  <c r="H28" i="24"/>
  <c r="H29" i="24" l="1"/>
  <c r="G38" i="24"/>
  <c r="H30" i="24" l="1"/>
  <c r="G39" i="24"/>
  <c r="G40" i="24" l="1"/>
  <c r="H31" i="24"/>
  <c r="H32" i="24" l="1"/>
  <c r="G41" i="24"/>
  <c r="H33" i="24" l="1"/>
  <c r="G42" i="24"/>
  <c r="H34" i="24" l="1"/>
  <c r="G43" i="24"/>
  <c r="G44" i="24" l="1"/>
  <c r="H35" i="24"/>
  <c r="G45" i="24" l="1"/>
  <c r="H36" i="24"/>
  <c r="H37" i="24" l="1"/>
  <c r="G46" i="24"/>
  <c r="H38" i="24" l="1"/>
  <c r="G47" i="24"/>
  <c r="G48" i="24" l="1"/>
  <c r="H39" i="24"/>
  <c r="G49" i="24" l="1"/>
  <c r="H40" i="24"/>
  <c r="H41" i="24" l="1"/>
  <c r="G50" i="24"/>
  <c r="H42" i="24" l="1"/>
  <c r="G51" i="24"/>
  <c r="G52" i="24" l="1"/>
  <c r="H43" i="24"/>
  <c r="G53" i="24" l="1"/>
  <c r="H45" i="24" s="1"/>
  <c r="H44" i="24"/>
</calcChain>
</file>

<file path=xl/sharedStrings.xml><?xml version="1.0" encoding="utf-8"?>
<sst xmlns="http://schemas.openxmlformats.org/spreadsheetml/2006/main" count="859" uniqueCount="830">
  <si>
    <r>
      <t>Factors which might reduce the amount of capacity needed to meet demand (i.e. allow setting capacity nearer to the 65</t>
    </r>
    <r>
      <rPr>
        <vertAlign val="superscript"/>
        <sz val="10"/>
        <color indexed="8"/>
        <rFont val="Arial"/>
        <family val="2"/>
      </rPr>
      <t>th</t>
    </r>
    <r>
      <rPr>
        <sz val="10"/>
        <color indexed="8"/>
        <rFont val="Arial"/>
        <family val="2"/>
      </rPr>
      <t xml:space="preserve"> percentile):
- A good distribution of appointment offers (low median waiting time)
- Pooling of referrals and the size of the speciality
- The ease with which you can flex capacity, for example:
         - Flex the timing of clinics (annual contract)
         - If additional slots/clinics can be provided quickly and easily 
           e.g. overbooking or ad hoc clinics</t>
    </r>
  </si>
  <si>
    <t>Mean DNAs (routine referrals)</t>
  </si>
  <si>
    <r>
      <t>65</t>
    </r>
    <r>
      <rPr>
        <vertAlign val="superscript"/>
        <sz val="9"/>
        <rFont val="Arial"/>
        <family val="2"/>
      </rPr>
      <t>th</t>
    </r>
    <r>
      <rPr>
        <sz val="9"/>
        <rFont val="Arial"/>
        <family val="2"/>
      </rPr>
      <t xml:space="preserve"> Percentile</t>
    </r>
  </si>
  <si>
    <t>Urgent</t>
  </si>
  <si>
    <t>Routine</t>
  </si>
  <si>
    <t>Target Waiting Time</t>
  </si>
  <si>
    <t>Net Reduction of Backlog</t>
  </si>
  <si>
    <t>Of Which Core Slots</t>
  </si>
  <si>
    <t>Of Which Additional Slots</t>
  </si>
  <si>
    <t>To Clear Backlog At This Rate</t>
  </si>
  <si>
    <t>Purpose</t>
  </si>
  <si>
    <t>Scope</t>
  </si>
  <si>
    <t>Requirements</t>
  </si>
  <si>
    <t>To use this model you need:</t>
  </si>
  <si>
    <t>Assumptions</t>
  </si>
  <si>
    <t>Limitations</t>
  </si>
  <si>
    <t>The outputs of any model are only as good as the information entered.  If you do not accurately enter your demand and capacity information the model will not give meaningful results.</t>
  </si>
  <si>
    <t>Summary</t>
  </si>
  <si>
    <t>Capacity</t>
  </si>
  <si>
    <t>Graphs</t>
  </si>
  <si>
    <t>Description 2 e.g. day of week, site</t>
  </si>
  <si>
    <t>Total New Appts</t>
  </si>
  <si>
    <t>Average per week (52 weeks)</t>
  </si>
  <si>
    <t>Totals</t>
  </si>
  <si>
    <t>Weeks Per Year</t>
  </si>
  <si>
    <t>New Appts Per Clinic</t>
  </si>
  <si>
    <t>Clinic Name on PAS</t>
  </si>
  <si>
    <t>Description 1 e.g. cons. name</t>
  </si>
  <si>
    <t>DNAs Discharged</t>
  </si>
  <si>
    <t>DNA discharged</t>
  </si>
  <si>
    <t>DNA Rebooked</t>
  </si>
  <si>
    <t>Week</t>
  </si>
  <si>
    <t>DNAs Rebooked</t>
  </si>
  <si>
    <t>Total removals</t>
  </si>
  <si>
    <t>Patients remaining</t>
  </si>
  <si>
    <t>Cumulative</t>
  </si>
  <si>
    <t>Total</t>
  </si>
  <si>
    <t>First Appointments</t>
  </si>
  <si>
    <t>Maximum waiting list size to deliver the desired waiting time:</t>
  </si>
  <si>
    <t>Referrals received in service</t>
  </si>
  <si>
    <t>Calculations</t>
  </si>
  <si>
    <t>Description of Tabs</t>
  </si>
  <si>
    <t>Period for appointments</t>
  </si>
  <si>
    <t>Indicator</t>
  </si>
  <si>
    <t>Current Capacity</t>
  </si>
  <si>
    <t>Sustainable Waiting List</t>
  </si>
  <si>
    <t>Of Which Discharged</t>
  </si>
  <si>
    <t>Of Which Reappointed</t>
  </si>
  <si>
    <t>Mean Core Slots Per Week*</t>
  </si>
  <si>
    <t>Mean Ad-Hoc Slots Per Week*</t>
  </si>
  <si>
    <t>If you create additional capacity for new slots on a regular basis please enter those here; for example overbooking of clinics or ad hoc clinics.  For the purpose of the model, you need to assume this will  continue for a year.</t>
  </si>
  <si>
    <t>Enter available slots by clinic to calculate the overall capacity for the service, looking forward. If  the number of appointments available is reduced, list those clinics separately (e.g. when a consultant is absent).</t>
  </si>
  <si>
    <t>Enter Your Capacity to See New Patients</t>
  </si>
  <si>
    <t>Details of Your Service</t>
  </si>
  <si>
    <t>Mean Referrals</t>
  </si>
  <si>
    <t>Enables you to set values for your capacity, either by inputting clinic-by-clinic or directly choosing a value.</t>
  </si>
  <si>
    <t>A summary of your service and the conclusions of the model: your demand, capacity, any surplus/shortfall and what you need for a sustainable service.</t>
  </si>
  <si>
    <r>
      <t>85</t>
    </r>
    <r>
      <rPr>
        <vertAlign val="superscript"/>
        <sz val="9"/>
        <rFont val="Arial"/>
        <family val="2"/>
      </rPr>
      <t>th</t>
    </r>
    <r>
      <rPr>
        <sz val="9"/>
        <rFont val="Arial"/>
        <family val="2"/>
      </rPr>
      <t xml:space="preserve"> Percentile</t>
    </r>
  </si>
  <si>
    <t>Estimated Maximum PTL Size</t>
  </si>
  <si>
    <t>Approximate Required Reduction</t>
  </si>
  <si>
    <t>Approximate Sustainable Range</t>
  </si>
  <si>
    <r>
      <t xml:space="preserve">This model helps you to understand how many patients are referred to your Trust (your </t>
    </r>
    <r>
      <rPr>
        <b/>
        <sz val="10"/>
        <color indexed="8"/>
        <rFont val="Arial"/>
        <family val="2"/>
      </rPr>
      <t>demand</t>
    </r>
    <r>
      <rPr>
        <sz val="10"/>
        <color indexed="8"/>
        <rFont val="Arial"/>
        <family val="2"/>
      </rPr>
      <t xml:space="preserve">), how this changes from day to day and week to week (the </t>
    </r>
    <r>
      <rPr>
        <b/>
        <sz val="10"/>
        <color indexed="8"/>
        <rFont val="Arial"/>
        <family val="2"/>
      </rPr>
      <t>variation</t>
    </r>
    <r>
      <rPr>
        <sz val="10"/>
        <color indexed="8"/>
        <rFont val="Arial"/>
        <family val="2"/>
      </rPr>
      <t>).</t>
    </r>
  </si>
  <si>
    <t>This model is aimed primarily at operational managers as users, with the summary and conclusions intended for a mixed audience of managers and clinicians.</t>
  </si>
  <si>
    <t>This model assumes no growth in referrals, i.e. that the same number will be received in the coming year as were received over the past year.</t>
  </si>
  <si>
    <t>Per Week</t>
  </si>
  <si>
    <t>Week Number</t>
  </si>
  <si>
    <t>Total Referrals Received</t>
  </si>
  <si>
    <t>Referral Date</t>
  </si>
  <si>
    <t>Enter Your Referral Data and First Seen Data</t>
  </si>
  <si>
    <t>Offer Date
(If Available)</t>
  </si>
  <si>
    <t>Choice Given?</t>
  </si>
  <si>
    <t>Referral Data</t>
  </si>
  <si>
    <t>Attendance Data</t>
  </si>
  <si>
    <t xml:space="preserve"> Per Week</t>
  </si>
  <si>
    <t>Mean Rearranged Slots</t>
  </si>
  <si>
    <t>Step-by-step calculations showing how the model arrives at your estimated sustainable PTL.</t>
  </si>
  <si>
    <t>A selection of graphs showing key information about your service and your PTL.</t>
  </si>
  <si>
    <t>Any model is by definition a theoretical guide and should be used as one of a number of tools to help you to better understand, plan and manage your service.</t>
  </si>
  <si>
    <t>Mean waiting time</t>
  </si>
  <si>
    <t>Median waiting time</t>
  </si>
  <si>
    <t>Patient Experience</t>
  </si>
  <si>
    <t>Understanding and Managing Risk</t>
  </si>
  <si>
    <r>
      <t>• an understanding of how many of your patients Do Not Attend (</t>
    </r>
    <r>
      <rPr>
        <b/>
        <sz val="10"/>
        <color indexed="8"/>
        <rFont val="Arial"/>
        <family val="2"/>
      </rPr>
      <t>DNA</t>
    </r>
    <r>
      <rPr>
        <sz val="10"/>
        <color indexed="8"/>
        <rFont val="Arial"/>
        <family val="2"/>
      </rPr>
      <t>) their first appointment (although this can be inferred from your attendance data)</t>
    </r>
  </si>
  <si>
    <t>Mean Total Capacity</t>
  </si>
  <si>
    <t>The use of this model does not give any assurance of waiting times performance and should not be taken as a guarantee.</t>
  </si>
  <si>
    <t>The numbers displayed are rounded for ease of reading.</t>
  </si>
  <si>
    <t>2gether NHS Foundation Trust</t>
  </si>
  <si>
    <t>5 Boroughs Partnership NHS Foundation Trust</t>
  </si>
  <si>
    <t>Airedale NHS Foundation Trust</t>
  </si>
  <si>
    <t>Alder Hey Children's NHS Foundation Trust</t>
  </si>
  <si>
    <t>Ashford And St Peter's Hospitals NHS Foundation Trust</t>
  </si>
  <si>
    <t>Avon And Wiltshire Mental Health Partnership NHS Trust</t>
  </si>
  <si>
    <t>Barking, Havering And Redbridge University Hospitals NHS Trust</t>
  </si>
  <si>
    <t>Barnet And Chase Farm Hospitals NHS Trust</t>
  </si>
  <si>
    <t>Barnet, Enfield And Haringey Mental Health NHS Trust</t>
  </si>
  <si>
    <t>Barnsley Hospital NHS Foundation Trust</t>
  </si>
  <si>
    <t>Basildon And Thurrock University Hospitals NHS Foundation Trust</t>
  </si>
  <si>
    <t>Bedford Hospital NHS Trust</t>
  </si>
  <si>
    <t>Berkshire Healthcare NHS Foundation Trust</t>
  </si>
  <si>
    <t>Birmingham And Solihull Mental Health NHS Foundation Trust</t>
  </si>
  <si>
    <t>Birmingham Children's Hospital NHS Foundation Trust</t>
  </si>
  <si>
    <t>Birmingham Community Healthcare NHS Trust</t>
  </si>
  <si>
    <t>Birmingham Women's NHS Foundation Trust</t>
  </si>
  <si>
    <t>Blackpool Teaching Hospitals NHS Foundation Trust</t>
  </si>
  <si>
    <t>Bradford Teaching Hospitals NHS Foundation Trust</t>
  </si>
  <si>
    <t>Brighton And Sussex University Hospitals NHS Trust</t>
  </si>
  <si>
    <t>Buckinghamshire Healthcare NHS Trust</t>
  </si>
  <si>
    <t>Burton Hospitals NHS Foundation Trust</t>
  </si>
  <si>
    <t>Calderdale And Huddersfield NHS Foundation Trust</t>
  </si>
  <si>
    <t>Calderstones Partnership NHS Foundation Trust</t>
  </si>
  <si>
    <t>Cambridge University Hospitals NHS Foundation Trust</t>
  </si>
  <si>
    <t>Cambridgeshire And Peterborough NHS Foundation Trust</t>
  </si>
  <si>
    <t>Cambridgeshire Community Services NHS Trust</t>
  </si>
  <si>
    <t>Camden And Islington NHS Foundation Trust</t>
  </si>
  <si>
    <t>Central And North West London NHS Foundation Trust</t>
  </si>
  <si>
    <t>Central London Community Healthcare NHS Trust</t>
  </si>
  <si>
    <t>Central Manchester University Hospitals NHS Foundation Trust</t>
  </si>
  <si>
    <t>Chelsea And Westminster Hospital NHS Foundation Trust</t>
  </si>
  <si>
    <t>Cheshire And Wirral Partnership NHS Foundation Trust</t>
  </si>
  <si>
    <t>Chesterfield Royal Hospital NHS Foundation Trust</t>
  </si>
  <si>
    <t>City Hospitals Sunderland NHS Foundation Trust</t>
  </si>
  <si>
    <t>Colchester Hospital University NHS Foundation Trust</t>
  </si>
  <si>
    <t>Cornwall Partnership NHS Foundation Trust</t>
  </si>
  <si>
    <t>Countess Of Chester Hospital NHS Foundation Trust</t>
  </si>
  <si>
    <t>County Durham And Darlington NHS Foundation Trust</t>
  </si>
  <si>
    <t>Coventry And Warwickshire Partnership NHS Trust</t>
  </si>
  <si>
    <t>Croydon Health Services NHS Trust</t>
  </si>
  <si>
    <t>Cumbria Partnership NHS Foundation Trust</t>
  </si>
  <si>
    <t>Dartford And Gravesham NHS Trust</t>
  </si>
  <si>
    <t>Derby Hospitals NHS Foundation Trust</t>
  </si>
  <si>
    <t>Derbyshire Healthcare NHS Foundation Trust</t>
  </si>
  <si>
    <t>Devon Partnership NHS Trust</t>
  </si>
  <si>
    <t>Doncaster And Bassetlaw Hospitals NHS Foundation Trust</t>
  </si>
  <si>
    <t>Dorset County Hospital NHS Foundation Trust</t>
  </si>
  <si>
    <t>Dorset Healthcare University NHS Foundation Trust</t>
  </si>
  <si>
    <t>Dudley And Walsall Mental Health Partnership NHS Trust</t>
  </si>
  <si>
    <t>Ealing Hospital NHS Trust</t>
  </si>
  <si>
    <t>East And North Hertfordshire NHS Trust</t>
  </si>
  <si>
    <t>East Cheshire NHS Trust</t>
  </si>
  <si>
    <t>East Kent Hospitals University NHS Foundation Trust</t>
  </si>
  <si>
    <t>East Lancashire Hospitals NHS Trust</t>
  </si>
  <si>
    <t>East London NHS Foundation Trust</t>
  </si>
  <si>
    <t>East Midlands Ambulance Service NHS Trust</t>
  </si>
  <si>
    <t>East Of England Ambulance Service NHS Trust</t>
  </si>
  <si>
    <t>Epsom And St Helier University Hospitals NHS Trust</t>
  </si>
  <si>
    <t>Frimley Park Hospital NHS Foundation Trust</t>
  </si>
  <si>
    <t>Gateshead Health NHS Foundation Trust</t>
  </si>
  <si>
    <t>George Eliot Hospital NHS Trust</t>
  </si>
  <si>
    <t>Gloucestershire Hospitals NHS Foundation Trust</t>
  </si>
  <si>
    <t>Great Western Hospitals NHS Foundation Trust</t>
  </si>
  <si>
    <t>Greater Manchester West Mental Health NHS Foundation Trust</t>
  </si>
  <si>
    <t>Harrogate And District NHS Foundation Trust</t>
  </si>
  <si>
    <t>Heart Of England NHS Foundation Trust</t>
  </si>
  <si>
    <t>Heatherwood And Wexham Park Hospitals NHS Foundation Trust</t>
  </si>
  <si>
    <t>Hertfordshire Community NHS Trust</t>
  </si>
  <si>
    <t>Hertfordshire Partnership NHS Foundation Trust</t>
  </si>
  <si>
    <t>Hinchingbrooke Health Care NHS Trust</t>
  </si>
  <si>
    <t>Homerton University Hospital NHS Foundation Trust</t>
  </si>
  <si>
    <t>Hull And East Yorkshire Hospitals NHS Trust</t>
  </si>
  <si>
    <t>Humber NHS Foundation Trust</t>
  </si>
  <si>
    <t>Imperial College Healthcare NHS Trust</t>
  </si>
  <si>
    <t>Ipswich Hospital NHS Trust</t>
  </si>
  <si>
    <t>James Paget University Hospitals NHS Foundation Trust</t>
  </si>
  <si>
    <t>Kent And Medway NHS And Social Care Partnership Trust</t>
  </si>
  <si>
    <t>Kettering General Hospital NHS Foundation Trust</t>
  </si>
  <si>
    <t>King's College Hospital NHS Foundation Trust</t>
  </si>
  <si>
    <t>Lancashire Care NHS Foundation Trust</t>
  </si>
  <si>
    <t>Lancashire Teaching Hospitals NHS Foundation Trust</t>
  </si>
  <si>
    <t>Leeds Teaching Hospitals NHS Trust</t>
  </si>
  <si>
    <t>Leicestershire Partnership NHS Trust</t>
  </si>
  <si>
    <t>Lewisham Healthcare NHS Trust</t>
  </si>
  <si>
    <t>Lincolnshire Partnership NHS Foundation Trust</t>
  </si>
  <si>
    <t>Liverpool Community Health NHS Trust</t>
  </si>
  <si>
    <t>Liverpool Heart And Chest NHS Foundation Trust</t>
  </si>
  <si>
    <t>Liverpool Women's NHS Foundation Trust</t>
  </si>
  <si>
    <t>London Ambulance Service NHS Trust</t>
  </si>
  <si>
    <t>Luton And Dunstable Hospital NHS Foundation Trust</t>
  </si>
  <si>
    <t>Maidstone And Tunbridge Wells NHS Trust</t>
  </si>
  <si>
    <t>Medway NHS Foundation Trust</t>
  </si>
  <si>
    <t>Mersey Care NHS Trust</t>
  </si>
  <si>
    <t>Mid Cheshire Hospitals NHS Foundation Trust</t>
  </si>
  <si>
    <t>Mid Essex Hospital Services NHS Trust</t>
  </si>
  <si>
    <t>Mid Staffordshire NHS Foundation Trust</t>
  </si>
  <si>
    <t>Mid Yorkshire Hospitals NHS Trust</t>
  </si>
  <si>
    <t>Milton Keynes Hospital NHS Foundation Trust</t>
  </si>
  <si>
    <t>Moorfields Eye Hospital NHS Foundation Trust</t>
  </si>
  <si>
    <t>North Bristol NHS Trust</t>
  </si>
  <si>
    <t>North Cumbria University Hospitals NHS Trust</t>
  </si>
  <si>
    <t>North East London NHS Foundation Trust</t>
  </si>
  <si>
    <t>North Essex Partnership NHS Foundation Trust</t>
  </si>
  <si>
    <t>North Middlesex University Hospital NHS Trust</t>
  </si>
  <si>
    <t>North Staffordshire Combined Healthcare NHS Trust</t>
  </si>
  <si>
    <t>North West Ambulance Service NHS Trust</t>
  </si>
  <si>
    <t>North West London Hospitals NHS Trust</t>
  </si>
  <si>
    <t>Northampton General Hospital NHS Trust</t>
  </si>
  <si>
    <t>Northamptonshire Healthcare NHS Foundation Trust</t>
  </si>
  <si>
    <t>Northern Devon Healthcare NHS Trust</t>
  </si>
  <si>
    <t>Northumbria Healthcare NHS Foundation Trust</t>
  </si>
  <si>
    <t>Nottingham University Hospitals NHS Trust</t>
  </si>
  <si>
    <t>Nottinghamshire Healthcare NHS Trust</t>
  </si>
  <si>
    <t>Oxleas NHS Foundation Trust</t>
  </si>
  <si>
    <t>Papworth Hospital NHS Foundation Trust</t>
  </si>
  <si>
    <t>Pennine Acute Hospitals NHS Trust</t>
  </si>
  <si>
    <t>Pennine Care NHS Foundation Trust</t>
  </si>
  <si>
    <t>Peterborough And Stamford Hospitals NHS Foundation Trust</t>
  </si>
  <si>
    <t>Plymouth Hospitals NHS Trust</t>
  </si>
  <si>
    <t>Poole Hospital NHS Foundation Trust</t>
  </si>
  <si>
    <t>Portsmouth Hospitals NHS Trust</t>
  </si>
  <si>
    <t>Public Health Wales NHS Trust</t>
  </si>
  <si>
    <t>Queen Victoria Hospital NHS Foundation Trust</t>
  </si>
  <si>
    <t>Royal Berkshire NHS Foundation Trust</t>
  </si>
  <si>
    <t>Royal Brompton And Harefield NHS Foundation Trust</t>
  </si>
  <si>
    <t>Royal Cornwall Hospitals NHS Trust</t>
  </si>
  <si>
    <t>Royal Devon And Exeter NHS Foundation Trust</t>
  </si>
  <si>
    <t>Royal Liverpool And Broadgreen University Hospitals NHS Trust</t>
  </si>
  <si>
    <t>Royal National Hospital For Rheumatic Diseases NHS Foundation Trust</t>
  </si>
  <si>
    <t>Royal National Orthopaedic Hospital NHS Trust</t>
  </si>
  <si>
    <t>Royal Surrey County Hospital NHS Foundation Trust</t>
  </si>
  <si>
    <t>Royal United Hospital Bath NHS Trust</t>
  </si>
  <si>
    <t>Salford Royal NHS Foundation Trust</t>
  </si>
  <si>
    <t>Salisbury NHS Foundation Trust</t>
  </si>
  <si>
    <t>Sandwell And West Birmingham Hospitals NHS Trust</t>
  </si>
  <si>
    <t>Sheffield Children's NHS Foundation Trust</t>
  </si>
  <si>
    <t>Sheffield Health And Social Care NHS Foundation Trust</t>
  </si>
  <si>
    <t>Sheffield Teaching Hospitals NHS Foundation Trust</t>
  </si>
  <si>
    <t>Sherwood Forest Hospitals NHS Foundation Trust</t>
  </si>
  <si>
    <t>Shrewsbury And Telford Hospital NHS Trust</t>
  </si>
  <si>
    <t>Somerset Partnership NHS Foundation Trust</t>
  </si>
  <si>
    <t>South Devon Healthcare NHS Foundation Trust</t>
  </si>
  <si>
    <t>South East Coast Ambulance Service NHS Foundation Trust</t>
  </si>
  <si>
    <t>South Essex Partnership University NHS Foundation Trust</t>
  </si>
  <si>
    <t>South London And Maudsley NHS Foundation Trust</t>
  </si>
  <si>
    <t>South London Healthcare NHS Trust</t>
  </si>
  <si>
    <t>South Staffordshire And Shropshire Healthcare NHS Foundation Trust</t>
  </si>
  <si>
    <t>South Tees Hospitals NHS Foundation Trust</t>
  </si>
  <si>
    <t>South Tyneside NHS Foundation Trust</t>
  </si>
  <si>
    <t>South Warwickshire NHS Foundation Trust</t>
  </si>
  <si>
    <t>South West London And St George's Mental Health NHS Trust</t>
  </si>
  <si>
    <t>South West Yorkshire Partnership NHS Foundation Trust</t>
  </si>
  <si>
    <t>South Western Ambulance Service NHS Foundation Trust</t>
  </si>
  <si>
    <t>Southend University Hospital NHS Foundation Trust</t>
  </si>
  <si>
    <t>Southport And Ormskirk Hospital NHS Trust</t>
  </si>
  <si>
    <t>St George's Healthcare NHS Trust</t>
  </si>
  <si>
    <t>St Helens And Knowsley Hospitals NHS Trust</t>
  </si>
  <si>
    <t>Stockport NHS Foundation Trust</t>
  </si>
  <si>
    <t>Surrey And Borders Partnership NHS Foundation Trust</t>
  </si>
  <si>
    <t>Surrey And Sussex Healthcare NHS Trust</t>
  </si>
  <si>
    <t>Sussex Community NHS Trust</t>
  </si>
  <si>
    <t>Sussex Partnership NHS Foundation Trust</t>
  </si>
  <si>
    <t>Tameside Hospital NHS Foundation Trust</t>
  </si>
  <si>
    <t>Taunton And Somerset NHS Foundation Trust</t>
  </si>
  <si>
    <t>Tavistock And Portman NHS Foundation Trust</t>
  </si>
  <si>
    <t>Tees, Esk And Wear Valleys NHS Foundation Trust</t>
  </si>
  <si>
    <t>The Christie NHS Foundation Trust</t>
  </si>
  <si>
    <t>The Newcastle Upon Tyne Hospitals NHS Foundation Trust</t>
  </si>
  <si>
    <t>The Princess Alexandra Hospital NHS Trust</t>
  </si>
  <si>
    <t>The Rotherham NHS Foundation Trust</t>
  </si>
  <si>
    <t>The Royal Bournemouth And Christchurch Hospitals NHS Foundation Trust</t>
  </si>
  <si>
    <t>The Royal Marsden NHS Foundation Trust</t>
  </si>
  <si>
    <t>The Royal Orthopaedic Hospital NHS Foundation Trust</t>
  </si>
  <si>
    <t>The Walton Centre NHS Foundation Trust</t>
  </si>
  <si>
    <t>The Whittington Hospital NHS Trust</t>
  </si>
  <si>
    <t>United Lincolnshire Hospitals NHS Trust</t>
  </si>
  <si>
    <t>University College London Hospitals NHS Foundation Trust</t>
  </si>
  <si>
    <t>University Hospital Of North Staffordshire NHS Trust</t>
  </si>
  <si>
    <t>University Hospital Of South Manchester NHS Foundation Trust</t>
  </si>
  <si>
    <t>University Hospitals Birmingham NHS Foundation Trust</t>
  </si>
  <si>
    <t>University Hospitals Bristol NHS Foundation Trust</t>
  </si>
  <si>
    <t>University Hospitals Coventry And Warwickshire NHS Trust</t>
  </si>
  <si>
    <t>University Hospitals Of Leicester NHS Trust</t>
  </si>
  <si>
    <t>University Hospitals Of Morecambe Bay NHS Foundation Trust</t>
  </si>
  <si>
    <t>Velindre NHS Trust</t>
  </si>
  <si>
    <t>Warrington And Halton Hospitals NHS Foundation Trust</t>
  </si>
  <si>
    <t>Welsh Ambulance Services NHS Trust</t>
  </si>
  <si>
    <t>West Hertfordshire Hospitals NHS Trust</t>
  </si>
  <si>
    <t>West London Mental Health NHS Trust</t>
  </si>
  <si>
    <t>West Middlesex University Hospital NHS Trust</t>
  </si>
  <si>
    <t>Western Sussex Hospitals NHS Trust</t>
  </si>
  <si>
    <t>Weston Area Health NHS Trust</t>
  </si>
  <si>
    <t>Wirral University Teaching Hospital NHS Foundation Trust</t>
  </si>
  <si>
    <t>Worcestershire Acute Hospitals NHS Trust</t>
  </si>
  <si>
    <t>Wrightington, Wigan And Leigh NHS Foundation Trust</t>
  </si>
  <si>
    <t>Yeovil District Hospital NHS Foundation Trust</t>
  </si>
  <si>
    <t>York Teaching Hospital NHS Foundation Trust</t>
  </si>
  <si>
    <t>Yorkshire Ambulance Service NHS Trust</t>
  </si>
  <si>
    <t>Urology</t>
  </si>
  <si>
    <t>Haematology</t>
  </si>
  <si>
    <t>Gynaecology</t>
  </si>
  <si>
    <t>Your Trust:</t>
  </si>
  <si>
    <t>The graph to the right shows an approximation of the variation, the spread of the numbers from week to week, in your referral demand (using what is called a Normal Distribution).  With capacity set at the mean level of referrals you would be able to see all your referrals received over the course of a year with no wastage; there would be no guarantee of a maximum waiting time, though.  You would expect a number of referrals above or below the range shown here around once per year.</t>
  </si>
  <si>
    <t>Enter/Update Your Parameters</t>
  </si>
  <si>
    <t>Current PTL</t>
  </si>
  <si>
    <t>The sliders below show figures calculated from your data.  If you position the slider on the absolute right this value from your data is displayed.  If you wish to experiment with different paremeters you can adjust these sliders accordingly.</t>
  </si>
  <si>
    <t>Current Service</t>
  </si>
  <si>
    <t>Appointments Where Choice Not Given</t>
  </si>
  <si>
    <t>DNA Rate</t>
  </si>
  <si>
    <t>Rearranged Appointments</t>
  </si>
  <si>
    <t>Parameters</t>
  </si>
  <si>
    <r>
      <t xml:space="preserve">It is then intended to help you understand how many slots (your </t>
    </r>
    <r>
      <rPr>
        <b/>
        <sz val="10"/>
        <color indexed="8"/>
        <rFont val="Arial"/>
        <family val="2"/>
      </rPr>
      <t>capacity</t>
    </r>
    <r>
      <rPr>
        <sz val="10"/>
        <color indexed="8"/>
        <rFont val="Arial"/>
        <family val="2"/>
      </rPr>
      <t>)</t>
    </r>
    <r>
      <rPr>
        <sz val="10"/>
        <color indexed="8"/>
        <rFont val="Arial"/>
        <family val="2"/>
      </rPr>
      <t xml:space="preserve"> you currently have to see patients and how much you might need to meet your demand.</t>
    </r>
  </si>
  <si>
    <t>mRA</t>
  </si>
  <si>
    <t>Calc4</t>
  </si>
  <si>
    <t>Calc2</t>
  </si>
  <si>
    <t>Calc3</t>
  </si>
  <si>
    <t>UCL</t>
  </si>
  <si>
    <t>Sigma+2</t>
  </si>
  <si>
    <t>Sigma+1</t>
  </si>
  <si>
    <t>Mean</t>
  </si>
  <si>
    <t>Sigma-1</t>
  </si>
  <si>
    <t>Sigma-2</t>
  </si>
  <si>
    <t>LCL</t>
  </si>
  <si>
    <t>Indicators of Special Cause Variation</t>
  </si>
  <si>
    <r>
      <rPr>
        <b/>
        <sz val="10"/>
        <rFont val="Arial"/>
        <family val="2"/>
      </rPr>
      <t>1:</t>
    </r>
    <r>
      <rPr>
        <sz val="10"/>
        <rFont val="Arial"/>
        <family val="2"/>
      </rPr>
      <t xml:space="preserve"> One point over the Upper Control Line (UCL) or below the Lower Control Line (LCL)</t>
    </r>
  </si>
  <si>
    <r>
      <rPr>
        <b/>
        <sz val="10"/>
        <rFont val="Arial"/>
        <family val="2"/>
      </rPr>
      <t>2:</t>
    </r>
    <r>
      <rPr>
        <sz val="10"/>
        <rFont val="Arial"/>
        <family val="2"/>
      </rPr>
      <t xml:space="preserve"> 2 out of 3 points are more than 2 sigma (Σ) from the mean, with all 3 on the same side of the mean</t>
    </r>
  </si>
  <si>
    <r>
      <rPr>
        <b/>
        <sz val="10"/>
        <rFont val="Arial"/>
        <family val="2"/>
      </rPr>
      <t>3:</t>
    </r>
    <r>
      <rPr>
        <sz val="10"/>
        <rFont val="Arial"/>
        <family val="2"/>
      </rPr>
      <t xml:space="preserve"> 4 out of 5 points are more than 1 sigma (Σ) from the mean, with all 5 on the same side of the mean</t>
    </r>
  </si>
  <si>
    <r>
      <rPr>
        <b/>
        <sz val="10"/>
        <rFont val="Arial"/>
        <family val="2"/>
      </rPr>
      <t>4:</t>
    </r>
    <r>
      <rPr>
        <sz val="10"/>
        <rFont val="Arial"/>
        <family val="2"/>
      </rPr>
      <t xml:space="preserve"> a run of 9 or more points on the same side of the mean</t>
    </r>
  </si>
  <si>
    <t>Split chart at week:</t>
  </si>
  <si>
    <t>No Split</t>
  </si>
  <si>
    <t>Mean referrals Received</t>
  </si>
  <si>
    <t>• 12 months' recent referral data</t>
  </si>
  <si>
    <t>This is where you enter your referral and attendance here.  The model will not work if this sheet is not fully completed.</t>
  </si>
  <si>
    <t>This model is intended for use in Trusts providing a first outpatient service to patients.</t>
  </si>
  <si>
    <t>• data for your most recent 1-3 months' attendances</t>
  </si>
  <si>
    <t>• details of available slots to see new patients, both for core and ad-hoc/extra capacity</t>
  </si>
  <si>
    <t>This sheet summarises your current data as well as allowing you to edit information about your patients and booking - DNA rates, C&amp;B uptake etc.</t>
  </si>
  <si>
    <t>Accident &amp; Emergency</t>
  </si>
  <si>
    <t>Acute Internal Medicine</t>
  </si>
  <si>
    <t>Adult Mental Illness</t>
  </si>
  <si>
    <t>Allied Health Professional</t>
  </si>
  <si>
    <t>Anaesthetics</t>
  </si>
  <si>
    <t>Audiological Medicine</t>
  </si>
  <si>
    <t>Blood Transfusion</t>
  </si>
  <si>
    <t>Cardiology</t>
  </si>
  <si>
    <t>Cardiothoracic Surgery</t>
  </si>
  <si>
    <t>Chemical Pathology</t>
  </si>
  <si>
    <t>Child And Adolescent Psychiatry</t>
  </si>
  <si>
    <t>Clinical Genetics</t>
  </si>
  <si>
    <t>Clinical Haematology</t>
  </si>
  <si>
    <t>Clinical Immunology And Allergy</t>
  </si>
  <si>
    <t>Clinical Neuro-Physiology</t>
  </si>
  <si>
    <t>Clinical Oncology/Radiotherapy</t>
  </si>
  <si>
    <t>Clinical Pharmacology</t>
  </si>
  <si>
    <t>Clinical Physiology</t>
  </si>
  <si>
    <t>Community Dental</t>
  </si>
  <si>
    <t>Community Medicine</t>
  </si>
  <si>
    <t>Community Sexual And Reproductive Health</t>
  </si>
  <si>
    <t>Critical Care Medicine</t>
  </si>
  <si>
    <t>Dental Medicine Specialties</t>
  </si>
  <si>
    <t>Dermatology</t>
  </si>
  <si>
    <t>Endocrinology</t>
  </si>
  <si>
    <t>Endodontics</t>
  </si>
  <si>
    <t>ENT</t>
  </si>
  <si>
    <t>Forensic Psychiatry</t>
  </si>
  <si>
    <t>Gastroenterology</t>
  </si>
  <si>
    <t>General Dental Practice</t>
  </si>
  <si>
    <t>General Medical Practice</t>
  </si>
  <si>
    <t>General Medicine</t>
  </si>
  <si>
    <t>General Pathology</t>
  </si>
  <si>
    <t>General Surgery</t>
  </si>
  <si>
    <t>Genitourinary Medicine</t>
  </si>
  <si>
    <t>Geriatric Medicine</t>
  </si>
  <si>
    <t>Histopathology</t>
  </si>
  <si>
    <t>Immunopathology</t>
  </si>
  <si>
    <t>Infectious Diseases</t>
  </si>
  <si>
    <t>Learning Disability</t>
  </si>
  <si>
    <t>Medical Microbiology</t>
  </si>
  <si>
    <t>Medical Microbiology And Virology</t>
  </si>
  <si>
    <t>Medical Oncology</t>
  </si>
  <si>
    <t>Medical Ophthalmology</t>
  </si>
  <si>
    <t>Medical Virology</t>
  </si>
  <si>
    <t>Midwife Episode</t>
  </si>
  <si>
    <t>Nephrology</t>
  </si>
  <si>
    <t>Neurology</t>
  </si>
  <si>
    <t>Neurosurgery</t>
  </si>
  <si>
    <t>Nuclear Medicine</t>
  </si>
  <si>
    <t>Nursing Episode</t>
  </si>
  <si>
    <t>Obstetrics</t>
  </si>
  <si>
    <t>Obstetrics And Gynaecology</t>
  </si>
  <si>
    <t>Occupational Medicine</t>
  </si>
  <si>
    <t>Old Age Psychiatry</t>
  </si>
  <si>
    <t>Ophthalmology</t>
  </si>
  <si>
    <t>Oral &amp; Maxillo Facial Surgery</t>
  </si>
  <si>
    <t>Oral Surgery</t>
  </si>
  <si>
    <t>Orthodontics</t>
  </si>
  <si>
    <t>Paediatric Cardiology</t>
  </si>
  <si>
    <t>Paediatric Dentistry</t>
  </si>
  <si>
    <t>Paediatric Neurology</t>
  </si>
  <si>
    <t>Paediatric Surgery</t>
  </si>
  <si>
    <t>Paediatrics</t>
  </si>
  <si>
    <t>Palliative Medicine</t>
  </si>
  <si>
    <t>Periodontics</t>
  </si>
  <si>
    <t>Plastic Surgery</t>
  </si>
  <si>
    <t>Prosthodontics</t>
  </si>
  <si>
    <t>Psychotherapy</t>
  </si>
  <si>
    <t>Public Health Dental</t>
  </si>
  <si>
    <t>Public Health Medicine</t>
  </si>
  <si>
    <t>Radiology</t>
  </si>
  <si>
    <t>Rehabilitation</t>
  </si>
  <si>
    <t>Respiratory Medicine</t>
  </si>
  <si>
    <t>Restorative Dentistry</t>
  </si>
  <si>
    <t>Rheumatology</t>
  </si>
  <si>
    <t>Special Care Dentistry</t>
  </si>
  <si>
    <t>Sports And Exercise Medicine</t>
  </si>
  <si>
    <t>Surgical Dentistry</t>
  </si>
  <si>
    <t>Trauma &amp; Orthopaedics</t>
  </si>
  <si>
    <t>Tropical Medicine</t>
  </si>
  <si>
    <t>Specialty:</t>
  </si>
  <si>
    <t>Statistical Process Control (SPC) Analysis of Your Data</t>
  </si>
  <si>
    <t>East Sussex Healthcare NHS Trust</t>
  </si>
  <si>
    <t>DNA Date
(If Available)</t>
  </si>
  <si>
    <t>First Seen Date</t>
  </si>
  <si>
    <t>Week Routine Appointments Commence</t>
  </si>
  <si>
    <t>Maximum Routine Waiting Time (Weeks)</t>
  </si>
  <si>
    <t>DNAs Discharged to Primary Care</t>
  </si>
  <si>
    <t>DNAs To Be Rebooked</t>
  </si>
  <si>
    <t>Routine Referrals</t>
  </si>
  <si>
    <t>Target Routine Waiting Time (Weeks)</t>
  </si>
  <si>
    <t>Routine Appointments Commence (Week)</t>
  </si>
  <si>
    <t>Week appointments commence</t>
  </si>
  <si>
    <t>Your Current Waiting List Size
(Both With and Without an Date)</t>
  </si>
  <si>
    <t>Enter here the details of individual patients seen by your Trust over the past 1-3 months.
If you record whether choice is offered to patients please enter Yes or No as appropriate in the relevant column.
Please record the date if the patient Did Not Attend (DNA) their first appointment.
If you record the original date offered to each patient, if they subsequently chose a later date, then please enter this Offer Date.</t>
  </si>
  <si>
    <t>Routine Paper/Fax</t>
  </si>
  <si>
    <t>Mean referrals Per Day (includes weekends)</t>
  </si>
  <si>
    <t>Planning Your Future Waiting List Week By Week</t>
  </si>
  <si>
    <t>Current Waiting List</t>
  </si>
  <si>
    <t>Target Waiting List</t>
  </si>
  <si>
    <t>Required Reduction</t>
  </si>
  <si>
    <t>Planned Activity - Scenario 1</t>
  </si>
  <si>
    <t>Additional Capacity 1</t>
  </si>
  <si>
    <t>Additional Capacity 2</t>
  </si>
  <si>
    <t>Additional Capacity 3</t>
  </si>
  <si>
    <t>Additional Capacity 4</t>
  </si>
  <si>
    <t>Planned Activity - Scenario 2</t>
  </si>
  <si>
    <t>Actual Activity:
Monitor Progress Against Plan</t>
  </si>
  <si>
    <t>Usual Capacity for New Patients</t>
  </si>
  <si>
    <t>Actual Capacity for New Patients</t>
  </si>
  <si>
    <t>Actual Additional Capacity 1</t>
  </si>
  <si>
    <t>Actual Additional Capacity 2</t>
  </si>
  <si>
    <t>Actual Additional Capacity 3</t>
  </si>
  <si>
    <t>Actual Additional Capacity 4</t>
  </si>
  <si>
    <t>Of Which Urgent</t>
  </si>
  <si>
    <t>Urgent Appointments</t>
  </si>
  <si>
    <t>Urgent Appointments Commence (Week)</t>
  </si>
  <si>
    <t>Target Urgent Waiting Time (Weeks)</t>
  </si>
  <si>
    <t>Urgent Referrals</t>
  </si>
  <si>
    <t>Proportion of Urgent Referrals Received</t>
  </si>
  <si>
    <t>Target Urgent
Waiting Time</t>
  </si>
  <si>
    <t>This tool enables you to see how the addition of extra capacity will affect your PTL.</t>
  </si>
  <si>
    <r>
      <rPr>
        <sz val="10"/>
        <color indexed="8"/>
        <rFont val="Arial"/>
        <family val="2"/>
      </rPr>
      <t>Each service needs to establish the necessary slots so that the normal variation in demand can be managed within the required maximum waiting time.  Slots required will need to be between the 65</t>
    </r>
    <r>
      <rPr>
        <vertAlign val="superscript"/>
        <sz val="10"/>
        <color indexed="8"/>
        <rFont val="Arial"/>
        <family val="2"/>
      </rPr>
      <t>th</t>
    </r>
    <r>
      <rPr>
        <sz val="10"/>
        <color indexed="8"/>
        <rFont val="Arial"/>
        <family val="2"/>
      </rPr>
      <t xml:space="preserve"> and 85</t>
    </r>
    <r>
      <rPr>
        <vertAlign val="superscript"/>
        <sz val="10"/>
        <color indexed="8"/>
        <rFont val="Arial"/>
        <family val="2"/>
      </rPr>
      <t>th</t>
    </r>
    <r>
      <rPr>
        <sz val="10"/>
        <color indexed="8"/>
        <rFont val="Arial"/>
        <family val="2"/>
      </rPr>
      <t xml:space="preserve"> percentile in order to ensure that this variation does not create a queue i.e. an unsustainable increase in the number of patients waiting (on the PTL).  Setting capacity between these levels can be thought of as saying 'we will have enough capacity to see all patients around 65%-85% of the time.'</t>
    </r>
  </si>
  <si>
    <r>
      <t xml:space="preserve">Factors which might </t>
    </r>
    <r>
      <rPr>
        <b/>
        <sz val="10"/>
        <color indexed="8"/>
        <rFont val="Arial"/>
        <family val="2"/>
      </rPr>
      <t>increase</t>
    </r>
    <r>
      <rPr>
        <sz val="10"/>
        <color indexed="8"/>
        <rFont val="Arial"/>
        <family val="2"/>
      </rPr>
      <t xml:space="preserve"> the amount of capacity needed to meet demand (i.e. require setting capacity nearer to the 85</t>
    </r>
    <r>
      <rPr>
        <vertAlign val="superscript"/>
        <sz val="10"/>
        <color indexed="8"/>
        <rFont val="Arial"/>
        <family val="2"/>
      </rPr>
      <t>th</t>
    </r>
    <r>
      <rPr>
        <sz val="10"/>
        <color indexed="8"/>
        <rFont val="Arial"/>
        <family val="2"/>
      </rPr>
      <t xml:space="preserve"> percentile):
- High variation in demand
- High variation in clinic capacity e.g. no absence cover, bank holidays
- 'Carve-out' e.g. different hospital sites 
- High levels of rebookings and DNAs 
- Not offering patient choice</t>
    </r>
  </si>
  <si>
    <r>
      <t xml:space="preserve">The nature of the RTT standard means the service needs to respond quickly to peaks in demand. Ideally the core capacity should have sufficient slots necessary to manage the variation in demand; in other words have sufficient 'head-room' to deal with variation.
For some smaller services, however, the </t>
    </r>
    <r>
      <rPr>
        <sz val="10"/>
        <color indexed="8"/>
        <rFont val="Arial"/>
        <family val="2"/>
      </rPr>
      <t>85</t>
    </r>
    <r>
      <rPr>
        <vertAlign val="superscript"/>
        <sz val="10"/>
        <color indexed="8"/>
        <rFont val="Arial"/>
        <family val="2"/>
      </rPr>
      <t>th</t>
    </r>
    <r>
      <rPr>
        <sz val="10"/>
        <color indexed="8"/>
        <rFont val="Arial"/>
        <family val="2"/>
      </rPr>
      <t xml:space="preserve"> percentile could be a combination of core capacity and flexible additional (ad hoc) capacity </t>
    </r>
    <r>
      <rPr>
        <b/>
        <sz val="10"/>
        <color indexed="8"/>
        <rFont val="Arial"/>
        <family val="2"/>
      </rPr>
      <t>provided:</t>
    </r>
    <r>
      <rPr>
        <sz val="10"/>
        <color indexed="8"/>
        <rFont val="Arial"/>
        <family val="2"/>
      </rPr>
      <t xml:space="preserve">
         1) it is acknowledged the flexible  capacity is an essential, funded part of the service required at times of peak referrals
         2) there is a quick response to those peaks which opens up this capacity, without significant administrative work-arounds and/or management input
Ultimately, to maintain a sustainable position as outlined above will require a mindset change from both managers and clinicians. Not all slots will be required every week.</t>
    </r>
  </si>
  <si>
    <t>The chart on the right shows how the referrals received on one week are appointed over the course of the appointment period you have selected.  This is based on the figures you have entered for the Week Routine Appointments Commence and Maximum Routine Waiting Time.  The earlier you appoint your first patients the more can be seen in week one, the lower your mean and median waiting time and the more flexibility you have around cancellations and DNAs.</t>
  </si>
  <si>
    <r>
      <t>All services, especially those dealing with urgent patients,</t>
    </r>
    <r>
      <rPr>
        <b/>
        <sz val="10"/>
        <color indexed="10"/>
        <rFont val="Arial"/>
        <family val="2"/>
      </rPr>
      <t xml:space="preserve"> </t>
    </r>
    <r>
      <rPr>
        <sz val="10"/>
        <color indexed="8"/>
        <rFont val="Arial"/>
        <family val="2"/>
      </rPr>
      <t>need to establish early warning indicators to compare your sustainable position with actual demand and activity data. This will allow teams to respond as required as soon as there is a significant increase in the PTL i.e. before there is  a significant increase in the length of wait for appointments. 
Examples of Early Warning Indicators are: 
         1) Actual PTL size vs. sustainable PTL
         2) Rolling average of demand vs. expected average demand
         3) Clinic utilisation (slot capacity vs. actual activity)</t>
    </r>
  </si>
  <si>
    <t>• an understanding of how many of your patients' appointments are rearranged</t>
  </si>
  <si>
    <t>Actual Referrals</t>
  </si>
  <si>
    <t>SPC</t>
  </si>
  <si>
    <t>This helps you to judge whether your historical data is statistically stable and, therefore, suitable for future predictions.  Understanding of SPC is required.</t>
  </si>
  <si>
    <t>Enter Plan Start Date Here:</t>
  </si>
  <si>
    <t>By Paper/ Other</t>
  </si>
  <si>
    <t>Other (Enter Below)</t>
  </si>
  <si>
    <t>Actual DNAs (To Be Reappointed)</t>
  </si>
  <si>
    <t>Total:</t>
  </si>
  <si>
    <t>Core Slots</t>
  </si>
  <si>
    <t>Referrals</t>
  </si>
  <si>
    <t>*Move sliders to the absolute right to accept the calculated value</t>
  </si>
  <si>
    <t>Ad-Hoc Slots</t>
  </si>
  <si>
    <t>Mean Referrals Received</t>
  </si>
  <si>
    <t>Mean DNAs Reappointed</t>
  </si>
  <si>
    <t>Net Weekly PTL Size Change</t>
  </si>
  <si>
    <t>Mean Core Capacity</t>
  </si>
  <si>
    <t>Mean Ad-hoc Capacity</t>
  </si>
  <si>
    <r>
      <t xml:space="preserve">The PTL is the number of patients waiting for their appointment at any given time (with or without a date). There is a maximum (not target) size PTL which will ensure that a range of dates can be offered to patients and an appropriate Median Wait achieved for the service.  </t>
    </r>
    <r>
      <rPr>
        <b/>
        <sz val="10"/>
        <color indexed="8"/>
        <rFont val="Arial"/>
        <family val="2"/>
      </rPr>
      <t>This figure is only meaningful if your demand and capacity are already in balance (see above) and PTL size must be considered in balance with the desired mean and median waiting times.</t>
    </r>
  </si>
  <si>
    <t>IMPORTANT NOTE ABOUT PASTING DATA</t>
  </si>
  <si>
    <t>Please do not paste using Ctrl+V or clicking the Paste button; rather, please right-click where you wish to paste (Excel 2007/2010) or go to the Edit menu (Excel 2003), choose 'Paste Special...' and then select 'Values'.</t>
  </si>
  <si>
    <t>Black Country Partnership NHS Foundation Trust</t>
  </si>
  <si>
    <t>Bolton NHS Foundation Trust</t>
  </si>
  <si>
    <t>Bridgewater Community Healthcare NHS Trust</t>
  </si>
  <si>
    <t>Derbyshire Community Health Services NHS Trust</t>
  </si>
  <si>
    <t>Hounslow And Richmond Community Healthcare NHS Trust</t>
  </si>
  <si>
    <t>Kent Community Health NHS Trust</t>
  </si>
  <si>
    <t>Leeds Community Healthcare NHS Trust</t>
  </si>
  <si>
    <t>Lincolnshire Community Health Services NHS Trust</t>
  </si>
  <si>
    <t>Oxford Health NHS Foundation Trust</t>
  </si>
  <si>
    <t>Rotherham, Doncaster And South Humber NHS Foundation Trust</t>
  </si>
  <si>
    <t>Shropshire Community Health NHS Trust</t>
  </si>
  <si>
    <t>Solent NHS Trust</t>
  </si>
  <si>
    <t>Southern Health NHS Foundation Trust</t>
  </si>
  <si>
    <t>Staffordshire And Stoke On Trent Partnership NHS Trust</t>
  </si>
  <si>
    <t>The Hillingdon Hospitals NHS Foundation Trust</t>
  </si>
  <si>
    <t>The Robert Jones And Agnes Hunt Orthopaedic Hospital NHS Foundation Trust</t>
  </si>
  <si>
    <t>Walsall Healthcare NHS Trust</t>
  </si>
  <si>
    <t>Wirral Community NHS Trust</t>
  </si>
  <si>
    <t>Worcestershire Health And Care NHS Trust</t>
  </si>
  <si>
    <t>Wye Valley NHS Trust</t>
  </si>
  <si>
    <t>Guy's And St Thomas' NHS Foundation Trust</t>
  </si>
  <si>
    <t>North East Ambulance Service NHS Foundation Trust</t>
  </si>
  <si>
    <t>Oxford University Hospitals NHS Trust</t>
  </si>
  <si>
    <t>University Hospital Southampton NHS Foundation Trust</t>
  </si>
  <si>
    <t>West Suffolk NHS Foundation Trust</t>
  </si>
  <si>
    <t>Aintree University Hospital NHS Foundation Trust</t>
  </si>
  <si>
    <t>Barts Health NHS Trust</t>
  </si>
  <si>
    <t>Basildon Commissioning Group</t>
  </si>
  <si>
    <t>Baywide Clinical Commissioning Group</t>
  </si>
  <si>
    <t>Bournemouth And Poole Clinical Commissioning Group</t>
  </si>
  <si>
    <t>Brentwood CCG</t>
  </si>
  <si>
    <t>Carefirst (north Tyneside) CCG</t>
  </si>
  <si>
    <t>Castle Point GP Consortium</t>
  </si>
  <si>
    <t>Deems (dorking, East Elmbridge, And Mid Surrey)</t>
  </si>
  <si>
    <t>East Cornwall Clinical Commissioning Group</t>
  </si>
  <si>
    <t>Engage (north Tyneside) CCG</t>
  </si>
  <si>
    <t>Exeter, East And Mid Devon CCG</t>
  </si>
  <si>
    <t>Farnham</t>
  </si>
  <si>
    <t>Great Ormond Street Hospital For Children NHS Foundation Trust</t>
  </si>
  <si>
    <t>Hampshire Hospitals NHS Foundation Trust</t>
  </si>
  <si>
    <t>HealthEast CCG</t>
  </si>
  <si>
    <t>High Peak And Buxton CCG</t>
  </si>
  <si>
    <t>High Weald</t>
  </si>
  <si>
    <t>Isle Of Wight NHS Trust</t>
  </si>
  <si>
    <t>Leeds And York Partnership NHS Foundation Trust</t>
  </si>
  <si>
    <t>Lewes And The Havens</t>
  </si>
  <si>
    <t>Liverpool Central GP Commissioning Consortium</t>
  </si>
  <si>
    <t>Maidstone And Malling</t>
  </si>
  <si>
    <t>Matchworks GP Commissioning Consortium</t>
  </si>
  <si>
    <t>Medlinc</t>
  </si>
  <si>
    <t>Mid Cornwall Clinical Commissioning Group</t>
  </si>
  <si>
    <t>Mid Norfolk CCG</t>
  </si>
  <si>
    <t>NHS Airedale, Wharfdale And Craven CCG</t>
  </si>
  <si>
    <t>NHS Arden Commissioning Support Unit</t>
  </si>
  <si>
    <t>NHS Ashford CCG</t>
  </si>
  <si>
    <t>NHS Aylesbury Vale CCG</t>
  </si>
  <si>
    <t>NHS Barnet CCG</t>
  </si>
  <si>
    <t>NHS Barnsley CCG</t>
  </si>
  <si>
    <t>NHS Bassetlaw CCG</t>
  </si>
  <si>
    <t>NHS Bedfordshire CCG</t>
  </si>
  <si>
    <t>NHS Best West Commissioning Support Unit</t>
  </si>
  <si>
    <t>NHS Bexley CCG</t>
  </si>
  <si>
    <t>NHS Birmingham Crosscity CCG</t>
  </si>
  <si>
    <t>NHS Birmingham South And Central CCG</t>
  </si>
  <si>
    <t>NHS Blackburn With Darwen CCG</t>
  </si>
  <si>
    <t>NHS Blackpool CCG</t>
  </si>
  <si>
    <t>NHS Bolton CCG</t>
  </si>
  <si>
    <t>NHS Bradford City CCG</t>
  </si>
  <si>
    <t>NHS Bradford Districts CCG</t>
  </si>
  <si>
    <t>NHS Brent CCG</t>
  </si>
  <si>
    <t>NHS Bristol CCG</t>
  </si>
  <si>
    <t>NHS Bromley CCG</t>
  </si>
  <si>
    <t>NHS Bury CCG</t>
  </si>
  <si>
    <t>NHS Calderdale CCG</t>
  </si>
  <si>
    <t>NHS Camden CCG</t>
  </si>
  <si>
    <t>NHS Cannock Chase CCG</t>
  </si>
  <si>
    <t>NHS Central Manchester CCG</t>
  </si>
  <si>
    <t>NHS Central Southern Commissioning Support Unit</t>
  </si>
  <si>
    <t>NHS Chiltern CCG</t>
  </si>
  <si>
    <t>NHS Coastal West Sussex CCG</t>
  </si>
  <si>
    <t>NHS Corby CCG</t>
  </si>
  <si>
    <t>NHS Crawley CCG</t>
  </si>
  <si>
    <t>NHS Croydon CCG</t>
  </si>
  <si>
    <t>NHS Cumbria CCG</t>
  </si>
  <si>
    <t>NHS Darlington CCG</t>
  </si>
  <si>
    <t>NHS Direct NHS Trust</t>
  </si>
  <si>
    <t>NHS Doncaster CCG</t>
  </si>
  <si>
    <t>NHS Dorset CCG</t>
  </si>
  <si>
    <t>NHS Dudley CCG</t>
  </si>
  <si>
    <t>NHS Ealing CCG</t>
  </si>
  <si>
    <t>NHS East Lancashire CCG</t>
  </si>
  <si>
    <t>NHS East Staffordshire CCG</t>
  </si>
  <si>
    <t>NHS East Surrey CCG</t>
  </si>
  <si>
    <t>NHS Eastern Cheshire CCG</t>
  </si>
  <si>
    <t>NHS Enfield CCG</t>
  </si>
  <si>
    <t>NHS Erewash CCG</t>
  </si>
  <si>
    <t>NHS Essex Commissioning Support Unit</t>
  </si>
  <si>
    <t>NHS Fylde &amp; Wyre CCG</t>
  </si>
  <si>
    <t>NHS Gateshead CCG</t>
  </si>
  <si>
    <t>NHS Gloucestershire CCG</t>
  </si>
  <si>
    <t>NHS Greater East Midlands Commissioning Support Unit</t>
  </si>
  <si>
    <t>NHS Greater Huddersfield CCG</t>
  </si>
  <si>
    <t>NHS Greater Manchester Commissioning Support Unit</t>
  </si>
  <si>
    <t>NHS Greater Preston CCG</t>
  </si>
  <si>
    <t>NHS Greenwich CCG</t>
  </si>
  <si>
    <t>NHS Halton CCG</t>
  </si>
  <si>
    <t>NHS Hardwick CCG</t>
  </si>
  <si>
    <t>NHS Haringey CCG</t>
  </si>
  <si>
    <t>NHS Harrow CCG</t>
  </si>
  <si>
    <t>NHS Havering CCG</t>
  </si>
  <si>
    <t>NHS Herefordshire CCG</t>
  </si>
  <si>
    <t>NHS Hertfordshire Integrated Commissioning Support Unit</t>
  </si>
  <si>
    <t>NHS Herts Valleys CCG</t>
  </si>
  <si>
    <t>NHS High Weald Lewes Havens CCG</t>
  </si>
  <si>
    <t>NHS Hillingdon CCG</t>
  </si>
  <si>
    <t>NHS Hounslow CCG</t>
  </si>
  <si>
    <t>NHS Hull CCG</t>
  </si>
  <si>
    <t>NHS Islington CCG</t>
  </si>
  <si>
    <t>NHS Kernow CCG</t>
  </si>
  <si>
    <t>NHS Kingston CCG</t>
  </si>
  <si>
    <t>NHS Knowsley CCG</t>
  </si>
  <si>
    <t>NHS Lambeth CCG</t>
  </si>
  <si>
    <t>NHS Lancashire Commissioning Support Unit</t>
  </si>
  <si>
    <t>NHS Lancashire North CCG</t>
  </si>
  <si>
    <t>NHS Leeds North CCG</t>
  </si>
  <si>
    <t>NHS Leeds West CCG</t>
  </si>
  <si>
    <t>NHS Leicester City CCG</t>
  </si>
  <si>
    <t>NHS Lewisham CCG</t>
  </si>
  <si>
    <t>NHS Lincolnshire East CCG</t>
  </si>
  <si>
    <t>NHS Lincolnshire West CCG</t>
  </si>
  <si>
    <t>NHS Liverpool CCG</t>
  </si>
  <si>
    <t>NHS Luton CCG</t>
  </si>
  <si>
    <t>NHS Medway CCG</t>
  </si>
  <si>
    <t>NHS Merton CCG</t>
  </si>
  <si>
    <t>NHS Mid Essex CCG</t>
  </si>
  <si>
    <t>NHS Milton Keynes CCG</t>
  </si>
  <si>
    <t>NHS Nene CCG</t>
  </si>
  <si>
    <t>NHS Newark &amp; Sherwood CCG</t>
  </si>
  <si>
    <t>NHS Newcastle West CCG</t>
  </si>
  <si>
    <t>NHS Newham CCG</t>
  </si>
  <si>
    <t>NHS North &amp; West Reading CCG</t>
  </si>
  <si>
    <t>NHS North Derbyshire CCG</t>
  </si>
  <si>
    <t>NHS North Durham CCG</t>
  </si>
  <si>
    <t>NHS North East Essex CCG</t>
  </si>
  <si>
    <t>NHS North East Lincolnshire CCG</t>
  </si>
  <si>
    <t>NHS North Hampshire CCG</t>
  </si>
  <si>
    <t>NHS North Kirklees CCG</t>
  </si>
  <si>
    <t>NHS North Lincolnshire CCG</t>
  </si>
  <si>
    <t>NHS North Manchester CCG</t>
  </si>
  <si>
    <t>NHS North Norfolk CCG</t>
  </si>
  <si>
    <t>NHS North Somerset CCG</t>
  </si>
  <si>
    <t>NHS North Staffordshire CCG</t>
  </si>
  <si>
    <t>NHS North Tyneside CCG</t>
  </si>
  <si>
    <t>NHS North West London Commissioning Support Unit</t>
  </si>
  <si>
    <t>NHS North West Surrey CCG</t>
  </si>
  <si>
    <t>NHS North, East, West Devon CCG</t>
  </si>
  <si>
    <t>NHS Northumberland CCG</t>
  </si>
  <si>
    <t>NHS Norwich CCG</t>
  </si>
  <si>
    <t>NHS Nottingham City CCG</t>
  </si>
  <si>
    <t>NHS Nottingham West CCG</t>
  </si>
  <si>
    <t>NHS Oldham CCG</t>
  </si>
  <si>
    <t>NHS Oxfordshire CCG</t>
  </si>
  <si>
    <t>NHS Portsmouth CCG</t>
  </si>
  <si>
    <t>NHS Redbridge CCG</t>
  </si>
  <si>
    <t>NHS Richmond CCG</t>
  </si>
  <si>
    <t>NHS Rotherham CCG</t>
  </si>
  <si>
    <t>NHS Rushcliffe CCG</t>
  </si>
  <si>
    <t>NHS Salford CCG</t>
  </si>
  <si>
    <t>NHS Sheffield CCG</t>
  </si>
  <si>
    <t>NHS Shropshire CCG</t>
  </si>
  <si>
    <t>NHS Slough CCG</t>
  </si>
  <si>
    <t>NHS Solihull CCG</t>
  </si>
  <si>
    <t>NHS Somerset CCG</t>
  </si>
  <si>
    <t>NHS South Cheshire CCG</t>
  </si>
  <si>
    <t>NHS South Commissioning Support Unit</t>
  </si>
  <si>
    <t>NHS South Eastern Hampshire CCG</t>
  </si>
  <si>
    <t>NHS South Gloucestershire CCG</t>
  </si>
  <si>
    <t>NHS South Kent Coast CCG</t>
  </si>
  <si>
    <t>NHS South Lincolnshire CCG</t>
  </si>
  <si>
    <t>NHS South London Commissioning Support Unit</t>
  </si>
  <si>
    <t>NHS South Manchester CCG</t>
  </si>
  <si>
    <t>NHS South Norfolk CCG</t>
  </si>
  <si>
    <t>NHS South Reading CCG</t>
  </si>
  <si>
    <t>NHS South Sefton CCG</t>
  </si>
  <si>
    <t>NHS South Tees CCG</t>
  </si>
  <si>
    <t>NHS South Tyneside CCG</t>
  </si>
  <si>
    <t>NHS South Warwickshire CCG</t>
  </si>
  <si>
    <t>NHS South West Lincolnshire CCG</t>
  </si>
  <si>
    <t>NHS South Worcestershire CCG</t>
  </si>
  <si>
    <t>NHS Southampton CCG</t>
  </si>
  <si>
    <t>NHS Southend CCG</t>
  </si>
  <si>
    <t>NHS Southern Derbyshire CCG</t>
  </si>
  <si>
    <t>NHS Southwark CCG</t>
  </si>
  <si>
    <t>NHS St Helens CCG</t>
  </si>
  <si>
    <t>NHS Staffordshire Commissioning Support Unit</t>
  </si>
  <si>
    <t>NHS Stockport CCG</t>
  </si>
  <si>
    <t>NHS Stoke On Trent CCG</t>
  </si>
  <si>
    <t>NHS Sunderland CCG</t>
  </si>
  <si>
    <t>NHS Surrey Downs CCG</t>
  </si>
  <si>
    <t>NHS Sutton CCG</t>
  </si>
  <si>
    <t>NHS Swale CCG</t>
  </si>
  <si>
    <t>NHS Swindon CCG</t>
  </si>
  <si>
    <t>NHS Thanet CCG</t>
  </si>
  <si>
    <t>NHS Thurrock CCG</t>
  </si>
  <si>
    <t>NHS Tower Hamlets CCG</t>
  </si>
  <si>
    <t>NHS Trafford CCG</t>
  </si>
  <si>
    <t>NHS Vale Royal CCG</t>
  </si>
  <si>
    <t>NHS Wakefield CCG</t>
  </si>
  <si>
    <t>NHS Walsall CCG</t>
  </si>
  <si>
    <t>NHS Waltham Forest CCG</t>
  </si>
  <si>
    <t>NHS Wandsworth CCG</t>
  </si>
  <si>
    <t>NHS Warrington CCG</t>
  </si>
  <si>
    <t>NHS Warwickshire North CCG</t>
  </si>
  <si>
    <t>NHS West Cheshire CCG</t>
  </si>
  <si>
    <t>NHS West Essex CCG</t>
  </si>
  <si>
    <t>NHS West Hampshire CCG</t>
  </si>
  <si>
    <t>NHS West Kent CCG</t>
  </si>
  <si>
    <t>NHS West Lancashire CCG</t>
  </si>
  <si>
    <t>NHS West Leicestershire CCG</t>
  </si>
  <si>
    <t>NHS West London (k&amp;c &amp; Qpp) CCG</t>
  </si>
  <si>
    <t>NHS West Norfolk CCG</t>
  </si>
  <si>
    <t>NHS West Suffolk CCG</t>
  </si>
  <si>
    <t>NHS West Yorkshire Commissioning Support Unit</t>
  </si>
  <si>
    <t>NHS Wigan Borough CCG</t>
  </si>
  <si>
    <t>NHS Wiltshire CCG</t>
  </si>
  <si>
    <t>NHS Wirral CCG</t>
  </si>
  <si>
    <t>NHS Wokingham CCG</t>
  </si>
  <si>
    <t>NHS Wolverhampton CCG</t>
  </si>
  <si>
    <t>NHS Wyre Forest CCG</t>
  </si>
  <si>
    <t>North Devon Clinical Commissioning Group</t>
  </si>
  <si>
    <t>North East Hampshire</t>
  </si>
  <si>
    <t>North Liverpool GP Commissioning Consortium</t>
  </si>
  <si>
    <t>Rochford And Rayleigh CCG</t>
  </si>
  <si>
    <t>Royal Free London NHS Foundation Trust</t>
  </si>
  <si>
    <t>Rugby CCG</t>
  </si>
  <si>
    <t>Sandwell Health Alliance</t>
  </si>
  <si>
    <t>Sarum NHS Alliance Clinical Commissioning Group</t>
  </si>
  <si>
    <t>Sentinel Clincal Commissioning Group</t>
  </si>
  <si>
    <t>South Central Ambulance Service NHS Foundation Trust</t>
  </si>
  <si>
    <t>South Devon Clinical Commissioning Group</t>
  </si>
  <si>
    <t>South Elmsall And Rycroft Consortium</t>
  </si>
  <si>
    <t>South Hams &amp; West Devon Commissioning Group</t>
  </si>
  <si>
    <t>South Holland</t>
  </si>
  <si>
    <t>Southend Central CCG</t>
  </si>
  <si>
    <t>Southend Estuary CCG</t>
  </si>
  <si>
    <t>Sutton and Merton CCG</t>
  </si>
  <si>
    <t>The Clatterbridge Cancer Centre NHS Foundation Trust</t>
  </si>
  <si>
    <t>The Dudley Group NHS Foundation Trust</t>
  </si>
  <si>
    <t>The Multi-Consortium Commissioning Group</t>
  </si>
  <si>
    <t>The Queen Elizabeth Hospital, King's Lynn, Nhs Foundation Trust</t>
  </si>
  <si>
    <t>The Red House Group</t>
  </si>
  <si>
    <t>The Royal Wolverhampton NHS Trust</t>
  </si>
  <si>
    <t>Thorpe Bay</t>
  </si>
  <si>
    <t>Torbay And Southern Devon Health And Care NHS Trust</t>
  </si>
  <si>
    <t>United League Commissioning</t>
  </si>
  <si>
    <t>Welland</t>
  </si>
  <si>
    <t>West Kent And Weald</t>
  </si>
  <si>
    <t>West Wiltshire, Yatton Keynall &amp; Devizes Clinical Commissioning Group</t>
  </si>
  <si>
    <t>Wirral GP Commissioning Consortium</t>
  </si>
  <si>
    <t>Wirral Health Commissioning Consortium</t>
  </si>
  <si>
    <t>Wirral NHS Alliance</t>
  </si>
  <si>
    <t>Wolverhampton Primary Care Consortium</t>
  </si>
  <si>
    <t>Cheshire And Merseyside Commissioning Support Unit</t>
  </si>
  <si>
    <t>Gloucestershire Care Services NHS Trust</t>
  </si>
  <si>
    <t>Kingston Hospital NHS Foundation Trust</t>
  </si>
  <si>
    <t>NHS Barking and Dagenham CCG</t>
  </si>
  <si>
    <t>NHS Basildon and Brentwood CCG</t>
  </si>
  <si>
    <t>NHS Bath and North East Somerset CCG</t>
  </si>
  <si>
    <t>NHS Birmingham, Black Country and Solihull Commissioning Support Unit</t>
  </si>
  <si>
    <t>NHS Bracknell and Ascot CCG</t>
  </si>
  <si>
    <t>NHS Brighton and Hove CCG</t>
  </si>
  <si>
    <t>NHS Cambridgeshire and Peterborough CCG</t>
  </si>
  <si>
    <t>NHS Canterbury and Coastal CCG</t>
  </si>
  <si>
    <t>NHS Castle Point and Rochford CCG</t>
  </si>
  <si>
    <t>NHS Central London (Westminster) CCG</t>
  </si>
  <si>
    <t>NHS Chorley and South Ribble CCG</t>
  </si>
  <si>
    <t>NHS City and Hackney CCG</t>
  </si>
  <si>
    <t>NHS Coventry and Rugby CCG</t>
  </si>
  <si>
    <t>NHS Dartford, Gravesham and Swanley CCG</t>
  </si>
  <si>
    <t>NHS Durham Dales, Easington and Sedgefield CCG</t>
  </si>
  <si>
    <t>NHS East and North Hertfordshire CCG</t>
  </si>
  <si>
    <t>NHS East Leicestershire and Rutland CCG</t>
  </si>
  <si>
    <t>NHS East Riding of Yorkshire CCG</t>
  </si>
  <si>
    <t>NHS Eastbourne, Hailsham and Seaford CCG</t>
  </si>
  <si>
    <t>NHS Fareham and Gosport CCG</t>
  </si>
  <si>
    <t>NHS Great Yarmouth and Waveney CCG</t>
  </si>
  <si>
    <t>NHS Guildford and Waverley CCG</t>
  </si>
  <si>
    <t>NHS Hambleton, Richmondshire and Whitby CCG</t>
  </si>
  <si>
    <t>NHS Hammersmith and Fulham CCG</t>
  </si>
  <si>
    <t>NHS Harrogate and Rural District CCG</t>
  </si>
  <si>
    <t>NHS Hartlepool and Stockton-On-Tees CCG</t>
  </si>
  <si>
    <t>NHS Hastings and Rother CCG</t>
  </si>
  <si>
    <t>NHS Heywood, Middleton and Rochdale CCG</t>
  </si>
  <si>
    <t>NHS Horsham and Mid Sussex CCG</t>
  </si>
  <si>
    <t>NHS Ipswich and East Suffolk CCG</t>
  </si>
  <si>
    <t>NHS Isle of Wight CCG</t>
  </si>
  <si>
    <t>NHS Kent and Medway Commissioning Support Unit</t>
  </si>
  <si>
    <t>NHS Leeds South and East CCG</t>
  </si>
  <si>
    <t>NHS Mansfield and Ashfield CCG</t>
  </si>
  <si>
    <t>NHS Newbury and District CCG</t>
  </si>
  <si>
    <t>NHS Newcastle North and East CCG</t>
  </si>
  <si>
    <t>NHS Norfolk and Waveney Commissioning Support Unit</t>
  </si>
  <si>
    <t>NHS North and East London Commissioning Support Unit</t>
  </si>
  <si>
    <t>NHS North East Hampshire and Farnham CCG</t>
  </si>
  <si>
    <t>NHS North of England Commissioning Support Unit</t>
  </si>
  <si>
    <t>NHS North Yorkshire and Humber Commissioning Support Unit</t>
  </si>
  <si>
    <t>NHS Nottingham North and East CCG</t>
  </si>
  <si>
    <t>NHS Redditch and Bromsgrove CCG</t>
  </si>
  <si>
    <t>NHS Sandwell and West Birmingham CCG</t>
  </si>
  <si>
    <t>NHS Scarborough and Ryedale CCG</t>
  </si>
  <si>
    <t>NHS South Devon and Torbay CCG</t>
  </si>
  <si>
    <t>NHS South East Staffs and Seisdon Peninsular CCG</t>
  </si>
  <si>
    <t>NHS South Yorkshire and Bassetlaw Commissioning Support Unit</t>
  </si>
  <si>
    <t>NHS Southport and Formby CCG</t>
  </si>
  <si>
    <t>NHS Stafford and Surrounds CCG</t>
  </si>
  <si>
    <t>NHS Surrey and Sussex Commissioning Support Unit</t>
  </si>
  <si>
    <t>NHS Surrey Heath CCG</t>
  </si>
  <si>
    <t>NHS Tameside and Glossop CCG</t>
  </si>
  <si>
    <t>NHS Telford and Wrekin CCG</t>
  </si>
  <si>
    <t>NHS Vale of York CCG</t>
  </si>
  <si>
    <t>NHS Windsor, Ascot and Maidenhead CCG</t>
  </si>
  <si>
    <t>Norfolk and Norwich University Hospitals NHS Foundation Trust</t>
  </si>
  <si>
    <t>Norfolk and Suffolk NHS Foundation Trust</t>
  </si>
  <si>
    <t>Norfolk Community Health and Care NHS Trust</t>
  </si>
  <si>
    <t>North and East Wiltshire Clinical Commissioning Group</t>
  </si>
  <si>
    <t>North Tees and Hartlepool NHS Foundation Trust</t>
  </si>
  <si>
    <t>Northern Lincolnshire and Goole Hospitals NHS Foundation Trust</t>
  </si>
  <si>
    <t>Northumberland, Tyne and Wear NHS Foundation Trust</t>
  </si>
  <si>
    <t>West Midlands Ambulance Service NHS Foundation Trust</t>
  </si>
  <si>
    <r>
      <t>Enter below activity achieved through the Trusts core capacity</t>
    </r>
    <r>
      <rPr>
        <sz val="10"/>
        <color indexed="8"/>
        <rFont val="Arial"/>
        <family val="2"/>
      </rPr>
      <t xml:space="preserve"> over the past 52 weeks.  Exclude weekend activity where it is only normally used for waiting list initiatives and other additional weekday ad hoc clinics if these are significant.</t>
    </r>
  </si>
  <si>
    <r>
      <t xml:space="preserve">Enter below any activity achieved through additional capacity </t>
    </r>
    <r>
      <rPr>
        <sz val="10"/>
        <color indexed="8"/>
        <rFont val="Arial"/>
        <family val="2"/>
      </rPr>
      <t>available over the past 52 weeks; principally weekend working, but include any other where this represents a significant amount (e.g. an ad hoc clinic per week for a month).</t>
    </r>
  </si>
  <si>
    <t>This sheet can be used to assess the impact of additional capacity on reducing waiting list size to sustainable levels.  The sheet assumes average demand and will provide indicative timescales for improvement that can be monitored against using the final section.</t>
  </si>
  <si>
    <r>
      <t xml:space="preserve">• an understanding of how many of your patients are referred using the </t>
    </r>
    <r>
      <rPr>
        <b/>
        <sz val="10"/>
        <color indexed="8"/>
        <rFont val="Arial"/>
        <family val="2"/>
      </rPr>
      <t>E-Referral</t>
    </r>
    <r>
      <rPr>
        <sz val="10"/>
        <color indexed="8"/>
        <rFont val="Arial"/>
        <family val="2"/>
      </rPr>
      <t xml:space="preserve"> system</t>
    </r>
  </si>
  <si>
    <t>By E-Referral</t>
  </si>
  <si>
    <t>E-Referral Appointments</t>
  </si>
  <si>
    <t>Routine E-Referral</t>
  </si>
  <si>
    <t>* this figure +/- 5% is used to estimate a sustainable range in the summary sheet</t>
  </si>
  <si>
    <t xml:space="preserve">Enter here how many referrals your Trust received each week over the past (or most recent available) 52 weeks.
If you are able to split referrals into those received via the E-Referral service and those received by other means then use the two respective columns provided; if not then please enter all referrals in the 'By Paper/Other' column.
If possible, please remove all patients that do not result in a booking from your referral data. These could include (but not limited to):
    - Patients who request to be removed from waiting list
    - Patients who die before booking
    - Duplicate referrals
    - Patients who have moved to another area
    - Patients who are sent straight to test
</t>
  </si>
  <si>
    <t>Assumptions and important information about the data used in this version of the model</t>
  </si>
  <si>
    <t xml:space="preserve">Enter in the table below details of the source of all data used, the date range, and any other important parameters used that are not covered elsewhere in the model. This is to ensure that the links between the source data extracted and the outputs of the model are understood by all who may use the model. </t>
  </si>
  <si>
    <t>Description</t>
  </si>
  <si>
    <t>Notes and assumptions</t>
  </si>
  <si>
    <r>
      <t xml:space="preserve">The model also helps you to understand the ideal waiting list size and what </t>
    </r>
    <r>
      <rPr>
        <b/>
        <sz val="10"/>
        <color indexed="8"/>
        <rFont val="Arial"/>
        <family val="2"/>
      </rPr>
      <t>backlog</t>
    </r>
    <r>
      <rPr>
        <sz val="10"/>
        <color indexed="8"/>
        <rFont val="Arial"/>
        <family val="2"/>
      </rPr>
      <t xml:space="preserve"> reduction is needed to be performed to achieve this.</t>
    </r>
  </si>
  <si>
    <t>Backlog Clearance</t>
  </si>
  <si>
    <t>Demand</t>
  </si>
  <si>
    <t>testclinic</t>
  </si>
  <si>
    <t>test clinic 1</t>
  </si>
  <si>
    <t>Monday</t>
  </si>
  <si>
    <t>testclinicadhoc</t>
  </si>
  <si>
    <t>testclinicadhoc1</t>
  </si>
  <si>
    <t>The IST IMAS First Outpatients Demand &amp; Capacity Model</t>
  </si>
  <si>
    <t>Go to 'Historic Activity'</t>
  </si>
  <si>
    <t>Go back to top</t>
  </si>
  <si>
    <r>
      <t xml:space="preserve">This model uses </t>
    </r>
    <r>
      <rPr>
        <b/>
        <sz val="10"/>
        <color indexed="8"/>
        <rFont val="Arial"/>
        <family val="2"/>
      </rPr>
      <t>mean</t>
    </r>
    <r>
      <rPr>
        <sz val="10"/>
        <color indexed="8"/>
        <rFont val="Arial"/>
        <family val="2"/>
      </rPr>
      <t xml:space="preserve"> referrals per week as a proxy for your demand to produce estimates of sustainable waiting list size.</t>
    </r>
  </si>
  <si>
    <r>
      <t xml:space="preserve">The estimated sustainable levels given in this model are based on the </t>
    </r>
    <r>
      <rPr>
        <b/>
        <sz val="10"/>
        <color indexed="8"/>
        <rFont val="Arial"/>
        <family val="2"/>
      </rPr>
      <t>65</t>
    </r>
    <r>
      <rPr>
        <b/>
        <vertAlign val="superscript"/>
        <sz val="10"/>
        <color indexed="8"/>
        <rFont val="Arial"/>
        <family val="2"/>
      </rPr>
      <t>th</t>
    </r>
    <r>
      <rPr>
        <b/>
        <sz val="10"/>
        <color indexed="8"/>
        <rFont val="Arial"/>
        <family val="2"/>
      </rPr>
      <t xml:space="preserve"> to 85</t>
    </r>
    <r>
      <rPr>
        <b/>
        <vertAlign val="superscript"/>
        <sz val="10"/>
        <color indexed="8"/>
        <rFont val="Arial"/>
        <family val="2"/>
      </rPr>
      <t>th</t>
    </r>
    <r>
      <rPr>
        <b/>
        <sz val="10"/>
        <color indexed="8"/>
        <rFont val="Arial"/>
        <family val="2"/>
      </rPr>
      <t xml:space="preserve"> percentile</t>
    </r>
    <r>
      <rPr>
        <sz val="10"/>
        <color indexed="8"/>
        <rFont val="Arial"/>
        <family val="2"/>
      </rPr>
      <t xml:space="preserve"> level of your referrals.</t>
    </r>
  </si>
  <si>
    <r>
      <t>The sliders below are for you to input some key data items about your Trust. You will need to identify the earliest week when a routine patient will realisitically be seen, and also to set maximum waits for both routine and urgent patients (</t>
    </r>
    <r>
      <rPr>
        <b/>
        <sz val="10"/>
        <rFont val="Arial"/>
        <family val="2"/>
      </rPr>
      <t>not</t>
    </r>
    <r>
      <rPr>
        <sz val="10"/>
        <rFont val="Arial"/>
        <family val="2"/>
      </rPr>
      <t xml:space="preserve"> your current wait).</t>
    </r>
  </si>
  <si>
    <t>Enter your capacity in the yellow rows below.  You can, optionally, enter a second scenario.  Then enter your actual data each week at the bottom in order to compare your plan(s) with your actual referrals and the capacity you are able to put on.</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</si>
</sst>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64" formatCode="0.0%"/>
    <numFmt numFmtId="165" formatCode="0.0"/>
    <numFmt numFmtId="166" formatCode="#,##0.0"/>
    <numFmt numFmtId="167" formatCode="0.00000"/>
    <numFmt numFmtId="168" formatCode="[$-F800]dddd\,\ mmmm\ dd\,\ yyyy"/>
    <numFmt numFmtId="169" formatCode="dd/mm/yy;@"/>
  </numFmts>
  <fonts count="85" x14ac:knownFonts="1">
    <font>
      <sz val="11"/>
      <color theme="1"/>
      <name val="Calibri"/>
      <family val="2"/>
      <scheme val="minor"/>
    </font>
    <font>
      <sz val="11"/>
      <color indexed="8"/>
      <name val="Calibri"/>
      <family val="2"/>
    </font>
    <font>
      <sz val="10"/>
      <name val="Arial"/>
      <family val="2"/>
    </font>
    <font>
      <u/>
      <sz val="10"/>
      <color indexed="12"/>
      <name val="Arial"/>
      <family val="2"/>
    </font>
    <font>
      <sz val="10"/>
      <name val="Garamond"/>
      <family val="1"/>
    </font>
    <font>
      <b/>
      <sz val="8"/>
      <color indexed="9"/>
      <name val="Verdana"/>
      <family val="2"/>
    </font>
    <font>
      <sz val="9"/>
      <name val="Arial"/>
      <family val="2"/>
    </font>
    <font>
      <b/>
      <sz val="9"/>
      <name val="Arial"/>
      <family val="2"/>
    </font>
    <font>
      <sz val="10"/>
      <color indexed="8"/>
      <name val="Arial"/>
      <family val="2"/>
    </font>
    <font>
      <b/>
      <sz val="10"/>
      <color indexed="8"/>
      <name val="Arial"/>
      <family val="2"/>
    </font>
    <font>
      <vertAlign val="superscript"/>
      <sz val="9"/>
      <name val="Arial"/>
      <family val="2"/>
    </font>
    <font>
      <vertAlign val="superscript"/>
      <sz val="10"/>
      <color indexed="8"/>
      <name val="Arial"/>
      <family val="2"/>
    </font>
    <font>
      <b/>
      <vertAlign val="superscript"/>
      <sz val="10"/>
      <color indexed="8"/>
      <name val="Arial"/>
      <family val="2"/>
    </font>
    <font>
      <b/>
      <sz val="8"/>
      <name val="Verdana"/>
      <family val="2"/>
    </font>
    <font>
      <b/>
      <sz val="10"/>
      <name val="Arial"/>
      <family val="2"/>
    </font>
    <font>
      <sz val="11"/>
      <color indexed="9"/>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1"/>
      <color indexed="8"/>
      <name val="Calibri"/>
      <family val="2"/>
    </font>
    <font>
      <sz val="11"/>
      <color indexed="10"/>
      <name val="Calibri"/>
      <family val="2"/>
    </font>
    <font>
      <sz val="11"/>
      <color indexed="8"/>
      <name val="Calibri"/>
      <family val="2"/>
    </font>
    <font>
      <sz val="11"/>
      <color indexed="9"/>
      <name val="Calibri"/>
      <family val="2"/>
    </font>
    <font>
      <sz val="10"/>
      <color indexed="8"/>
      <name val="Arial"/>
      <family val="2"/>
    </font>
    <font>
      <sz val="11"/>
      <color indexed="10"/>
      <name val="Calibri"/>
      <family val="2"/>
    </font>
    <font>
      <b/>
      <sz val="8"/>
      <color indexed="9"/>
      <name val="Verdana"/>
      <family val="2"/>
    </font>
    <font>
      <sz val="10"/>
      <color indexed="30"/>
      <name val="Arial"/>
      <family val="2"/>
    </font>
    <font>
      <sz val="11"/>
      <name val="Calibri"/>
      <family val="2"/>
    </font>
    <font>
      <u/>
      <sz val="10"/>
      <color indexed="30"/>
      <name val="Arial"/>
      <family val="2"/>
    </font>
    <font>
      <sz val="9"/>
      <color indexed="30"/>
      <name val="Arial"/>
      <family val="2"/>
    </font>
    <font>
      <sz val="9"/>
      <color indexed="9"/>
      <name val="Arial"/>
      <family val="2"/>
    </font>
    <font>
      <b/>
      <sz val="9"/>
      <color indexed="30"/>
      <name val="Verdana"/>
      <family val="2"/>
    </font>
    <font>
      <sz val="10"/>
      <color indexed="8"/>
      <name val="Arial"/>
      <family val="2"/>
    </font>
    <font>
      <b/>
      <sz val="14"/>
      <color indexed="30"/>
      <name val="Arial"/>
      <family val="2"/>
    </font>
    <font>
      <b/>
      <sz val="9"/>
      <color indexed="9"/>
      <name val="Arial"/>
      <family val="2"/>
    </font>
    <font>
      <b/>
      <sz val="10"/>
      <color indexed="8"/>
      <name val="Arial"/>
      <family val="2"/>
    </font>
    <font>
      <b/>
      <sz val="9"/>
      <color indexed="9"/>
      <name val="Verdana"/>
      <family val="2"/>
    </font>
    <font>
      <sz val="11"/>
      <color indexed="20"/>
      <name val="Calibri"/>
      <family val="2"/>
    </font>
    <font>
      <b/>
      <sz val="15"/>
      <color indexed="56"/>
      <name val="Calibri"/>
      <family val="2"/>
    </font>
    <font>
      <b/>
      <sz val="13"/>
      <color indexed="56"/>
      <name val="Calibri"/>
      <family val="2"/>
    </font>
    <font>
      <b/>
      <sz val="11"/>
      <color indexed="56"/>
      <name val="Calibri"/>
      <family val="2"/>
    </font>
    <font>
      <b/>
      <sz val="18"/>
      <color indexed="56"/>
      <name val="Cambria"/>
      <family val="2"/>
    </font>
    <font>
      <b/>
      <sz val="10"/>
      <color indexed="10"/>
      <name val="Arial"/>
      <family val="2"/>
    </font>
    <font>
      <b/>
      <sz val="11"/>
      <color indexed="8"/>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u/>
      <sz val="11"/>
      <color theme="10"/>
      <name val="Calibri"/>
      <family val="2"/>
    </font>
    <font>
      <sz val="11"/>
      <color rgb="FF3F3F76"/>
      <name val="Calibri"/>
      <family val="2"/>
      <scheme val="minor"/>
    </font>
    <font>
      <sz val="11"/>
      <color rgb="FFFA7D00"/>
      <name val="Calibri"/>
      <family val="2"/>
      <scheme val="minor"/>
    </font>
    <font>
      <sz val="11"/>
      <color rgb="FF9C6500"/>
      <name val="Calibri"/>
      <family val="2"/>
      <scheme val="minor"/>
    </font>
    <font>
      <sz val="10"/>
      <color theme="1"/>
      <name val="Arial"/>
      <family val="2"/>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sz val="11"/>
      <name val="Calibri"/>
      <family val="2"/>
      <scheme val="minor"/>
    </font>
    <font>
      <b/>
      <sz val="12"/>
      <color rgb="FF000000"/>
      <name val="Arial"/>
      <family val="2"/>
    </font>
    <font>
      <b/>
      <sz val="10"/>
      <color theme="1"/>
      <name val="Arial"/>
      <family val="2"/>
    </font>
    <font>
      <sz val="10"/>
      <color theme="0"/>
      <name val="Arial"/>
      <family val="2"/>
    </font>
    <font>
      <sz val="8"/>
      <color rgb="FF000000"/>
      <name val="Tahoma"/>
      <family val="2"/>
    </font>
    <font>
      <b/>
      <sz val="10"/>
      <color rgb="FFFF0000"/>
      <name val="Verdana"/>
      <family val="2"/>
    </font>
    <font>
      <sz val="11"/>
      <color rgb="FFFF0000"/>
      <name val="Calibri"/>
      <family val="2"/>
    </font>
    <font>
      <sz val="9"/>
      <color theme="1"/>
      <name val="Arial"/>
      <family val="2"/>
    </font>
    <font>
      <b/>
      <sz val="10"/>
      <color rgb="FF0091C9"/>
      <name val="Verdana"/>
      <family val="2"/>
    </font>
    <font>
      <b/>
      <sz val="8"/>
      <color theme="0"/>
      <name val="Verdana"/>
      <family val="2"/>
    </font>
    <font>
      <sz val="10"/>
      <color theme="0"/>
      <name val="Garamond"/>
      <family val="1"/>
    </font>
    <font>
      <sz val="11"/>
      <color theme="0"/>
      <name val="Calibri"/>
      <family val="2"/>
    </font>
    <font>
      <sz val="10"/>
      <color rgb="FF0091C9"/>
      <name val="Arial"/>
      <family val="2"/>
    </font>
    <font>
      <b/>
      <sz val="10"/>
      <color rgb="FF0091C9"/>
      <name val="Arial"/>
      <family val="2"/>
    </font>
    <font>
      <b/>
      <sz val="14"/>
      <color rgb="FF0091C9"/>
      <name val="Arial"/>
      <family val="2"/>
    </font>
    <font>
      <i/>
      <sz val="10"/>
      <color indexed="8"/>
      <name val="Arial"/>
      <family val="2"/>
    </font>
    <font>
      <u/>
      <sz val="8"/>
      <color theme="10"/>
      <name val="Calibri"/>
      <family val="2"/>
    </font>
  </fonts>
  <fills count="58">
    <fill>
      <patternFill patternType="none"/>
    </fill>
    <fill>
      <patternFill patternType="gray125"/>
    </fill>
    <fill>
      <patternFill patternType="solid">
        <fgColor indexed="31"/>
      </patternFill>
    </fill>
    <fill>
      <patternFill patternType="solid">
        <fgColor indexed="47"/>
      </patternFill>
    </fill>
    <fill>
      <patternFill patternType="solid">
        <fgColor indexed="45"/>
      </patternFill>
    </fill>
    <fill>
      <patternFill patternType="solid">
        <fgColor indexed="26"/>
      </patternFill>
    </fill>
    <fill>
      <patternFill patternType="solid">
        <fgColor indexed="42"/>
      </patternFill>
    </fill>
    <fill>
      <patternFill patternType="solid">
        <fgColor indexed="46"/>
      </patternFill>
    </fill>
    <fill>
      <patternFill patternType="solid">
        <fgColor indexed="27"/>
      </patternFill>
    </fill>
    <fill>
      <patternFill patternType="solid">
        <fgColor indexed="22"/>
      </patternFill>
    </fill>
    <fill>
      <patternFill patternType="solid">
        <fgColor indexed="44"/>
      </patternFill>
    </fill>
    <fill>
      <patternFill patternType="solid">
        <fgColor indexed="29"/>
      </patternFill>
    </fill>
    <fill>
      <patternFill patternType="solid">
        <fgColor indexed="43"/>
      </patternFill>
    </fill>
    <fill>
      <patternFill patternType="solid">
        <fgColor indexed="11"/>
      </patternFill>
    </fill>
    <fill>
      <patternFill patternType="solid">
        <fgColor indexed="51"/>
      </patternFill>
    </fill>
    <fill>
      <patternFill patternType="solid">
        <fgColor indexed="30"/>
      </patternFill>
    </fill>
    <fill>
      <patternFill patternType="solid">
        <fgColor indexed="57"/>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3"/>
      </patternFill>
    </fill>
    <fill>
      <patternFill patternType="solid">
        <fgColor indexed="55"/>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7E214"/>
        <bgColor indexed="64"/>
      </patternFill>
    </fill>
    <fill>
      <patternFill patternType="solid">
        <fgColor rgb="FF0091C9"/>
        <bgColor indexed="64"/>
      </patternFill>
    </fill>
  </fills>
  <borders count="88">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30"/>
      </left>
      <right/>
      <top/>
      <bottom/>
      <diagonal/>
    </border>
    <border>
      <left/>
      <right style="thin">
        <color indexed="30"/>
      </right>
      <top/>
      <bottom/>
      <diagonal/>
    </border>
    <border>
      <left style="medium">
        <color indexed="30"/>
      </left>
      <right/>
      <top/>
      <bottom/>
      <diagonal/>
    </border>
    <border>
      <left/>
      <right style="medium">
        <color indexed="30"/>
      </right>
      <top/>
      <bottom/>
      <diagonal/>
    </border>
    <border>
      <left style="thin">
        <color indexed="30"/>
      </left>
      <right/>
      <top style="thin">
        <color indexed="30"/>
      </top>
      <bottom/>
      <diagonal/>
    </border>
    <border>
      <left/>
      <right/>
      <top style="thin">
        <color indexed="30"/>
      </top>
      <bottom/>
      <diagonal/>
    </border>
    <border>
      <left/>
      <right style="thin">
        <color indexed="30"/>
      </right>
      <top style="thin">
        <color indexed="30"/>
      </top>
      <bottom/>
      <diagonal/>
    </border>
    <border>
      <left style="thin">
        <color indexed="30"/>
      </left>
      <right/>
      <top style="thin">
        <color indexed="30"/>
      </top>
      <bottom style="thin">
        <color indexed="30"/>
      </bottom>
      <diagonal/>
    </border>
    <border>
      <left/>
      <right/>
      <top style="thin">
        <color indexed="30"/>
      </top>
      <bottom style="thin">
        <color indexed="30"/>
      </bottom>
      <diagonal/>
    </border>
    <border>
      <left/>
      <right style="thin">
        <color indexed="30"/>
      </right>
      <top style="thin">
        <color indexed="30"/>
      </top>
      <bottom style="thin">
        <color indexed="30"/>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thin">
        <color rgb="FF0091C9"/>
      </left>
      <right/>
      <top style="thin">
        <color rgb="FF0091C9"/>
      </top>
      <bottom/>
      <diagonal/>
    </border>
    <border>
      <left/>
      <right/>
      <top style="thin">
        <color rgb="FF0091C9"/>
      </top>
      <bottom/>
      <diagonal/>
    </border>
    <border>
      <left/>
      <right style="thin">
        <color rgb="FF0091C9"/>
      </right>
      <top style="thin">
        <color rgb="FF0091C9"/>
      </top>
      <bottom/>
      <diagonal/>
    </border>
    <border>
      <left style="thin">
        <color rgb="FF0091C9"/>
      </left>
      <right/>
      <top/>
      <bottom style="thin">
        <color rgb="FF0091C9"/>
      </bottom>
      <diagonal/>
    </border>
    <border>
      <left/>
      <right/>
      <top/>
      <bottom style="thin">
        <color rgb="FF0091C9"/>
      </bottom>
      <diagonal/>
    </border>
    <border>
      <left/>
      <right style="thin">
        <color rgb="FF0091C9"/>
      </right>
      <top/>
      <bottom style="thin">
        <color rgb="FF0091C9"/>
      </bottom>
      <diagonal/>
    </border>
    <border>
      <left style="thin">
        <color rgb="FF0091C9"/>
      </left>
      <right/>
      <top/>
      <bottom/>
      <diagonal/>
    </border>
    <border>
      <left/>
      <right style="thin">
        <color rgb="FF0091C9"/>
      </right>
      <top/>
      <bottom/>
      <diagonal/>
    </border>
    <border>
      <left style="thin">
        <color rgb="FF0091C9"/>
      </left>
      <right style="thin">
        <color rgb="FF0091C9"/>
      </right>
      <top style="thin">
        <color rgb="FF0091C9"/>
      </top>
      <bottom style="thin">
        <color rgb="FF0091C9"/>
      </bottom>
      <diagonal/>
    </border>
    <border>
      <left style="medium">
        <color rgb="FF0091C9"/>
      </left>
      <right style="medium">
        <color rgb="FF0091C9"/>
      </right>
      <top style="medium">
        <color rgb="FF0091C9"/>
      </top>
      <bottom style="medium">
        <color rgb="FF0091C9"/>
      </bottom>
      <diagonal/>
    </border>
    <border>
      <left style="medium">
        <color rgb="FF0091C9"/>
      </left>
      <right/>
      <top style="medium">
        <color rgb="FF0091C9"/>
      </top>
      <bottom/>
      <diagonal/>
    </border>
    <border>
      <left/>
      <right/>
      <top style="medium">
        <color rgb="FF0091C9"/>
      </top>
      <bottom/>
      <diagonal/>
    </border>
    <border>
      <left/>
      <right style="medium">
        <color rgb="FF0091C9"/>
      </right>
      <top style="medium">
        <color rgb="FF0091C9"/>
      </top>
      <bottom/>
      <diagonal/>
    </border>
    <border>
      <left style="medium">
        <color rgb="FF0091C9"/>
      </left>
      <right/>
      <top/>
      <bottom/>
      <diagonal/>
    </border>
    <border>
      <left/>
      <right style="medium">
        <color rgb="FF0091C9"/>
      </right>
      <top/>
      <bottom/>
      <diagonal/>
    </border>
    <border>
      <left style="medium">
        <color rgb="FF0091C9"/>
      </left>
      <right/>
      <top/>
      <bottom style="medium">
        <color rgb="FF0091C9"/>
      </bottom>
      <diagonal/>
    </border>
    <border>
      <left/>
      <right/>
      <top/>
      <bottom style="medium">
        <color rgb="FF0091C9"/>
      </bottom>
      <diagonal/>
    </border>
    <border>
      <left/>
      <right style="medium">
        <color rgb="FF0091C9"/>
      </right>
      <top/>
      <bottom style="medium">
        <color rgb="FF0091C9"/>
      </bottom>
      <diagonal/>
    </border>
    <border>
      <left style="medium">
        <color rgb="FF0091C9"/>
      </left>
      <right/>
      <top style="medium">
        <color rgb="FF0091C9"/>
      </top>
      <bottom style="medium">
        <color rgb="FF0091C9"/>
      </bottom>
      <diagonal/>
    </border>
    <border>
      <left/>
      <right/>
      <top style="medium">
        <color rgb="FF0091C9"/>
      </top>
      <bottom style="medium">
        <color rgb="FF0091C9"/>
      </bottom>
      <diagonal/>
    </border>
    <border>
      <left/>
      <right style="medium">
        <color rgb="FF0091C9"/>
      </right>
      <top style="medium">
        <color rgb="FF0091C9"/>
      </top>
      <bottom style="medium">
        <color rgb="FF0091C9"/>
      </bottom>
      <diagonal/>
    </border>
    <border>
      <left style="medium">
        <color rgb="FF0091C9"/>
      </left>
      <right style="thin">
        <color rgb="FF0091C9"/>
      </right>
      <top style="medium">
        <color rgb="FF0091C9"/>
      </top>
      <bottom style="hair">
        <color indexed="30"/>
      </bottom>
      <diagonal/>
    </border>
    <border>
      <left style="thin">
        <color rgb="FF0091C9"/>
      </left>
      <right style="thin">
        <color rgb="FF0091C9"/>
      </right>
      <top style="medium">
        <color rgb="FF0091C9"/>
      </top>
      <bottom style="hair">
        <color indexed="30"/>
      </bottom>
      <diagonal/>
    </border>
    <border>
      <left style="thin">
        <color rgb="FF0091C9"/>
      </left>
      <right style="medium">
        <color rgb="FF0091C9"/>
      </right>
      <top style="medium">
        <color rgb="FF0091C9"/>
      </top>
      <bottom style="hair">
        <color indexed="30"/>
      </bottom>
      <diagonal/>
    </border>
    <border>
      <left style="medium">
        <color rgb="FF0091C9"/>
      </left>
      <right style="thin">
        <color rgb="FF0091C9"/>
      </right>
      <top style="hair">
        <color indexed="30"/>
      </top>
      <bottom style="hair">
        <color indexed="30"/>
      </bottom>
      <diagonal/>
    </border>
    <border>
      <left style="thin">
        <color rgb="FF0091C9"/>
      </left>
      <right style="thin">
        <color rgb="FF0091C9"/>
      </right>
      <top/>
      <bottom style="hair">
        <color indexed="30"/>
      </bottom>
      <diagonal/>
    </border>
    <border>
      <left style="thin">
        <color rgb="FF0091C9"/>
      </left>
      <right style="thin">
        <color rgb="FF0091C9"/>
      </right>
      <top style="hair">
        <color indexed="30"/>
      </top>
      <bottom style="hair">
        <color indexed="30"/>
      </bottom>
      <diagonal/>
    </border>
    <border>
      <left style="thin">
        <color rgb="FF0091C9"/>
      </left>
      <right style="medium">
        <color rgb="FF0091C9"/>
      </right>
      <top style="hair">
        <color indexed="30"/>
      </top>
      <bottom style="hair">
        <color indexed="30"/>
      </bottom>
      <diagonal/>
    </border>
    <border>
      <left style="thin">
        <color rgb="FF0091C9"/>
      </left>
      <right style="thin">
        <color rgb="FF0091C9"/>
      </right>
      <top/>
      <bottom/>
      <diagonal/>
    </border>
    <border>
      <left style="medium">
        <color rgb="FF0091C9"/>
      </left>
      <right style="thin">
        <color rgb="FF0091C9"/>
      </right>
      <top style="hair">
        <color indexed="30"/>
      </top>
      <bottom style="medium">
        <color rgb="FF0091C9"/>
      </bottom>
      <diagonal/>
    </border>
    <border>
      <left style="thin">
        <color rgb="FF0091C9"/>
      </left>
      <right style="thin">
        <color rgb="FF0091C9"/>
      </right>
      <top style="hair">
        <color indexed="30"/>
      </top>
      <bottom style="medium">
        <color rgb="FF0091C9"/>
      </bottom>
      <diagonal/>
    </border>
    <border>
      <left style="thin">
        <color rgb="FF0091C9"/>
      </left>
      <right style="medium">
        <color rgb="FF0091C9"/>
      </right>
      <top style="hair">
        <color indexed="30"/>
      </top>
      <bottom style="medium">
        <color rgb="FF0091C9"/>
      </bottom>
      <diagonal/>
    </border>
    <border>
      <left style="thick">
        <color rgb="FF0091C9"/>
      </left>
      <right/>
      <top style="thick">
        <color rgb="FF0091C9"/>
      </top>
      <bottom style="thick">
        <color rgb="FF0091C9"/>
      </bottom>
      <diagonal/>
    </border>
    <border>
      <left/>
      <right/>
      <top style="thick">
        <color rgb="FF0091C9"/>
      </top>
      <bottom style="thick">
        <color rgb="FF0091C9"/>
      </bottom>
      <diagonal/>
    </border>
    <border>
      <left/>
      <right style="thick">
        <color rgb="FF0091C9"/>
      </right>
      <top style="thick">
        <color rgb="FF0091C9"/>
      </top>
      <bottom style="thick">
        <color rgb="FF0091C9"/>
      </bottom>
      <diagonal/>
    </border>
    <border>
      <left style="medium">
        <color rgb="FF0091C9"/>
      </left>
      <right style="thin">
        <color rgb="FF0091C9"/>
      </right>
      <top/>
      <bottom/>
      <diagonal/>
    </border>
    <border>
      <left style="thin">
        <color rgb="FF0091C9"/>
      </left>
      <right style="medium">
        <color rgb="FF0091C9"/>
      </right>
      <top/>
      <bottom style="medium">
        <color rgb="FF0091C9"/>
      </bottom>
      <diagonal/>
    </border>
    <border>
      <left style="thin">
        <color rgb="FF0091C9"/>
      </left>
      <right style="medium">
        <color rgb="FF0091C9"/>
      </right>
      <top style="medium">
        <color rgb="FF0091C9"/>
      </top>
      <bottom/>
      <diagonal/>
    </border>
    <border>
      <left style="thin">
        <color rgb="FF0091C9"/>
      </left>
      <right/>
      <top style="thin">
        <color rgb="FF0091C9"/>
      </top>
      <bottom style="thin">
        <color rgb="FF0091C9"/>
      </bottom>
      <diagonal/>
    </border>
    <border>
      <left/>
      <right/>
      <top style="thin">
        <color rgb="FF0091C9"/>
      </top>
      <bottom style="thin">
        <color rgb="FF0091C9"/>
      </bottom>
      <diagonal/>
    </border>
    <border>
      <left/>
      <right style="thin">
        <color rgb="FF0091C9"/>
      </right>
      <top style="thin">
        <color rgb="FF0091C9"/>
      </top>
      <bottom style="thin">
        <color rgb="FF0091C9"/>
      </bottom>
      <diagonal/>
    </border>
    <border>
      <left style="thin">
        <color rgb="FF0091C9"/>
      </left>
      <right style="thin">
        <color rgb="FF0091C9"/>
      </right>
      <top style="thin">
        <color rgb="FF0091C9"/>
      </top>
      <bottom style="hair">
        <color indexed="30"/>
      </bottom>
      <diagonal/>
    </border>
    <border>
      <left style="thin">
        <color rgb="FF0091C9"/>
      </left>
      <right style="thin">
        <color rgb="FF0091C9"/>
      </right>
      <top style="thin">
        <color rgb="FF0091C9"/>
      </top>
      <bottom/>
      <diagonal/>
    </border>
    <border>
      <left style="thin">
        <color rgb="FF0091C9"/>
      </left>
      <right style="thin">
        <color rgb="FF0091C9"/>
      </right>
      <top style="hair">
        <color indexed="30"/>
      </top>
      <bottom/>
      <diagonal/>
    </border>
    <border>
      <left style="thin">
        <color rgb="FF0091C9"/>
      </left>
      <right style="thin">
        <color rgb="FF0091C9"/>
      </right>
      <top style="hair">
        <color indexed="30"/>
      </top>
      <bottom style="thin">
        <color rgb="FF0091C9"/>
      </bottom>
      <diagonal/>
    </border>
    <border>
      <left style="thin">
        <color rgb="FF0091C9"/>
      </left>
      <right style="thin">
        <color rgb="FF0091C9"/>
      </right>
      <top style="thin">
        <color rgb="FF0091C9"/>
      </top>
      <bottom style="thin">
        <color indexed="30"/>
      </bottom>
      <diagonal/>
    </border>
    <border>
      <left style="thin">
        <color rgb="FF0091C9"/>
      </left>
      <right style="thin">
        <color rgb="FF0091C9"/>
      </right>
      <top style="thin">
        <color indexed="30"/>
      </top>
      <bottom style="hair">
        <color indexed="30"/>
      </bottom>
      <diagonal/>
    </border>
    <border>
      <left style="medium">
        <color rgb="FF0091C9"/>
      </left>
      <right style="medium">
        <color rgb="FF0091C9"/>
      </right>
      <top style="medium">
        <color rgb="FF0091C9"/>
      </top>
      <bottom/>
      <diagonal/>
    </border>
    <border>
      <left style="medium">
        <color rgb="FF0091C9"/>
      </left>
      <right style="medium">
        <color rgb="FF0091C9"/>
      </right>
      <top style="hair">
        <color indexed="30"/>
      </top>
      <bottom style="hair">
        <color indexed="30"/>
      </bottom>
      <diagonal/>
    </border>
    <border>
      <left style="medium">
        <color rgb="FF0091C9"/>
      </left>
      <right style="medium">
        <color rgb="FF0091C9"/>
      </right>
      <top style="hair">
        <color indexed="30"/>
      </top>
      <bottom style="medium">
        <color rgb="FF0091C9"/>
      </bottom>
      <diagonal/>
    </border>
    <border>
      <left style="medium">
        <color rgb="FF0091C9"/>
      </left>
      <right style="thin">
        <color rgb="FF0091C9"/>
      </right>
      <top style="medium">
        <color rgb="FF0091C9"/>
      </top>
      <bottom/>
      <diagonal/>
    </border>
    <border>
      <left style="thin">
        <color rgb="FF0091C9"/>
      </left>
      <right style="thin">
        <color rgb="FF0091C9"/>
      </right>
      <top style="medium">
        <color rgb="FF0091C9"/>
      </top>
      <bottom/>
      <diagonal/>
    </border>
    <border>
      <left style="medium">
        <color rgb="FF0091C9"/>
      </left>
      <right style="thin">
        <color rgb="FF0091C9"/>
      </right>
      <top/>
      <bottom style="hair">
        <color indexed="30"/>
      </bottom>
      <diagonal/>
    </border>
    <border>
      <left style="medium">
        <color rgb="FF0091C9"/>
      </left>
      <right style="thin">
        <color rgb="FF0091C9"/>
      </right>
      <top/>
      <bottom style="medium">
        <color rgb="FF0091C9"/>
      </bottom>
      <diagonal/>
    </border>
    <border>
      <left style="thin">
        <color rgb="FF0091C9"/>
      </left>
      <right style="thin">
        <color rgb="FF0091C9"/>
      </right>
      <top/>
      <bottom style="medium">
        <color rgb="FF0091C9"/>
      </bottom>
      <diagonal/>
    </border>
    <border>
      <left style="medium">
        <color rgb="FF0091C9"/>
      </left>
      <right style="thin">
        <color rgb="FF0091C9"/>
      </right>
      <top style="medium">
        <color rgb="FF0091C9"/>
      </top>
      <bottom style="medium">
        <color rgb="FF0091C9"/>
      </bottom>
      <diagonal/>
    </border>
    <border>
      <left style="thin">
        <color rgb="FF0091C9"/>
      </left>
      <right style="thin">
        <color rgb="FF0091C9"/>
      </right>
      <top style="medium">
        <color rgb="FF0091C9"/>
      </top>
      <bottom style="medium">
        <color rgb="FF0091C9"/>
      </bottom>
      <diagonal/>
    </border>
    <border>
      <left style="thin">
        <color rgb="FF0091C9"/>
      </left>
      <right style="medium">
        <color rgb="FF0091C9"/>
      </right>
      <top style="medium">
        <color rgb="FF0091C9"/>
      </top>
      <bottom style="medium">
        <color rgb="FF0091C9"/>
      </bottom>
      <diagonal/>
    </border>
    <border>
      <left style="thin">
        <color rgb="FF0091C9"/>
      </left>
      <right style="medium">
        <color rgb="FF0091C9"/>
      </right>
      <top/>
      <bottom style="hair">
        <color indexed="30"/>
      </bottom>
      <diagonal/>
    </border>
  </borders>
  <cellStyleXfs count="93">
    <xf numFmtId="0" fontId="0" fillId="0" borderId="0"/>
    <xf numFmtId="0" fontId="49" fillId="25" borderId="0" applyNumberFormat="0" applyBorder="0" applyAlignment="0" applyProtection="0"/>
    <xf numFmtId="0" fontId="1" fillId="2" borderId="0" applyNumberFormat="0" applyBorder="0" applyAlignment="0" applyProtection="0"/>
    <xf numFmtId="0" fontId="49" fillId="26" borderId="0" applyNumberFormat="0" applyBorder="0" applyAlignment="0" applyProtection="0"/>
    <xf numFmtId="0" fontId="1" fillId="4" borderId="0" applyNumberFormat="0" applyBorder="0" applyAlignment="0" applyProtection="0"/>
    <xf numFmtId="0" fontId="49" fillId="27" borderId="0" applyNumberFormat="0" applyBorder="0" applyAlignment="0" applyProtection="0"/>
    <xf numFmtId="0" fontId="1" fillId="6" borderId="0" applyNumberFormat="0" applyBorder="0" applyAlignment="0" applyProtection="0"/>
    <xf numFmtId="0" fontId="49" fillId="28" borderId="0" applyNumberFormat="0" applyBorder="0" applyAlignment="0" applyProtection="0"/>
    <xf numFmtId="0" fontId="1" fillId="7" borderId="0" applyNumberFormat="0" applyBorder="0" applyAlignment="0" applyProtection="0"/>
    <xf numFmtId="0" fontId="49" fillId="29" borderId="0" applyNumberFormat="0" applyBorder="0" applyAlignment="0" applyProtection="0"/>
    <xf numFmtId="0" fontId="1" fillId="8" borderId="0" applyNumberFormat="0" applyBorder="0" applyAlignment="0" applyProtection="0"/>
    <xf numFmtId="0" fontId="49" fillId="30" borderId="0" applyNumberFormat="0" applyBorder="0" applyAlignment="0" applyProtection="0"/>
    <xf numFmtId="0" fontId="1" fillId="3" borderId="0" applyNumberFormat="0" applyBorder="0" applyAlignment="0" applyProtection="0"/>
    <xf numFmtId="0" fontId="49" fillId="31" borderId="0" applyNumberFormat="0" applyBorder="0" applyAlignment="0" applyProtection="0"/>
    <xf numFmtId="0" fontId="1" fillId="10" borderId="0" applyNumberFormat="0" applyBorder="0" applyAlignment="0" applyProtection="0"/>
    <xf numFmtId="0" fontId="49" fillId="32" borderId="0" applyNumberFormat="0" applyBorder="0" applyAlignment="0" applyProtection="0"/>
    <xf numFmtId="0" fontId="1" fillId="11" borderId="0" applyNumberFormat="0" applyBorder="0" applyAlignment="0" applyProtection="0"/>
    <xf numFmtId="0" fontId="49" fillId="33" borderId="0" applyNumberFormat="0" applyBorder="0" applyAlignment="0" applyProtection="0"/>
    <xf numFmtId="0" fontId="1" fillId="13" borderId="0" applyNumberFormat="0" applyBorder="0" applyAlignment="0" applyProtection="0"/>
    <xf numFmtId="0" fontId="49" fillId="34" borderId="0" applyNumberFormat="0" applyBorder="0" applyAlignment="0" applyProtection="0"/>
    <xf numFmtId="0" fontId="1" fillId="7" borderId="0" applyNumberFormat="0" applyBorder="0" applyAlignment="0" applyProtection="0"/>
    <xf numFmtId="0" fontId="49" fillId="35" borderId="0" applyNumberFormat="0" applyBorder="0" applyAlignment="0" applyProtection="0"/>
    <xf numFmtId="0" fontId="1" fillId="10" borderId="0" applyNumberFormat="0" applyBorder="0" applyAlignment="0" applyProtection="0"/>
    <xf numFmtId="0" fontId="49" fillId="36" borderId="0" applyNumberFormat="0" applyBorder="0" applyAlignment="0" applyProtection="0"/>
    <xf numFmtId="0" fontId="1" fillId="14" borderId="0" applyNumberFormat="0" applyBorder="0" applyAlignment="0" applyProtection="0"/>
    <xf numFmtId="0" fontId="50" fillId="37" borderId="0" applyNumberFormat="0" applyBorder="0" applyAlignment="0" applyProtection="0"/>
    <xf numFmtId="0" fontId="15" fillId="15" borderId="0" applyNumberFormat="0" applyBorder="0" applyAlignment="0" applyProtection="0"/>
    <xf numFmtId="0" fontId="50" fillId="38" borderId="0" applyNumberFormat="0" applyBorder="0" applyAlignment="0" applyProtection="0"/>
    <xf numFmtId="0" fontId="15" fillId="11" borderId="0" applyNumberFormat="0" applyBorder="0" applyAlignment="0" applyProtection="0"/>
    <xf numFmtId="0" fontId="50" fillId="39" borderId="0" applyNumberFormat="0" applyBorder="0" applyAlignment="0" applyProtection="0"/>
    <xf numFmtId="0" fontId="15" fillId="13" borderId="0" applyNumberFormat="0" applyBorder="0" applyAlignment="0" applyProtection="0"/>
    <xf numFmtId="0" fontId="50" fillId="40" borderId="0" applyNumberFormat="0" applyBorder="0" applyAlignment="0" applyProtection="0"/>
    <xf numFmtId="0" fontId="15" fillId="17" borderId="0" applyNumberFormat="0" applyBorder="0" applyAlignment="0" applyProtection="0"/>
    <xf numFmtId="0" fontId="50" fillId="41" borderId="0" applyNumberFormat="0" applyBorder="0" applyAlignment="0" applyProtection="0"/>
    <xf numFmtId="0" fontId="15" fillId="18" borderId="0" applyNumberFormat="0" applyBorder="0" applyAlignment="0" applyProtection="0"/>
    <xf numFmtId="0" fontId="50" fillId="42" borderId="0" applyNumberFormat="0" applyBorder="0" applyAlignment="0" applyProtection="0"/>
    <xf numFmtId="0" fontId="15" fillId="19" borderId="0" applyNumberFormat="0" applyBorder="0" applyAlignment="0" applyProtection="0"/>
    <xf numFmtId="0" fontId="50" fillId="43" borderId="0" applyNumberFormat="0" applyBorder="0" applyAlignment="0" applyProtection="0"/>
    <xf numFmtId="0" fontId="15" fillId="20" borderId="0" applyNumberFormat="0" applyBorder="0" applyAlignment="0" applyProtection="0"/>
    <xf numFmtId="0" fontId="50" fillId="44" borderId="0" applyNumberFormat="0" applyBorder="0" applyAlignment="0" applyProtection="0"/>
    <xf numFmtId="0" fontId="15" fillId="21" borderId="0" applyNumberFormat="0" applyBorder="0" applyAlignment="0" applyProtection="0"/>
    <xf numFmtId="0" fontId="50" fillId="45" borderId="0" applyNumberFormat="0" applyBorder="0" applyAlignment="0" applyProtection="0"/>
    <xf numFmtId="0" fontId="15" fillId="16" borderId="0" applyNumberFormat="0" applyBorder="0" applyAlignment="0" applyProtection="0"/>
    <xf numFmtId="0" fontId="50" fillId="46" borderId="0" applyNumberFormat="0" applyBorder="0" applyAlignment="0" applyProtection="0"/>
    <xf numFmtId="0" fontId="15" fillId="17" borderId="0" applyNumberFormat="0" applyBorder="0" applyAlignment="0" applyProtection="0"/>
    <xf numFmtId="0" fontId="50" fillId="47" borderId="0" applyNumberFormat="0" applyBorder="0" applyAlignment="0" applyProtection="0"/>
    <xf numFmtId="0" fontId="15" fillId="18" borderId="0" applyNumberFormat="0" applyBorder="0" applyAlignment="0" applyProtection="0"/>
    <xf numFmtId="0" fontId="50" fillId="48" borderId="0" applyNumberFormat="0" applyBorder="0" applyAlignment="0" applyProtection="0"/>
    <xf numFmtId="0" fontId="15" fillId="22" borderId="0" applyNumberFormat="0" applyBorder="0" applyAlignment="0" applyProtection="0"/>
    <xf numFmtId="0" fontId="51" fillId="49" borderId="0" applyNumberFormat="0" applyBorder="0" applyAlignment="0" applyProtection="0"/>
    <xf numFmtId="0" fontId="42" fillId="4" borderId="0" applyNumberFormat="0" applyBorder="0" applyAlignment="0" applyProtection="0"/>
    <xf numFmtId="0" fontId="52" fillId="50" borderId="20" applyNumberFormat="0" applyAlignment="0" applyProtection="0"/>
    <xf numFmtId="0" fontId="16" fillId="9" borderId="1" applyNumberFormat="0" applyAlignment="0" applyProtection="0"/>
    <xf numFmtId="0" fontId="53" fillId="51" borderId="21" applyNumberFormat="0" applyAlignment="0" applyProtection="0"/>
    <xf numFmtId="0" fontId="17" fillId="23" borderId="2" applyNumberFormat="0" applyAlignment="0" applyProtection="0"/>
    <xf numFmtId="0" fontId="54" fillId="0" borderId="0" applyNumberFormat="0" applyFill="0" applyBorder="0" applyAlignment="0" applyProtection="0"/>
    <xf numFmtId="0" fontId="18" fillId="0" borderId="0" applyNumberFormat="0" applyFill="0" applyBorder="0" applyAlignment="0" applyProtection="0"/>
    <xf numFmtId="0" fontId="55" fillId="52" borderId="0" applyNumberFormat="0" applyBorder="0" applyAlignment="0" applyProtection="0"/>
    <xf numFmtId="0" fontId="19" fillId="6" borderId="0" applyNumberFormat="0" applyBorder="0" applyAlignment="0" applyProtection="0"/>
    <xf numFmtId="0" fontId="56" fillId="0" borderId="22" applyNumberFormat="0" applyFill="0" applyAlignment="0" applyProtection="0"/>
    <xf numFmtId="0" fontId="43" fillId="0" borderId="3" applyNumberFormat="0" applyFill="0" applyAlignment="0" applyProtection="0"/>
    <xf numFmtId="0" fontId="57" fillId="0" borderId="23" applyNumberFormat="0" applyFill="0" applyAlignment="0" applyProtection="0"/>
    <xf numFmtId="0" fontId="44" fillId="0" borderId="4" applyNumberFormat="0" applyFill="0" applyAlignment="0" applyProtection="0"/>
    <xf numFmtId="0" fontId="58" fillId="0" borderId="24" applyNumberFormat="0" applyFill="0" applyAlignment="0" applyProtection="0"/>
    <xf numFmtId="0" fontId="45" fillId="0" borderId="5" applyNumberFormat="0" applyFill="0" applyAlignment="0" applyProtection="0"/>
    <xf numFmtId="0" fontId="58" fillId="0" borderId="0" applyNumberFormat="0" applyFill="0" applyBorder="0" applyAlignment="0" applyProtection="0"/>
    <xf numFmtId="0" fontId="45" fillId="0" borderId="0" applyNumberFormat="0" applyFill="0" applyBorder="0" applyAlignment="0" applyProtection="0"/>
    <xf numFmtId="0" fontId="59" fillId="0" borderId="0" applyNumberFormat="0" applyFill="0" applyBorder="0" applyAlignment="0" applyProtection="0">
      <alignment vertical="top"/>
      <protection locked="0"/>
    </xf>
    <xf numFmtId="0" fontId="3" fillId="0" borderId="0" applyNumberFormat="0" applyFill="0" applyBorder="0" applyAlignment="0" applyProtection="0">
      <alignment vertical="top"/>
      <protection locked="0"/>
    </xf>
    <xf numFmtId="0" fontId="60" fillId="53" borderId="20" applyNumberFormat="0" applyAlignment="0" applyProtection="0"/>
    <xf numFmtId="0" fontId="20" fillId="3" borderId="1" applyNumberFormat="0" applyAlignment="0" applyProtection="0"/>
    <xf numFmtId="0" fontId="61" fillId="0" borderId="25" applyNumberFormat="0" applyFill="0" applyAlignment="0" applyProtection="0"/>
    <xf numFmtId="0" fontId="21" fillId="0" borderId="6" applyNumberFormat="0" applyFill="0" applyAlignment="0" applyProtection="0"/>
    <xf numFmtId="0" fontId="62" fillId="54" borderId="0" applyNumberFormat="0" applyBorder="0" applyAlignment="0" applyProtection="0"/>
    <xf numFmtId="0" fontId="22" fillId="12" borderId="0" applyNumberFormat="0" applyBorder="0" applyAlignment="0" applyProtection="0"/>
    <xf numFmtId="0" fontId="2" fillId="0" borderId="0"/>
    <xf numFmtId="0" fontId="63" fillId="0" borderId="0"/>
    <xf numFmtId="0" fontId="26" fillId="55" borderId="26" applyNumberFormat="0" applyFont="0" applyAlignment="0" applyProtection="0"/>
    <xf numFmtId="0" fontId="2" fillId="5" borderId="7" applyNumberFormat="0" applyFont="0" applyAlignment="0" applyProtection="0"/>
    <xf numFmtId="0" fontId="1" fillId="55" borderId="26" applyNumberFormat="0" applyFont="0" applyAlignment="0" applyProtection="0"/>
    <xf numFmtId="0" fontId="64" fillId="50" borderId="27" applyNumberFormat="0" applyAlignment="0" applyProtection="0"/>
    <xf numFmtId="0" fontId="23" fillId="9" borderId="8" applyNumberFormat="0" applyAlignment="0" applyProtection="0"/>
    <xf numFmtId="0" fontId="65" fillId="0" borderId="0" applyNumberFormat="0" applyFill="0" applyBorder="0" applyAlignment="0" applyProtection="0"/>
    <xf numFmtId="0" fontId="46" fillId="0" borderId="0" applyNumberFormat="0" applyFill="0" applyBorder="0" applyAlignment="0" applyProtection="0"/>
    <xf numFmtId="0" fontId="66" fillId="0" borderId="28" applyNumberFormat="0" applyFill="0" applyAlignment="0" applyProtection="0"/>
    <xf numFmtId="0" fontId="24" fillId="0" borderId="9" applyNumberFormat="0" applyFill="0" applyAlignment="0" applyProtection="0"/>
    <xf numFmtId="0" fontId="67" fillId="0" borderId="0" applyNumberFormat="0" applyFill="0" applyBorder="0" applyAlignment="0" applyProtection="0"/>
    <xf numFmtId="0" fontId="25" fillId="0" borderId="0" applyNumberFormat="0" applyFill="0" applyBorder="0" applyAlignment="0" applyProtection="0"/>
    <xf numFmtId="0" fontId="2" fillId="0" borderId="0"/>
    <xf numFmtId="0" fontId="2" fillId="0" borderId="0"/>
    <xf numFmtId="0" fontId="63" fillId="0" borderId="0"/>
    <xf numFmtId="0" fontId="63" fillId="0" borderId="0"/>
    <xf numFmtId="0" fontId="63" fillId="0" borderId="0"/>
  </cellStyleXfs>
  <cellXfs count="463">
    <xf numFmtId="0" fontId="0" fillId="0" borderId="0" xfId="0"/>
    <xf numFmtId="49" fontId="0" fillId="0" borderId="0" xfId="0" applyNumberFormat="1" applyAlignment="1">
      <alignment vertical="top" wrapText="1"/>
    </xf>
    <xf numFmtId="49" fontId="0" fillId="0" borderId="0" xfId="0" applyNumberFormat="1" applyAlignment="1">
      <alignment vertical="top"/>
    </xf>
    <xf numFmtId="0" fontId="0" fillId="0" borderId="0" xfId="0" applyAlignment="1"/>
    <xf numFmtId="49" fontId="0" fillId="0" borderId="0" xfId="0" applyNumberFormat="1" applyAlignment="1"/>
    <xf numFmtId="49" fontId="28" fillId="0" borderId="10" xfId="0" applyNumberFormat="1" applyFont="1" applyBorder="1" applyAlignment="1">
      <alignment vertical="top" wrapText="1"/>
    </xf>
    <xf numFmtId="49" fontId="28" fillId="0" borderId="0" xfId="0" applyNumberFormat="1" applyFont="1" applyAlignment="1">
      <alignment vertical="top"/>
    </xf>
    <xf numFmtId="0" fontId="28" fillId="0" borderId="0" xfId="0" applyFont="1"/>
    <xf numFmtId="0" fontId="0" fillId="0" borderId="0" xfId="0" applyBorder="1"/>
    <xf numFmtId="0" fontId="28" fillId="0" borderId="0" xfId="0" applyFont="1" applyBorder="1"/>
    <xf numFmtId="0" fontId="0" fillId="0" borderId="0" xfId="0" applyAlignment="1">
      <alignment vertical="center"/>
    </xf>
    <xf numFmtId="0" fontId="6" fillId="0" borderId="0" xfId="75" applyFont="1" applyFill="1" applyAlignment="1">
      <alignment vertical="center"/>
    </xf>
    <xf numFmtId="0" fontId="2" fillId="0" borderId="0" xfId="75" applyFont="1" applyFill="1"/>
    <xf numFmtId="0" fontId="32" fillId="0" borderId="0" xfId="0" applyFont="1"/>
    <xf numFmtId="165" fontId="32" fillId="0" borderId="0" xfId="0" applyNumberFormat="1" applyFont="1" applyProtection="1">
      <protection hidden="1"/>
    </xf>
    <xf numFmtId="0" fontId="27" fillId="0" borderId="0" xfId="0" applyFont="1" applyFill="1"/>
    <xf numFmtId="0" fontId="27" fillId="0" borderId="0" xfId="0" applyFont="1"/>
    <xf numFmtId="166" fontId="6" fillId="24" borderId="0" xfId="0" applyNumberFormat="1" applyFont="1" applyFill="1" applyBorder="1" applyAlignment="1">
      <alignment horizontal="center" vertical="center"/>
    </xf>
    <xf numFmtId="0" fontId="0" fillId="0" borderId="0" xfId="0" applyProtection="1">
      <protection locked="0"/>
    </xf>
    <xf numFmtId="0" fontId="28" fillId="0" borderId="0" xfId="0" applyFont="1" applyAlignment="1">
      <alignment vertical="top" wrapText="1"/>
    </xf>
    <xf numFmtId="49" fontId="28" fillId="0" borderId="0" xfId="0" applyNumberFormat="1" applyFont="1" applyBorder="1" applyAlignment="1">
      <alignment vertical="top" wrapText="1"/>
    </xf>
    <xf numFmtId="0" fontId="2" fillId="0" borderId="0" xfId="75" applyBorder="1"/>
    <xf numFmtId="1" fontId="5" fillId="0" borderId="0" xfId="75" applyNumberFormat="1" applyFont="1" applyFill="1" applyBorder="1" applyAlignment="1" applyProtection="1">
      <alignment horizontal="center" vertical="center" wrapText="1"/>
    </xf>
    <xf numFmtId="1" fontId="13" fillId="0" borderId="0" xfId="75" applyNumberFormat="1" applyFont="1" applyFill="1" applyBorder="1" applyAlignment="1" applyProtection="1">
      <alignment horizontal="center" vertical="center" wrapText="1"/>
    </xf>
    <xf numFmtId="0" fontId="0" fillId="0" borderId="0" xfId="0" applyProtection="1"/>
    <xf numFmtId="0" fontId="4" fillId="0" borderId="13" xfId="75" applyFont="1" applyFill="1" applyBorder="1" applyProtection="1"/>
    <xf numFmtId="3" fontId="35" fillId="24" borderId="0" xfId="0" applyNumberFormat="1" applyFont="1" applyFill="1" applyBorder="1" applyAlignment="1">
      <alignment horizontal="center" vertical="center"/>
    </xf>
    <xf numFmtId="3" fontId="34" fillId="24" borderId="0" xfId="0" applyNumberFormat="1" applyFont="1" applyFill="1" applyBorder="1" applyAlignment="1" applyProtection="1">
      <alignment horizontal="center" vertical="center"/>
      <protection locked="0"/>
    </xf>
    <xf numFmtId="0" fontId="0" fillId="24" borderId="0" xfId="0" applyFill="1" applyBorder="1"/>
    <xf numFmtId="1" fontId="36" fillId="24" borderId="0" xfId="0" applyNumberFormat="1" applyFont="1" applyFill="1" applyBorder="1" applyAlignment="1" applyProtection="1">
      <alignment vertical="top"/>
    </xf>
    <xf numFmtId="1" fontId="36" fillId="24" borderId="0" xfId="0" applyNumberFormat="1" applyFont="1" applyFill="1" applyBorder="1" applyAlignment="1" applyProtection="1">
      <alignment vertical="top"/>
      <protection locked="0"/>
    </xf>
    <xf numFmtId="1" fontId="36" fillId="24" borderId="0" xfId="0" applyNumberFormat="1" applyFont="1" applyFill="1" applyBorder="1" applyAlignment="1">
      <alignment vertical="top"/>
    </xf>
    <xf numFmtId="0" fontId="38" fillId="0" borderId="0" xfId="0" applyFont="1" applyAlignment="1"/>
    <xf numFmtId="0" fontId="0" fillId="0" borderId="0" xfId="0" applyProtection="1">
      <protection hidden="1"/>
    </xf>
    <xf numFmtId="0" fontId="32" fillId="0" borderId="0" xfId="0" applyFont="1" applyProtection="1">
      <protection hidden="1"/>
    </xf>
    <xf numFmtId="0" fontId="40" fillId="0" borderId="0" xfId="0" applyFont="1"/>
    <xf numFmtId="0" fontId="6" fillId="0" borderId="0" xfId="75" applyFont="1" applyFill="1" applyAlignment="1">
      <alignment horizontal="left" vertical="center" indent="1"/>
    </xf>
    <xf numFmtId="0" fontId="29" fillId="0" borderId="0" xfId="0" applyFont="1" applyFill="1"/>
    <xf numFmtId="0" fontId="32" fillId="0" borderId="0" xfId="0" applyFont="1" applyFill="1"/>
    <xf numFmtId="168" fontId="0" fillId="0" borderId="0" xfId="0" applyNumberFormat="1"/>
    <xf numFmtId="0" fontId="6" fillId="0" borderId="0" xfId="75" applyFont="1" applyFill="1" applyAlignment="1">
      <alignment horizontal="left" vertical="center"/>
    </xf>
    <xf numFmtId="1" fontId="0" fillId="0" borderId="0" xfId="0" applyNumberFormat="1"/>
    <xf numFmtId="1" fontId="0" fillId="0" borderId="0" xfId="0" applyNumberFormat="1" applyProtection="1"/>
    <xf numFmtId="1" fontId="0" fillId="0" borderId="0" xfId="0" applyNumberFormat="1" applyProtection="1">
      <protection locked="0"/>
    </xf>
    <xf numFmtId="1" fontId="32" fillId="0" borderId="0" xfId="0" applyNumberFormat="1" applyFont="1" applyAlignment="1">
      <alignment vertical="top"/>
    </xf>
    <xf numFmtId="1" fontId="32" fillId="0" borderId="0" xfId="0" applyNumberFormat="1" applyFont="1"/>
    <xf numFmtId="0" fontId="32" fillId="0" borderId="0" xfId="0" applyFont="1" applyAlignment="1"/>
    <xf numFmtId="0" fontId="50" fillId="0" borderId="0" xfId="0" applyFont="1"/>
    <xf numFmtId="0" fontId="50" fillId="0" borderId="0" xfId="0" applyFont="1" applyAlignment="1"/>
    <xf numFmtId="0" fontId="40" fillId="0" borderId="0" xfId="0" applyFont="1" applyBorder="1" applyAlignment="1">
      <alignment vertical="top" wrapText="1"/>
    </xf>
    <xf numFmtId="0" fontId="68" fillId="0" borderId="0" xfId="0" applyFont="1"/>
    <xf numFmtId="0" fontId="68" fillId="0" borderId="0" xfId="0" applyFont="1" applyAlignment="1"/>
    <xf numFmtId="1" fontId="0" fillId="0" borderId="0" xfId="0" applyNumberFormat="1" applyFill="1" applyProtection="1"/>
    <xf numFmtId="1" fontId="0" fillId="0" borderId="0" xfId="0" applyNumberFormat="1" applyFill="1" applyProtection="1">
      <protection locked="0"/>
    </xf>
    <xf numFmtId="0" fontId="0" fillId="0" borderId="0" xfId="0"/>
    <xf numFmtId="0" fontId="0" fillId="0" borderId="0" xfId="0"/>
    <xf numFmtId="3" fontId="4" fillId="0" borderId="0" xfId="75" applyNumberFormat="1" applyFont="1" applyFill="1" applyBorder="1" applyProtection="1"/>
    <xf numFmtId="165" fontId="4" fillId="0" borderId="0" xfId="75" applyNumberFormat="1" applyFont="1" applyFill="1" applyBorder="1" applyProtection="1"/>
    <xf numFmtId="0" fontId="4" fillId="0" borderId="0" xfId="75" applyFont="1" applyFill="1" applyBorder="1" applyProtection="1"/>
    <xf numFmtId="0" fontId="0" fillId="0" borderId="0" xfId="0"/>
    <xf numFmtId="0" fontId="0" fillId="0" borderId="0" xfId="0"/>
    <xf numFmtId="0" fontId="28" fillId="0" borderId="0" xfId="0" applyFont="1" applyAlignment="1">
      <alignment horizontal="left" vertical="top" wrapText="1"/>
    </xf>
    <xf numFmtId="0" fontId="8" fillId="0" borderId="0" xfId="0" applyFont="1" applyAlignment="1" applyProtection="1">
      <alignment vertical="top" wrapText="1"/>
    </xf>
    <xf numFmtId="0" fontId="50" fillId="0" borderId="0" xfId="0" applyFont="1" applyProtection="1">
      <protection hidden="1"/>
    </xf>
    <xf numFmtId="0" fontId="0" fillId="0" borderId="0" xfId="0"/>
    <xf numFmtId="0" fontId="50" fillId="0" borderId="0" xfId="0" applyFont="1" applyProtection="1">
      <protection locked="0"/>
    </xf>
    <xf numFmtId="0" fontId="73" fillId="0" borderId="0" xfId="0" applyFont="1" applyBorder="1" applyAlignment="1">
      <alignment vertical="center"/>
    </xf>
    <xf numFmtId="0" fontId="74" fillId="0" borderId="0" xfId="0" applyFont="1" applyAlignment="1"/>
    <xf numFmtId="0" fontId="67" fillId="0" borderId="0" xfId="0" applyFont="1" applyAlignment="1"/>
    <xf numFmtId="1" fontId="74" fillId="0" borderId="0" xfId="0" applyNumberFormat="1" applyFont="1"/>
    <xf numFmtId="0" fontId="74" fillId="0" borderId="0" xfId="0" applyFont="1"/>
    <xf numFmtId="0" fontId="67" fillId="0" borderId="0" xfId="0" applyFont="1"/>
    <xf numFmtId="0" fontId="50" fillId="0" borderId="0" xfId="0" applyFont="1" applyProtection="1"/>
    <xf numFmtId="0" fontId="0" fillId="0" borderId="0" xfId="0" applyAlignment="1" applyProtection="1">
      <protection hidden="1"/>
    </xf>
    <xf numFmtId="0" fontId="28" fillId="0" borderId="0" xfId="0" applyFont="1" applyAlignment="1" applyProtection="1">
      <alignment wrapText="1"/>
      <protection hidden="1"/>
    </xf>
    <xf numFmtId="0" fontId="28" fillId="0" borderId="0" xfId="0" quotePrefix="1" applyFont="1" applyAlignment="1" applyProtection="1">
      <alignment wrapText="1"/>
      <protection hidden="1"/>
    </xf>
    <xf numFmtId="0" fontId="6" fillId="0" borderId="0" xfId="0" applyFont="1" applyFill="1" applyBorder="1" applyAlignment="1" applyProtection="1">
      <alignment horizontal="center" vertical="center"/>
      <protection hidden="1"/>
    </xf>
    <xf numFmtId="1" fontId="6" fillId="24" borderId="0" xfId="0" applyNumberFormat="1" applyFont="1" applyFill="1" applyBorder="1" applyAlignment="1" applyProtection="1">
      <alignment horizontal="center" vertical="center"/>
      <protection hidden="1"/>
    </xf>
    <xf numFmtId="0" fontId="8" fillId="0" borderId="0" xfId="0" applyFont="1" applyAlignment="1" applyProtection="1">
      <alignment vertical="top" wrapText="1"/>
      <protection hidden="1"/>
    </xf>
    <xf numFmtId="0" fontId="28" fillId="0" borderId="0" xfId="0" applyFont="1" applyBorder="1" applyAlignment="1" applyProtection="1">
      <alignment vertical="top" wrapText="1"/>
      <protection hidden="1"/>
    </xf>
    <xf numFmtId="2" fontId="2" fillId="0" borderId="0" xfId="0" applyNumberFormat="1" applyFont="1" applyBorder="1" applyProtection="1">
      <protection hidden="1"/>
    </xf>
    <xf numFmtId="0" fontId="2" fillId="0" borderId="0" xfId="0" applyFont="1" applyBorder="1" applyProtection="1">
      <protection hidden="1"/>
    </xf>
    <xf numFmtId="0" fontId="28" fillId="0" borderId="10" xfId="0" applyFont="1" applyBorder="1" applyProtection="1">
      <protection hidden="1"/>
    </xf>
    <xf numFmtId="1" fontId="28" fillId="0" borderId="0" xfId="0" applyNumberFormat="1" applyFont="1" applyBorder="1" applyProtection="1">
      <protection hidden="1"/>
    </xf>
    <xf numFmtId="0" fontId="28" fillId="0" borderId="0" xfId="0" applyFont="1" applyBorder="1" applyProtection="1">
      <protection hidden="1"/>
    </xf>
    <xf numFmtId="0" fontId="37" fillId="0" borderId="0" xfId="0" applyFont="1" applyAlignment="1" applyProtection="1">
      <alignment vertical="top" wrapText="1" readingOrder="1"/>
      <protection hidden="1"/>
    </xf>
    <xf numFmtId="0" fontId="67" fillId="0" borderId="0" xfId="0" applyFont="1" applyProtection="1"/>
    <xf numFmtId="0" fontId="0" fillId="0" borderId="0" xfId="0"/>
    <xf numFmtId="0" fontId="28" fillId="0" borderId="0" xfId="0" applyFont="1" applyAlignment="1" applyProtection="1">
      <alignment vertical="top" wrapText="1"/>
      <protection hidden="1"/>
    </xf>
    <xf numFmtId="0" fontId="0" fillId="0" borderId="0" xfId="0" applyProtection="1">
      <protection hidden="1"/>
    </xf>
    <xf numFmtId="0" fontId="38" fillId="0" borderId="0" xfId="0" applyFont="1" applyAlignment="1">
      <alignment horizontal="center" vertical="center"/>
    </xf>
    <xf numFmtId="0" fontId="6" fillId="0" borderId="0" xfId="0" applyFont="1" applyFill="1" applyBorder="1" applyAlignment="1" applyProtection="1">
      <alignment horizontal="left" vertical="center" indent="1"/>
      <protection hidden="1"/>
    </xf>
    <xf numFmtId="0" fontId="75" fillId="0" borderId="0" xfId="0" applyFont="1" applyAlignment="1">
      <alignment horizontal="right"/>
    </xf>
    <xf numFmtId="1" fontId="74" fillId="0" borderId="0" xfId="0" applyNumberFormat="1" applyFont="1" applyAlignment="1">
      <alignment vertical="top"/>
    </xf>
    <xf numFmtId="1" fontId="74" fillId="0" borderId="0" xfId="0" quotePrefix="1" applyNumberFormat="1" applyFont="1"/>
    <xf numFmtId="1" fontId="74" fillId="0" borderId="0" xfId="0" quotePrefix="1" applyNumberFormat="1" applyFont="1" applyAlignment="1"/>
    <xf numFmtId="1" fontId="74" fillId="0" borderId="0" xfId="0" applyNumberFormat="1" applyFont="1" applyAlignment="1"/>
    <xf numFmtId="0" fontId="74" fillId="0" borderId="0" xfId="0" quotePrefix="1" applyFont="1"/>
    <xf numFmtId="0" fontId="76" fillId="0" borderId="30" xfId="0" applyFont="1" applyBorder="1" applyAlignment="1">
      <alignment vertical="center" wrapText="1"/>
    </xf>
    <xf numFmtId="0" fontId="76" fillId="0" borderId="30" xfId="0" applyFont="1" applyBorder="1" applyAlignment="1">
      <alignment vertical="center"/>
    </xf>
    <xf numFmtId="0" fontId="76" fillId="0" borderId="31" xfId="0" applyFont="1" applyBorder="1" applyAlignment="1">
      <alignment vertical="center"/>
    </xf>
    <xf numFmtId="0" fontId="0" fillId="0" borderId="35" xfId="0" applyBorder="1"/>
    <xf numFmtId="0" fontId="0" fillId="0" borderId="36" xfId="0" applyBorder="1"/>
    <xf numFmtId="0" fontId="40" fillId="0" borderId="0" xfId="0" applyFont="1" applyBorder="1" applyAlignment="1">
      <alignment vertical="top" wrapText="1"/>
    </xf>
    <xf numFmtId="0" fontId="9" fillId="0" borderId="0" xfId="0" applyFont="1" applyBorder="1" applyAlignment="1">
      <alignment vertical="top" wrapText="1"/>
    </xf>
    <xf numFmtId="0" fontId="79" fillId="0" borderId="0" xfId="0" applyFont="1"/>
    <xf numFmtId="0" fontId="28" fillId="57" borderId="44" xfId="0" applyFont="1" applyFill="1" applyBorder="1"/>
    <xf numFmtId="0" fontId="31" fillId="57" borderId="45" xfId="0" applyFont="1" applyFill="1" applyBorder="1" applyProtection="1">
      <protection locked="0"/>
    </xf>
    <xf numFmtId="0" fontId="28" fillId="57" borderId="46" xfId="0" applyFont="1" applyFill="1" applyBorder="1"/>
    <xf numFmtId="49" fontId="30" fillId="57" borderId="47" xfId="0" applyNumberFormat="1" applyFont="1" applyFill="1" applyBorder="1" applyAlignment="1">
      <alignment horizontal="center" vertical="center" wrapText="1"/>
    </xf>
    <xf numFmtId="49" fontId="30" fillId="57" borderId="48" xfId="0" applyNumberFormat="1" applyFont="1" applyFill="1" applyBorder="1" applyAlignment="1">
      <alignment horizontal="center" vertical="center" wrapText="1"/>
    </xf>
    <xf numFmtId="49" fontId="30" fillId="57" borderId="49" xfId="0" applyNumberFormat="1" applyFont="1" applyFill="1" applyBorder="1" applyAlignment="1">
      <alignment horizontal="center" vertical="center" wrapText="1"/>
    </xf>
    <xf numFmtId="49" fontId="5" fillId="57" borderId="47" xfId="0" applyNumberFormat="1" applyFont="1" applyFill="1" applyBorder="1" applyAlignment="1">
      <alignment horizontal="center" vertical="center" wrapText="1"/>
    </xf>
    <xf numFmtId="49" fontId="5" fillId="57" borderId="49" xfId="0" applyNumberFormat="1" applyFont="1" applyFill="1" applyBorder="1" applyAlignment="1">
      <alignment horizontal="center" vertical="center" wrapText="1"/>
    </xf>
    <xf numFmtId="0" fontId="30" fillId="57" borderId="47" xfId="0" applyFont="1" applyFill="1" applyBorder="1" applyAlignment="1">
      <alignment horizontal="center" vertical="center" wrapText="1"/>
    </xf>
    <xf numFmtId="14" fontId="4" fillId="0" borderId="50" xfId="75" applyNumberFormat="1" applyFont="1" applyFill="1" applyBorder="1" applyAlignment="1" applyProtection="1">
      <alignment horizontal="center"/>
      <protection locked="0"/>
    </xf>
    <xf numFmtId="49" fontId="4" fillId="0" borderId="51" xfId="75" applyNumberFormat="1" applyFont="1" applyFill="1" applyBorder="1" applyAlignment="1" applyProtection="1">
      <alignment horizontal="center"/>
      <protection locked="0"/>
    </xf>
    <xf numFmtId="14" fontId="4" fillId="0" borderId="51" xfId="75" applyNumberFormat="1" applyFont="1" applyFill="1" applyBorder="1" applyAlignment="1" applyProtection="1">
      <alignment horizontal="center"/>
      <protection locked="0"/>
    </xf>
    <xf numFmtId="14" fontId="4" fillId="0" borderId="52" xfId="75" applyNumberFormat="1" applyFont="1" applyFill="1" applyBorder="1" applyAlignment="1" applyProtection="1">
      <alignment horizontal="center"/>
      <protection locked="0"/>
    </xf>
    <xf numFmtId="14" fontId="4" fillId="0" borderId="53" xfId="75" applyNumberFormat="1" applyFont="1" applyFill="1" applyBorder="1" applyAlignment="1" applyProtection="1">
      <alignment horizontal="center"/>
      <protection locked="0"/>
    </xf>
    <xf numFmtId="49" fontId="4" fillId="0" borderId="54" xfId="75" applyNumberFormat="1" applyFont="1" applyFill="1" applyBorder="1" applyAlignment="1" applyProtection="1">
      <alignment horizontal="center"/>
      <protection locked="0"/>
    </xf>
    <xf numFmtId="14" fontId="4" fillId="0" borderId="54" xfId="75" applyNumberFormat="1" applyFont="1" applyFill="1" applyBorder="1" applyAlignment="1" applyProtection="1">
      <alignment horizontal="center"/>
      <protection locked="0"/>
    </xf>
    <xf numFmtId="14" fontId="4" fillId="0" borderId="55" xfId="75" applyNumberFormat="1" applyFont="1" applyFill="1" applyBorder="1" applyAlignment="1" applyProtection="1">
      <alignment horizontal="center"/>
      <protection locked="0"/>
    </xf>
    <xf numFmtId="14" fontId="4" fillId="0" borderId="56" xfId="75" applyNumberFormat="1" applyFont="1" applyFill="1" applyBorder="1" applyAlignment="1" applyProtection="1">
      <alignment horizontal="center"/>
      <protection locked="0"/>
    </xf>
    <xf numFmtId="0" fontId="0" fillId="0" borderId="57" xfId="0" applyBorder="1" applyProtection="1">
      <protection locked="0"/>
    </xf>
    <xf numFmtId="49" fontId="4" fillId="0" borderId="55" xfId="75" applyNumberFormat="1" applyFont="1" applyFill="1" applyBorder="1" applyAlignment="1" applyProtection="1">
      <alignment horizontal="center"/>
      <protection locked="0"/>
    </xf>
    <xf numFmtId="14" fontId="4" fillId="0" borderId="58" xfId="75" applyNumberFormat="1" applyFont="1" applyFill="1" applyBorder="1" applyAlignment="1" applyProtection="1">
      <alignment horizontal="center"/>
      <protection locked="0"/>
    </xf>
    <xf numFmtId="49" fontId="4" fillId="0" borderId="59" xfId="75" applyNumberFormat="1" applyFont="1" applyFill="1" applyBorder="1" applyAlignment="1" applyProtection="1">
      <alignment horizontal="center"/>
      <protection locked="0"/>
    </xf>
    <xf numFmtId="14" fontId="4" fillId="0" borderId="59" xfId="75" applyNumberFormat="1" applyFont="1" applyFill="1" applyBorder="1" applyAlignment="1" applyProtection="1">
      <alignment horizontal="center"/>
      <protection locked="0"/>
    </xf>
    <xf numFmtId="14" fontId="4" fillId="0" borderId="60" xfId="75" applyNumberFormat="1" applyFont="1" applyFill="1" applyBorder="1" applyAlignment="1" applyProtection="1">
      <alignment horizontal="center"/>
      <protection locked="0"/>
    </xf>
    <xf numFmtId="0" fontId="78" fillId="0" borderId="0" xfId="75" applyFont="1" applyFill="1" applyBorder="1" applyProtection="1"/>
    <xf numFmtId="0" fontId="4" fillId="0" borderId="50" xfId="75" applyFont="1" applyFill="1" applyBorder="1" applyAlignment="1" applyProtection="1">
      <alignment horizontal="right" indent="1"/>
    </xf>
    <xf numFmtId="3" fontId="4" fillId="0" borderId="51" xfId="75" applyNumberFormat="1" applyFont="1" applyFill="1" applyBorder="1" applyAlignment="1" applyProtection="1"/>
    <xf numFmtId="3" fontId="4" fillId="0" borderId="51" xfId="75" applyNumberFormat="1" applyFont="1" applyFill="1" applyBorder="1" applyAlignment="1" applyProtection="1">
      <protection locked="0"/>
    </xf>
    <xf numFmtId="3" fontId="4" fillId="0" borderId="52" xfId="75" applyNumberFormat="1" applyFont="1" applyFill="1" applyBorder="1" applyProtection="1">
      <protection locked="0"/>
    </xf>
    <xf numFmtId="0" fontId="4" fillId="0" borderId="53" xfId="75" applyFont="1" applyFill="1" applyBorder="1" applyAlignment="1" applyProtection="1">
      <alignment horizontal="right" indent="1"/>
    </xf>
    <xf numFmtId="3" fontId="4" fillId="0" borderId="55" xfId="75" applyNumberFormat="1" applyFont="1" applyFill="1" applyBorder="1" applyAlignment="1" applyProtection="1"/>
    <xf numFmtId="3" fontId="4" fillId="0" borderId="55" xfId="75" applyNumberFormat="1" applyFont="1" applyFill="1" applyBorder="1" applyAlignment="1" applyProtection="1">
      <protection locked="0"/>
    </xf>
    <xf numFmtId="3" fontId="4" fillId="0" borderId="56" xfId="75" applyNumberFormat="1" applyFont="1" applyFill="1" applyBorder="1" applyProtection="1">
      <protection locked="0"/>
    </xf>
    <xf numFmtId="0" fontId="4" fillId="0" borderId="58" xfId="75" applyFont="1" applyFill="1" applyBorder="1" applyAlignment="1" applyProtection="1">
      <alignment horizontal="right" indent="1"/>
    </xf>
    <xf numFmtId="3" fontId="4" fillId="0" borderId="59" xfId="75" applyNumberFormat="1" applyFont="1" applyFill="1" applyBorder="1" applyAlignment="1" applyProtection="1"/>
    <xf numFmtId="3" fontId="4" fillId="0" borderId="59" xfId="75" applyNumberFormat="1" applyFont="1" applyFill="1" applyBorder="1" applyAlignment="1" applyProtection="1">
      <protection locked="0"/>
    </xf>
    <xf numFmtId="3" fontId="4" fillId="0" borderId="60" xfId="75" applyNumberFormat="1" applyFont="1" applyFill="1" applyBorder="1" applyProtection="1">
      <protection locked="0"/>
    </xf>
    <xf numFmtId="0" fontId="32" fillId="0" borderId="0" xfId="0" applyFont="1" applyBorder="1" applyProtection="1">
      <protection hidden="1"/>
    </xf>
    <xf numFmtId="0" fontId="38" fillId="0" borderId="0" xfId="0" applyFont="1" applyBorder="1" applyAlignment="1"/>
    <xf numFmtId="0" fontId="0" fillId="0" borderId="35" xfId="0" applyBorder="1" applyProtection="1">
      <protection hidden="1"/>
    </xf>
    <xf numFmtId="0" fontId="38" fillId="0" borderId="0" xfId="0" applyFont="1" applyBorder="1" applyAlignment="1">
      <alignment horizontal="center"/>
    </xf>
    <xf numFmtId="0" fontId="38" fillId="0" borderId="36" xfId="0" applyFont="1" applyBorder="1" applyAlignment="1"/>
    <xf numFmtId="0" fontId="0" fillId="0" borderId="0" xfId="0" applyBorder="1" applyProtection="1">
      <protection hidden="1"/>
    </xf>
    <xf numFmtId="0" fontId="0" fillId="0" borderId="36" xfId="0" applyBorder="1" applyProtection="1">
      <protection hidden="1"/>
    </xf>
    <xf numFmtId="0" fontId="28" fillId="0" borderId="35" xfId="0" applyFont="1" applyBorder="1" applyProtection="1">
      <protection hidden="1"/>
    </xf>
    <xf numFmtId="0" fontId="0" fillId="0" borderId="0" xfId="0" applyBorder="1" applyAlignment="1" applyProtection="1">
      <alignment horizontal="left"/>
      <protection locked="0" hidden="1"/>
    </xf>
    <xf numFmtId="0" fontId="14" fillId="0" borderId="0" xfId="76" applyFont="1" applyBorder="1" applyProtection="1">
      <protection hidden="1"/>
    </xf>
    <xf numFmtId="0" fontId="2" fillId="0" borderId="0" xfId="76" quotePrefix="1" applyFont="1" applyBorder="1" applyProtection="1">
      <protection hidden="1"/>
    </xf>
    <xf numFmtId="0" fontId="0" fillId="0" borderId="32" xfId="0" applyBorder="1" applyProtection="1">
      <protection hidden="1"/>
    </xf>
    <xf numFmtId="0" fontId="0" fillId="0" borderId="33" xfId="0" applyBorder="1" applyProtection="1">
      <protection hidden="1"/>
    </xf>
    <xf numFmtId="0" fontId="0" fillId="0" borderId="34" xfId="0" applyBorder="1" applyProtection="1">
      <protection hidden="1"/>
    </xf>
    <xf numFmtId="0" fontId="31" fillId="57" borderId="46" xfId="0" applyFont="1" applyFill="1" applyBorder="1" applyProtection="1">
      <protection locked="0"/>
    </xf>
    <xf numFmtId="0" fontId="69" fillId="0" borderId="61" xfId="0" applyFont="1" applyBorder="1" applyAlignment="1">
      <alignment vertical="center" wrapText="1"/>
    </xf>
    <xf numFmtId="0" fontId="69" fillId="0" borderId="62" xfId="0" applyFont="1" applyBorder="1" applyAlignment="1">
      <alignment vertical="center" wrapText="1"/>
    </xf>
    <xf numFmtId="0" fontId="69" fillId="0" borderId="63" xfId="0" applyFont="1" applyBorder="1" applyAlignment="1">
      <alignment vertical="center" wrapText="1"/>
    </xf>
    <xf numFmtId="1" fontId="5" fillId="57" borderId="47" xfId="75" applyNumberFormat="1" applyFont="1" applyFill="1" applyBorder="1" applyAlignment="1" applyProtection="1">
      <alignment horizontal="center" vertical="center" wrapText="1"/>
    </xf>
    <xf numFmtId="1" fontId="5" fillId="57" borderId="48" xfId="75" applyNumberFormat="1" applyFont="1" applyFill="1" applyBorder="1" applyAlignment="1" applyProtection="1">
      <alignment horizontal="center" vertical="center" wrapText="1"/>
    </xf>
    <xf numFmtId="1" fontId="5" fillId="57" borderId="49" xfId="75" applyNumberFormat="1" applyFont="1" applyFill="1" applyBorder="1" applyAlignment="1" applyProtection="1">
      <alignment horizontal="center" vertical="center" wrapText="1"/>
    </xf>
    <xf numFmtId="0" fontId="4" fillId="0" borderId="51" xfId="75" applyFont="1" applyFill="1" applyBorder="1" applyProtection="1">
      <protection locked="0"/>
    </xf>
    <xf numFmtId="3" fontId="4" fillId="0" borderId="51" xfId="75" applyNumberFormat="1" applyFont="1" applyFill="1" applyBorder="1" applyProtection="1">
      <protection locked="0"/>
    </xf>
    <xf numFmtId="3" fontId="4" fillId="0" borderId="51" xfId="75" applyNumberFormat="1" applyFont="1" applyFill="1" applyBorder="1" applyProtection="1"/>
    <xf numFmtId="165" fontId="4" fillId="0" borderId="52" xfId="75" applyNumberFormat="1" applyFont="1" applyFill="1" applyBorder="1" applyProtection="1"/>
    <xf numFmtId="0" fontId="4" fillId="0" borderId="55" xfId="75" applyFont="1" applyFill="1" applyBorder="1" applyProtection="1">
      <protection locked="0"/>
    </xf>
    <xf numFmtId="3" fontId="4" fillId="0" borderId="55" xfId="75" applyNumberFormat="1" applyFont="1" applyFill="1" applyBorder="1" applyProtection="1">
      <protection locked="0"/>
    </xf>
    <xf numFmtId="3" fontId="4" fillId="0" borderId="55" xfId="75" applyNumberFormat="1" applyFont="1" applyFill="1" applyBorder="1" applyProtection="1"/>
    <xf numFmtId="165" fontId="4" fillId="0" borderId="56" xfId="75" applyNumberFormat="1" applyFont="1" applyFill="1" applyBorder="1" applyProtection="1"/>
    <xf numFmtId="0" fontId="4" fillId="0" borderId="59" xfId="75" applyFont="1" applyFill="1" applyBorder="1" applyProtection="1">
      <protection locked="0"/>
    </xf>
    <xf numFmtId="3" fontId="4" fillId="0" borderId="59" xfId="75" applyNumberFormat="1" applyFont="1" applyFill="1" applyBorder="1" applyProtection="1">
      <protection locked="0"/>
    </xf>
    <xf numFmtId="3" fontId="4" fillId="0" borderId="59" xfId="75" applyNumberFormat="1" applyFont="1" applyFill="1" applyBorder="1" applyProtection="1"/>
    <xf numFmtId="165" fontId="4" fillId="0" borderId="60" xfId="75" applyNumberFormat="1" applyFont="1" applyFill="1" applyBorder="1" applyProtection="1"/>
    <xf numFmtId="0" fontId="4" fillId="0" borderId="50" xfId="75" applyFont="1" applyFill="1" applyBorder="1" applyProtection="1">
      <protection locked="0"/>
    </xf>
    <xf numFmtId="0" fontId="4" fillId="0" borderId="53" xfId="75" applyFont="1" applyFill="1" applyBorder="1" applyProtection="1">
      <protection locked="0"/>
    </xf>
    <xf numFmtId="0" fontId="0" fillId="0" borderId="64" xfId="0" applyBorder="1" applyProtection="1">
      <protection locked="0"/>
    </xf>
    <xf numFmtId="0" fontId="4" fillId="0" borderId="58" xfId="75" applyFont="1" applyFill="1" applyBorder="1" applyProtection="1">
      <protection locked="0"/>
    </xf>
    <xf numFmtId="49" fontId="5" fillId="57" borderId="48" xfId="0" applyNumberFormat="1" applyFont="1" applyFill="1" applyBorder="1" applyAlignment="1">
      <alignment horizontal="center" vertical="center" wrapText="1"/>
    </xf>
    <xf numFmtId="0" fontId="5" fillId="57" borderId="47" xfId="0" applyFont="1" applyFill="1" applyBorder="1" applyAlignment="1">
      <alignment horizontal="right"/>
    </xf>
    <xf numFmtId="0" fontId="5" fillId="57" borderId="49" xfId="0" applyFont="1" applyFill="1" applyBorder="1" applyAlignment="1">
      <alignment horizontal="center"/>
    </xf>
    <xf numFmtId="3" fontId="4" fillId="0" borderId="51" xfId="75" applyNumberFormat="1" applyFont="1" applyFill="1" applyBorder="1" applyAlignment="1" applyProtection="1">
      <alignment horizontal="right" indent="1"/>
    </xf>
    <xf numFmtId="3" fontId="4" fillId="0" borderId="52" xfId="75" applyNumberFormat="1" applyFont="1" applyFill="1" applyBorder="1" applyAlignment="1" applyProtection="1">
      <alignment horizontal="right" indent="1"/>
      <protection locked="0"/>
    </xf>
    <xf numFmtId="3" fontId="4" fillId="0" borderId="55" xfId="75" applyNumberFormat="1" applyFont="1" applyFill="1" applyBorder="1" applyAlignment="1" applyProtection="1">
      <alignment horizontal="right" indent="1"/>
    </xf>
    <xf numFmtId="3" fontId="4" fillId="0" borderId="56" xfId="75" applyNumberFormat="1" applyFont="1" applyFill="1" applyBorder="1" applyAlignment="1" applyProtection="1">
      <alignment horizontal="right" indent="1"/>
      <protection locked="0"/>
    </xf>
    <xf numFmtId="3" fontId="4" fillId="0" borderId="59" xfId="75" applyNumberFormat="1" applyFont="1" applyFill="1" applyBorder="1" applyAlignment="1" applyProtection="1">
      <alignment horizontal="right" indent="1"/>
    </xf>
    <xf numFmtId="3" fontId="4" fillId="0" borderId="65" xfId="75" applyNumberFormat="1" applyFont="1" applyFill="1" applyBorder="1" applyAlignment="1" applyProtection="1">
      <alignment horizontal="right" indent="1"/>
      <protection locked="0"/>
    </xf>
    <xf numFmtId="3" fontId="4" fillId="0" borderId="66" xfId="75" applyNumberFormat="1" applyFont="1" applyFill="1" applyBorder="1" applyAlignment="1" applyProtection="1">
      <alignment horizontal="right" indent="1"/>
      <protection locked="0"/>
    </xf>
    <xf numFmtId="3" fontId="4" fillId="0" borderId="60" xfId="75" applyNumberFormat="1" applyFont="1" applyFill="1" applyBorder="1" applyAlignment="1" applyProtection="1">
      <alignment horizontal="right" indent="1"/>
      <protection locked="0"/>
    </xf>
    <xf numFmtId="0" fontId="80" fillId="57" borderId="32" xfId="0" applyFont="1" applyFill="1" applyBorder="1" applyProtection="1"/>
    <xf numFmtId="0" fontId="31" fillId="57" borderId="33" xfId="0" applyFont="1" applyFill="1" applyBorder="1" applyProtection="1">
      <protection locked="0"/>
    </xf>
    <xf numFmtId="3" fontId="31" fillId="57" borderId="34" xfId="0" applyNumberFormat="1" applyFont="1" applyFill="1" applyBorder="1" applyProtection="1"/>
    <xf numFmtId="0" fontId="28" fillId="57" borderId="32" xfId="0" applyFont="1" applyFill="1" applyBorder="1"/>
    <xf numFmtId="0" fontId="31" fillId="57" borderId="33" xfId="0" applyFont="1" applyFill="1" applyBorder="1"/>
    <xf numFmtId="0" fontId="28" fillId="57" borderId="34" xfId="0" applyFont="1" applyFill="1" applyBorder="1"/>
    <xf numFmtId="165" fontId="31" fillId="57" borderId="34" xfId="0" applyNumberFormat="1" applyFont="1" applyFill="1" applyBorder="1"/>
    <xf numFmtId="0" fontId="31" fillId="57" borderId="34" xfId="0" applyFont="1" applyFill="1" applyBorder="1"/>
    <xf numFmtId="14" fontId="31" fillId="57" borderId="34" xfId="0" applyNumberFormat="1" applyFont="1" applyFill="1" applyBorder="1"/>
    <xf numFmtId="3" fontId="34" fillId="57" borderId="32" xfId="0" applyNumberFormat="1" applyFont="1" applyFill="1" applyBorder="1" applyAlignment="1">
      <alignment horizontal="center" vertical="center"/>
    </xf>
    <xf numFmtId="3" fontId="34" fillId="57" borderId="33" xfId="0" applyNumberFormat="1" applyFont="1" applyFill="1" applyBorder="1" applyAlignment="1" applyProtection="1">
      <alignment horizontal="center" vertical="center"/>
      <protection locked="0"/>
    </xf>
    <xf numFmtId="3" fontId="34" fillId="57" borderId="34" xfId="0" applyNumberFormat="1" applyFont="1" applyFill="1" applyBorder="1" applyAlignment="1" applyProtection="1">
      <alignment horizontal="center" vertical="center"/>
      <protection locked="0"/>
    </xf>
    <xf numFmtId="1" fontId="36" fillId="57" borderId="32" xfId="0" applyNumberFormat="1" applyFont="1" applyFill="1" applyBorder="1" applyAlignment="1" applyProtection="1">
      <alignment vertical="top"/>
    </xf>
    <xf numFmtId="1" fontId="36" fillId="57" borderId="33" xfId="0" applyNumberFormat="1" applyFont="1" applyFill="1" applyBorder="1" applyAlignment="1" applyProtection="1">
      <alignment vertical="top"/>
      <protection locked="0"/>
    </xf>
    <xf numFmtId="1" fontId="36" fillId="57" borderId="34" xfId="0" applyNumberFormat="1" applyFont="1" applyFill="1" applyBorder="1" applyAlignment="1">
      <alignment vertical="top"/>
    </xf>
    <xf numFmtId="0" fontId="28" fillId="0" borderId="36" xfId="0" applyFont="1" applyBorder="1"/>
    <xf numFmtId="0" fontId="0" fillId="0" borderId="0" xfId="0" applyBorder="1" applyAlignment="1"/>
    <xf numFmtId="0" fontId="28" fillId="0" borderId="32" xfId="0" applyFont="1" applyBorder="1"/>
    <xf numFmtId="0" fontId="28" fillId="0" borderId="33" xfId="0" applyFont="1" applyBorder="1"/>
    <xf numFmtId="0" fontId="28" fillId="0" borderId="34" xfId="0" applyFont="1" applyBorder="1"/>
    <xf numFmtId="0" fontId="30" fillId="57" borderId="71" xfId="0" applyFont="1" applyFill="1" applyBorder="1" applyAlignment="1" applyProtection="1">
      <alignment horizontal="center" vertical="center" wrapText="1"/>
      <protection hidden="1"/>
    </xf>
    <xf numFmtId="1" fontId="6" fillId="24" borderId="55" xfId="0" applyNumberFormat="1" applyFont="1" applyFill="1" applyBorder="1" applyAlignment="1" applyProtection="1">
      <alignment horizontal="center" vertical="center"/>
      <protection hidden="1"/>
    </xf>
    <xf numFmtId="1" fontId="6" fillId="24" borderId="72" xfId="0" applyNumberFormat="1" applyFont="1" applyFill="1" applyBorder="1" applyAlignment="1" applyProtection="1">
      <alignment horizontal="center" vertical="center"/>
      <protection hidden="1"/>
    </xf>
    <xf numFmtId="1" fontId="6" fillId="24" borderId="73" xfId="0" applyNumberFormat="1" applyFont="1" applyFill="1" applyBorder="1" applyAlignment="1" applyProtection="1">
      <alignment horizontal="center" vertical="center"/>
      <protection hidden="1"/>
    </xf>
    <xf numFmtId="1" fontId="6" fillId="0" borderId="55" xfId="0" applyNumberFormat="1" applyFont="1" applyFill="1" applyBorder="1" applyAlignment="1" applyProtection="1">
      <alignment horizontal="center" vertical="center"/>
      <protection hidden="1"/>
    </xf>
    <xf numFmtId="165" fontId="6" fillId="24" borderId="73" xfId="0" applyNumberFormat="1" applyFont="1" applyFill="1" applyBorder="1" applyAlignment="1" applyProtection="1">
      <alignment horizontal="center" vertical="center"/>
      <protection hidden="1"/>
    </xf>
    <xf numFmtId="1" fontId="6" fillId="24" borderId="70" xfId="0" applyNumberFormat="1" applyFont="1" applyFill="1" applyBorder="1" applyAlignment="1" applyProtection="1">
      <alignment horizontal="center" vertical="center"/>
      <protection hidden="1"/>
    </xf>
    <xf numFmtId="164" fontId="6" fillId="24" borderId="55" xfId="0" applyNumberFormat="1" applyFont="1" applyFill="1" applyBorder="1" applyAlignment="1" applyProtection="1">
      <alignment horizontal="center" vertical="center"/>
      <protection hidden="1"/>
    </xf>
    <xf numFmtId="164" fontId="6" fillId="24" borderId="73" xfId="0" applyNumberFormat="1" applyFont="1" applyFill="1" applyBorder="1" applyAlignment="1" applyProtection="1">
      <alignment horizontal="center" vertical="center"/>
      <protection hidden="1"/>
    </xf>
    <xf numFmtId="0" fontId="30" fillId="57" borderId="74" xfId="0" applyFont="1" applyFill="1" applyBorder="1" applyAlignment="1" applyProtection="1">
      <alignment horizontal="center" vertical="center" wrapText="1"/>
      <protection hidden="1"/>
    </xf>
    <xf numFmtId="1" fontId="6" fillId="24" borderId="54" xfId="0" applyNumberFormat="1" applyFont="1" applyFill="1" applyBorder="1" applyAlignment="1" applyProtection="1">
      <alignment horizontal="center" vertical="center"/>
      <protection hidden="1"/>
    </xf>
    <xf numFmtId="165" fontId="6" fillId="24" borderId="55" xfId="0" applyNumberFormat="1" applyFont="1" applyFill="1" applyBorder="1" applyAlignment="1" applyProtection="1">
      <alignment horizontal="center" vertical="center"/>
      <protection hidden="1"/>
    </xf>
    <xf numFmtId="0" fontId="32" fillId="0" borderId="0" xfId="0" applyFont="1" applyBorder="1" applyAlignment="1">
      <alignment vertical="center"/>
    </xf>
    <xf numFmtId="3" fontId="6" fillId="24" borderId="0" xfId="0" applyNumberFormat="1" applyFont="1" applyFill="1" applyBorder="1" applyAlignment="1">
      <alignment horizontal="center" vertical="center"/>
    </xf>
    <xf numFmtId="0" fontId="30" fillId="57" borderId="76" xfId="0" applyFont="1" applyFill="1" applyBorder="1" applyAlignment="1">
      <alignment horizontal="center" vertical="center" wrapText="1"/>
    </xf>
    <xf numFmtId="166" fontId="6" fillId="24" borderId="77" xfId="0" applyNumberFormat="1" applyFont="1" applyFill="1" applyBorder="1" applyAlignment="1">
      <alignment horizontal="center" vertical="center"/>
    </xf>
    <xf numFmtId="3" fontId="6" fillId="24" borderId="78" xfId="0" applyNumberFormat="1" applyFont="1" applyFill="1" applyBorder="1" applyAlignment="1">
      <alignment horizontal="center" vertical="center"/>
    </xf>
    <xf numFmtId="165" fontId="6" fillId="24" borderId="54" xfId="0" applyNumberFormat="1" applyFont="1" applyFill="1" applyBorder="1" applyAlignment="1">
      <alignment horizontal="center" vertical="center"/>
    </xf>
    <xf numFmtId="166" fontId="6" fillId="24" borderId="54" xfId="0" applyNumberFormat="1" applyFont="1" applyFill="1" applyBorder="1" applyAlignment="1">
      <alignment horizontal="center" vertical="center"/>
    </xf>
    <xf numFmtId="0" fontId="6" fillId="0" borderId="55" xfId="0" applyFont="1" applyFill="1" applyBorder="1" applyAlignment="1">
      <alignment horizontal="center" vertical="center"/>
    </xf>
    <xf numFmtId="1" fontId="6" fillId="24" borderId="55" xfId="0" applyNumberFormat="1" applyFont="1" applyFill="1" applyBorder="1" applyAlignment="1">
      <alignment vertical="center"/>
    </xf>
    <xf numFmtId="166" fontId="6" fillId="24" borderId="55" xfId="0" applyNumberFormat="1" applyFont="1" applyFill="1" applyBorder="1" applyAlignment="1">
      <alignment horizontal="center" vertical="center"/>
    </xf>
    <xf numFmtId="1" fontId="6" fillId="0" borderId="55" xfId="0" applyNumberFormat="1" applyFont="1" applyFill="1" applyBorder="1" applyAlignment="1">
      <alignment horizontal="center" vertical="center"/>
    </xf>
    <xf numFmtId="0" fontId="6" fillId="0" borderId="54" xfId="0" applyFont="1" applyFill="1" applyBorder="1" applyAlignment="1">
      <alignment horizontal="center" vertical="center"/>
    </xf>
    <xf numFmtId="0" fontId="30" fillId="57" borderId="37" xfId="0" applyFont="1" applyFill="1" applyBorder="1" applyAlignment="1">
      <alignment horizontal="center" vertical="center" wrapText="1"/>
    </xf>
    <xf numFmtId="0" fontId="7" fillId="0" borderId="72" xfId="0" applyFont="1" applyFill="1" applyBorder="1" applyAlignment="1">
      <alignment vertical="center"/>
    </xf>
    <xf numFmtId="1" fontId="7" fillId="0" borderId="72" xfId="0" applyNumberFormat="1" applyFont="1" applyFill="1" applyBorder="1" applyAlignment="1">
      <alignment vertical="center"/>
    </xf>
    <xf numFmtId="166" fontId="7" fillId="24" borderId="72" xfId="0" applyNumberFormat="1" applyFont="1" applyFill="1" applyBorder="1" applyAlignment="1">
      <alignment horizontal="center" vertical="center"/>
    </xf>
    <xf numFmtId="3" fontId="30" fillId="57" borderId="37" xfId="0" applyNumberFormat="1" applyFont="1" applyFill="1" applyBorder="1" applyAlignment="1">
      <alignment horizontal="left" vertical="center" wrapText="1"/>
    </xf>
    <xf numFmtId="3" fontId="6" fillId="24" borderId="77" xfId="0" applyNumberFormat="1" applyFont="1" applyFill="1" applyBorder="1" applyAlignment="1">
      <alignment horizontal="center" vertical="center"/>
    </xf>
    <xf numFmtId="169" fontId="77" fillId="57" borderId="51" xfId="0" applyNumberFormat="1" applyFont="1" applyFill="1" applyBorder="1" applyAlignment="1">
      <alignment horizontal="center" vertical="center" wrapText="1"/>
    </xf>
    <xf numFmtId="169" fontId="77" fillId="57" borderId="52" xfId="0" applyNumberFormat="1" applyFont="1" applyFill="1" applyBorder="1" applyAlignment="1">
      <alignment horizontal="center" vertical="center" wrapText="1"/>
    </xf>
    <xf numFmtId="1" fontId="6" fillId="24" borderId="55" xfId="0" applyNumberFormat="1" applyFont="1" applyFill="1" applyBorder="1" applyAlignment="1">
      <alignment horizontal="center" vertical="center"/>
    </xf>
    <xf numFmtId="1" fontId="6" fillId="24" borderId="56" xfId="0" applyNumberFormat="1" applyFont="1" applyFill="1" applyBorder="1" applyAlignment="1">
      <alignment horizontal="center" vertical="center"/>
    </xf>
    <xf numFmtId="1" fontId="6" fillId="56" borderId="55" xfId="0" applyNumberFormat="1" applyFont="1" applyFill="1" applyBorder="1" applyAlignment="1" applyProtection="1">
      <alignment horizontal="center" vertical="center"/>
      <protection locked="0"/>
    </xf>
    <xf numFmtId="1" fontId="6" fillId="56" borderId="56" xfId="0" applyNumberFormat="1" applyFont="1" applyFill="1" applyBorder="1" applyAlignment="1" applyProtection="1">
      <alignment horizontal="center" vertical="center"/>
      <protection locked="0"/>
    </xf>
    <xf numFmtId="1" fontId="6" fillId="24" borderId="59" xfId="0" applyNumberFormat="1" applyFont="1" applyFill="1" applyBorder="1" applyAlignment="1">
      <alignment horizontal="center" vertical="center"/>
    </xf>
    <xf numFmtId="1" fontId="6" fillId="24" borderId="60" xfId="0" applyNumberFormat="1" applyFont="1" applyFill="1" applyBorder="1" applyAlignment="1">
      <alignment horizontal="center" vertical="center"/>
    </xf>
    <xf numFmtId="169" fontId="30" fillId="57" borderId="85" xfId="0" applyNumberFormat="1" applyFont="1" applyFill="1" applyBorder="1" applyAlignment="1">
      <alignment horizontal="center" vertical="center" wrapText="1"/>
    </xf>
    <xf numFmtId="169" fontId="30" fillId="57" borderId="86" xfId="0" applyNumberFormat="1" applyFont="1" applyFill="1" applyBorder="1" applyAlignment="1">
      <alignment horizontal="center" vertical="center" wrapText="1"/>
    </xf>
    <xf numFmtId="1" fontId="6" fillId="24" borderId="54" xfId="0" applyNumberFormat="1" applyFont="1" applyFill="1" applyBorder="1" applyAlignment="1">
      <alignment horizontal="center" vertical="center"/>
    </xf>
    <xf numFmtId="1" fontId="6" fillId="24" borderId="87" xfId="0" applyNumberFormat="1" applyFont="1" applyFill="1" applyBorder="1" applyAlignment="1">
      <alignment horizontal="center" vertical="center"/>
    </xf>
    <xf numFmtId="169" fontId="30" fillId="57" borderId="51" xfId="0" applyNumberFormat="1" applyFont="1" applyFill="1" applyBorder="1" applyAlignment="1">
      <alignment horizontal="center" vertical="center" wrapText="1"/>
    </xf>
    <xf numFmtId="169" fontId="30" fillId="57" borderId="52" xfId="0" applyNumberFormat="1" applyFont="1" applyFill="1" applyBorder="1" applyAlignment="1">
      <alignment horizontal="center" vertical="center" wrapText="1"/>
    </xf>
    <xf numFmtId="1" fontId="6" fillId="24" borderId="56" xfId="0" applyNumberFormat="1" applyFont="1" applyFill="1" applyBorder="1" applyAlignment="1" applyProtection="1">
      <alignment horizontal="center" vertical="center"/>
    </xf>
    <xf numFmtId="1" fontId="6" fillId="56" borderId="72" xfId="0" applyNumberFormat="1" applyFont="1" applyFill="1" applyBorder="1" applyAlignment="1">
      <alignment horizontal="center" vertical="center"/>
    </xf>
    <xf numFmtId="1" fontId="6" fillId="56" borderId="72" xfId="0" applyNumberFormat="1" applyFont="1" applyFill="1" applyBorder="1" applyAlignment="1" applyProtection="1">
      <alignment horizontal="center" vertical="center"/>
      <protection locked="0"/>
    </xf>
    <xf numFmtId="169" fontId="66" fillId="0" borderId="38" xfId="0" applyNumberFormat="1" applyFont="1" applyBorder="1" applyAlignment="1" applyProtection="1">
      <alignment horizontal="center"/>
      <protection locked="0"/>
    </xf>
    <xf numFmtId="167" fontId="78" fillId="0" borderId="0" xfId="75" applyNumberFormat="1" applyFont="1" applyFill="1" applyBorder="1" applyProtection="1">
      <protection hidden="1"/>
    </xf>
    <xf numFmtId="3" fontId="79" fillId="0" borderId="0" xfId="0" applyNumberFormat="1" applyFont="1"/>
    <xf numFmtId="1" fontId="79" fillId="0" borderId="0" xfId="0" applyNumberFormat="1" applyFont="1"/>
    <xf numFmtId="1" fontId="50" fillId="0" borderId="0" xfId="0" applyNumberFormat="1" applyFont="1"/>
    <xf numFmtId="49" fontId="32" fillId="0" borderId="0" xfId="0" applyNumberFormat="1" applyFont="1" applyAlignment="1"/>
    <xf numFmtId="4" fontId="68" fillId="0" borderId="0" xfId="0" applyNumberFormat="1" applyFont="1"/>
    <xf numFmtId="0" fontId="0" fillId="0" borderId="37" xfId="0" applyBorder="1" applyAlignment="1" applyProtection="1">
      <protection locked="0"/>
    </xf>
    <xf numFmtId="0" fontId="84" fillId="0" borderId="0" xfId="67" applyFont="1" applyAlignment="1" applyProtection="1">
      <protection locked="0"/>
    </xf>
    <xf numFmtId="49" fontId="0" fillId="0" borderId="35" xfId="0" applyNumberFormat="1" applyBorder="1" applyAlignment="1" applyProtection="1">
      <alignment vertical="top"/>
      <protection hidden="1"/>
    </xf>
    <xf numFmtId="49" fontId="0" fillId="0" borderId="0" xfId="0" applyNumberFormat="1" applyBorder="1" applyAlignment="1" applyProtection="1">
      <alignment vertical="top"/>
      <protection hidden="1"/>
    </xf>
    <xf numFmtId="49" fontId="0" fillId="0" borderId="36" xfId="0" applyNumberFormat="1" applyBorder="1" applyAlignment="1" applyProtection="1">
      <alignment vertical="top"/>
      <protection hidden="1"/>
    </xf>
    <xf numFmtId="49" fontId="0" fillId="0" borderId="0" xfId="0" applyNumberFormat="1" applyBorder="1" applyAlignment="1" applyProtection="1">
      <alignment vertical="top" wrapText="1"/>
      <protection hidden="1"/>
    </xf>
    <xf numFmtId="49" fontId="0" fillId="0" borderId="36" xfId="0" applyNumberFormat="1" applyBorder="1" applyAlignment="1" applyProtection="1">
      <alignment vertical="top" wrapText="1"/>
      <protection hidden="1"/>
    </xf>
    <xf numFmtId="49" fontId="8" fillId="0" borderId="0" xfId="0" applyNumberFormat="1" applyFont="1" applyBorder="1" applyAlignment="1" applyProtection="1">
      <alignment vertical="top"/>
      <protection hidden="1"/>
    </xf>
    <xf numFmtId="49" fontId="33" fillId="0" borderId="35" xfId="67" applyNumberFormat="1" applyFont="1" applyBorder="1" applyAlignment="1" applyProtection="1">
      <alignment vertical="top"/>
      <protection locked="0" hidden="1"/>
    </xf>
    <xf numFmtId="49" fontId="33" fillId="0" borderId="32" xfId="67" applyNumberFormat="1" applyFont="1" applyBorder="1" applyAlignment="1" applyProtection="1">
      <alignment vertical="top"/>
      <protection locked="0" hidden="1"/>
    </xf>
    <xf numFmtId="49" fontId="28" fillId="0" borderId="0" xfId="0" applyNumberFormat="1" applyFont="1" applyBorder="1" applyAlignment="1">
      <alignment vertical="top" wrapText="1"/>
    </xf>
    <xf numFmtId="49" fontId="28" fillId="0" borderId="11" xfId="0" applyNumberFormat="1" applyFont="1" applyBorder="1" applyAlignment="1">
      <alignment vertical="top" wrapText="1"/>
    </xf>
    <xf numFmtId="49" fontId="28" fillId="0" borderId="10" xfId="0" applyNumberFormat="1" applyFont="1" applyBorder="1" applyAlignment="1">
      <alignment vertical="top" wrapText="1"/>
    </xf>
    <xf numFmtId="49" fontId="8" fillId="0" borderId="35" xfId="0" applyNumberFormat="1" applyFont="1" applyBorder="1" applyAlignment="1" applyProtection="1">
      <alignment vertical="top" wrapText="1"/>
      <protection hidden="1"/>
    </xf>
    <xf numFmtId="0" fontId="0" fillId="0" borderId="0" xfId="0" applyBorder="1" applyAlignment="1" applyProtection="1">
      <alignment vertical="top" wrapText="1"/>
      <protection hidden="1"/>
    </xf>
    <xf numFmtId="0" fontId="0" fillId="0" borderId="36" xfId="0" applyBorder="1" applyAlignment="1" applyProtection="1">
      <alignment vertical="top" wrapText="1"/>
      <protection hidden="1"/>
    </xf>
    <xf numFmtId="0" fontId="81" fillId="0" borderId="29" xfId="0" applyFont="1" applyBorder="1" applyAlignment="1" applyProtection="1">
      <alignment vertical="center" wrapText="1"/>
      <protection hidden="1"/>
    </xf>
    <xf numFmtId="0" fontId="81" fillId="0" borderId="30" xfId="0" applyFont="1" applyBorder="1" applyAlignment="1" applyProtection="1">
      <alignment vertical="center"/>
      <protection hidden="1"/>
    </xf>
    <xf numFmtId="0" fontId="81" fillId="0" borderId="31" xfId="0" applyFont="1" applyBorder="1" applyAlignment="1" applyProtection="1">
      <alignment vertical="center"/>
      <protection hidden="1"/>
    </xf>
    <xf numFmtId="49" fontId="28" fillId="0" borderId="35" xfId="0" applyNumberFormat="1" applyFont="1" applyBorder="1" applyAlignment="1" applyProtection="1">
      <alignment vertical="top" wrapText="1"/>
      <protection hidden="1"/>
    </xf>
    <xf numFmtId="49" fontId="28" fillId="0" borderId="0" xfId="0" applyNumberFormat="1" applyFont="1" applyBorder="1" applyAlignment="1" applyProtection="1">
      <alignment vertical="top" wrapText="1"/>
      <protection hidden="1"/>
    </xf>
    <xf numFmtId="49" fontId="28" fillId="0" borderId="36" xfId="0" applyNumberFormat="1" applyFont="1" applyBorder="1" applyAlignment="1" applyProtection="1">
      <alignment vertical="top" wrapText="1"/>
      <protection hidden="1"/>
    </xf>
    <xf numFmtId="0" fontId="30" fillId="57" borderId="35" xfId="0" applyFont="1" applyFill="1" applyBorder="1" applyAlignment="1" applyProtection="1">
      <alignment horizontal="left" vertical="center" indent="1"/>
      <protection hidden="1"/>
    </xf>
    <xf numFmtId="0" fontId="30" fillId="57" borderId="0" xfId="0" applyFont="1" applyFill="1" applyBorder="1" applyAlignment="1" applyProtection="1">
      <alignment horizontal="left" vertical="center" indent="1"/>
      <protection hidden="1"/>
    </xf>
    <xf numFmtId="0" fontId="30" fillId="57" borderId="36" xfId="0" applyFont="1" applyFill="1" applyBorder="1" applyAlignment="1" applyProtection="1">
      <alignment horizontal="left" vertical="center" indent="1"/>
      <protection hidden="1"/>
    </xf>
    <xf numFmtId="49" fontId="28" fillId="0" borderId="33" xfId="0" applyNumberFormat="1" applyFont="1" applyBorder="1" applyAlignment="1" applyProtection="1">
      <alignment vertical="top" wrapText="1"/>
      <protection hidden="1"/>
    </xf>
    <xf numFmtId="49" fontId="28" fillId="0" borderId="34" xfId="0" applyNumberFormat="1" applyFont="1" applyBorder="1" applyAlignment="1" applyProtection="1">
      <alignment vertical="top" wrapText="1"/>
      <protection hidden="1"/>
    </xf>
    <xf numFmtId="49" fontId="28" fillId="0" borderId="0" xfId="0" applyNumberFormat="1" applyFont="1" applyBorder="1" applyAlignment="1" applyProtection="1">
      <alignment vertical="top"/>
      <protection hidden="1"/>
    </xf>
    <xf numFmtId="0" fontId="0" fillId="0" borderId="0" xfId="0" applyBorder="1" applyProtection="1">
      <protection hidden="1"/>
    </xf>
    <xf numFmtId="0" fontId="0" fillId="0" borderId="36" xfId="0" applyBorder="1" applyProtection="1">
      <protection hidden="1"/>
    </xf>
    <xf numFmtId="49" fontId="28" fillId="0" borderId="36" xfId="0" applyNumberFormat="1" applyFont="1" applyBorder="1" applyAlignment="1" applyProtection="1">
      <alignment vertical="top"/>
      <protection hidden="1"/>
    </xf>
    <xf numFmtId="0" fontId="30" fillId="57" borderId="47" xfId="0" applyFont="1" applyFill="1" applyBorder="1"/>
    <xf numFmtId="0" fontId="30" fillId="57" borderId="49" xfId="0" applyFont="1" applyFill="1" applyBorder="1"/>
    <xf numFmtId="0" fontId="76" fillId="0" borderId="29" xfId="0" applyFont="1" applyBorder="1" applyAlignment="1">
      <alignment vertical="center"/>
    </xf>
    <xf numFmtId="0" fontId="76" fillId="0" borderId="30" xfId="0" applyFont="1" applyBorder="1" applyAlignment="1">
      <alignment vertical="center"/>
    </xf>
    <xf numFmtId="0" fontId="76" fillId="0" borderId="31" xfId="0" applyFont="1" applyBorder="1" applyAlignment="1">
      <alignment vertical="center"/>
    </xf>
    <xf numFmtId="0" fontId="40" fillId="0" borderId="0" xfId="0" applyFont="1" applyBorder="1" applyAlignment="1">
      <alignment vertical="top" wrapText="1"/>
    </xf>
    <xf numFmtId="0" fontId="40" fillId="0" borderId="0" xfId="0" applyFont="1" applyAlignment="1">
      <alignment vertical="top" wrapText="1"/>
    </xf>
    <xf numFmtId="3" fontId="41" fillId="57" borderId="42" xfId="0" applyNumberFormat="1" applyFont="1" applyFill="1" applyBorder="1" applyAlignment="1">
      <alignment horizontal="center" vertical="top"/>
    </xf>
    <xf numFmtId="3" fontId="41" fillId="57" borderId="0" xfId="0" applyNumberFormat="1" applyFont="1" applyFill="1" applyBorder="1" applyAlignment="1">
      <alignment horizontal="center" vertical="top"/>
    </xf>
    <xf numFmtId="3" fontId="41" fillId="57" borderId="43" xfId="0" applyNumberFormat="1" applyFont="1" applyFill="1" applyBorder="1" applyAlignment="1">
      <alignment horizontal="center" vertical="top"/>
    </xf>
    <xf numFmtId="0" fontId="41" fillId="57" borderId="39" xfId="0" applyFont="1" applyFill="1" applyBorder="1" applyAlignment="1">
      <alignment horizontal="center" vertical="center" wrapText="1"/>
    </xf>
    <xf numFmtId="0" fontId="41" fillId="57" borderId="40" xfId="0" applyFont="1" applyFill="1" applyBorder="1" applyAlignment="1">
      <alignment horizontal="center" vertical="center" wrapText="1"/>
    </xf>
    <xf numFmtId="0" fontId="41" fillId="57" borderId="41" xfId="0" applyFont="1" applyFill="1" applyBorder="1" applyAlignment="1">
      <alignment horizontal="center" vertical="center" wrapText="1"/>
    </xf>
    <xf numFmtId="0" fontId="41" fillId="57" borderId="42" xfId="0" applyFont="1" applyFill="1" applyBorder="1" applyAlignment="1">
      <alignment horizontal="center" vertical="center" wrapText="1"/>
    </xf>
    <xf numFmtId="0" fontId="41" fillId="57" borderId="0" xfId="0" applyFont="1" applyFill="1" applyBorder="1" applyAlignment="1">
      <alignment horizontal="center" vertical="center" wrapText="1"/>
    </xf>
    <xf numFmtId="0" fontId="41" fillId="57" borderId="43" xfId="0" applyFont="1" applyFill="1" applyBorder="1" applyAlignment="1">
      <alignment horizontal="center" vertical="center" wrapText="1"/>
    </xf>
    <xf numFmtId="0" fontId="71" fillId="0" borderId="15" xfId="0" applyFont="1" applyBorder="1" applyAlignment="1" applyProtection="1">
      <alignment vertical="top" wrapText="1"/>
      <protection locked="0"/>
    </xf>
    <xf numFmtId="0" fontId="8" fillId="0" borderId="17" xfId="0" applyFont="1" applyBorder="1" applyAlignment="1" applyProtection="1">
      <alignment vertical="top" wrapText="1"/>
      <protection locked="0"/>
    </xf>
    <xf numFmtId="0" fontId="8" fillId="0" borderId="18" xfId="0" applyFont="1" applyBorder="1" applyAlignment="1" applyProtection="1">
      <alignment vertical="top" wrapText="1"/>
      <protection locked="0"/>
    </xf>
    <xf numFmtId="0" fontId="8" fillId="0" borderId="19" xfId="0" applyFont="1" applyBorder="1" applyAlignment="1" applyProtection="1">
      <alignment vertical="top" wrapText="1"/>
      <protection locked="0"/>
    </xf>
    <xf numFmtId="0" fontId="2" fillId="0" borderId="17" xfId="0" applyFont="1" applyBorder="1" applyAlignment="1" applyProtection="1">
      <alignment vertical="top" wrapText="1"/>
      <protection locked="0"/>
    </xf>
    <xf numFmtId="0" fontId="2" fillId="0" borderId="18" xfId="0" applyFont="1" applyBorder="1" applyAlignment="1" applyProtection="1">
      <alignment vertical="top" wrapText="1"/>
      <protection locked="0"/>
    </xf>
    <xf numFmtId="0" fontId="2" fillId="0" borderId="19" xfId="0" applyFont="1" applyBorder="1" applyAlignment="1" applyProtection="1">
      <alignment vertical="top" wrapText="1"/>
      <protection locked="0"/>
    </xf>
    <xf numFmtId="0" fontId="28" fillId="0" borderId="0" xfId="0" applyFont="1" applyAlignment="1">
      <alignment vertical="top" wrapText="1"/>
    </xf>
    <xf numFmtId="0" fontId="9" fillId="0" borderId="0" xfId="0" applyFont="1" applyAlignment="1">
      <alignment horizontal="center" vertical="top" wrapText="1"/>
    </xf>
    <xf numFmtId="0" fontId="70" fillId="0" borderId="0" xfId="0" applyFont="1" applyAlignment="1">
      <alignment horizontal="center" vertical="top" wrapText="1"/>
    </xf>
    <xf numFmtId="0" fontId="8" fillId="0" borderId="0" xfId="0" applyFont="1" applyAlignment="1">
      <alignment vertical="top" wrapText="1"/>
    </xf>
    <xf numFmtId="0" fontId="30" fillId="57" borderId="32" xfId="0" applyFont="1" applyFill="1" applyBorder="1" applyAlignment="1">
      <alignment horizontal="left" vertical="center" indent="1"/>
    </xf>
    <xf numFmtId="0" fontId="30" fillId="57" borderId="33" xfId="0" applyFont="1" applyFill="1" applyBorder="1" applyAlignment="1">
      <alignment horizontal="left" vertical="center" indent="1"/>
    </xf>
    <xf numFmtId="0" fontId="30" fillId="57" borderId="34" xfId="0" applyFont="1" applyFill="1" applyBorder="1" applyAlignment="1">
      <alignment horizontal="left" vertical="center" indent="1"/>
    </xf>
    <xf numFmtId="0" fontId="83" fillId="0" borderId="0" xfId="0" applyFont="1" applyAlignment="1">
      <alignment horizontal="left" vertical="top" wrapText="1"/>
    </xf>
    <xf numFmtId="0" fontId="30" fillId="57" borderId="35" xfId="0" applyFont="1" applyFill="1" applyBorder="1" applyAlignment="1">
      <alignment horizontal="left" vertical="center" indent="1"/>
    </xf>
    <xf numFmtId="0" fontId="30" fillId="57" borderId="0" xfId="0" applyFont="1" applyFill="1" applyBorder="1" applyAlignment="1">
      <alignment horizontal="left" vertical="center" indent="1"/>
    </xf>
    <xf numFmtId="0" fontId="30" fillId="57" borderId="36" xfId="0" applyFont="1" applyFill="1" applyBorder="1" applyAlignment="1">
      <alignment horizontal="left" vertical="center" indent="1"/>
    </xf>
    <xf numFmtId="0" fontId="82" fillId="0" borderId="35" xfId="0" applyFont="1" applyBorder="1" applyAlignment="1">
      <alignment horizontal="center"/>
    </xf>
    <xf numFmtId="0" fontId="82" fillId="0" borderId="0" xfId="0" applyFont="1" applyBorder="1" applyAlignment="1">
      <alignment horizontal="center"/>
    </xf>
    <xf numFmtId="0" fontId="82" fillId="0" borderId="36" xfId="0" applyFont="1" applyBorder="1" applyAlignment="1">
      <alignment horizontal="center"/>
    </xf>
    <xf numFmtId="1" fontId="41" fillId="57" borderId="42" xfId="0" applyNumberFormat="1" applyFont="1" applyFill="1" applyBorder="1" applyAlignment="1">
      <alignment horizontal="center" vertical="top"/>
    </xf>
    <xf numFmtId="1" fontId="41" fillId="57" borderId="43" xfId="0" applyNumberFormat="1" applyFont="1" applyFill="1" applyBorder="1" applyAlignment="1">
      <alignment horizontal="center" vertical="top"/>
    </xf>
    <xf numFmtId="0" fontId="82" fillId="0" borderId="0" xfId="0" applyFont="1" applyAlignment="1">
      <alignment horizontal="center"/>
    </xf>
    <xf numFmtId="0" fontId="28" fillId="0" borderId="0" xfId="0" applyFont="1" applyAlignment="1">
      <alignment horizontal="left" vertical="top" wrapText="1"/>
    </xf>
    <xf numFmtId="0" fontId="4" fillId="0" borderId="53" xfId="75" applyFont="1" applyFill="1" applyBorder="1" applyProtection="1">
      <protection locked="0"/>
    </xf>
    <xf numFmtId="0" fontId="4" fillId="0" borderId="55" xfId="75" applyFont="1" applyFill="1" applyBorder="1" applyProtection="1">
      <protection locked="0"/>
    </xf>
    <xf numFmtId="0" fontId="8" fillId="0" borderId="0" xfId="0" applyFont="1" applyAlignment="1" applyProtection="1">
      <alignment vertical="top" wrapText="1"/>
    </xf>
    <xf numFmtId="0" fontId="48" fillId="0" borderId="0" xfId="0" applyFont="1" applyAlignment="1">
      <alignment horizontal="center" vertical="center" wrapText="1"/>
    </xf>
    <xf numFmtId="0" fontId="30" fillId="57" borderId="47" xfId="0" applyFont="1" applyFill="1" applyBorder="1" applyAlignment="1">
      <alignment horizontal="center" vertical="center" wrapText="1"/>
    </xf>
    <xf numFmtId="0" fontId="30" fillId="57" borderId="48" xfId="0" applyFont="1" applyFill="1" applyBorder="1" applyAlignment="1">
      <alignment horizontal="center" vertical="center" wrapText="1"/>
    </xf>
    <xf numFmtId="0" fontId="4" fillId="0" borderId="50" xfId="75" applyFont="1" applyFill="1" applyBorder="1" applyProtection="1">
      <protection locked="0"/>
    </xf>
    <xf numFmtId="0" fontId="4" fillId="0" borderId="51" xfId="75" applyFont="1" applyFill="1" applyBorder="1" applyProtection="1">
      <protection locked="0"/>
    </xf>
    <xf numFmtId="0" fontId="84" fillId="0" borderId="0" xfId="67" applyFont="1" applyAlignment="1" applyProtection="1">
      <alignment horizontal="center"/>
      <protection locked="0"/>
    </xf>
    <xf numFmtId="0" fontId="4" fillId="0" borderId="58" xfId="75" applyFont="1" applyFill="1" applyBorder="1" applyProtection="1">
      <protection locked="0"/>
    </xf>
    <xf numFmtId="0" fontId="4" fillId="0" borderId="59" xfId="75" applyFont="1" applyFill="1" applyBorder="1" applyProtection="1">
      <protection locked="0"/>
    </xf>
    <xf numFmtId="0" fontId="41" fillId="57" borderId="29" xfId="0" applyFont="1" applyFill="1" applyBorder="1" applyAlignment="1">
      <alignment horizontal="center" vertical="center" wrapText="1"/>
    </xf>
    <xf numFmtId="0" fontId="41" fillId="57" borderId="30" xfId="0" applyFont="1" applyFill="1" applyBorder="1" applyAlignment="1">
      <alignment horizontal="center" vertical="center" wrapText="1"/>
    </xf>
    <xf numFmtId="0" fontId="41" fillId="57" borderId="31" xfId="0" applyFont="1" applyFill="1" applyBorder="1" applyAlignment="1">
      <alignment horizontal="center" vertical="center" wrapText="1"/>
    </xf>
    <xf numFmtId="0" fontId="41" fillId="57" borderId="35" xfId="0" applyFont="1" applyFill="1" applyBorder="1" applyAlignment="1">
      <alignment horizontal="center" vertical="center" wrapText="1"/>
    </xf>
    <xf numFmtId="0" fontId="41" fillId="57" borderId="36" xfId="0" applyFont="1" applyFill="1" applyBorder="1" applyAlignment="1">
      <alignment horizontal="center" vertical="center" wrapText="1"/>
    </xf>
    <xf numFmtId="0" fontId="30" fillId="57" borderId="67" xfId="0" applyFont="1" applyFill="1" applyBorder="1" applyAlignment="1">
      <alignment horizontal="left" vertical="center" indent="1"/>
    </xf>
    <xf numFmtId="0" fontId="30" fillId="57" borderId="68" xfId="0" applyFont="1" applyFill="1" applyBorder="1" applyAlignment="1">
      <alignment horizontal="left" vertical="center" indent="1"/>
    </xf>
    <xf numFmtId="0" fontId="30" fillId="57" borderId="69" xfId="0" applyFont="1" applyFill="1" applyBorder="1" applyAlignment="1">
      <alignment horizontal="left" vertical="center" indent="1"/>
    </xf>
    <xf numFmtId="0" fontId="41" fillId="57" borderId="29" xfId="0" applyFont="1" applyFill="1" applyBorder="1" applyAlignment="1" applyProtection="1">
      <alignment horizontal="center" vertical="center" wrapText="1"/>
    </xf>
    <xf numFmtId="0" fontId="41" fillId="57" borderId="30" xfId="0" applyFont="1" applyFill="1" applyBorder="1" applyAlignment="1" applyProtection="1">
      <alignment horizontal="center" vertical="center" wrapText="1"/>
    </xf>
    <xf numFmtId="0" fontId="41" fillId="57" borderId="31" xfId="0" applyFont="1" applyFill="1" applyBorder="1" applyAlignment="1" applyProtection="1">
      <alignment horizontal="center" vertical="center" wrapText="1"/>
    </xf>
    <xf numFmtId="0" fontId="41" fillId="57" borderId="35" xfId="0" applyFont="1" applyFill="1" applyBorder="1" applyAlignment="1" applyProtection="1">
      <alignment horizontal="center" vertical="center" wrapText="1"/>
    </xf>
    <xf numFmtId="0" fontId="41" fillId="57" borderId="0" xfId="0" applyFont="1" applyFill="1" applyBorder="1" applyAlignment="1" applyProtection="1">
      <alignment horizontal="center" vertical="center" wrapText="1"/>
    </xf>
    <xf numFmtId="0" fontId="41" fillId="57" borderId="36" xfId="0" applyFont="1" applyFill="1" applyBorder="1" applyAlignment="1" applyProtection="1">
      <alignment horizontal="center" vertical="center" wrapText="1"/>
    </xf>
    <xf numFmtId="0" fontId="2" fillId="0" borderId="0" xfId="0" applyFont="1" applyBorder="1" applyAlignment="1">
      <alignment horizontal="left" vertical="top" wrapText="1"/>
    </xf>
    <xf numFmtId="0" fontId="38" fillId="0" borderId="0" xfId="0" applyFont="1" applyBorder="1" applyAlignment="1">
      <alignment horizontal="left" vertical="top" wrapText="1"/>
    </xf>
    <xf numFmtId="1" fontId="41" fillId="57" borderId="35" xfId="0" applyNumberFormat="1" applyFont="1" applyFill="1" applyBorder="1" applyAlignment="1" applyProtection="1">
      <alignment horizontal="center" vertical="top"/>
    </xf>
    <xf numFmtId="1" fontId="41" fillId="57" borderId="0" xfId="0" applyNumberFormat="1" applyFont="1" applyFill="1" applyBorder="1" applyAlignment="1" applyProtection="1">
      <alignment horizontal="center" vertical="top"/>
    </xf>
    <xf numFmtId="1" fontId="41" fillId="57" borderId="36" xfId="0" applyNumberFormat="1" applyFont="1" applyFill="1" applyBorder="1" applyAlignment="1" applyProtection="1">
      <alignment horizontal="center" vertical="top"/>
    </xf>
    <xf numFmtId="1" fontId="41" fillId="57" borderId="35" xfId="0" applyNumberFormat="1" applyFont="1" applyFill="1" applyBorder="1" applyAlignment="1">
      <alignment horizontal="center" vertical="top"/>
    </xf>
    <xf numFmtId="1" fontId="41" fillId="57" borderId="0" xfId="0" applyNumberFormat="1" applyFont="1" applyFill="1" applyBorder="1" applyAlignment="1">
      <alignment horizontal="center" vertical="top"/>
    </xf>
    <xf numFmtId="1" fontId="41" fillId="57" borderId="36" xfId="0" applyNumberFormat="1" applyFont="1" applyFill="1" applyBorder="1" applyAlignment="1">
      <alignment horizontal="center" vertical="top"/>
    </xf>
    <xf numFmtId="9" fontId="41" fillId="57" borderId="35" xfId="0" applyNumberFormat="1" applyFont="1" applyFill="1" applyBorder="1" applyAlignment="1">
      <alignment horizontal="center" vertical="top"/>
    </xf>
    <xf numFmtId="9" fontId="41" fillId="57" borderId="0" xfId="0" applyNumberFormat="1" applyFont="1" applyFill="1" applyBorder="1" applyAlignment="1">
      <alignment horizontal="center" vertical="top"/>
    </xf>
    <xf numFmtId="9" fontId="41" fillId="57" borderId="36" xfId="0" applyNumberFormat="1" applyFont="1" applyFill="1" applyBorder="1" applyAlignment="1">
      <alignment horizontal="center" vertical="top"/>
    </xf>
    <xf numFmtId="164" fontId="41" fillId="57" borderId="35" xfId="0" applyNumberFormat="1" applyFont="1" applyFill="1" applyBorder="1" applyAlignment="1">
      <alignment horizontal="center" vertical="top"/>
    </xf>
    <xf numFmtId="164" fontId="41" fillId="57" borderId="0" xfId="0" applyNumberFormat="1" applyFont="1" applyFill="1" applyBorder="1" applyAlignment="1">
      <alignment horizontal="center" vertical="top"/>
    </xf>
    <xf numFmtId="164" fontId="41" fillId="57" borderId="36" xfId="0" applyNumberFormat="1" applyFont="1" applyFill="1" applyBorder="1" applyAlignment="1">
      <alignment horizontal="center" vertical="top"/>
    </xf>
    <xf numFmtId="0" fontId="30" fillId="57" borderId="10" xfId="0" applyFont="1" applyFill="1" applyBorder="1" applyAlignment="1" applyProtection="1">
      <alignment horizontal="left" vertical="center"/>
      <protection hidden="1"/>
    </xf>
    <xf numFmtId="0" fontId="30" fillId="57" borderId="0" xfId="0" applyFont="1" applyFill="1" applyBorder="1" applyAlignment="1" applyProtection="1">
      <alignment horizontal="left" vertical="center"/>
      <protection hidden="1"/>
    </xf>
    <xf numFmtId="0" fontId="30" fillId="57" borderId="11" xfId="0" applyFont="1" applyFill="1" applyBorder="1" applyAlignment="1" applyProtection="1">
      <alignment horizontal="left" vertical="center"/>
      <protection hidden="1"/>
    </xf>
    <xf numFmtId="0" fontId="76" fillId="0" borderId="14" xfId="0" applyFont="1" applyBorder="1" applyAlignment="1" applyProtection="1">
      <alignment vertical="center"/>
      <protection hidden="1"/>
    </xf>
    <xf numFmtId="0" fontId="76" fillId="0" borderId="15" xfId="0" applyFont="1" applyBorder="1" applyAlignment="1" applyProtection="1">
      <alignment vertical="center"/>
      <protection hidden="1"/>
    </xf>
    <xf numFmtId="0" fontId="76" fillId="0" borderId="16" xfId="0" applyFont="1" applyBorder="1" applyAlignment="1" applyProtection="1">
      <alignment vertical="center"/>
      <protection hidden="1"/>
    </xf>
    <xf numFmtId="0" fontId="30" fillId="57" borderId="10" xfId="0" applyFont="1" applyFill="1" applyBorder="1" applyAlignment="1" applyProtection="1">
      <alignment horizontal="left" vertical="center" indent="1"/>
      <protection hidden="1"/>
    </xf>
    <xf numFmtId="0" fontId="30" fillId="57" borderId="11" xfId="0" applyFont="1" applyFill="1" applyBorder="1" applyAlignment="1" applyProtection="1">
      <alignment horizontal="left" vertical="center" indent="1"/>
      <protection hidden="1"/>
    </xf>
    <xf numFmtId="0" fontId="30" fillId="57" borderId="74" xfId="0" applyFont="1" applyFill="1" applyBorder="1" applyAlignment="1" applyProtection="1">
      <alignment horizontal="center" vertical="center" wrapText="1"/>
      <protection hidden="1"/>
    </xf>
    <xf numFmtId="0" fontId="6" fillId="0" borderId="55" xfId="0" applyFont="1" applyFill="1" applyBorder="1" applyAlignment="1" applyProtection="1">
      <alignment horizontal="left" vertical="center" indent="1"/>
      <protection hidden="1"/>
    </xf>
    <xf numFmtId="0" fontId="6" fillId="0" borderId="75" xfId="0" applyFont="1" applyFill="1" applyBorder="1" applyAlignment="1" applyProtection="1">
      <alignment horizontal="left" vertical="center" indent="1"/>
      <protection hidden="1"/>
    </xf>
    <xf numFmtId="0" fontId="6" fillId="0" borderId="73" xfId="0" applyFont="1" applyFill="1" applyBorder="1" applyAlignment="1" applyProtection="1">
      <alignment horizontal="left" vertical="center" indent="1"/>
      <protection hidden="1"/>
    </xf>
    <xf numFmtId="0" fontId="82" fillId="0" borderId="0" xfId="0" applyFont="1" applyAlignment="1" applyProtection="1">
      <alignment horizontal="center"/>
      <protection hidden="1"/>
    </xf>
    <xf numFmtId="0" fontId="6" fillId="0" borderId="55" xfId="0" applyFont="1" applyFill="1" applyBorder="1" applyAlignment="1" applyProtection="1">
      <alignment horizontal="left" vertical="center" indent="3"/>
      <protection hidden="1"/>
    </xf>
    <xf numFmtId="0" fontId="6" fillId="0" borderId="70" xfId="0" applyFont="1" applyFill="1" applyBorder="1" applyAlignment="1" applyProtection="1">
      <alignment horizontal="left" vertical="center" indent="1"/>
      <protection hidden="1"/>
    </xf>
    <xf numFmtId="0" fontId="30" fillId="57" borderId="71" xfId="0" applyFont="1" applyFill="1" applyBorder="1" applyAlignment="1" applyProtection="1">
      <alignment horizontal="center" vertical="center" wrapText="1"/>
      <protection hidden="1"/>
    </xf>
    <xf numFmtId="0" fontId="30" fillId="57" borderId="12" xfId="0" applyFont="1" applyFill="1" applyBorder="1" applyAlignment="1" applyProtection="1">
      <alignment horizontal="center" vertical="center" wrapText="1"/>
      <protection hidden="1"/>
    </xf>
    <xf numFmtId="0" fontId="30" fillId="57" borderId="0" xfId="0" applyFont="1" applyFill="1" applyBorder="1" applyAlignment="1" applyProtection="1">
      <alignment horizontal="center" vertical="center" wrapText="1"/>
      <protection hidden="1"/>
    </xf>
    <xf numFmtId="0" fontId="8" fillId="0" borderId="0" xfId="0" applyFont="1" applyAlignment="1" applyProtection="1">
      <alignment vertical="top" wrapText="1"/>
      <protection hidden="1"/>
    </xf>
    <xf numFmtId="0" fontId="30" fillId="57" borderId="70" xfId="0" applyFont="1" applyFill="1" applyBorder="1" applyAlignment="1" applyProtection="1">
      <alignment horizontal="center" vertical="center" wrapText="1"/>
      <protection hidden="1"/>
    </xf>
    <xf numFmtId="0" fontId="8" fillId="0" borderId="0" xfId="0" applyFont="1" applyAlignment="1" applyProtection="1">
      <alignment vertical="top" wrapText="1" readingOrder="1"/>
      <protection hidden="1"/>
    </xf>
    <xf numFmtId="0" fontId="6" fillId="0" borderId="55" xfId="0" applyFont="1" applyFill="1" applyBorder="1" applyAlignment="1" applyProtection="1">
      <alignment horizontal="left" vertical="center" indent="2"/>
      <protection hidden="1"/>
    </xf>
    <xf numFmtId="0" fontId="39" fillId="0" borderId="0" xfId="0" applyFont="1" applyBorder="1" applyProtection="1">
      <protection hidden="1"/>
    </xf>
    <xf numFmtId="0" fontId="28" fillId="0" borderId="0" xfId="0" applyFont="1" applyAlignment="1" applyProtection="1">
      <alignment vertical="top" wrapText="1"/>
      <protection hidden="1"/>
    </xf>
    <xf numFmtId="0" fontId="8" fillId="0" borderId="0" xfId="0" applyFont="1" applyBorder="1" applyAlignment="1" applyProtection="1">
      <alignment vertical="top" wrapText="1"/>
      <protection hidden="1"/>
    </xf>
    <xf numFmtId="0" fontId="28" fillId="0" borderId="0" xfId="0" applyFont="1" applyBorder="1" applyAlignment="1" applyProtection="1">
      <alignment vertical="top" wrapText="1"/>
      <protection hidden="1"/>
    </xf>
    <xf numFmtId="0" fontId="28" fillId="0" borderId="0" xfId="0" applyFont="1" applyAlignment="1" applyProtection="1">
      <alignment wrapText="1"/>
      <protection hidden="1"/>
    </xf>
    <xf numFmtId="0" fontId="8" fillId="0" borderId="0" xfId="0" applyFont="1" applyAlignment="1" applyProtection="1">
      <alignment horizontal="left" vertical="top" wrapText="1"/>
      <protection hidden="1"/>
    </xf>
    <xf numFmtId="0" fontId="28" fillId="0" borderId="0" xfId="0" applyFont="1" applyAlignment="1" applyProtection="1">
      <alignment horizontal="left" vertical="top" wrapText="1"/>
      <protection hidden="1"/>
    </xf>
    <xf numFmtId="0" fontId="6" fillId="0" borderId="73" xfId="0" applyFont="1" applyFill="1" applyBorder="1" applyAlignment="1" applyProtection="1">
      <alignment horizontal="left" vertical="center" indent="2"/>
      <protection hidden="1"/>
    </xf>
    <xf numFmtId="0" fontId="0" fillId="0" borderId="0" xfId="0" applyProtection="1">
      <protection hidden="1"/>
    </xf>
    <xf numFmtId="1" fontId="39" fillId="0" borderId="0" xfId="0" applyNumberFormat="1" applyFont="1" applyBorder="1" applyAlignment="1" applyProtection="1">
      <alignment vertical="center"/>
      <protection hidden="1"/>
    </xf>
    <xf numFmtId="0" fontId="76" fillId="0" borderId="67" xfId="0" applyFont="1" applyBorder="1" applyAlignment="1">
      <alignment vertical="center"/>
    </xf>
    <xf numFmtId="0" fontId="76" fillId="0" borderId="68" xfId="0" applyFont="1" applyBorder="1" applyAlignment="1">
      <alignment vertical="center"/>
    </xf>
    <xf numFmtId="0" fontId="76" fillId="0" borderId="69" xfId="0" applyFont="1" applyBorder="1" applyAlignment="1">
      <alignment vertical="center"/>
    </xf>
    <xf numFmtId="0" fontId="30" fillId="57" borderId="10" xfId="0" applyFont="1" applyFill="1" applyBorder="1" applyAlignment="1">
      <alignment horizontal="left" vertical="center" indent="1"/>
    </xf>
    <xf numFmtId="0" fontId="30" fillId="57" borderId="11" xfId="0" applyFont="1" applyFill="1" applyBorder="1" applyAlignment="1">
      <alignment horizontal="left" vertical="center" indent="1"/>
    </xf>
    <xf numFmtId="0" fontId="2" fillId="0" borderId="0" xfId="0" applyNumberFormat="1" applyFont="1" applyAlignment="1">
      <alignment vertical="top" wrapText="1"/>
    </xf>
    <xf numFmtId="165" fontId="7" fillId="24" borderId="72" xfId="0" applyNumberFormat="1" applyFont="1" applyFill="1" applyBorder="1" applyAlignment="1">
      <alignment horizontal="center" vertical="center"/>
    </xf>
    <xf numFmtId="0" fontId="30" fillId="57" borderId="37" xfId="0" applyFont="1" applyFill="1" applyBorder="1" applyAlignment="1">
      <alignment horizontal="right" vertical="center" wrapText="1"/>
    </xf>
    <xf numFmtId="3" fontId="30" fillId="57" borderId="37" xfId="0" applyNumberFormat="1" applyFont="1" applyFill="1" applyBorder="1" applyAlignment="1">
      <alignment horizontal="left" vertical="center" wrapText="1"/>
    </xf>
    <xf numFmtId="166" fontId="6" fillId="24" borderId="55" xfId="0" applyNumberFormat="1" applyFont="1" applyFill="1" applyBorder="1" applyAlignment="1">
      <alignment horizontal="center" vertical="center"/>
    </xf>
    <xf numFmtId="165" fontId="7" fillId="0" borderId="72" xfId="0" applyNumberFormat="1" applyFont="1" applyFill="1" applyBorder="1" applyAlignment="1">
      <alignment horizontal="center" vertical="center"/>
    </xf>
    <xf numFmtId="166" fontId="6" fillId="24" borderId="54" xfId="0" applyNumberFormat="1" applyFont="1" applyFill="1" applyBorder="1" applyAlignment="1">
      <alignment horizontal="center" vertical="center"/>
    </xf>
    <xf numFmtId="166" fontId="6" fillId="24" borderId="54" xfId="0" applyNumberFormat="1" applyFont="1" applyFill="1" applyBorder="1" applyAlignment="1">
      <alignment vertical="center"/>
    </xf>
    <xf numFmtId="165" fontId="6" fillId="24" borderId="54" xfId="0" applyNumberFormat="1" applyFont="1" applyFill="1" applyBorder="1" applyAlignment="1">
      <alignment horizontal="center" vertical="center"/>
    </xf>
    <xf numFmtId="0" fontId="30" fillId="57" borderId="37" xfId="0" applyFont="1" applyFill="1" applyBorder="1" applyAlignment="1">
      <alignment horizontal="center" vertical="center" wrapText="1"/>
    </xf>
    <xf numFmtId="1" fontId="41" fillId="57" borderId="44" xfId="0" applyNumberFormat="1" applyFont="1" applyFill="1" applyBorder="1" applyAlignment="1">
      <alignment horizontal="center" vertical="top"/>
    </xf>
    <xf numFmtId="1" fontId="41" fillId="57" borderId="46" xfId="0" applyNumberFormat="1" applyFont="1" applyFill="1" applyBorder="1" applyAlignment="1">
      <alignment horizontal="center" vertical="top"/>
    </xf>
    <xf numFmtId="1" fontId="41" fillId="57" borderId="44" xfId="0" applyNumberFormat="1" applyFont="1" applyFill="1" applyBorder="1" applyAlignment="1" applyProtection="1">
      <alignment horizontal="center" vertical="top"/>
    </xf>
    <xf numFmtId="1" fontId="41" fillId="57" borderId="45" xfId="0" applyNumberFormat="1" applyFont="1" applyFill="1" applyBorder="1" applyAlignment="1" applyProtection="1">
      <alignment horizontal="center" vertical="top"/>
    </xf>
    <xf numFmtId="1" fontId="41" fillId="57" borderId="46" xfId="0" applyNumberFormat="1" applyFont="1" applyFill="1" applyBorder="1" applyAlignment="1" applyProtection="1">
      <alignment horizontal="center" vertical="top"/>
    </xf>
    <xf numFmtId="1" fontId="7" fillId="24" borderId="82" xfId="0" applyNumberFormat="1" applyFont="1" applyFill="1" applyBorder="1" applyAlignment="1">
      <alignment horizontal="left" vertical="center" indent="1"/>
    </xf>
    <xf numFmtId="1" fontId="7" fillId="24" borderId="83" xfId="0" applyNumberFormat="1" applyFont="1" applyFill="1" applyBorder="1" applyAlignment="1">
      <alignment horizontal="left" vertical="center" indent="1"/>
    </xf>
    <xf numFmtId="1" fontId="7" fillId="24" borderId="81" xfId="0" applyNumberFormat="1" applyFont="1" applyFill="1" applyBorder="1" applyAlignment="1">
      <alignment horizontal="left" vertical="center" indent="1"/>
    </xf>
    <xf numFmtId="1" fontId="7" fillId="24" borderId="54" xfId="0" applyNumberFormat="1" applyFont="1" applyFill="1" applyBorder="1" applyAlignment="1">
      <alignment horizontal="left" vertical="center" indent="1"/>
    </xf>
    <xf numFmtId="0" fontId="30" fillId="57" borderId="79" xfId="0" applyFont="1" applyFill="1" applyBorder="1" applyAlignment="1">
      <alignment horizontal="center" vertical="center" wrapText="1"/>
    </xf>
    <xf numFmtId="0" fontId="30" fillId="57" borderId="80" xfId="0" applyFont="1" applyFill="1" applyBorder="1" applyAlignment="1">
      <alignment horizontal="center" vertical="center" wrapText="1"/>
    </xf>
    <xf numFmtId="1" fontId="6" fillId="24" borderId="81" xfId="0" applyNumberFormat="1" applyFont="1" applyFill="1" applyBorder="1" applyAlignment="1">
      <alignment horizontal="left" vertical="center" indent="1"/>
    </xf>
    <xf numFmtId="1" fontId="6" fillId="24" borderId="54" xfId="0" applyNumberFormat="1" applyFont="1" applyFill="1" applyBorder="1" applyAlignment="1">
      <alignment horizontal="left" vertical="center" indent="1"/>
    </xf>
    <xf numFmtId="1" fontId="6" fillId="24" borderId="81" xfId="0" applyNumberFormat="1" applyFont="1" applyFill="1" applyBorder="1" applyAlignment="1">
      <alignment horizontal="left" vertical="center"/>
    </xf>
    <xf numFmtId="1" fontId="6" fillId="24" borderId="54" xfId="0" applyNumberFormat="1" applyFont="1" applyFill="1" applyBorder="1" applyAlignment="1">
      <alignment horizontal="left" vertical="center"/>
    </xf>
    <xf numFmtId="0" fontId="82" fillId="0" borderId="0" xfId="0" applyFont="1" applyAlignment="1">
      <alignment horizontal="center" vertical="center"/>
    </xf>
    <xf numFmtId="0" fontId="9" fillId="0" borderId="0" xfId="0" applyFont="1" applyBorder="1" applyAlignment="1">
      <alignment vertical="top" wrapText="1"/>
    </xf>
    <xf numFmtId="0" fontId="63" fillId="0" borderId="0" xfId="0" applyFont="1" applyAlignment="1">
      <alignment horizontal="left" vertical="center" wrapText="1"/>
    </xf>
    <xf numFmtId="0" fontId="0" fillId="0" borderId="0" xfId="0" applyAlignment="1">
      <alignment horizontal="left" vertical="center" wrapText="1"/>
    </xf>
    <xf numFmtId="0" fontId="5" fillId="57" borderId="10" xfId="0" applyFont="1" applyFill="1" applyBorder="1" applyAlignment="1">
      <alignment horizontal="left" vertical="center" indent="1"/>
    </xf>
    <xf numFmtId="1" fontId="6" fillId="24" borderId="53" xfId="0" applyNumberFormat="1" applyFont="1" applyFill="1" applyBorder="1" applyAlignment="1">
      <alignment horizontal="left" vertical="center" indent="1"/>
    </xf>
    <xf numFmtId="1" fontId="6" fillId="24" borderId="55" xfId="0" applyNumberFormat="1" applyFont="1" applyFill="1" applyBorder="1" applyAlignment="1">
      <alignment horizontal="left" vertical="center" indent="1"/>
    </xf>
    <xf numFmtId="1" fontId="6" fillId="56" borderId="81" xfId="0" applyNumberFormat="1" applyFont="1" applyFill="1" applyBorder="1" applyAlignment="1" applyProtection="1">
      <alignment horizontal="left" vertical="center" indent="2"/>
      <protection locked="0"/>
    </xf>
    <xf numFmtId="1" fontId="6" fillId="56" borderId="54" xfId="0" applyNumberFormat="1" applyFont="1" applyFill="1" applyBorder="1" applyAlignment="1" applyProtection="1">
      <alignment horizontal="left" vertical="center" indent="2"/>
      <protection locked="0"/>
    </xf>
    <xf numFmtId="0" fontId="30" fillId="57" borderId="84" xfId="0" applyFont="1" applyFill="1" applyBorder="1" applyAlignment="1">
      <alignment horizontal="center" vertical="center" wrapText="1"/>
    </xf>
    <xf numFmtId="0" fontId="30" fillId="57" borderId="85" xfId="0" applyFont="1" applyFill="1" applyBorder="1" applyAlignment="1">
      <alignment horizontal="center" vertical="center" wrapText="1"/>
    </xf>
    <xf numFmtId="0" fontId="63" fillId="0" borderId="0" xfId="0" applyFont="1" applyAlignment="1">
      <alignment horizontal="left" vertical="top" wrapText="1"/>
    </xf>
    <xf numFmtId="0" fontId="63" fillId="0" borderId="0" xfId="0" applyFont="1" applyBorder="1" applyAlignment="1">
      <alignment horizontal="left" vertical="top" wrapText="1"/>
    </xf>
    <xf numFmtId="0" fontId="0" fillId="0" borderId="67" xfId="0" applyBorder="1" applyAlignment="1" applyProtection="1">
      <alignment horizontal="left"/>
      <protection locked="0"/>
    </xf>
    <xf numFmtId="0" fontId="0" fillId="0" borderId="68" xfId="0" applyBorder="1" applyAlignment="1" applyProtection="1">
      <alignment horizontal="left"/>
      <protection locked="0"/>
    </xf>
    <xf numFmtId="0" fontId="0" fillId="0" borderId="69" xfId="0" applyBorder="1" applyAlignment="1" applyProtection="1">
      <alignment horizontal="left"/>
      <protection locked="0"/>
    </xf>
    <xf numFmtId="0" fontId="76" fillId="0" borderId="29" xfId="0" applyFont="1" applyBorder="1" applyAlignment="1">
      <alignment horizontal="center" vertical="center" wrapText="1"/>
    </xf>
    <xf numFmtId="0" fontId="76" fillId="0" borderId="30" xfId="0" applyFont="1" applyBorder="1" applyAlignment="1">
      <alignment horizontal="center" vertical="center" wrapText="1"/>
    </xf>
    <xf numFmtId="0" fontId="77" fillId="57" borderId="32" xfId="0" applyFont="1" applyFill="1" applyBorder="1" applyAlignment="1">
      <alignment horizontal="left" vertical="center"/>
    </xf>
    <xf numFmtId="0" fontId="77" fillId="57" borderId="33" xfId="0" applyFont="1" applyFill="1" applyBorder="1" applyAlignment="1">
      <alignment horizontal="left" vertical="center"/>
    </xf>
    <xf numFmtId="0" fontId="77" fillId="57" borderId="34" xfId="0" applyFont="1" applyFill="1" applyBorder="1" applyAlignment="1">
      <alignment horizontal="left" vertical="center"/>
    </xf>
    <xf numFmtId="0" fontId="63" fillId="0" borderId="35" xfId="0" applyFont="1" applyBorder="1" applyAlignment="1">
      <alignment horizontal="center" vertical="top" wrapText="1"/>
    </xf>
    <xf numFmtId="0" fontId="63" fillId="0" borderId="0" xfId="0" applyFont="1" applyBorder="1" applyAlignment="1">
      <alignment horizontal="center" vertical="top" wrapText="1"/>
    </xf>
    <xf numFmtId="0" fontId="63" fillId="0" borderId="36" xfId="0" applyFont="1" applyBorder="1" applyAlignment="1">
      <alignment horizontal="center" vertical="top" wrapText="1"/>
    </xf>
    <xf numFmtId="0" fontId="77" fillId="57" borderId="37" xfId="0" applyFont="1" applyFill="1" applyBorder="1" applyAlignment="1" applyProtection="1">
      <alignment horizontal="left" vertical="center" wrapText="1"/>
      <protection locked="0"/>
    </xf>
  </cellXfs>
  <cellStyles count="93">
    <cellStyle name="20% - Accent1" xfId="1" builtinId="30" customBuiltin="1"/>
    <cellStyle name="20% - Accent1 2" xfId="2"/>
    <cellStyle name="20% - Accent2" xfId="3" builtinId="34" customBuiltin="1"/>
    <cellStyle name="20% - Accent2 2" xfId="4"/>
    <cellStyle name="20% - Accent3" xfId="5" builtinId="38" customBuiltin="1"/>
    <cellStyle name="20% - Accent3 2" xfId="6"/>
    <cellStyle name="20% - Accent4" xfId="7" builtinId="42" customBuiltin="1"/>
    <cellStyle name="20% - Accent4 2" xfId="8"/>
    <cellStyle name="20% - Accent5" xfId="9" builtinId="46" customBuiltin="1"/>
    <cellStyle name="20% - Accent5 2" xfId="10"/>
    <cellStyle name="20% - Accent6" xfId="11" builtinId="50" customBuiltin="1"/>
    <cellStyle name="20% - Accent6 2" xfId="12"/>
    <cellStyle name="40% - Accent1" xfId="13" builtinId="31" customBuiltin="1"/>
    <cellStyle name="40% - Accent1 2" xfId="14"/>
    <cellStyle name="40% - Accent2" xfId="15" builtinId="35" customBuiltin="1"/>
    <cellStyle name="40% - Accent2 2" xfId="16"/>
    <cellStyle name="40% - Accent3" xfId="17" builtinId="39" customBuiltin="1"/>
    <cellStyle name="40% - Accent3 2" xfId="18"/>
    <cellStyle name="40% - Accent4" xfId="19" builtinId="43" customBuiltin="1"/>
    <cellStyle name="40% - Accent4 2" xfId="20"/>
    <cellStyle name="40% - Accent5" xfId="21" builtinId="47" customBuiltin="1"/>
    <cellStyle name="40% - Accent5 2" xfId="22"/>
    <cellStyle name="40% - Accent6" xfId="23" builtinId="51" customBuiltin="1"/>
    <cellStyle name="40% - Accent6 2" xfId="24"/>
    <cellStyle name="60% - Accent1" xfId="25" builtinId="32" customBuiltin="1"/>
    <cellStyle name="60% - Accent1 2" xfId="26"/>
    <cellStyle name="60% - Accent2" xfId="27" builtinId="36" customBuiltin="1"/>
    <cellStyle name="60% - Accent2 2" xfId="28"/>
    <cellStyle name="60% - Accent3" xfId="29" builtinId="40" customBuiltin="1"/>
    <cellStyle name="60% - Accent3 2" xfId="30"/>
    <cellStyle name="60% - Accent4" xfId="31" builtinId="44" customBuiltin="1"/>
    <cellStyle name="60% - Accent4 2" xfId="32"/>
    <cellStyle name="60% - Accent5" xfId="33" builtinId="48" customBuiltin="1"/>
    <cellStyle name="60% - Accent5 2" xfId="34"/>
    <cellStyle name="60% - Accent6" xfId="35" builtinId="52" customBuiltin="1"/>
    <cellStyle name="60% - Accent6 2" xfId="36"/>
    <cellStyle name="Accent1" xfId="37" builtinId="29" customBuiltin="1"/>
    <cellStyle name="Accent1 2" xfId="38"/>
    <cellStyle name="Accent2" xfId="39" builtinId="33" customBuiltin="1"/>
    <cellStyle name="Accent2 2" xfId="40"/>
    <cellStyle name="Accent3" xfId="41" builtinId="37" customBuiltin="1"/>
    <cellStyle name="Accent3 2" xfId="42"/>
    <cellStyle name="Accent4" xfId="43" builtinId="41" customBuiltin="1"/>
    <cellStyle name="Accent4 2" xfId="44"/>
    <cellStyle name="Accent5" xfId="45" builtinId="45" customBuiltin="1"/>
    <cellStyle name="Accent5 2" xfId="46"/>
    <cellStyle name="Accent6" xfId="47" builtinId="49" customBuiltin="1"/>
    <cellStyle name="Accent6 2" xfId="48"/>
    <cellStyle name="Bad" xfId="49" builtinId="27" customBuiltin="1"/>
    <cellStyle name="Bad 2" xfId="50"/>
    <cellStyle name="Calculation" xfId="51" builtinId="22" customBuiltin="1"/>
    <cellStyle name="Calculation 2" xfId="52"/>
    <cellStyle name="Check Cell" xfId="53" builtinId="23" customBuiltin="1"/>
    <cellStyle name="Check Cell 2" xfId="54"/>
    <cellStyle name="Explanatory Text" xfId="55" builtinId="53" customBuiltin="1"/>
    <cellStyle name="Explanatory Text 2" xfId="56"/>
    <cellStyle name="Good" xfId="57" builtinId="26" customBuiltin="1"/>
    <cellStyle name="Good 2" xfId="58"/>
    <cellStyle name="Heading 1" xfId="59" builtinId="16" customBuiltin="1"/>
    <cellStyle name="Heading 1 2" xfId="60"/>
    <cellStyle name="Heading 2" xfId="61" builtinId="17" customBuiltin="1"/>
    <cellStyle name="Heading 2 2" xfId="62"/>
    <cellStyle name="Heading 3" xfId="63" builtinId="18" customBuiltin="1"/>
    <cellStyle name="Heading 3 2" xfId="64"/>
    <cellStyle name="Heading 4" xfId="65" builtinId="19" customBuiltin="1"/>
    <cellStyle name="Heading 4 2" xfId="66"/>
    <cellStyle name="Hyperlink" xfId="67" builtinId="8"/>
    <cellStyle name="Hyperlink 2" xfId="68"/>
    <cellStyle name="Input" xfId="69" builtinId="20" customBuiltin="1"/>
    <cellStyle name="Input 2" xfId="70"/>
    <cellStyle name="Linked Cell" xfId="71" builtinId="24" customBuiltin="1"/>
    <cellStyle name="Linked Cell 2" xfId="72"/>
    <cellStyle name="Neutral" xfId="73" builtinId="28" customBuiltin="1"/>
    <cellStyle name="Neutral 2" xfId="74"/>
    <cellStyle name="Normal" xfId="0" builtinId="0"/>
    <cellStyle name="Normal 2" xfId="75"/>
    <cellStyle name="Normal 2 2" xfId="88"/>
    <cellStyle name="Normal 2 2 2" xfId="89"/>
    <cellStyle name="Normal 3" xfId="76"/>
    <cellStyle name="Normal 3 2" xfId="90"/>
    <cellStyle name="Normal 3 2 2" xfId="91"/>
    <cellStyle name="Normal 3 3" xfId="92"/>
    <cellStyle name="Note" xfId="77" builtinId="10" customBuiltin="1"/>
    <cellStyle name="Note 2" xfId="78"/>
    <cellStyle name="Note 3" xfId="79"/>
    <cellStyle name="Output" xfId="80" builtinId="21" customBuiltin="1"/>
    <cellStyle name="Output 2" xfId="81"/>
    <cellStyle name="Title" xfId="82" builtinId="15" customBuiltin="1"/>
    <cellStyle name="Title 2" xfId="83"/>
    <cellStyle name="Total" xfId="84" builtinId="25" customBuiltin="1"/>
    <cellStyle name="Total 2" xfId="85"/>
    <cellStyle name="Warning Text" xfId="86" builtinId="11" customBuiltin="1"/>
    <cellStyle name="Warning Text 2" xfId="87"/>
  </cellStyles>
  <dxfs count="17">
    <dxf>
      <font>
        <color theme="0"/>
      </font>
    </dxf>
    <dxf>
      <font>
        <color rgb="FF0091C9"/>
      </font>
    </dxf>
    <dxf>
      <font>
        <color theme="0"/>
      </font>
    </dxf>
    <dxf>
      <font>
        <color theme="0"/>
      </font>
    </dxf>
    <dxf>
      <font>
        <color theme="0"/>
      </font>
    </dxf>
    <dxf>
      <font>
        <color theme="0"/>
      </font>
    </dxf>
    <dxf>
      <font>
        <color theme="0"/>
      </font>
    </dxf>
    <dxf>
      <font>
        <b/>
        <i val="0"/>
        <color rgb="FFD81E05"/>
      </font>
    </dxf>
    <dxf>
      <font>
        <color theme="0"/>
      </font>
    </dxf>
    <dxf>
      <font>
        <b/>
        <i val="0"/>
        <color rgb="FFD81E05"/>
      </font>
    </dxf>
    <dxf>
      <font>
        <b/>
        <i val="0"/>
        <color rgb="FFD81E05"/>
      </font>
    </dxf>
    <dxf>
      <font>
        <color rgb="FF0066CC"/>
      </font>
    </dxf>
    <dxf>
      <font>
        <color theme="0"/>
      </font>
    </dxf>
    <dxf>
      <font>
        <color theme="1"/>
      </font>
      <border>
        <left style="thin">
          <color rgb="FF0066CC"/>
        </left>
        <right style="thin">
          <color rgb="FF0066CC"/>
        </right>
        <top style="thin">
          <color rgb="FF0066CC"/>
        </top>
        <bottom style="thin">
          <color rgb="FF0066CC"/>
        </bottom>
      </border>
    </dxf>
    <dxf>
      <font>
        <color theme="1"/>
      </font>
      <border>
        <left style="thin">
          <color rgb="FF0066CC"/>
        </left>
        <right style="thin">
          <color rgb="FF0066CC"/>
        </right>
        <top style="thin">
          <color rgb="FF0066CC"/>
        </top>
        <bottom style="thin">
          <color rgb="FF0066CC"/>
        </bottom>
      </border>
    </dxf>
    <dxf>
      <font>
        <color theme="0"/>
      </font>
    </dxf>
    <dxf>
      <font>
        <color theme="0"/>
      </font>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81E05"/>
      <rgbColor rgb="0000FF00"/>
      <rgbColor rgb="000000FF"/>
      <rgbColor rgb="00FFFF00"/>
      <rgbColor rgb="00FF00FF"/>
      <rgbColor rgb="0000FFFF"/>
      <rgbColor rgb="00931638"/>
      <rgbColor rgb="00009E49"/>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00AA9E"/>
      <rgbColor rgb="0099CC00"/>
      <rgbColor rgb="00FFCC00"/>
      <rgbColor rgb="00FF9900"/>
      <rgbColor rgb="00FF6600"/>
      <rgbColor rgb="00666699"/>
      <rgbColor rgb="00969696"/>
      <rgbColor rgb="00003366"/>
      <rgbColor rgb="005BBF21"/>
      <rgbColor rgb="00006B54"/>
      <rgbColor rgb="00333300"/>
      <rgbColor rgb="00993300"/>
      <rgbColor rgb="00993366"/>
      <rgbColor rgb="00333399"/>
      <rgbColor rgb="00333333"/>
    </indexedColors>
    <mruColors>
      <color rgb="FF0091C9"/>
      <color rgb="FF009E5D"/>
      <color rgb="FF5BBF21"/>
      <color rgb="FFE28C0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3221044219866218E-2"/>
          <c:y val="1.7349025401675541E-2"/>
          <c:w val="0.93183001293237522"/>
          <c:h val="0.87609556268153133"/>
        </c:manualLayout>
      </c:layout>
      <c:lineChart>
        <c:grouping val="standard"/>
        <c:varyColors val="0"/>
        <c:ser>
          <c:idx val="1"/>
          <c:order val="0"/>
          <c:tx>
            <c:v>Data</c:v>
          </c:tx>
          <c:marker>
            <c:symbol val="diamond"/>
            <c:size val="6"/>
          </c:marker>
          <c:val>
            <c:numRef>
              <c:f>[0]!ReferralsRange</c:f>
              <c:numCache>
                <c:formatCode>#,##0</c:formatCode>
                <c:ptCount val="52"/>
                <c:pt idx="0">
                  <c:v>153</c:v>
                </c:pt>
                <c:pt idx="1">
                  <c:v>123</c:v>
                </c:pt>
                <c:pt idx="2">
                  <c:v>127</c:v>
                </c:pt>
                <c:pt idx="3">
                  <c:v>141</c:v>
                </c:pt>
                <c:pt idx="4">
                  <c:v>137</c:v>
                </c:pt>
                <c:pt idx="5">
                  <c:v>128</c:v>
                </c:pt>
                <c:pt idx="6">
                  <c:v>152</c:v>
                </c:pt>
                <c:pt idx="7">
                  <c:v>125</c:v>
                </c:pt>
                <c:pt idx="8">
                  <c:v>134</c:v>
                </c:pt>
                <c:pt idx="9">
                  <c:v>130</c:v>
                </c:pt>
                <c:pt idx="10">
                  <c:v>147</c:v>
                </c:pt>
                <c:pt idx="11">
                  <c:v>133</c:v>
                </c:pt>
                <c:pt idx="12">
                  <c:v>152</c:v>
                </c:pt>
                <c:pt idx="13">
                  <c:v>151</c:v>
                </c:pt>
                <c:pt idx="14">
                  <c:v>127</c:v>
                </c:pt>
                <c:pt idx="15">
                  <c:v>100</c:v>
                </c:pt>
                <c:pt idx="16">
                  <c:v>146</c:v>
                </c:pt>
                <c:pt idx="17">
                  <c:v>167</c:v>
                </c:pt>
                <c:pt idx="18">
                  <c:v>116</c:v>
                </c:pt>
                <c:pt idx="19">
                  <c:v>150</c:v>
                </c:pt>
                <c:pt idx="20">
                  <c:v>157</c:v>
                </c:pt>
                <c:pt idx="21">
                  <c:v>144</c:v>
                </c:pt>
                <c:pt idx="22">
                  <c:v>142</c:v>
                </c:pt>
                <c:pt idx="23">
                  <c:v>136</c:v>
                </c:pt>
                <c:pt idx="24">
                  <c:v>143</c:v>
                </c:pt>
                <c:pt idx="25">
                  <c:v>128</c:v>
                </c:pt>
                <c:pt idx="26">
                  <c:v>138</c:v>
                </c:pt>
                <c:pt idx="27">
                  <c:v>171</c:v>
                </c:pt>
                <c:pt idx="28">
                  <c:v>156</c:v>
                </c:pt>
                <c:pt idx="29">
                  <c:v>145</c:v>
                </c:pt>
                <c:pt idx="30">
                  <c:v>151</c:v>
                </c:pt>
                <c:pt idx="31">
                  <c:v>88</c:v>
                </c:pt>
                <c:pt idx="32">
                  <c:v>128</c:v>
                </c:pt>
                <c:pt idx="33">
                  <c:v>136</c:v>
                </c:pt>
                <c:pt idx="34">
                  <c:v>138</c:v>
                </c:pt>
                <c:pt idx="35">
                  <c:v>162</c:v>
                </c:pt>
                <c:pt idx="36">
                  <c:v>210</c:v>
                </c:pt>
                <c:pt idx="37">
                  <c:v>220</c:v>
                </c:pt>
                <c:pt idx="38">
                  <c:v>201</c:v>
                </c:pt>
                <c:pt idx="39">
                  <c:v>199</c:v>
                </c:pt>
                <c:pt idx="40">
                  <c:v>190</c:v>
                </c:pt>
                <c:pt idx="41">
                  <c:v>201</c:v>
                </c:pt>
                <c:pt idx="42">
                  <c:v>180</c:v>
                </c:pt>
                <c:pt idx="43">
                  <c:v>193</c:v>
                </c:pt>
                <c:pt idx="44">
                  <c:v>239</c:v>
                </c:pt>
                <c:pt idx="45">
                  <c:v>219</c:v>
                </c:pt>
                <c:pt idx="46">
                  <c:v>203</c:v>
                </c:pt>
                <c:pt idx="47">
                  <c:v>211</c:v>
                </c:pt>
                <c:pt idx="48">
                  <c:v>123</c:v>
                </c:pt>
                <c:pt idx="49">
                  <c:v>179</c:v>
                </c:pt>
                <c:pt idx="50">
                  <c:v>190</c:v>
                </c:pt>
                <c:pt idx="51">
                  <c:v>193</c:v>
                </c:pt>
              </c:numCache>
            </c:numRef>
          </c:val>
          <c:smooth val="0"/>
          <c:extLst xmlns:c16r2="http://schemas.microsoft.com/office/drawing/2015/06/chart">
            <c:ext xmlns:c16="http://schemas.microsoft.com/office/drawing/2014/chart" uri="{C3380CC4-5D6E-409C-BE32-E72D297353CC}">
              <c16:uniqueId val="{00000000-0BC2-4DA0-BCDB-9D779286B4AD}"/>
            </c:ext>
          </c:extLst>
        </c:ser>
        <c:ser>
          <c:idx val="0"/>
          <c:order val="1"/>
          <c:tx>
            <c:strRef>
              <c:f>SPC!$I$1</c:f>
              <c:strCache>
                <c:ptCount val="1"/>
                <c:pt idx="0">
                  <c:v>UCL</c:v>
                </c:pt>
              </c:strCache>
            </c:strRef>
          </c:tx>
          <c:marker>
            <c:symbol val="none"/>
          </c:marker>
          <c:val>
            <c:numRef>
              <c:f>[0]!UCLRange</c:f>
              <c:numCache>
                <c:formatCode>General</c:formatCode>
                <c:ptCount val="52"/>
                <c:pt idx="0">
                  <c:v>186.47064512458758</c:v>
                </c:pt>
                <c:pt idx="1">
                  <c:v>186.47064512458758</c:v>
                </c:pt>
                <c:pt idx="2">
                  <c:v>186.47064512458758</c:v>
                </c:pt>
                <c:pt idx="3">
                  <c:v>186.47064512458758</c:v>
                </c:pt>
                <c:pt idx="4">
                  <c:v>186.47064512458758</c:v>
                </c:pt>
                <c:pt idx="5">
                  <c:v>186.47064512458758</c:v>
                </c:pt>
                <c:pt idx="6">
                  <c:v>186.47064512458758</c:v>
                </c:pt>
                <c:pt idx="7">
                  <c:v>186.47064512458758</c:v>
                </c:pt>
                <c:pt idx="8">
                  <c:v>186.47064512458758</c:v>
                </c:pt>
                <c:pt idx="9">
                  <c:v>186.47064512458758</c:v>
                </c:pt>
                <c:pt idx="10">
                  <c:v>186.47064512458758</c:v>
                </c:pt>
                <c:pt idx="11">
                  <c:v>186.47064512458758</c:v>
                </c:pt>
                <c:pt idx="12">
                  <c:v>186.47064512458758</c:v>
                </c:pt>
                <c:pt idx="13">
                  <c:v>186.47064512458758</c:v>
                </c:pt>
                <c:pt idx="14">
                  <c:v>186.47064512458758</c:v>
                </c:pt>
                <c:pt idx="15">
                  <c:v>186.47064512458758</c:v>
                </c:pt>
                <c:pt idx="16">
                  <c:v>186.47064512458758</c:v>
                </c:pt>
                <c:pt idx="17">
                  <c:v>186.47064512458758</c:v>
                </c:pt>
                <c:pt idx="18">
                  <c:v>186.47064512458758</c:v>
                </c:pt>
                <c:pt idx="19">
                  <c:v>186.47064512458758</c:v>
                </c:pt>
                <c:pt idx="20">
                  <c:v>186.47064512458758</c:v>
                </c:pt>
                <c:pt idx="21">
                  <c:v>186.47064512458758</c:v>
                </c:pt>
                <c:pt idx="22">
                  <c:v>186.47064512458758</c:v>
                </c:pt>
                <c:pt idx="23">
                  <c:v>186.47064512458758</c:v>
                </c:pt>
                <c:pt idx="24">
                  <c:v>186.47064512458758</c:v>
                </c:pt>
                <c:pt idx="25">
                  <c:v>186.47064512458758</c:v>
                </c:pt>
                <c:pt idx="26">
                  <c:v>186.47064512458758</c:v>
                </c:pt>
                <c:pt idx="27">
                  <c:v>186.47064512458758</c:v>
                </c:pt>
                <c:pt idx="28">
                  <c:v>186.47064512458758</c:v>
                </c:pt>
                <c:pt idx="29">
                  <c:v>186.47064512458758</c:v>
                </c:pt>
                <c:pt idx="30">
                  <c:v>186.47064512458758</c:v>
                </c:pt>
                <c:pt idx="31">
                  <c:v>186.47064512458758</c:v>
                </c:pt>
                <c:pt idx="32">
                  <c:v>186.47064512458758</c:v>
                </c:pt>
                <c:pt idx="33">
                  <c:v>186.47064512458758</c:v>
                </c:pt>
                <c:pt idx="34">
                  <c:v>248.92540749035709</c:v>
                </c:pt>
                <c:pt idx="35">
                  <c:v>248.92540749035709</c:v>
                </c:pt>
                <c:pt idx="36">
                  <c:v>248.92540749035709</c:v>
                </c:pt>
                <c:pt idx="37">
                  <c:v>248.92540749035709</c:v>
                </c:pt>
                <c:pt idx="38">
                  <c:v>248.92540749035709</c:v>
                </c:pt>
                <c:pt idx="39">
                  <c:v>248.92540749035709</c:v>
                </c:pt>
                <c:pt idx="40">
                  <c:v>248.92540749035709</c:v>
                </c:pt>
                <c:pt idx="41">
                  <c:v>248.92540749035709</c:v>
                </c:pt>
                <c:pt idx="42">
                  <c:v>248.92540749035709</c:v>
                </c:pt>
                <c:pt idx="43">
                  <c:v>248.92540749035709</c:v>
                </c:pt>
                <c:pt idx="44">
                  <c:v>248.92540749035709</c:v>
                </c:pt>
                <c:pt idx="45">
                  <c:v>248.92540749035709</c:v>
                </c:pt>
                <c:pt idx="46">
                  <c:v>248.92540749035709</c:v>
                </c:pt>
                <c:pt idx="47">
                  <c:v>248.92540749035709</c:v>
                </c:pt>
                <c:pt idx="48">
                  <c:v>248.92540749035709</c:v>
                </c:pt>
                <c:pt idx="49">
                  <c:v>248.92540749035709</c:v>
                </c:pt>
                <c:pt idx="50">
                  <c:v>248.92540749035709</c:v>
                </c:pt>
                <c:pt idx="51">
                  <c:v>248.92540749035709</c:v>
                </c:pt>
              </c:numCache>
            </c:numRef>
          </c:val>
          <c:smooth val="0"/>
          <c:extLst xmlns:c16r2="http://schemas.microsoft.com/office/drawing/2015/06/chart">
            <c:ext xmlns:c16="http://schemas.microsoft.com/office/drawing/2014/chart" uri="{C3380CC4-5D6E-409C-BE32-E72D297353CC}">
              <c16:uniqueId val="{00000001-0BC2-4DA0-BCDB-9D779286B4AD}"/>
            </c:ext>
          </c:extLst>
        </c:ser>
        <c:ser>
          <c:idx val="2"/>
          <c:order val="2"/>
          <c:tx>
            <c:strRef>
              <c:f>SPC!$O$1</c:f>
              <c:strCache>
                <c:ptCount val="1"/>
                <c:pt idx="0">
                  <c:v>LCL</c:v>
                </c:pt>
              </c:strCache>
            </c:strRef>
          </c:tx>
          <c:marker>
            <c:symbol val="none"/>
          </c:marker>
          <c:val>
            <c:numRef>
              <c:f>[0]!LCLRange</c:f>
              <c:numCache>
                <c:formatCode>General</c:formatCode>
                <c:ptCount val="52"/>
                <c:pt idx="0">
                  <c:v>90.256627602685171</c:v>
                </c:pt>
                <c:pt idx="1">
                  <c:v>90.256627602685171</c:v>
                </c:pt>
                <c:pt idx="2">
                  <c:v>90.256627602685171</c:v>
                </c:pt>
                <c:pt idx="3">
                  <c:v>90.256627602685171</c:v>
                </c:pt>
                <c:pt idx="4">
                  <c:v>90.256627602685171</c:v>
                </c:pt>
                <c:pt idx="5">
                  <c:v>90.256627602685171</c:v>
                </c:pt>
                <c:pt idx="6">
                  <c:v>90.256627602685171</c:v>
                </c:pt>
                <c:pt idx="7">
                  <c:v>90.256627602685171</c:v>
                </c:pt>
                <c:pt idx="8">
                  <c:v>90.256627602685171</c:v>
                </c:pt>
                <c:pt idx="9">
                  <c:v>90.256627602685171</c:v>
                </c:pt>
                <c:pt idx="10">
                  <c:v>90.256627602685171</c:v>
                </c:pt>
                <c:pt idx="11">
                  <c:v>90.256627602685171</c:v>
                </c:pt>
                <c:pt idx="12">
                  <c:v>90.256627602685171</c:v>
                </c:pt>
                <c:pt idx="13">
                  <c:v>90.256627602685171</c:v>
                </c:pt>
                <c:pt idx="14">
                  <c:v>90.256627602685171</c:v>
                </c:pt>
                <c:pt idx="15">
                  <c:v>90.256627602685171</c:v>
                </c:pt>
                <c:pt idx="16">
                  <c:v>90.256627602685171</c:v>
                </c:pt>
                <c:pt idx="17">
                  <c:v>90.256627602685171</c:v>
                </c:pt>
                <c:pt idx="18">
                  <c:v>90.256627602685171</c:v>
                </c:pt>
                <c:pt idx="19">
                  <c:v>90.256627602685171</c:v>
                </c:pt>
                <c:pt idx="20">
                  <c:v>90.256627602685171</c:v>
                </c:pt>
                <c:pt idx="21">
                  <c:v>90.256627602685171</c:v>
                </c:pt>
                <c:pt idx="22">
                  <c:v>90.256627602685171</c:v>
                </c:pt>
                <c:pt idx="23">
                  <c:v>90.256627602685171</c:v>
                </c:pt>
                <c:pt idx="24">
                  <c:v>90.256627602685171</c:v>
                </c:pt>
                <c:pt idx="25">
                  <c:v>90.256627602685171</c:v>
                </c:pt>
                <c:pt idx="26">
                  <c:v>90.256627602685171</c:v>
                </c:pt>
                <c:pt idx="27">
                  <c:v>90.256627602685171</c:v>
                </c:pt>
                <c:pt idx="28">
                  <c:v>90.256627602685171</c:v>
                </c:pt>
                <c:pt idx="29">
                  <c:v>90.256627602685171</c:v>
                </c:pt>
                <c:pt idx="30">
                  <c:v>90.256627602685171</c:v>
                </c:pt>
                <c:pt idx="31">
                  <c:v>90.256627602685171</c:v>
                </c:pt>
                <c:pt idx="32">
                  <c:v>90.256627602685171</c:v>
                </c:pt>
                <c:pt idx="33">
                  <c:v>90.256627602685171</c:v>
                </c:pt>
                <c:pt idx="34">
                  <c:v>128.65353987806395</c:v>
                </c:pt>
                <c:pt idx="35">
                  <c:v>128.65353987806395</c:v>
                </c:pt>
                <c:pt idx="36">
                  <c:v>128.65353987806395</c:v>
                </c:pt>
                <c:pt idx="37">
                  <c:v>128.65353987806395</c:v>
                </c:pt>
                <c:pt idx="38">
                  <c:v>128.65353987806395</c:v>
                </c:pt>
                <c:pt idx="39">
                  <c:v>128.65353987806395</c:v>
                </c:pt>
                <c:pt idx="40">
                  <c:v>128.65353987806395</c:v>
                </c:pt>
                <c:pt idx="41">
                  <c:v>128.65353987806395</c:v>
                </c:pt>
                <c:pt idx="42">
                  <c:v>128.65353987806395</c:v>
                </c:pt>
                <c:pt idx="43">
                  <c:v>128.65353987806395</c:v>
                </c:pt>
                <c:pt idx="44">
                  <c:v>128.65353987806395</c:v>
                </c:pt>
                <c:pt idx="45">
                  <c:v>128.65353987806395</c:v>
                </c:pt>
                <c:pt idx="46">
                  <c:v>128.65353987806395</c:v>
                </c:pt>
                <c:pt idx="47">
                  <c:v>128.65353987806395</c:v>
                </c:pt>
                <c:pt idx="48">
                  <c:v>128.65353987806395</c:v>
                </c:pt>
                <c:pt idx="49">
                  <c:v>128.65353987806395</c:v>
                </c:pt>
                <c:pt idx="50">
                  <c:v>128.65353987806395</c:v>
                </c:pt>
                <c:pt idx="51">
                  <c:v>128.65353987806395</c:v>
                </c:pt>
              </c:numCache>
            </c:numRef>
          </c:val>
          <c:smooth val="0"/>
          <c:extLst xmlns:c16r2="http://schemas.microsoft.com/office/drawing/2015/06/chart">
            <c:ext xmlns:c16="http://schemas.microsoft.com/office/drawing/2014/chart" uri="{C3380CC4-5D6E-409C-BE32-E72D297353CC}">
              <c16:uniqueId val="{00000002-0BC2-4DA0-BCDB-9D779286B4AD}"/>
            </c:ext>
          </c:extLst>
        </c:ser>
        <c:ser>
          <c:idx val="3"/>
          <c:order val="3"/>
          <c:tx>
            <c:strRef>
              <c:f>SPC!$L$1</c:f>
              <c:strCache>
                <c:ptCount val="1"/>
                <c:pt idx="0">
                  <c:v>Mean</c:v>
                </c:pt>
              </c:strCache>
            </c:strRef>
          </c:tx>
          <c:marker>
            <c:symbol val="none"/>
          </c:marker>
          <c:val>
            <c:numRef>
              <c:f>[0]!MeanRange</c:f>
              <c:numCache>
                <c:formatCode>General</c:formatCode>
                <c:ptCount val="52"/>
                <c:pt idx="0">
                  <c:v>138.36363636363637</c:v>
                </c:pt>
                <c:pt idx="1">
                  <c:v>138.36363636363637</c:v>
                </c:pt>
                <c:pt idx="2">
                  <c:v>138.36363636363637</c:v>
                </c:pt>
                <c:pt idx="3">
                  <c:v>138.36363636363637</c:v>
                </c:pt>
                <c:pt idx="4">
                  <c:v>138.36363636363637</c:v>
                </c:pt>
                <c:pt idx="5">
                  <c:v>138.36363636363637</c:v>
                </c:pt>
                <c:pt idx="6">
                  <c:v>138.36363636363637</c:v>
                </c:pt>
                <c:pt idx="7">
                  <c:v>138.36363636363637</c:v>
                </c:pt>
                <c:pt idx="8">
                  <c:v>138.36363636363637</c:v>
                </c:pt>
                <c:pt idx="9">
                  <c:v>138.36363636363637</c:v>
                </c:pt>
                <c:pt idx="10">
                  <c:v>138.36363636363637</c:v>
                </c:pt>
                <c:pt idx="11">
                  <c:v>138.36363636363637</c:v>
                </c:pt>
                <c:pt idx="12">
                  <c:v>138.36363636363637</c:v>
                </c:pt>
                <c:pt idx="13">
                  <c:v>138.36363636363637</c:v>
                </c:pt>
                <c:pt idx="14">
                  <c:v>138.36363636363637</c:v>
                </c:pt>
                <c:pt idx="15">
                  <c:v>138.36363636363637</c:v>
                </c:pt>
                <c:pt idx="16">
                  <c:v>138.36363636363637</c:v>
                </c:pt>
                <c:pt idx="17">
                  <c:v>138.36363636363637</c:v>
                </c:pt>
                <c:pt idx="18">
                  <c:v>138.36363636363637</c:v>
                </c:pt>
                <c:pt idx="19">
                  <c:v>138.36363636363637</c:v>
                </c:pt>
                <c:pt idx="20">
                  <c:v>138.36363636363637</c:v>
                </c:pt>
                <c:pt idx="21">
                  <c:v>138.36363636363637</c:v>
                </c:pt>
                <c:pt idx="22">
                  <c:v>138.36363636363637</c:v>
                </c:pt>
                <c:pt idx="23">
                  <c:v>138.36363636363637</c:v>
                </c:pt>
                <c:pt idx="24">
                  <c:v>138.36363636363637</c:v>
                </c:pt>
                <c:pt idx="25">
                  <c:v>138.36363636363637</c:v>
                </c:pt>
                <c:pt idx="26">
                  <c:v>138.36363636363637</c:v>
                </c:pt>
                <c:pt idx="27">
                  <c:v>138.36363636363637</c:v>
                </c:pt>
                <c:pt idx="28">
                  <c:v>138.36363636363637</c:v>
                </c:pt>
                <c:pt idx="29">
                  <c:v>138.36363636363637</c:v>
                </c:pt>
                <c:pt idx="30">
                  <c:v>138.36363636363637</c:v>
                </c:pt>
                <c:pt idx="31">
                  <c:v>138.36363636363637</c:v>
                </c:pt>
                <c:pt idx="32">
                  <c:v>138.36363636363637</c:v>
                </c:pt>
                <c:pt idx="33">
                  <c:v>138.36363636363637</c:v>
                </c:pt>
                <c:pt idx="34">
                  <c:v>188.78947368421052</c:v>
                </c:pt>
                <c:pt idx="35">
                  <c:v>188.78947368421052</c:v>
                </c:pt>
                <c:pt idx="36">
                  <c:v>188.78947368421052</c:v>
                </c:pt>
                <c:pt idx="37">
                  <c:v>188.78947368421052</c:v>
                </c:pt>
                <c:pt idx="38">
                  <c:v>188.78947368421052</c:v>
                </c:pt>
                <c:pt idx="39">
                  <c:v>188.78947368421052</c:v>
                </c:pt>
                <c:pt idx="40">
                  <c:v>188.78947368421052</c:v>
                </c:pt>
                <c:pt idx="41">
                  <c:v>188.78947368421052</c:v>
                </c:pt>
                <c:pt idx="42">
                  <c:v>188.78947368421052</c:v>
                </c:pt>
                <c:pt idx="43">
                  <c:v>188.78947368421052</c:v>
                </c:pt>
                <c:pt idx="44">
                  <c:v>188.78947368421052</c:v>
                </c:pt>
                <c:pt idx="45">
                  <c:v>188.78947368421052</c:v>
                </c:pt>
                <c:pt idx="46">
                  <c:v>188.78947368421052</c:v>
                </c:pt>
                <c:pt idx="47">
                  <c:v>188.78947368421052</c:v>
                </c:pt>
                <c:pt idx="48">
                  <c:v>188.78947368421052</c:v>
                </c:pt>
                <c:pt idx="49">
                  <c:v>188.78947368421052</c:v>
                </c:pt>
                <c:pt idx="50">
                  <c:v>188.78947368421052</c:v>
                </c:pt>
                <c:pt idx="51">
                  <c:v>188.78947368421052</c:v>
                </c:pt>
              </c:numCache>
            </c:numRef>
          </c:val>
          <c:smooth val="0"/>
          <c:extLst xmlns:c16r2="http://schemas.microsoft.com/office/drawing/2015/06/chart">
            <c:ext xmlns:c16="http://schemas.microsoft.com/office/drawing/2014/chart" uri="{C3380CC4-5D6E-409C-BE32-E72D297353CC}">
              <c16:uniqueId val="{00000003-0BC2-4DA0-BCDB-9D779286B4AD}"/>
            </c:ext>
          </c:extLst>
        </c:ser>
        <c:ser>
          <c:idx val="4"/>
          <c:order val="4"/>
          <c:tx>
            <c:strRef>
              <c:f>SPC!$J$1</c:f>
              <c:strCache>
                <c:ptCount val="1"/>
                <c:pt idx="0">
                  <c:v>Sigma+2</c:v>
                </c:pt>
              </c:strCache>
            </c:strRef>
          </c:tx>
          <c:spPr>
            <a:ln w="12700">
              <a:solidFill>
                <a:schemeClr val="tx1"/>
              </a:solidFill>
            </a:ln>
          </c:spPr>
          <c:marker>
            <c:symbol val="none"/>
          </c:marker>
          <c:val>
            <c:numRef>
              <c:f>[0]!SigmaPlus2Range</c:f>
              <c:numCache>
                <c:formatCode>General</c:formatCode>
                <c:ptCount val="52"/>
                <c:pt idx="0">
                  <c:v>170.43497553760383</c:v>
                </c:pt>
                <c:pt idx="1">
                  <c:v>170.43497553760383</c:v>
                </c:pt>
                <c:pt idx="2">
                  <c:v>170.43497553760383</c:v>
                </c:pt>
                <c:pt idx="3">
                  <c:v>170.43497553760383</c:v>
                </c:pt>
                <c:pt idx="4">
                  <c:v>170.43497553760383</c:v>
                </c:pt>
                <c:pt idx="5">
                  <c:v>170.43497553760383</c:v>
                </c:pt>
                <c:pt idx="6">
                  <c:v>170.43497553760383</c:v>
                </c:pt>
                <c:pt idx="7">
                  <c:v>170.43497553760383</c:v>
                </c:pt>
                <c:pt idx="8">
                  <c:v>170.43497553760383</c:v>
                </c:pt>
                <c:pt idx="9">
                  <c:v>170.43497553760383</c:v>
                </c:pt>
                <c:pt idx="10">
                  <c:v>170.43497553760383</c:v>
                </c:pt>
                <c:pt idx="11">
                  <c:v>170.43497553760383</c:v>
                </c:pt>
                <c:pt idx="12">
                  <c:v>170.43497553760383</c:v>
                </c:pt>
                <c:pt idx="13">
                  <c:v>170.43497553760383</c:v>
                </c:pt>
                <c:pt idx="14">
                  <c:v>170.43497553760383</c:v>
                </c:pt>
                <c:pt idx="15">
                  <c:v>170.43497553760383</c:v>
                </c:pt>
                <c:pt idx="16">
                  <c:v>170.43497553760383</c:v>
                </c:pt>
                <c:pt idx="17">
                  <c:v>170.43497553760383</c:v>
                </c:pt>
                <c:pt idx="18">
                  <c:v>170.43497553760383</c:v>
                </c:pt>
                <c:pt idx="19">
                  <c:v>170.43497553760383</c:v>
                </c:pt>
                <c:pt idx="20">
                  <c:v>170.43497553760383</c:v>
                </c:pt>
                <c:pt idx="21">
                  <c:v>170.43497553760383</c:v>
                </c:pt>
                <c:pt idx="22">
                  <c:v>170.43497553760383</c:v>
                </c:pt>
                <c:pt idx="23">
                  <c:v>170.43497553760383</c:v>
                </c:pt>
                <c:pt idx="24">
                  <c:v>170.43497553760383</c:v>
                </c:pt>
                <c:pt idx="25">
                  <c:v>170.43497553760383</c:v>
                </c:pt>
                <c:pt idx="26">
                  <c:v>170.43497553760383</c:v>
                </c:pt>
                <c:pt idx="27">
                  <c:v>170.43497553760383</c:v>
                </c:pt>
                <c:pt idx="28">
                  <c:v>170.43497553760383</c:v>
                </c:pt>
                <c:pt idx="29">
                  <c:v>170.43497553760383</c:v>
                </c:pt>
                <c:pt idx="30">
                  <c:v>170.43497553760383</c:v>
                </c:pt>
                <c:pt idx="31">
                  <c:v>170.43497553760383</c:v>
                </c:pt>
                <c:pt idx="32">
                  <c:v>170.43497553760383</c:v>
                </c:pt>
                <c:pt idx="33">
                  <c:v>170.43497553760383</c:v>
                </c:pt>
                <c:pt idx="34">
                  <c:v>228.88009622164157</c:v>
                </c:pt>
                <c:pt idx="35">
                  <c:v>228.88009622164157</c:v>
                </c:pt>
                <c:pt idx="36">
                  <c:v>228.88009622164157</c:v>
                </c:pt>
                <c:pt idx="37">
                  <c:v>228.88009622164157</c:v>
                </c:pt>
                <c:pt idx="38">
                  <c:v>228.88009622164157</c:v>
                </c:pt>
                <c:pt idx="39">
                  <c:v>228.88009622164157</c:v>
                </c:pt>
                <c:pt idx="40">
                  <c:v>228.88009622164157</c:v>
                </c:pt>
                <c:pt idx="41">
                  <c:v>228.88009622164157</c:v>
                </c:pt>
                <c:pt idx="42">
                  <c:v>228.88009622164157</c:v>
                </c:pt>
                <c:pt idx="43">
                  <c:v>228.88009622164157</c:v>
                </c:pt>
                <c:pt idx="44">
                  <c:v>228.88009622164157</c:v>
                </c:pt>
                <c:pt idx="45">
                  <c:v>228.88009622164157</c:v>
                </c:pt>
                <c:pt idx="46">
                  <c:v>228.88009622164157</c:v>
                </c:pt>
                <c:pt idx="47">
                  <c:v>228.88009622164157</c:v>
                </c:pt>
                <c:pt idx="48">
                  <c:v>228.88009622164157</c:v>
                </c:pt>
                <c:pt idx="49">
                  <c:v>228.88009622164157</c:v>
                </c:pt>
                <c:pt idx="50">
                  <c:v>228.88009622164157</c:v>
                </c:pt>
                <c:pt idx="51">
                  <c:v>228.88009622164157</c:v>
                </c:pt>
              </c:numCache>
            </c:numRef>
          </c:val>
          <c:smooth val="0"/>
          <c:extLst xmlns:c16r2="http://schemas.microsoft.com/office/drawing/2015/06/chart">
            <c:ext xmlns:c16="http://schemas.microsoft.com/office/drawing/2014/chart" uri="{C3380CC4-5D6E-409C-BE32-E72D297353CC}">
              <c16:uniqueId val="{00000004-0BC2-4DA0-BCDB-9D779286B4AD}"/>
            </c:ext>
          </c:extLst>
        </c:ser>
        <c:ser>
          <c:idx val="5"/>
          <c:order val="5"/>
          <c:tx>
            <c:strRef>
              <c:f>SPC!$N$1</c:f>
              <c:strCache>
                <c:ptCount val="1"/>
                <c:pt idx="0">
                  <c:v>Sigma-2</c:v>
                </c:pt>
              </c:strCache>
            </c:strRef>
          </c:tx>
          <c:spPr>
            <a:ln w="12700">
              <a:solidFill>
                <a:schemeClr val="tx1"/>
              </a:solidFill>
            </a:ln>
          </c:spPr>
          <c:marker>
            <c:symbol val="none"/>
          </c:marker>
          <c:val>
            <c:numRef>
              <c:f>[0]!SigmaMinus2Range</c:f>
              <c:numCache>
                <c:formatCode>General</c:formatCode>
                <c:ptCount val="52"/>
                <c:pt idx="0">
                  <c:v>106.29229718966891</c:v>
                </c:pt>
                <c:pt idx="1">
                  <c:v>106.29229718966891</c:v>
                </c:pt>
                <c:pt idx="2">
                  <c:v>106.29229718966891</c:v>
                </c:pt>
                <c:pt idx="3">
                  <c:v>106.29229718966891</c:v>
                </c:pt>
                <c:pt idx="4">
                  <c:v>106.29229718966891</c:v>
                </c:pt>
                <c:pt idx="5">
                  <c:v>106.29229718966891</c:v>
                </c:pt>
                <c:pt idx="6">
                  <c:v>106.29229718966891</c:v>
                </c:pt>
                <c:pt idx="7">
                  <c:v>106.29229718966891</c:v>
                </c:pt>
                <c:pt idx="8">
                  <c:v>106.29229718966891</c:v>
                </c:pt>
                <c:pt idx="9">
                  <c:v>106.29229718966891</c:v>
                </c:pt>
                <c:pt idx="10">
                  <c:v>106.29229718966891</c:v>
                </c:pt>
                <c:pt idx="11">
                  <c:v>106.29229718966891</c:v>
                </c:pt>
                <c:pt idx="12">
                  <c:v>106.29229718966891</c:v>
                </c:pt>
                <c:pt idx="13">
                  <c:v>106.29229718966891</c:v>
                </c:pt>
                <c:pt idx="14">
                  <c:v>106.29229718966891</c:v>
                </c:pt>
                <c:pt idx="15">
                  <c:v>106.29229718966891</c:v>
                </c:pt>
                <c:pt idx="16">
                  <c:v>106.29229718966891</c:v>
                </c:pt>
                <c:pt idx="17">
                  <c:v>106.29229718966891</c:v>
                </c:pt>
                <c:pt idx="18">
                  <c:v>106.29229718966891</c:v>
                </c:pt>
                <c:pt idx="19">
                  <c:v>106.29229718966891</c:v>
                </c:pt>
                <c:pt idx="20">
                  <c:v>106.29229718966891</c:v>
                </c:pt>
                <c:pt idx="21">
                  <c:v>106.29229718966891</c:v>
                </c:pt>
                <c:pt idx="22">
                  <c:v>106.29229718966891</c:v>
                </c:pt>
                <c:pt idx="23">
                  <c:v>106.29229718966891</c:v>
                </c:pt>
                <c:pt idx="24">
                  <c:v>106.29229718966891</c:v>
                </c:pt>
                <c:pt idx="25">
                  <c:v>106.29229718966891</c:v>
                </c:pt>
                <c:pt idx="26">
                  <c:v>106.29229718966891</c:v>
                </c:pt>
                <c:pt idx="27">
                  <c:v>106.29229718966891</c:v>
                </c:pt>
                <c:pt idx="28">
                  <c:v>106.29229718966891</c:v>
                </c:pt>
                <c:pt idx="29">
                  <c:v>106.29229718966891</c:v>
                </c:pt>
                <c:pt idx="30">
                  <c:v>106.29229718966891</c:v>
                </c:pt>
                <c:pt idx="31">
                  <c:v>106.29229718966891</c:v>
                </c:pt>
                <c:pt idx="32">
                  <c:v>106.29229718966891</c:v>
                </c:pt>
                <c:pt idx="33">
                  <c:v>106.29229718966891</c:v>
                </c:pt>
                <c:pt idx="34">
                  <c:v>148.69885114677948</c:v>
                </c:pt>
                <c:pt idx="35">
                  <c:v>148.69885114677948</c:v>
                </c:pt>
                <c:pt idx="36">
                  <c:v>148.69885114677948</c:v>
                </c:pt>
                <c:pt idx="37">
                  <c:v>148.69885114677948</c:v>
                </c:pt>
                <c:pt idx="38">
                  <c:v>148.69885114677948</c:v>
                </c:pt>
                <c:pt idx="39">
                  <c:v>148.69885114677948</c:v>
                </c:pt>
                <c:pt idx="40">
                  <c:v>148.69885114677948</c:v>
                </c:pt>
                <c:pt idx="41">
                  <c:v>148.69885114677948</c:v>
                </c:pt>
                <c:pt idx="42">
                  <c:v>148.69885114677948</c:v>
                </c:pt>
                <c:pt idx="43">
                  <c:v>148.69885114677948</c:v>
                </c:pt>
                <c:pt idx="44">
                  <c:v>148.69885114677948</c:v>
                </c:pt>
                <c:pt idx="45">
                  <c:v>148.69885114677948</c:v>
                </c:pt>
                <c:pt idx="46">
                  <c:v>148.69885114677948</c:v>
                </c:pt>
                <c:pt idx="47">
                  <c:v>148.69885114677948</c:v>
                </c:pt>
                <c:pt idx="48">
                  <c:v>148.69885114677948</c:v>
                </c:pt>
                <c:pt idx="49">
                  <c:v>148.69885114677948</c:v>
                </c:pt>
                <c:pt idx="50">
                  <c:v>148.69885114677948</c:v>
                </c:pt>
                <c:pt idx="51">
                  <c:v>148.69885114677948</c:v>
                </c:pt>
              </c:numCache>
            </c:numRef>
          </c:val>
          <c:smooth val="0"/>
          <c:extLst xmlns:c16r2="http://schemas.microsoft.com/office/drawing/2015/06/chart">
            <c:ext xmlns:c16="http://schemas.microsoft.com/office/drawing/2014/chart" uri="{C3380CC4-5D6E-409C-BE32-E72D297353CC}">
              <c16:uniqueId val="{00000005-0BC2-4DA0-BCDB-9D779286B4AD}"/>
            </c:ext>
          </c:extLst>
        </c:ser>
        <c:ser>
          <c:idx val="6"/>
          <c:order val="6"/>
          <c:tx>
            <c:strRef>
              <c:f>SPC!$K$1</c:f>
              <c:strCache>
                <c:ptCount val="1"/>
                <c:pt idx="0">
                  <c:v>Sigma+1</c:v>
                </c:pt>
              </c:strCache>
            </c:strRef>
          </c:tx>
          <c:spPr>
            <a:ln w="12700">
              <a:solidFill>
                <a:schemeClr val="tx1"/>
              </a:solidFill>
            </a:ln>
          </c:spPr>
          <c:marker>
            <c:symbol val="none"/>
          </c:marker>
          <c:val>
            <c:numRef>
              <c:f>[0]!SigmaPlus1Range</c:f>
              <c:numCache>
                <c:formatCode>General</c:formatCode>
                <c:ptCount val="52"/>
                <c:pt idx="0">
                  <c:v>154.39930595062012</c:v>
                </c:pt>
                <c:pt idx="1">
                  <c:v>154.39930595062012</c:v>
                </c:pt>
                <c:pt idx="2">
                  <c:v>154.39930595062012</c:v>
                </c:pt>
                <c:pt idx="3">
                  <c:v>154.39930595062012</c:v>
                </c:pt>
                <c:pt idx="4">
                  <c:v>154.39930595062012</c:v>
                </c:pt>
                <c:pt idx="5">
                  <c:v>154.39930595062012</c:v>
                </c:pt>
                <c:pt idx="6">
                  <c:v>154.39930595062012</c:v>
                </c:pt>
                <c:pt idx="7">
                  <c:v>154.39930595062012</c:v>
                </c:pt>
                <c:pt idx="8">
                  <c:v>154.39930595062012</c:v>
                </c:pt>
                <c:pt idx="9">
                  <c:v>154.39930595062012</c:v>
                </c:pt>
                <c:pt idx="10">
                  <c:v>154.39930595062012</c:v>
                </c:pt>
                <c:pt idx="11">
                  <c:v>154.39930595062012</c:v>
                </c:pt>
                <c:pt idx="12">
                  <c:v>154.39930595062012</c:v>
                </c:pt>
                <c:pt idx="13">
                  <c:v>154.39930595062012</c:v>
                </c:pt>
                <c:pt idx="14">
                  <c:v>154.39930595062012</c:v>
                </c:pt>
                <c:pt idx="15">
                  <c:v>154.39930595062012</c:v>
                </c:pt>
                <c:pt idx="16">
                  <c:v>154.39930595062012</c:v>
                </c:pt>
                <c:pt idx="17">
                  <c:v>154.39930595062012</c:v>
                </c:pt>
                <c:pt idx="18">
                  <c:v>154.39930595062012</c:v>
                </c:pt>
                <c:pt idx="19">
                  <c:v>154.39930595062012</c:v>
                </c:pt>
                <c:pt idx="20">
                  <c:v>154.39930595062012</c:v>
                </c:pt>
                <c:pt idx="21">
                  <c:v>154.39930595062012</c:v>
                </c:pt>
                <c:pt idx="22">
                  <c:v>154.39930595062012</c:v>
                </c:pt>
                <c:pt idx="23">
                  <c:v>154.39930595062012</c:v>
                </c:pt>
                <c:pt idx="24">
                  <c:v>154.39930595062012</c:v>
                </c:pt>
                <c:pt idx="25">
                  <c:v>154.39930595062012</c:v>
                </c:pt>
                <c:pt idx="26">
                  <c:v>154.39930595062012</c:v>
                </c:pt>
                <c:pt idx="27">
                  <c:v>154.39930595062012</c:v>
                </c:pt>
                <c:pt idx="28">
                  <c:v>154.39930595062012</c:v>
                </c:pt>
                <c:pt idx="29">
                  <c:v>154.39930595062012</c:v>
                </c:pt>
                <c:pt idx="30">
                  <c:v>154.39930595062012</c:v>
                </c:pt>
                <c:pt idx="31">
                  <c:v>154.39930595062012</c:v>
                </c:pt>
                <c:pt idx="32">
                  <c:v>154.39930595062012</c:v>
                </c:pt>
                <c:pt idx="33">
                  <c:v>154.39930595062012</c:v>
                </c:pt>
                <c:pt idx="34">
                  <c:v>208.83478495292604</c:v>
                </c:pt>
                <c:pt idx="35">
                  <c:v>208.83478495292604</c:v>
                </c:pt>
                <c:pt idx="36">
                  <c:v>208.83478495292604</c:v>
                </c:pt>
                <c:pt idx="37">
                  <c:v>208.83478495292604</c:v>
                </c:pt>
                <c:pt idx="38">
                  <c:v>208.83478495292604</c:v>
                </c:pt>
                <c:pt idx="39">
                  <c:v>208.83478495292604</c:v>
                </c:pt>
                <c:pt idx="40">
                  <c:v>208.83478495292604</c:v>
                </c:pt>
                <c:pt idx="41">
                  <c:v>208.83478495292604</c:v>
                </c:pt>
                <c:pt idx="42">
                  <c:v>208.83478495292604</c:v>
                </c:pt>
                <c:pt idx="43">
                  <c:v>208.83478495292604</c:v>
                </c:pt>
                <c:pt idx="44">
                  <c:v>208.83478495292604</c:v>
                </c:pt>
                <c:pt idx="45">
                  <c:v>208.83478495292604</c:v>
                </c:pt>
                <c:pt idx="46">
                  <c:v>208.83478495292604</c:v>
                </c:pt>
                <c:pt idx="47">
                  <c:v>208.83478495292604</c:v>
                </c:pt>
                <c:pt idx="48">
                  <c:v>208.83478495292604</c:v>
                </c:pt>
                <c:pt idx="49">
                  <c:v>208.83478495292604</c:v>
                </c:pt>
                <c:pt idx="50">
                  <c:v>208.83478495292604</c:v>
                </c:pt>
                <c:pt idx="51">
                  <c:v>208.83478495292604</c:v>
                </c:pt>
              </c:numCache>
            </c:numRef>
          </c:val>
          <c:smooth val="0"/>
          <c:extLst xmlns:c16r2="http://schemas.microsoft.com/office/drawing/2015/06/chart">
            <c:ext xmlns:c16="http://schemas.microsoft.com/office/drawing/2014/chart" uri="{C3380CC4-5D6E-409C-BE32-E72D297353CC}">
              <c16:uniqueId val="{00000006-0BC2-4DA0-BCDB-9D779286B4AD}"/>
            </c:ext>
          </c:extLst>
        </c:ser>
        <c:ser>
          <c:idx val="7"/>
          <c:order val="7"/>
          <c:tx>
            <c:strRef>
              <c:f>SPC!$M$1</c:f>
              <c:strCache>
                <c:ptCount val="1"/>
                <c:pt idx="0">
                  <c:v>Sigma-1</c:v>
                </c:pt>
              </c:strCache>
            </c:strRef>
          </c:tx>
          <c:spPr>
            <a:ln w="12700">
              <a:solidFill>
                <a:schemeClr val="tx1"/>
              </a:solidFill>
            </a:ln>
          </c:spPr>
          <c:marker>
            <c:symbol val="none"/>
          </c:marker>
          <c:val>
            <c:numRef>
              <c:f>[0]!SigmaMinus1Range</c:f>
              <c:numCache>
                <c:formatCode>General</c:formatCode>
                <c:ptCount val="52"/>
                <c:pt idx="0">
                  <c:v>122.32796677665264</c:v>
                </c:pt>
                <c:pt idx="1">
                  <c:v>122.32796677665264</c:v>
                </c:pt>
                <c:pt idx="2">
                  <c:v>122.32796677665264</c:v>
                </c:pt>
                <c:pt idx="3">
                  <c:v>122.32796677665264</c:v>
                </c:pt>
                <c:pt idx="4">
                  <c:v>122.32796677665264</c:v>
                </c:pt>
                <c:pt idx="5">
                  <c:v>122.32796677665264</c:v>
                </c:pt>
                <c:pt idx="6">
                  <c:v>122.32796677665264</c:v>
                </c:pt>
                <c:pt idx="7">
                  <c:v>122.32796677665264</c:v>
                </c:pt>
                <c:pt idx="8">
                  <c:v>122.32796677665264</c:v>
                </c:pt>
                <c:pt idx="9">
                  <c:v>122.32796677665264</c:v>
                </c:pt>
                <c:pt idx="10">
                  <c:v>122.32796677665264</c:v>
                </c:pt>
                <c:pt idx="11">
                  <c:v>122.32796677665264</c:v>
                </c:pt>
                <c:pt idx="12">
                  <c:v>122.32796677665264</c:v>
                </c:pt>
                <c:pt idx="13">
                  <c:v>122.32796677665264</c:v>
                </c:pt>
                <c:pt idx="14">
                  <c:v>122.32796677665264</c:v>
                </c:pt>
                <c:pt idx="15">
                  <c:v>122.32796677665264</c:v>
                </c:pt>
                <c:pt idx="16">
                  <c:v>122.32796677665264</c:v>
                </c:pt>
                <c:pt idx="17">
                  <c:v>122.32796677665264</c:v>
                </c:pt>
                <c:pt idx="18">
                  <c:v>122.32796677665264</c:v>
                </c:pt>
                <c:pt idx="19">
                  <c:v>122.32796677665264</c:v>
                </c:pt>
                <c:pt idx="20">
                  <c:v>122.32796677665264</c:v>
                </c:pt>
                <c:pt idx="21">
                  <c:v>122.32796677665264</c:v>
                </c:pt>
                <c:pt idx="22">
                  <c:v>122.32796677665264</c:v>
                </c:pt>
                <c:pt idx="23">
                  <c:v>122.32796677665264</c:v>
                </c:pt>
                <c:pt idx="24">
                  <c:v>122.32796677665264</c:v>
                </c:pt>
                <c:pt idx="25">
                  <c:v>122.32796677665264</c:v>
                </c:pt>
                <c:pt idx="26">
                  <c:v>122.32796677665264</c:v>
                </c:pt>
                <c:pt idx="27">
                  <c:v>122.32796677665264</c:v>
                </c:pt>
                <c:pt idx="28">
                  <c:v>122.32796677665264</c:v>
                </c:pt>
                <c:pt idx="29">
                  <c:v>122.32796677665264</c:v>
                </c:pt>
                <c:pt idx="30">
                  <c:v>122.32796677665264</c:v>
                </c:pt>
                <c:pt idx="31">
                  <c:v>122.32796677665264</c:v>
                </c:pt>
                <c:pt idx="32">
                  <c:v>122.32796677665264</c:v>
                </c:pt>
                <c:pt idx="33">
                  <c:v>122.32796677665264</c:v>
                </c:pt>
                <c:pt idx="34">
                  <c:v>168.744162415495</c:v>
                </c:pt>
                <c:pt idx="35">
                  <c:v>168.744162415495</c:v>
                </c:pt>
                <c:pt idx="36">
                  <c:v>168.744162415495</c:v>
                </c:pt>
                <c:pt idx="37">
                  <c:v>168.744162415495</c:v>
                </c:pt>
                <c:pt idx="38">
                  <c:v>168.744162415495</c:v>
                </c:pt>
                <c:pt idx="39">
                  <c:v>168.744162415495</c:v>
                </c:pt>
                <c:pt idx="40">
                  <c:v>168.744162415495</c:v>
                </c:pt>
                <c:pt idx="41">
                  <c:v>168.744162415495</c:v>
                </c:pt>
                <c:pt idx="42">
                  <c:v>168.744162415495</c:v>
                </c:pt>
                <c:pt idx="43">
                  <c:v>168.744162415495</c:v>
                </c:pt>
                <c:pt idx="44">
                  <c:v>168.744162415495</c:v>
                </c:pt>
                <c:pt idx="45">
                  <c:v>168.744162415495</c:v>
                </c:pt>
                <c:pt idx="46">
                  <c:v>168.744162415495</c:v>
                </c:pt>
                <c:pt idx="47">
                  <c:v>168.744162415495</c:v>
                </c:pt>
                <c:pt idx="48">
                  <c:v>168.744162415495</c:v>
                </c:pt>
                <c:pt idx="49">
                  <c:v>168.744162415495</c:v>
                </c:pt>
                <c:pt idx="50">
                  <c:v>168.744162415495</c:v>
                </c:pt>
                <c:pt idx="51">
                  <c:v>168.744162415495</c:v>
                </c:pt>
              </c:numCache>
            </c:numRef>
          </c:val>
          <c:smooth val="0"/>
          <c:extLst xmlns:c16r2="http://schemas.microsoft.com/office/drawing/2015/06/chart">
            <c:ext xmlns:c16="http://schemas.microsoft.com/office/drawing/2014/chart" uri="{C3380CC4-5D6E-409C-BE32-E72D297353CC}">
              <c16:uniqueId val="{00000007-0BC2-4DA0-BCDB-9D779286B4AD}"/>
            </c:ext>
          </c:extLst>
        </c:ser>
        <c:dLbls>
          <c:showLegendKey val="0"/>
          <c:showVal val="0"/>
          <c:showCatName val="0"/>
          <c:showSerName val="0"/>
          <c:showPercent val="0"/>
          <c:showBubbleSize val="0"/>
        </c:dLbls>
        <c:marker val="1"/>
        <c:smooth val="0"/>
        <c:axId val="114889472"/>
        <c:axId val="114891008"/>
      </c:lineChart>
      <c:scatterChart>
        <c:scatterStyle val="lineMarker"/>
        <c:varyColors val="0"/>
        <c:ser>
          <c:idx val="9"/>
          <c:order val="8"/>
          <c:tx>
            <c:strRef>
              <c:f>SPC!$B$1</c:f>
              <c:strCache>
                <c:ptCount val="1"/>
                <c:pt idx="0">
                  <c:v>1</c:v>
                </c:pt>
              </c:strCache>
            </c:strRef>
          </c:tx>
          <c:spPr>
            <a:ln w="28575">
              <a:noFill/>
            </a:ln>
          </c:spPr>
          <c:marker>
            <c:symbol val="none"/>
          </c:marker>
          <c:dLbls>
            <c:dLbl>
              <c:idx val="47"/>
              <c:layout>
                <c:manualLayout>
                  <c:x val="-3.3948186528497411E-2"/>
                  <c:y val="-4.1482726051648634E-2"/>
                </c:manualLayout>
              </c:layout>
              <c:dLblPos val="r"/>
              <c:showLegendKey val="0"/>
              <c:showVal val="0"/>
              <c:showCatName val="1"/>
              <c:showSerName val="1"/>
              <c:showPercent val="0"/>
              <c:showBubbleSize val="0"/>
              <c:separator>
</c:separator>
              <c:extLst xmlns:c16r2="http://schemas.microsoft.com/office/drawing/2015/06/chart">
                <c:ext xmlns:c15="http://schemas.microsoft.com/office/drawing/2012/chart" uri="{CE6537A1-D6FC-4f65-9D91-7224C49458BB}"/>
                <c:ext xmlns:c16="http://schemas.microsoft.com/office/drawing/2014/chart" uri="{C3380CC4-5D6E-409C-BE32-E72D297353CC}">
                  <c16:uniqueId val="{00000008-0BC2-4DA0-BCDB-9D779286B4AD}"/>
                </c:ext>
              </c:extLst>
            </c:dLbl>
            <c:spPr>
              <a:solidFill>
                <a:srgbClr val="FF0000"/>
              </a:solidFill>
              <a:ln w="25400">
                <a:noFill/>
              </a:ln>
            </c:spPr>
            <c:txPr>
              <a:bodyPr/>
              <a:lstStyle/>
              <a:p>
                <a:pPr>
                  <a:defRPr b="1"/>
                </a:pPr>
                <a:endParaRPr lang="en-US"/>
              </a:p>
            </c:txPr>
            <c:dLblPos val="t"/>
            <c:showLegendKey val="0"/>
            <c:showVal val="0"/>
            <c:showCatName val="1"/>
            <c:showSerName val="1"/>
            <c:showPercent val="0"/>
            <c:showBubbleSize val="0"/>
            <c:separator>
</c:separator>
            <c:showLeaderLines val="0"/>
            <c:extLst xmlns:c16r2="http://schemas.microsoft.com/office/drawing/2015/06/chart">
              <c:ext xmlns:c15="http://schemas.microsoft.com/office/drawing/2012/chart" uri="{CE6537A1-D6FC-4f65-9D91-7224C49458BB}">
                <c15:showLeaderLines val="0"/>
              </c:ext>
            </c:extLst>
          </c:dLbls>
          <c:yVal>
            <c:numRef>
              <c:f>[0]!SCV1Range</c:f>
              <c:numCache>
                <c:formatCode>General</c:formatCode>
                <c:ptCount val="52"/>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88</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123</c:v>
                </c:pt>
                <c:pt idx="49">
                  <c:v>#N/A</c:v>
                </c:pt>
                <c:pt idx="50">
                  <c:v>#N/A</c:v>
                </c:pt>
                <c:pt idx="51">
                  <c:v>#N/A</c:v>
                </c:pt>
              </c:numCache>
            </c:numRef>
          </c:yVal>
          <c:smooth val="0"/>
          <c:extLst xmlns:c16r2="http://schemas.microsoft.com/office/drawing/2015/06/chart">
            <c:ext xmlns:c16="http://schemas.microsoft.com/office/drawing/2014/chart" uri="{C3380CC4-5D6E-409C-BE32-E72D297353CC}">
              <c16:uniqueId val="{00000009-0BC2-4DA0-BCDB-9D779286B4AD}"/>
            </c:ext>
          </c:extLst>
        </c:ser>
        <c:ser>
          <c:idx val="8"/>
          <c:order val="9"/>
          <c:tx>
            <c:strRef>
              <c:f>SPC!$D$1</c:f>
              <c:strCache>
                <c:ptCount val="1"/>
                <c:pt idx="0">
                  <c:v>2</c:v>
                </c:pt>
              </c:strCache>
            </c:strRef>
          </c:tx>
          <c:spPr>
            <a:ln w="28575">
              <a:noFill/>
            </a:ln>
          </c:spPr>
          <c:marker>
            <c:symbol val="none"/>
          </c:marker>
          <c:dLbls>
            <c:dLbl>
              <c:idx val="47"/>
              <c:layout>
                <c:manualLayout>
                  <c:x val="-2.1692573402417969E-3"/>
                  <c:y val="-4.0494178733987363E-2"/>
                </c:manualLayout>
              </c:layout>
              <c:dLblPos val="r"/>
              <c:showLegendKey val="0"/>
              <c:showVal val="0"/>
              <c:showCatName val="1"/>
              <c:showSerName val="1"/>
              <c:showPercent val="0"/>
              <c:showBubbleSize val="0"/>
              <c:separator>
</c:separator>
              <c:extLst xmlns:c16r2="http://schemas.microsoft.com/office/drawing/2015/06/chart">
                <c:ext xmlns:c15="http://schemas.microsoft.com/office/drawing/2012/chart" uri="{CE6537A1-D6FC-4f65-9D91-7224C49458BB}"/>
                <c:ext xmlns:c16="http://schemas.microsoft.com/office/drawing/2014/chart" uri="{C3380CC4-5D6E-409C-BE32-E72D297353CC}">
                  <c16:uniqueId val="{0000000A-0BC2-4DA0-BCDB-9D779286B4AD}"/>
                </c:ext>
              </c:extLst>
            </c:dLbl>
            <c:spPr>
              <a:solidFill>
                <a:srgbClr val="FF0000"/>
              </a:solidFill>
              <a:ln>
                <a:noFill/>
              </a:ln>
            </c:spPr>
            <c:txPr>
              <a:bodyPr/>
              <a:lstStyle/>
              <a:p>
                <a:pPr>
                  <a:defRPr b="1"/>
                </a:pPr>
                <a:endParaRPr lang="en-US"/>
              </a:p>
            </c:txPr>
            <c:dLblPos val="b"/>
            <c:showLegendKey val="0"/>
            <c:showVal val="0"/>
            <c:showCatName val="1"/>
            <c:showSerName val="1"/>
            <c:showPercent val="0"/>
            <c:showBubbleSize val="0"/>
            <c:separator>
</c:separator>
            <c:showLeaderLines val="0"/>
            <c:extLst xmlns:c16r2="http://schemas.microsoft.com/office/drawing/2015/06/chart">
              <c:ext xmlns:c15="http://schemas.microsoft.com/office/drawing/2012/chart" uri="{CE6537A1-D6FC-4f65-9D91-7224C49458BB}">
                <c15:showLeaderLines val="0"/>
              </c:ext>
            </c:extLst>
          </c:dLbls>
          <c:yVal>
            <c:numRef>
              <c:f>[0]!SCV2Range</c:f>
              <c:numCache>
                <c:formatCode>General</c:formatCode>
                <c:ptCount val="52"/>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numCache>
            </c:numRef>
          </c:yVal>
          <c:smooth val="0"/>
          <c:extLst xmlns:c16r2="http://schemas.microsoft.com/office/drawing/2015/06/chart">
            <c:ext xmlns:c16="http://schemas.microsoft.com/office/drawing/2014/chart" uri="{C3380CC4-5D6E-409C-BE32-E72D297353CC}">
              <c16:uniqueId val="{0000000B-0BC2-4DA0-BCDB-9D779286B4AD}"/>
            </c:ext>
          </c:extLst>
        </c:ser>
        <c:ser>
          <c:idx val="10"/>
          <c:order val="10"/>
          <c:tx>
            <c:strRef>
              <c:f>SPC!$F$1</c:f>
              <c:strCache>
                <c:ptCount val="1"/>
                <c:pt idx="0">
                  <c:v>3</c:v>
                </c:pt>
              </c:strCache>
            </c:strRef>
          </c:tx>
          <c:spPr>
            <a:ln w="28575">
              <a:noFill/>
            </a:ln>
          </c:spPr>
          <c:marker>
            <c:symbol val="none"/>
          </c:marker>
          <c:dLbls>
            <c:spPr>
              <a:solidFill>
                <a:srgbClr val="FF0000"/>
              </a:solidFill>
              <a:ln>
                <a:noFill/>
              </a:ln>
            </c:spPr>
            <c:txPr>
              <a:bodyPr/>
              <a:lstStyle/>
              <a:p>
                <a:pPr>
                  <a:defRPr b="1"/>
                </a:pPr>
                <a:endParaRPr lang="en-US"/>
              </a:p>
            </c:txPr>
            <c:dLblPos val="t"/>
            <c:showLegendKey val="0"/>
            <c:showVal val="0"/>
            <c:showCatName val="1"/>
            <c:showSerName val="1"/>
            <c:showPercent val="0"/>
            <c:showBubbleSize val="0"/>
            <c:separator>
</c:separator>
            <c:showLeaderLines val="0"/>
            <c:extLst xmlns:c16r2="http://schemas.microsoft.com/office/drawing/2015/06/chart">
              <c:ext xmlns:c15="http://schemas.microsoft.com/office/drawing/2012/chart" uri="{CE6537A1-D6FC-4f65-9D91-7224C49458BB}">
                <c15:showLeaderLines val="0"/>
              </c:ext>
            </c:extLst>
          </c:dLbls>
          <c:yVal>
            <c:numRef>
              <c:f>[0]!SCV3Range</c:f>
              <c:numCache>
                <c:formatCode>General</c:formatCode>
                <c:ptCount val="52"/>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numCache>
            </c:numRef>
          </c:yVal>
          <c:smooth val="0"/>
          <c:extLst xmlns:c16r2="http://schemas.microsoft.com/office/drawing/2015/06/chart">
            <c:ext xmlns:c16="http://schemas.microsoft.com/office/drawing/2014/chart" uri="{C3380CC4-5D6E-409C-BE32-E72D297353CC}">
              <c16:uniqueId val="{0000000C-0BC2-4DA0-BCDB-9D779286B4AD}"/>
            </c:ext>
          </c:extLst>
        </c:ser>
        <c:ser>
          <c:idx val="11"/>
          <c:order val="11"/>
          <c:tx>
            <c:strRef>
              <c:f>SPC!$H$1</c:f>
              <c:strCache>
                <c:ptCount val="1"/>
                <c:pt idx="0">
                  <c:v>4</c:v>
                </c:pt>
              </c:strCache>
            </c:strRef>
          </c:tx>
          <c:spPr>
            <a:ln w="28575">
              <a:noFill/>
            </a:ln>
          </c:spPr>
          <c:marker>
            <c:symbol val="none"/>
          </c:marker>
          <c:dLbls>
            <c:spPr>
              <a:solidFill>
                <a:srgbClr val="FF0000"/>
              </a:solidFill>
              <a:ln>
                <a:noFill/>
              </a:ln>
            </c:spPr>
            <c:txPr>
              <a:bodyPr/>
              <a:lstStyle/>
              <a:p>
                <a:pPr>
                  <a:defRPr b="1"/>
                </a:pPr>
                <a:endParaRPr lang="en-US"/>
              </a:p>
            </c:txPr>
            <c:dLblPos val="t"/>
            <c:showLegendKey val="0"/>
            <c:showVal val="0"/>
            <c:showCatName val="1"/>
            <c:showSerName val="1"/>
            <c:showPercent val="0"/>
            <c:showBubbleSize val="0"/>
            <c:separator>
</c:separator>
            <c:showLeaderLines val="0"/>
            <c:extLst xmlns:c16r2="http://schemas.microsoft.com/office/drawing/2015/06/chart">
              <c:ext xmlns:c15="http://schemas.microsoft.com/office/drawing/2012/chart" uri="{CE6537A1-D6FC-4f65-9D91-7224C49458BB}">
                <c15:showLeaderLines val="0"/>
              </c:ext>
            </c:extLst>
          </c:dLbls>
          <c:yVal>
            <c:numRef>
              <c:f>[0]!SCV4Range</c:f>
              <c:numCache>
                <c:formatCode>General</c:formatCode>
                <c:ptCount val="52"/>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numCache>
            </c:numRef>
          </c:yVal>
          <c:smooth val="0"/>
          <c:extLst xmlns:c16r2="http://schemas.microsoft.com/office/drawing/2015/06/chart">
            <c:ext xmlns:c16="http://schemas.microsoft.com/office/drawing/2014/chart" uri="{C3380CC4-5D6E-409C-BE32-E72D297353CC}">
              <c16:uniqueId val="{0000000D-0BC2-4DA0-BCDB-9D779286B4AD}"/>
            </c:ext>
          </c:extLst>
        </c:ser>
        <c:dLbls>
          <c:showLegendKey val="0"/>
          <c:showVal val="0"/>
          <c:showCatName val="0"/>
          <c:showSerName val="0"/>
          <c:showPercent val="0"/>
          <c:showBubbleSize val="0"/>
        </c:dLbls>
        <c:axId val="114889472"/>
        <c:axId val="114891008"/>
      </c:scatterChart>
      <c:catAx>
        <c:axId val="114889472"/>
        <c:scaling>
          <c:orientation val="minMax"/>
        </c:scaling>
        <c:delete val="0"/>
        <c:axPos val="b"/>
        <c:numFmt formatCode="General" sourceLinked="1"/>
        <c:majorTickMark val="out"/>
        <c:minorTickMark val="none"/>
        <c:tickLblPos val="nextTo"/>
        <c:txPr>
          <a:bodyPr/>
          <a:lstStyle/>
          <a:p>
            <a:pPr>
              <a:defRPr b="1"/>
            </a:pPr>
            <a:endParaRPr lang="en-US"/>
          </a:p>
        </c:txPr>
        <c:crossAx val="114891008"/>
        <c:crosses val="autoZero"/>
        <c:auto val="1"/>
        <c:lblAlgn val="ctr"/>
        <c:lblOffset val="100"/>
        <c:tickLblSkip val="2"/>
        <c:noMultiLvlLbl val="0"/>
      </c:catAx>
      <c:valAx>
        <c:axId val="114891008"/>
        <c:scaling>
          <c:orientation val="minMax"/>
        </c:scaling>
        <c:delete val="0"/>
        <c:axPos val="l"/>
        <c:numFmt formatCode="#,##0" sourceLinked="1"/>
        <c:majorTickMark val="out"/>
        <c:minorTickMark val="none"/>
        <c:tickLblPos val="nextTo"/>
        <c:txPr>
          <a:bodyPr/>
          <a:lstStyle/>
          <a:p>
            <a:pPr>
              <a:defRPr b="1"/>
            </a:pPr>
            <a:endParaRPr lang="en-US"/>
          </a:p>
        </c:txPr>
        <c:crossAx val="114889472"/>
        <c:crosses val="autoZero"/>
        <c:crossBetween val="between"/>
      </c:valAx>
    </c:plotArea>
    <c:legend>
      <c:legendPos val="b"/>
      <c:layout>
        <c:manualLayout>
          <c:xMode val="edge"/>
          <c:yMode val="edge"/>
          <c:x val="0.3053926482539937"/>
          <c:y val="0.75891309949892649"/>
          <c:w val="0.4647826585128636"/>
          <c:h val="4.745254115962784E-2"/>
        </c:manualLayout>
      </c:layout>
      <c:overlay val="1"/>
    </c:legend>
    <c:plotVisOnly val="0"/>
    <c:dispBlanksAs val="span"/>
    <c:showDLblsOverMax val="0"/>
  </c:chart>
  <c:spPr>
    <a:noFill/>
    <a:ln w="9525">
      <a:noFill/>
    </a:ln>
  </c:spPr>
  <c:printSettings>
    <c:headerFooter/>
    <c:pageMargins b="0.75000000000000044" l="0.7000000000000004" r="0.7000000000000004" t="0.75000000000000044" header="0.30000000000000021" footer="0.30000000000000021"/>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734067222179752"/>
          <c:y val="2.4521877294073881E-2"/>
          <c:w val="0.82299926101470333"/>
          <c:h val="0.74226532659027389"/>
        </c:manualLayout>
      </c:layout>
      <c:lineChart>
        <c:grouping val="standard"/>
        <c:varyColors val="0"/>
        <c:ser>
          <c:idx val="0"/>
          <c:order val="0"/>
          <c:tx>
            <c:v>Waiting List</c:v>
          </c:tx>
          <c:spPr>
            <a:ln w="38100">
              <a:solidFill>
                <a:srgbClr val="0091C9"/>
              </a:solidFill>
              <a:prstDash val="solid"/>
            </a:ln>
          </c:spPr>
          <c:marker>
            <c:symbol val="none"/>
          </c:marker>
          <c:cat>
            <c:numRef>
              <c:f>Calculations!$A$16:$A$41</c:f>
              <c:numCache>
                <c:formatCode>General</c:formatCode>
                <c:ptCount val="26"/>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formatCode="0">
                  <c:v>25</c:v>
                </c:pt>
              </c:numCache>
            </c:numRef>
          </c:cat>
          <c:val>
            <c:numRef>
              <c:f>[0]!WLDecayRange</c:f>
              <c:numCache>
                <c:formatCode>#,##0.0</c:formatCode>
                <c:ptCount val="12"/>
                <c:pt idx="0">
                  <c:v>188.78947368421052</c:v>
                </c:pt>
                <c:pt idx="1">
                  <c:v>179.35</c:v>
                </c:pt>
                <c:pt idx="2">
                  <c:v>149.56374078947368</c:v>
                </c:pt>
                <c:pt idx="3">
                  <c:v>129.2169552631579</c:v>
                </c:pt>
                <c:pt idx="4">
                  <c:v>107.97813947368422</c:v>
                </c:pt>
                <c:pt idx="5">
                  <c:v>86.739323684210547</c:v>
                </c:pt>
                <c:pt idx="6">
                  <c:v>65.50050789473687</c:v>
                </c:pt>
                <c:pt idx="7">
                  <c:v>44.261692105263187</c:v>
                </c:pt>
                <c:pt idx="8">
                  <c:v>23.022876315789503</c:v>
                </c:pt>
                <c:pt idx="9">
                  <c:v>1.7840605263158196</c:v>
                </c:pt>
                <c:pt idx="10">
                  <c:v>0.892030263157925</c:v>
                </c:pt>
                <c:pt idx="11">
                  <c:v>3.0420110874729289E-14</c:v>
                </c:pt>
              </c:numCache>
            </c:numRef>
          </c:val>
          <c:smooth val="0"/>
          <c:extLst xmlns:c16r2="http://schemas.microsoft.com/office/drawing/2015/06/chart">
            <c:ext xmlns:c16="http://schemas.microsoft.com/office/drawing/2014/chart" uri="{C3380CC4-5D6E-409C-BE32-E72D297353CC}">
              <c16:uniqueId val="{00000000-DEEA-4093-9F30-79E1C4C605B9}"/>
            </c:ext>
          </c:extLst>
        </c:ser>
        <c:dLbls>
          <c:showLegendKey val="0"/>
          <c:showVal val="0"/>
          <c:showCatName val="0"/>
          <c:showSerName val="0"/>
          <c:showPercent val="0"/>
          <c:showBubbleSize val="0"/>
        </c:dLbls>
        <c:marker val="1"/>
        <c:smooth val="0"/>
        <c:axId val="120550912"/>
        <c:axId val="120552832"/>
      </c:lineChart>
      <c:catAx>
        <c:axId val="120550912"/>
        <c:scaling>
          <c:orientation val="minMax"/>
        </c:scaling>
        <c:delete val="0"/>
        <c:axPos val="b"/>
        <c:title>
          <c:tx>
            <c:rich>
              <a:bodyPr/>
              <a:lstStyle/>
              <a:p>
                <a:pPr>
                  <a:defRPr sz="900" b="0" i="0" u="none" strike="noStrike" baseline="0">
                    <a:solidFill>
                      <a:srgbClr val="000000"/>
                    </a:solidFill>
                    <a:latin typeface="Arial"/>
                    <a:ea typeface="Arial"/>
                    <a:cs typeface="Arial"/>
                  </a:defRPr>
                </a:pPr>
                <a:r>
                  <a:rPr lang="en-GB" sz="900" b="0"/>
                  <a:t>Time elapsed in weeks</a:t>
                </a:r>
              </a:p>
            </c:rich>
          </c:tx>
          <c:layout>
            <c:manualLayout>
              <c:xMode val="edge"/>
              <c:yMode val="edge"/>
              <c:x val="0.37080957113370544"/>
              <c:y val="0.87785364242057184"/>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120552832"/>
        <c:crosses val="autoZero"/>
        <c:auto val="1"/>
        <c:lblAlgn val="ctr"/>
        <c:lblOffset val="100"/>
        <c:tickLblSkip val="1"/>
        <c:tickMarkSkip val="1"/>
        <c:noMultiLvlLbl val="0"/>
      </c:catAx>
      <c:valAx>
        <c:axId val="120552832"/>
        <c:scaling>
          <c:orientation val="minMax"/>
          <c:min val="0"/>
        </c:scaling>
        <c:delete val="0"/>
        <c:axPos val="l"/>
        <c:title>
          <c:tx>
            <c:rich>
              <a:bodyPr/>
              <a:lstStyle/>
              <a:p>
                <a:pPr>
                  <a:defRPr sz="900" b="0" i="0" u="none" strike="noStrike" baseline="0">
                    <a:solidFill>
                      <a:srgbClr val="000000"/>
                    </a:solidFill>
                    <a:latin typeface="Arial"/>
                    <a:ea typeface="Arial"/>
                    <a:cs typeface="Arial"/>
                  </a:defRPr>
                </a:pPr>
                <a:r>
                  <a:rPr lang="en-GB" sz="900" b="0"/>
                  <a:t>Number of patients on PTL</a:t>
                </a:r>
              </a:p>
            </c:rich>
          </c:tx>
          <c:layout>
            <c:manualLayout>
              <c:xMode val="edge"/>
              <c:yMode val="edge"/>
              <c:x val="1.2752847641617616E-2"/>
              <c:y val="0.15175669474882075"/>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120550912"/>
        <c:crosses val="autoZero"/>
        <c:crossBetween val="midCat"/>
      </c:valAx>
      <c:spPr>
        <a:noFill/>
        <a:ln w="25400">
          <a:noFill/>
        </a:ln>
      </c:spPr>
    </c:plotArea>
    <c:plotVisOnly val="1"/>
    <c:dispBlanksAs val="gap"/>
    <c:showDLblsOverMax val="0"/>
  </c:chart>
  <c:spPr>
    <a:noFill/>
    <a:ln w="9525">
      <a:noFill/>
    </a:ln>
  </c:spPr>
  <c:txPr>
    <a:bodyPr/>
    <a:lstStyle/>
    <a:p>
      <a:pPr>
        <a:defRPr sz="925" b="0" i="0" u="none" strike="noStrike" baseline="0">
          <a:solidFill>
            <a:srgbClr val="000000"/>
          </a:solidFill>
          <a:latin typeface="Arial"/>
          <a:ea typeface="Arial"/>
          <a:cs typeface="Arial"/>
        </a:defRPr>
      </a:pPr>
      <a:endParaRPr lang="en-US"/>
    </a:p>
  </c:txPr>
  <c:printSettings>
    <c:headerFooter alignWithMargins="0"/>
    <c:pageMargins b="1" l="0.75000000000000089" r="0.75000000000000089" t="1" header="0.5" footer="0.5"/>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a:latin typeface="Arial" pitchFamily="34" charset="0"/>
                <a:cs typeface="Arial" pitchFamily="34" charset="0"/>
              </a:defRPr>
            </a:pPr>
            <a:r>
              <a:rPr lang="en-US" sz="800">
                <a:latin typeface="Arial" pitchFamily="34" charset="0"/>
                <a:cs typeface="Arial" pitchFamily="34" charset="0"/>
              </a:rPr>
              <a:t>Waiting Time Frequency Distribution</a:t>
            </a:r>
          </a:p>
        </c:rich>
      </c:tx>
      <c:layout>
        <c:manualLayout>
          <c:xMode val="edge"/>
          <c:yMode val="edge"/>
          <c:x val="0.41461779486866474"/>
          <c:y val="0.10566673760374549"/>
        </c:manualLayout>
      </c:layout>
      <c:overlay val="0"/>
      <c:spPr>
        <a:noFill/>
        <a:ln w="25400">
          <a:noFill/>
        </a:ln>
      </c:spPr>
    </c:title>
    <c:autoTitleDeleted val="0"/>
    <c:plotArea>
      <c:layout/>
      <c:barChart>
        <c:barDir val="col"/>
        <c:grouping val="clustered"/>
        <c:varyColors val="0"/>
        <c:ser>
          <c:idx val="0"/>
          <c:order val="0"/>
          <c:tx>
            <c:v>Patients Seen</c:v>
          </c:tx>
          <c:spPr>
            <a:solidFill>
              <a:srgbClr val="0091C9"/>
            </a:solidFill>
          </c:spPr>
          <c:invertIfNegative val="0"/>
          <c:val>
            <c:numRef>
              <c:f>[0]!GraphWeeksWaited</c:f>
              <c:numCache>
                <c:formatCode>General</c:formatCode>
                <c:ptCount val="8"/>
                <c:pt idx="0">
                  <c:v>85</c:v>
                </c:pt>
                <c:pt idx="1">
                  <c:v>45</c:v>
                </c:pt>
                <c:pt idx="2">
                  <c:v>27</c:v>
                </c:pt>
                <c:pt idx="3">
                  <c:v>87</c:v>
                </c:pt>
                <c:pt idx="4">
                  <c:v>75</c:v>
                </c:pt>
                <c:pt idx="5">
                  <c:v>127</c:v>
                </c:pt>
                <c:pt idx="6">
                  <c:v>53</c:v>
                </c:pt>
                <c:pt idx="7">
                  <c:v>1</c:v>
                </c:pt>
              </c:numCache>
            </c:numRef>
          </c:val>
          <c:extLst xmlns:c16r2="http://schemas.microsoft.com/office/drawing/2015/06/chart">
            <c:ext xmlns:c16="http://schemas.microsoft.com/office/drawing/2014/chart" uri="{C3380CC4-5D6E-409C-BE32-E72D297353CC}">
              <c16:uniqueId val="{00000000-A814-4018-B0EE-F2530C75F049}"/>
            </c:ext>
          </c:extLst>
        </c:ser>
        <c:dLbls>
          <c:showLegendKey val="0"/>
          <c:showVal val="0"/>
          <c:showCatName val="0"/>
          <c:showSerName val="0"/>
          <c:showPercent val="0"/>
          <c:showBubbleSize val="0"/>
        </c:dLbls>
        <c:gapWidth val="0"/>
        <c:axId val="120634752"/>
        <c:axId val="120641024"/>
      </c:barChart>
      <c:catAx>
        <c:axId val="120634752"/>
        <c:scaling>
          <c:orientation val="minMax"/>
        </c:scaling>
        <c:delete val="0"/>
        <c:axPos val="b"/>
        <c:title>
          <c:tx>
            <c:rich>
              <a:bodyPr/>
              <a:lstStyle/>
              <a:p>
                <a:pPr>
                  <a:defRPr sz="900" b="0">
                    <a:latin typeface="Arial" pitchFamily="34" charset="0"/>
                    <a:cs typeface="Arial" pitchFamily="34" charset="0"/>
                  </a:defRPr>
                </a:pPr>
                <a:r>
                  <a:rPr lang="en-US" sz="900" b="0">
                    <a:latin typeface="Arial" pitchFamily="34" charset="0"/>
                    <a:cs typeface="Arial" pitchFamily="34" charset="0"/>
                  </a:rPr>
                  <a:t>Week Seen</a:t>
                </a:r>
              </a:p>
            </c:rich>
          </c:tx>
          <c:layout>
            <c:manualLayout>
              <c:xMode val="edge"/>
              <c:yMode val="edge"/>
              <c:x val="0.49057722435858309"/>
              <c:y val="0.89344541391785481"/>
            </c:manualLayout>
          </c:layout>
          <c:overlay val="0"/>
          <c:spPr>
            <a:noFill/>
            <a:ln w="25400">
              <a:noFill/>
            </a:ln>
          </c:spPr>
        </c:title>
        <c:numFmt formatCode="General" sourceLinked="1"/>
        <c:majorTickMark val="out"/>
        <c:minorTickMark val="none"/>
        <c:tickLblPos val="nextTo"/>
        <c:txPr>
          <a:bodyPr/>
          <a:lstStyle/>
          <a:p>
            <a:pPr>
              <a:defRPr sz="900">
                <a:latin typeface="Arial" pitchFamily="34" charset="0"/>
                <a:cs typeface="Arial" pitchFamily="34" charset="0"/>
              </a:defRPr>
            </a:pPr>
            <a:endParaRPr lang="en-US"/>
          </a:p>
        </c:txPr>
        <c:crossAx val="120641024"/>
        <c:crosses val="autoZero"/>
        <c:auto val="1"/>
        <c:lblAlgn val="ctr"/>
        <c:lblOffset val="100"/>
        <c:noMultiLvlLbl val="0"/>
      </c:catAx>
      <c:valAx>
        <c:axId val="120641024"/>
        <c:scaling>
          <c:orientation val="minMax"/>
        </c:scaling>
        <c:delete val="0"/>
        <c:axPos val="l"/>
        <c:title>
          <c:tx>
            <c:rich>
              <a:bodyPr rot="-5400000" vert="horz"/>
              <a:lstStyle/>
              <a:p>
                <a:pPr>
                  <a:defRPr sz="900"/>
                </a:pPr>
                <a:r>
                  <a:rPr lang="en-US" sz="900" b="0">
                    <a:latin typeface="Arial" pitchFamily="34" charset="0"/>
                    <a:cs typeface="Arial" pitchFamily="34" charset="0"/>
                  </a:rPr>
                  <a:t>Patients Seen</a:t>
                </a:r>
              </a:p>
            </c:rich>
          </c:tx>
          <c:layout/>
          <c:overlay val="0"/>
          <c:spPr>
            <a:noFill/>
            <a:ln w="25400">
              <a:noFill/>
            </a:ln>
          </c:spPr>
        </c:title>
        <c:numFmt formatCode="General" sourceLinked="1"/>
        <c:majorTickMark val="out"/>
        <c:minorTickMark val="none"/>
        <c:tickLblPos val="nextTo"/>
        <c:txPr>
          <a:bodyPr/>
          <a:lstStyle/>
          <a:p>
            <a:pPr>
              <a:defRPr sz="900">
                <a:latin typeface="Arial" pitchFamily="34" charset="0"/>
                <a:cs typeface="Arial" pitchFamily="34" charset="0"/>
              </a:defRPr>
            </a:pPr>
            <a:endParaRPr lang="en-US"/>
          </a:p>
        </c:txPr>
        <c:crossAx val="120634752"/>
        <c:crosses val="autoZero"/>
        <c:crossBetween val="between"/>
      </c:valAx>
      <c:spPr>
        <a:noFill/>
        <a:ln w="25400">
          <a:noFill/>
        </a:ln>
      </c:spPr>
    </c:plotArea>
    <c:plotVisOnly val="1"/>
    <c:dispBlanksAs val="gap"/>
    <c:showDLblsOverMax val="0"/>
  </c:chart>
  <c:spPr>
    <a:noFill/>
    <a:ln w="9525">
      <a:noFill/>
    </a:ln>
  </c:spPr>
  <c:printSettings>
    <c:headerFooter/>
    <c:pageMargins b="0.75000000000000011" l="0.70000000000000007" r="0.70000000000000007" t="0.75000000000000011" header="0.30000000000000004" footer="0.30000000000000004"/>
    <c:pageSetup paperSize="9" orientation="landscape"/>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673899214736669E-2"/>
          <c:y val="4.7477744807121684E-2"/>
          <c:w val="0.87983728103233538"/>
          <c:h val="0.76100874631027216"/>
        </c:manualLayout>
      </c:layout>
      <c:areaChart>
        <c:grouping val="stacked"/>
        <c:varyColors val="0"/>
        <c:ser>
          <c:idx val="0"/>
          <c:order val="1"/>
          <c:tx>
            <c:v>Core Capacity</c:v>
          </c:tx>
          <c:spPr>
            <a:solidFill>
              <a:srgbClr val="E28C05"/>
            </a:solidFill>
          </c:spPr>
          <c:val>
            <c:numRef>
              <c:f>Graphs!$B$30:$BA$30</c:f>
              <c:numCache>
                <c:formatCode>General</c:formatCode>
                <c:ptCount val="52"/>
                <c:pt idx="0">
                  <c:v>201</c:v>
                </c:pt>
                <c:pt idx="1">
                  <c:v>201</c:v>
                </c:pt>
                <c:pt idx="2">
                  <c:v>201</c:v>
                </c:pt>
                <c:pt idx="3">
                  <c:v>201</c:v>
                </c:pt>
                <c:pt idx="4">
                  <c:v>201</c:v>
                </c:pt>
                <c:pt idx="5">
                  <c:v>201</c:v>
                </c:pt>
                <c:pt idx="6">
                  <c:v>201</c:v>
                </c:pt>
                <c:pt idx="7">
                  <c:v>201</c:v>
                </c:pt>
                <c:pt idx="8">
                  <c:v>201</c:v>
                </c:pt>
                <c:pt idx="9">
                  <c:v>201</c:v>
                </c:pt>
                <c:pt idx="10">
                  <c:v>201</c:v>
                </c:pt>
                <c:pt idx="11">
                  <c:v>201</c:v>
                </c:pt>
                <c:pt idx="12">
                  <c:v>201</c:v>
                </c:pt>
                <c:pt idx="13">
                  <c:v>201</c:v>
                </c:pt>
                <c:pt idx="14">
                  <c:v>201</c:v>
                </c:pt>
                <c:pt idx="15">
                  <c:v>201</c:v>
                </c:pt>
                <c:pt idx="16">
                  <c:v>201</c:v>
                </c:pt>
                <c:pt idx="17">
                  <c:v>201</c:v>
                </c:pt>
                <c:pt idx="18">
                  <c:v>201</c:v>
                </c:pt>
                <c:pt idx="19">
                  <c:v>201</c:v>
                </c:pt>
                <c:pt idx="20">
                  <c:v>201</c:v>
                </c:pt>
                <c:pt idx="21">
                  <c:v>201</c:v>
                </c:pt>
                <c:pt idx="22">
                  <c:v>201</c:v>
                </c:pt>
                <c:pt idx="23">
                  <c:v>201</c:v>
                </c:pt>
                <c:pt idx="24">
                  <c:v>201</c:v>
                </c:pt>
                <c:pt idx="25">
                  <c:v>201</c:v>
                </c:pt>
                <c:pt idx="26">
                  <c:v>201</c:v>
                </c:pt>
                <c:pt idx="27">
                  <c:v>201</c:v>
                </c:pt>
                <c:pt idx="28">
                  <c:v>201</c:v>
                </c:pt>
                <c:pt idx="29">
                  <c:v>201</c:v>
                </c:pt>
                <c:pt idx="30">
                  <c:v>201</c:v>
                </c:pt>
                <c:pt idx="31">
                  <c:v>201</c:v>
                </c:pt>
                <c:pt idx="32">
                  <c:v>201</c:v>
                </c:pt>
                <c:pt idx="33">
                  <c:v>201</c:v>
                </c:pt>
                <c:pt idx="34">
                  <c:v>201</c:v>
                </c:pt>
                <c:pt idx="35">
                  <c:v>201</c:v>
                </c:pt>
                <c:pt idx="36">
                  <c:v>201</c:v>
                </c:pt>
                <c:pt idx="37">
                  <c:v>201</c:v>
                </c:pt>
                <c:pt idx="38">
                  <c:v>201</c:v>
                </c:pt>
                <c:pt idx="39">
                  <c:v>201</c:v>
                </c:pt>
                <c:pt idx="40">
                  <c:v>201</c:v>
                </c:pt>
                <c:pt idx="41">
                  <c:v>201</c:v>
                </c:pt>
                <c:pt idx="42">
                  <c:v>201</c:v>
                </c:pt>
                <c:pt idx="43">
                  <c:v>201</c:v>
                </c:pt>
                <c:pt idx="44">
                  <c:v>201</c:v>
                </c:pt>
                <c:pt idx="45">
                  <c:v>201</c:v>
                </c:pt>
                <c:pt idx="46">
                  <c:v>201</c:v>
                </c:pt>
                <c:pt idx="47">
                  <c:v>201</c:v>
                </c:pt>
                <c:pt idx="48">
                  <c:v>201</c:v>
                </c:pt>
                <c:pt idx="49">
                  <c:v>201</c:v>
                </c:pt>
                <c:pt idx="50">
                  <c:v>201</c:v>
                </c:pt>
                <c:pt idx="51">
                  <c:v>201</c:v>
                </c:pt>
              </c:numCache>
            </c:numRef>
          </c:val>
          <c:extLst xmlns:c16r2="http://schemas.microsoft.com/office/drawing/2015/06/chart">
            <c:ext xmlns:c16="http://schemas.microsoft.com/office/drawing/2014/chart" uri="{C3380CC4-5D6E-409C-BE32-E72D297353CC}">
              <c16:uniqueId val="{00000000-6942-4665-A865-DCB03CAF3F69}"/>
            </c:ext>
          </c:extLst>
        </c:ser>
        <c:ser>
          <c:idx val="2"/>
          <c:order val="2"/>
          <c:tx>
            <c:v>Ad-hoc Capacity</c:v>
          </c:tx>
          <c:spPr>
            <a:solidFill>
              <a:srgbClr val="009E5D"/>
            </a:solidFill>
          </c:spPr>
          <c:val>
            <c:numRef>
              <c:f>Graphs!$B$31:$BA$31</c:f>
              <c:numCache>
                <c:formatCode>General</c:formatCode>
                <c:ptCount val="52"/>
                <c:pt idx="0">
                  <c:v>32</c:v>
                </c:pt>
                <c:pt idx="1">
                  <c:v>32</c:v>
                </c:pt>
                <c:pt idx="2">
                  <c:v>32</c:v>
                </c:pt>
                <c:pt idx="3">
                  <c:v>32</c:v>
                </c:pt>
                <c:pt idx="4">
                  <c:v>32</c:v>
                </c:pt>
                <c:pt idx="5">
                  <c:v>32</c:v>
                </c:pt>
                <c:pt idx="6">
                  <c:v>32</c:v>
                </c:pt>
                <c:pt idx="7">
                  <c:v>32</c:v>
                </c:pt>
                <c:pt idx="8">
                  <c:v>32</c:v>
                </c:pt>
                <c:pt idx="9">
                  <c:v>32</c:v>
                </c:pt>
                <c:pt idx="10">
                  <c:v>32</c:v>
                </c:pt>
                <c:pt idx="11">
                  <c:v>32</c:v>
                </c:pt>
                <c:pt idx="12">
                  <c:v>32</c:v>
                </c:pt>
                <c:pt idx="13">
                  <c:v>32</c:v>
                </c:pt>
                <c:pt idx="14">
                  <c:v>32</c:v>
                </c:pt>
                <c:pt idx="15">
                  <c:v>32</c:v>
                </c:pt>
                <c:pt idx="16">
                  <c:v>32</c:v>
                </c:pt>
                <c:pt idx="17">
                  <c:v>32</c:v>
                </c:pt>
                <c:pt idx="18">
                  <c:v>32</c:v>
                </c:pt>
                <c:pt idx="19">
                  <c:v>32</c:v>
                </c:pt>
                <c:pt idx="20">
                  <c:v>32</c:v>
                </c:pt>
                <c:pt idx="21">
                  <c:v>32</c:v>
                </c:pt>
                <c:pt idx="22">
                  <c:v>32</c:v>
                </c:pt>
                <c:pt idx="23">
                  <c:v>32</c:v>
                </c:pt>
                <c:pt idx="24">
                  <c:v>32</c:v>
                </c:pt>
                <c:pt idx="25">
                  <c:v>32</c:v>
                </c:pt>
                <c:pt idx="26">
                  <c:v>32</c:v>
                </c:pt>
                <c:pt idx="27">
                  <c:v>32</c:v>
                </c:pt>
                <c:pt idx="28">
                  <c:v>32</c:v>
                </c:pt>
                <c:pt idx="29">
                  <c:v>32</c:v>
                </c:pt>
                <c:pt idx="30">
                  <c:v>32</c:v>
                </c:pt>
                <c:pt idx="31">
                  <c:v>32</c:v>
                </c:pt>
                <c:pt idx="32">
                  <c:v>32</c:v>
                </c:pt>
                <c:pt idx="33">
                  <c:v>32</c:v>
                </c:pt>
                <c:pt idx="34">
                  <c:v>32</c:v>
                </c:pt>
                <c:pt idx="35">
                  <c:v>32</c:v>
                </c:pt>
                <c:pt idx="36">
                  <c:v>32</c:v>
                </c:pt>
                <c:pt idx="37">
                  <c:v>32</c:v>
                </c:pt>
                <c:pt idx="38">
                  <c:v>32</c:v>
                </c:pt>
                <c:pt idx="39">
                  <c:v>32</c:v>
                </c:pt>
                <c:pt idx="40">
                  <c:v>32</c:v>
                </c:pt>
                <c:pt idx="41">
                  <c:v>32</c:v>
                </c:pt>
                <c:pt idx="42">
                  <c:v>32</c:v>
                </c:pt>
                <c:pt idx="43">
                  <c:v>32</c:v>
                </c:pt>
                <c:pt idx="44">
                  <c:v>32</c:v>
                </c:pt>
                <c:pt idx="45">
                  <c:v>32</c:v>
                </c:pt>
                <c:pt idx="46">
                  <c:v>32</c:v>
                </c:pt>
                <c:pt idx="47">
                  <c:v>32</c:v>
                </c:pt>
                <c:pt idx="48">
                  <c:v>32</c:v>
                </c:pt>
                <c:pt idx="49">
                  <c:v>32</c:v>
                </c:pt>
                <c:pt idx="50">
                  <c:v>32</c:v>
                </c:pt>
                <c:pt idx="51">
                  <c:v>32</c:v>
                </c:pt>
              </c:numCache>
            </c:numRef>
          </c:val>
          <c:extLst xmlns:c16r2="http://schemas.microsoft.com/office/drawing/2015/06/chart">
            <c:ext xmlns:c16="http://schemas.microsoft.com/office/drawing/2014/chart" uri="{C3380CC4-5D6E-409C-BE32-E72D297353CC}">
              <c16:uniqueId val="{00000001-6942-4665-A865-DCB03CAF3F69}"/>
            </c:ext>
          </c:extLst>
        </c:ser>
        <c:dLbls>
          <c:showLegendKey val="0"/>
          <c:showVal val="0"/>
          <c:showCatName val="0"/>
          <c:showSerName val="0"/>
          <c:showPercent val="0"/>
          <c:showBubbleSize val="0"/>
        </c:dLbls>
        <c:axId val="120729984"/>
        <c:axId val="120731904"/>
      </c:areaChart>
      <c:lineChart>
        <c:grouping val="standard"/>
        <c:varyColors val="0"/>
        <c:ser>
          <c:idx val="1"/>
          <c:order val="0"/>
          <c:tx>
            <c:v>Demand</c:v>
          </c:tx>
          <c:spPr>
            <a:ln w="19050">
              <a:solidFill>
                <a:srgbClr val="0091C9"/>
              </a:solidFill>
            </a:ln>
          </c:spPr>
          <c:marker>
            <c:symbol val="none"/>
          </c:marker>
          <c:cat>
            <c:numRef>
              <c:f>[0]!Weeks</c:f>
              <c:numCache>
                <c:formatCode>General</c:formatCode>
                <c:ptCount val="52"/>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numCache>
            </c:numRef>
          </c:cat>
          <c:val>
            <c:numRef>
              <c:f>[0]!ReferralsRange</c:f>
              <c:numCache>
                <c:formatCode>#,##0</c:formatCode>
                <c:ptCount val="52"/>
                <c:pt idx="0">
                  <c:v>153</c:v>
                </c:pt>
                <c:pt idx="1">
                  <c:v>123</c:v>
                </c:pt>
                <c:pt idx="2">
                  <c:v>127</c:v>
                </c:pt>
                <c:pt idx="3">
                  <c:v>141</c:v>
                </c:pt>
                <c:pt idx="4">
                  <c:v>137</c:v>
                </c:pt>
                <c:pt idx="5">
                  <c:v>128</c:v>
                </c:pt>
                <c:pt idx="6">
                  <c:v>152</c:v>
                </c:pt>
                <c:pt idx="7">
                  <c:v>125</c:v>
                </c:pt>
                <c:pt idx="8">
                  <c:v>134</c:v>
                </c:pt>
                <c:pt idx="9">
                  <c:v>130</c:v>
                </c:pt>
                <c:pt idx="10">
                  <c:v>147</c:v>
                </c:pt>
                <c:pt idx="11">
                  <c:v>133</c:v>
                </c:pt>
                <c:pt idx="12">
                  <c:v>152</c:v>
                </c:pt>
                <c:pt idx="13">
                  <c:v>151</c:v>
                </c:pt>
                <c:pt idx="14">
                  <c:v>127</c:v>
                </c:pt>
                <c:pt idx="15">
                  <c:v>100</c:v>
                </c:pt>
                <c:pt idx="16">
                  <c:v>146</c:v>
                </c:pt>
                <c:pt idx="17">
                  <c:v>167</c:v>
                </c:pt>
                <c:pt idx="18">
                  <c:v>116</c:v>
                </c:pt>
                <c:pt idx="19">
                  <c:v>150</c:v>
                </c:pt>
                <c:pt idx="20">
                  <c:v>157</c:v>
                </c:pt>
                <c:pt idx="21">
                  <c:v>144</c:v>
                </c:pt>
                <c:pt idx="22">
                  <c:v>142</c:v>
                </c:pt>
                <c:pt idx="23">
                  <c:v>136</c:v>
                </c:pt>
                <c:pt idx="24">
                  <c:v>143</c:v>
                </c:pt>
                <c:pt idx="25">
                  <c:v>128</c:v>
                </c:pt>
                <c:pt idx="26">
                  <c:v>138</c:v>
                </c:pt>
                <c:pt idx="27">
                  <c:v>171</c:v>
                </c:pt>
                <c:pt idx="28">
                  <c:v>156</c:v>
                </c:pt>
                <c:pt idx="29">
                  <c:v>145</c:v>
                </c:pt>
                <c:pt idx="30">
                  <c:v>151</c:v>
                </c:pt>
                <c:pt idx="31">
                  <c:v>88</c:v>
                </c:pt>
                <c:pt idx="32">
                  <c:v>128</c:v>
                </c:pt>
                <c:pt idx="33">
                  <c:v>136</c:v>
                </c:pt>
                <c:pt idx="34">
                  <c:v>138</c:v>
                </c:pt>
                <c:pt idx="35">
                  <c:v>162</c:v>
                </c:pt>
                <c:pt idx="36">
                  <c:v>210</c:v>
                </c:pt>
                <c:pt idx="37">
                  <c:v>220</c:v>
                </c:pt>
                <c:pt idx="38">
                  <c:v>201</c:v>
                </c:pt>
                <c:pt idx="39">
                  <c:v>199</c:v>
                </c:pt>
                <c:pt idx="40">
                  <c:v>190</c:v>
                </c:pt>
                <c:pt idx="41">
                  <c:v>201</c:v>
                </c:pt>
                <c:pt idx="42">
                  <c:v>180</c:v>
                </c:pt>
                <c:pt idx="43">
                  <c:v>193</c:v>
                </c:pt>
                <c:pt idx="44">
                  <c:v>239</c:v>
                </c:pt>
                <c:pt idx="45">
                  <c:v>219</c:v>
                </c:pt>
                <c:pt idx="46">
                  <c:v>203</c:v>
                </c:pt>
                <c:pt idx="47">
                  <c:v>211</c:v>
                </c:pt>
                <c:pt idx="48">
                  <c:v>123</c:v>
                </c:pt>
                <c:pt idx="49">
                  <c:v>179</c:v>
                </c:pt>
                <c:pt idx="50">
                  <c:v>190</c:v>
                </c:pt>
                <c:pt idx="51">
                  <c:v>193</c:v>
                </c:pt>
              </c:numCache>
            </c:numRef>
          </c:val>
          <c:smooth val="0"/>
          <c:extLst xmlns:c16r2="http://schemas.microsoft.com/office/drawing/2015/06/chart">
            <c:ext xmlns:c16="http://schemas.microsoft.com/office/drawing/2014/chart" uri="{C3380CC4-5D6E-409C-BE32-E72D297353CC}">
              <c16:uniqueId val="{00000002-6942-4665-A865-DCB03CAF3F69}"/>
            </c:ext>
          </c:extLst>
        </c:ser>
        <c:dLbls>
          <c:showLegendKey val="0"/>
          <c:showVal val="0"/>
          <c:showCatName val="0"/>
          <c:showSerName val="0"/>
          <c:showPercent val="0"/>
          <c:showBubbleSize val="0"/>
        </c:dLbls>
        <c:marker val="1"/>
        <c:smooth val="0"/>
        <c:axId val="120729984"/>
        <c:axId val="120731904"/>
      </c:lineChart>
      <c:catAx>
        <c:axId val="120729984"/>
        <c:scaling>
          <c:orientation val="minMax"/>
        </c:scaling>
        <c:delete val="0"/>
        <c:axPos val="b"/>
        <c:title>
          <c:tx>
            <c:rich>
              <a:bodyPr/>
              <a:lstStyle/>
              <a:p>
                <a:pPr>
                  <a:defRPr sz="800" b="0">
                    <a:latin typeface="Arial" pitchFamily="34" charset="0"/>
                    <a:cs typeface="Arial" pitchFamily="34" charset="0"/>
                  </a:defRPr>
                </a:pPr>
                <a:r>
                  <a:rPr lang="en-GB" sz="800" b="0">
                    <a:latin typeface="Arial" pitchFamily="34" charset="0"/>
                    <a:cs typeface="Arial" pitchFamily="34" charset="0"/>
                  </a:rPr>
                  <a:t>Week Number</a:t>
                </a:r>
              </a:p>
            </c:rich>
          </c:tx>
          <c:layout/>
          <c:overlay val="0"/>
        </c:title>
        <c:numFmt formatCode="#,##0" sourceLinked="0"/>
        <c:majorTickMark val="out"/>
        <c:minorTickMark val="none"/>
        <c:tickLblPos val="nextTo"/>
        <c:txPr>
          <a:bodyPr rot="0" vert="horz"/>
          <a:lstStyle/>
          <a:p>
            <a:pPr>
              <a:defRPr sz="800" b="0">
                <a:latin typeface="Arial" pitchFamily="34" charset="0"/>
                <a:cs typeface="Arial" pitchFamily="34" charset="0"/>
              </a:defRPr>
            </a:pPr>
            <a:endParaRPr lang="en-US"/>
          </a:p>
        </c:txPr>
        <c:crossAx val="120731904"/>
        <c:crosses val="autoZero"/>
        <c:auto val="1"/>
        <c:lblAlgn val="ctr"/>
        <c:lblOffset val="100"/>
        <c:noMultiLvlLbl val="0"/>
      </c:catAx>
      <c:valAx>
        <c:axId val="120731904"/>
        <c:scaling>
          <c:orientation val="minMax"/>
        </c:scaling>
        <c:delete val="0"/>
        <c:axPos val="l"/>
        <c:title>
          <c:tx>
            <c:rich>
              <a:bodyPr rot="-5400000" vert="horz"/>
              <a:lstStyle/>
              <a:p>
                <a:pPr>
                  <a:defRPr sz="900" b="0">
                    <a:latin typeface="Arial" pitchFamily="34" charset="0"/>
                    <a:cs typeface="Arial" pitchFamily="34" charset="0"/>
                  </a:defRPr>
                </a:pPr>
                <a:r>
                  <a:rPr lang="en-GB" sz="900" b="0">
                    <a:latin typeface="Arial" pitchFamily="34" charset="0"/>
                    <a:cs typeface="Arial" pitchFamily="34" charset="0"/>
                  </a:rPr>
                  <a:t>Patients</a:t>
                </a:r>
              </a:p>
            </c:rich>
          </c:tx>
          <c:layout/>
          <c:overlay val="0"/>
        </c:title>
        <c:numFmt formatCode="General" sourceLinked="1"/>
        <c:majorTickMark val="out"/>
        <c:minorTickMark val="none"/>
        <c:tickLblPos val="nextTo"/>
        <c:spPr>
          <a:noFill/>
        </c:spPr>
        <c:txPr>
          <a:bodyPr/>
          <a:lstStyle/>
          <a:p>
            <a:pPr>
              <a:defRPr sz="800" b="0">
                <a:latin typeface="Arial" pitchFamily="34" charset="0"/>
                <a:cs typeface="Arial" pitchFamily="34" charset="0"/>
              </a:defRPr>
            </a:pPr>
            <a:endParaRPr lang="en-US"/>
          </a:p>
        </c:txPr>
        <c:crossAx val="120729984"/>
        <c:crosses val="autoZero"/>
        <c:crossBetween val="between"/>
      </c:valAx>
      <c:spPr>
        <a:noFill/>
        <a:ln w="25400">
          <a:noFill/>
        </a:ln>
      </c:spPr>
    </c:plotArea>
    <c:legend>
      <c:legendPos val="b"/>
      <c:layout/>
      <c:overlay val="1"/>
      <c:txPr>
        <a:bodyPr/>
        <a:lstStyle/>
        <a:p>
          <a:pPr>
            <a:defRPr sz="800" baseline="0">
              <a:latin typeface="Arial" pitchFamily="34" charset="0"/>
              <a:cs typeface="Arial" pitchFamily="34" charset="0"/>
            </a:defRPr>
          </a:pPr>
          <a:endParaRPr lang="en-US"/>
        </a:p>
      </c:txPr>
    </c:legend>
    <c:plotVisOnly val="1"/>
    <c:dispBlanksAs val="gap"/>
    <c:showDLblsOverMax val="0"/>
  </c:chart>
  <c:spPr>
    <a:noFill/>
    <a:ln w="9525">
      <a:noFill/>
    </a:ln>
  </c:spPr>
  <c:printSettings>
    <c:headerFooter/>
    <c:pageMargins b="0.75000000000000111" l="0.70000000000000062" r="0.70000000000000062" t="0.75000000000000111" header="0.30000000000000032" footer="0.30000000000000032"/>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a:latin typeface="Arial" pitchFamily="34" charset="0"/>
                <a:cs typeface="Arial" pitchFamily="34" charset="0"/>
              </a:defRPr>
            </a:pPr>
            <a:r>
              <a:rPr lang="en-GB" sz="800">
                <a:latin typeface="Arial" pitchFamily="34" charset="0"/>
                <a:cs typeface="Arial" pitchFamily="34" charset="0"/>
              </a:rPr>
              <a:t>Variation In Demand</a:t>
            </a:r>
          </a:p>
        </c:rich>
      </c:tx>
      <c:overlay val="1"/>
      <c:spPr>
        <a:noFill/>
        <a:ln w="25400">
          <a:noFill/>
        </a:ln>
      </c:spPr>
    </c:title>
    <c:autoTitleDeleted val="0"/>
    <c:plotArea>
      <c:layout>
        <c:manualLayout>
          <c:layoutTarget val="inner"/>
          <c:xMode val="edge"/>
          <c:yMode val="edge"/>
          <c:x val="6.4430664916885441E-2"/>
          <c:y val="5.0925925925925923E-2"/>
          <c:w val="0.88647222222222188"/>
          <c:h val="0.80808362496354624"/>
        </c:manualLayout>
      </c:layout>
      <c:scatterChart>
        <c:scatterStyle val="smoothMarker"/>
        <c:varyColors val="0"/>
        <c:ser>
          <c:idx val="1"/>
          <c:order val="0"/>
          <c:tx>
            <c:v>Mean</c:v>
          </c:tx>
          <c:spPr>
            <a:ln w="19050">
              <a:solidFill>
                <a:srgbClr val="E28C05"/>
              </a:solidFill>
            </a:ln>
          </c:spPr>
          <c:marker>
            <c:symbol val="none"/>
          </c:marker>
          <c:xVal>
            <c:numRef>
              <c:f>Demand!$F$77:$F$78</c:f>
              <c:numCache>
                <c:formatCode>#,##0</c:formatCode>
                <c:ptCount val="2"/>
                <c:pt idx="0">
                  <c:v>188.78947368421052</c:v>
                </c:pt>
                <c:pt idx="1">
                  <c:v>188.78947368421052</c:v>
                </c:pt>
              </c:numCache>
            </c:numRef>
          </c:xVal>
          <c:yVal>
            <c:numRef>
              <c:f>Demand!$H$77:$H$78</c:f>
              <c:numCache>
                <c:formatCode>0.00000</c:formatCode>
                <c:ptCount val="2"/>
                <c:pt idx="0">
                  <c:v>1.1964467860921833E-2</c:v>
                </c:pt>
                <c:pt idx="1">
                  <c:v>0</c:v>
                </c:pt>
              </c:numCache>
            </c:numRef>
          </c:yVal>
          <c:smooth val="1"/>
          <c:extLst xmlns:c16r2="http://schemas.microsoft.com/office/drawing/2015/06/chart">
            <c:ext xmlns:c16="http://schemas.microsoft.com/office/drawing/2014/chart" uri="{C3380CC4-5D6E-409C-BE32-E72D297353CC}">
              <c16:uniqueId val="{00000000-48A7-4831-B5E2-7E219BCAB4DD}"/>
            </c:ext>
          </c:extLst>
        </c:ser>
        <c:ser>
          <c:idx val="2"/>
          <c:order val="1"/>
          <c:tx>
            <c:v>85th Percentile</c:v>
          </c:tx>
          <c:spPr>
            <a:ln w="19050">
              <a:solidFill>
                <a:srgbClr val="009E49"/>
              </a:solidFill>
            </a:ln>
          </c:spPr>
          <c:marker>
            <c:symbol val="none"/>
          </c:marker>
          <c:xVal>
            <c:numRef>
              <c:f>Demand!$F$79:$F$80</c:f>
              <c:numCache>
                <c:formatCode>#,##0</c:formatCode>
                <c:ptCount val="2"/>
                <c:pt idx="0">
                  <c:v>222.36279999999999</c:v>
                </c:pt>
                <c:pt idx="1">
                  <c:v>222.36279999999999</c:v>
                </c:pt>
              </c:numCache>
            </c:numRef>
          </c:xVal>
          <c:yVal>
            <c:numRef>
              <c:f>Demand!$H$79:$H$80</c:f>
              <c:numCache>
                <c:formatCode>0.00000</c:formatCode>
                <c:ptCount val="2"/>
                <c:pt idx="0">
                  <c:v>7.2068908296146379E-3</c:v>
                </c:pt>
                <c:pt idx="1">
                  <c:v>0</c:v>
                </c:pt>
              </c:numCache>
            </c:numRef>
          </c:yVal>
          <c:smooth val="1"/>
          <c:extLst xmlns:c16r2="http://schemas.microsoft.com/office/drawing/2015/06/chart">
            <c:ext xmlns:c16="http://schemas.microsoft.com/office/drawing/2014/chart" uri="{C3380CC4-5D6E-409C-BE32-E72D297353CC}">
              <c16:uniqueId val="{00000001-48A7-4831-B5E2-7E219BCAB4DD}"/>
            </c:ext>
          </c:extLst>
        </c:ser>
        <c:ser>
          <c:idx val="0"/>
          <c:order val="2"/>
          <c:tx>
            <c:v>Referral Distribution</c:v>
          </c:tx>
          <c:spPr>
            <a:ln>
              <a:solidFill>
                <a:srgbClr val="0091C9"/>
              </a:solidFill>
            </a:ln>
          </c:spPr>
          <c:marker>
            <c:symbol val="none"/>
          </c:marker>
          <c:xVal>
            <c:numRef>
              <c:f>[0]!NDScale</c:f>
              <c:numCache>
                <c:formatCode>0.00000</c:formatCode>
                <c:ptCount val="19"/>
                <c:pt idx="0">
                  <c:v>88.75770836739639</c:v>
                </c:pt>
                <c:pt idx="1">
                  <c:v>99.872348958153509</c:v>
                </c:pt>
                <c:pt idx="2">
                  <c:v>110.98698954891064</c:v>
                </c:pt>
                <c:pt idx="3">
                  <c:v>122.10163013966778</c:v>
                </c:pt>
                <c:pt idx="4">
                  <c:v>133.2162707304249</c:v>
                </c:pt>
                <c:pt idx="5">
                  <c:v>144.33091132118201</c:v>
                </c:pt>
                <c:pt idx="6">
                  <c:v>155.44555191193913</c:v>
                </c:pt>
                <c:pt idx="7">
                  <c:v>166.56019250269625</c:v>
                </c:pt>
                <c:pt idx="8">
                  <c:v>177.6748330934534</c:v>
                </c:pt>
                <c:pt idx="9">
                  <c:v>188.78947368421052</c:v>
                </c:pt>
                <c:pt idx="10">
                  <c:v>199.90411427496764</c:v>
                </c:pt>
                <c:pt idx="11">
                  <c:v>211.01875486572476</c:v>
                </c:pt>
                <c:pt idx="12">
                  <c:v>222.13339545648188</c:v>
                </c:pt>
                <c:pt idx="13">
                  <c:v>233.24803604723903</c:v>
                </c:pt>
                <c:pt idx="14">
                  <c:v>244.36267663799615</c:v>
                </c:pt>
                <c:pt idx="15">
                  <c:v>255.47731722875326</c:v>
                </c:pt>
                <c:pt idx="16">
                  <c:v>266.59195781951041</c:v>
                </c:pt>
                <c:pt idx="17">
                  <c:v>277.70659841026753</c:v>
                </c:pt>
                <c:pt idx="18">
                  <c:v>288.82123900102465</c:v>
                </c:pt>
              </c:numCache>
            </c:numRef>
          </c:xVal>
          <c:yVal>
            <c:numRef>
              <c:f>[0]!NDData</c:f>
              <c:numCache>
                <c:formatCode>0.00000</c:formatCode>
                <c:ptCount val="19"/>
                <c:pt idx="0">
                  <c:v>1.3291323204889198E-4</c:v>
                </c:pt>
                <c:pt idx="1">
                  <c:v>3.4177101606789039E-4</c:v>
                </c:pt>
                <c:pt idx="2">
                  <c:v>7.8640686817816057E-4</c:v>
                </c:pt>
                <c:pt idx="3">
                  <c:v>1.6192146467332072E-3</c:v>
                </c:pt>
                <c:pt idx="4">
                  <c:v>2.9833664879658321E-3</c:v>
                </c:pt>
                <c:pt idx="5">
                  <c:v>4.918739787003204E-3</c:v>
                </c:pt>
                <c:pt idx="6">
                  <c:v>7.2568165847955186E-3</c:v>
                </c:pt>
                <c:pt idx="7">
                  <c:v>9.5803969222361639E-3</c:v>
                </c:pt>
                <c:pt idx="8">
                  <c:v>1.1317901663469682E-2</c:v>
                </c:pt>
                <c:pt idx="9">
                  <c:v>1.1964467860921833E-2</c:v>
                </c:pt>
                <c:pt idx="10">
                  <c:v>1.1317901663469682E-2</c:v>
                </c:pt>
                <c:pt idx="11">
                  <c:v>9.5803969222361691E-3</c:v>
                </c:pt>
                <c:pt idx="12">
                  <c:v>7.2568165847955255E-3</c:v>
                </c:pt>
                <c:pt idx="13">
                  <c:v>4.918739787003204E-3</c:v>
                </c:pt>
                <c:pt idx="14">
                  <c:v>2.9833664879658321E-3</c:v>
                </c:pt>
                <c:pt idx="15">
                  <c:v>1.6192146467332072E-3</c:v>
                </c:pt>
                <c:pt idx="16">
                  <c:v>7.8640686817815948E-4</c:v>
                </c:pt>
                <c:pt idx="17">
                  <c:v>3.4177101606789039E-4</c:v>
                </c:pt>
                <c:pt idx="18">
                  <c:v>1.3291323204889198E-4</c:v>
                </c:pt>
              </c:numCache>
            </c:numRef>
          </c:yVal>
          <c:smooth val="1"/>
          <c:extLst xmlns:c16r2="http://schemas.microsoft.com/office/drawing/2015/06/chart">
            <c:ext xmlns:c16="http://schemas.microsoft.com/office/drawing/2014/chart" uri="{C3380CC4-5D6E-409C-BE32-E72D297353CC}">
              <c16:uniqueId val="{00000002-48A7-4831-B5E2-7E219BCAB4DD}"/>
            </c:ext>
          </c:extLst>
        </c:ser>
        <c:dLbls>
          <c:showLegendKey val="0"/>
          <c:showVal val="0"/>
          <c:showCatName val="0"/>
          <c:showSerName val="0"/>
          <c:showPercent val="0"/>
          <c:showBubbleSize val="0"/>
        </c:dLbls>
        <c:axId val="120974720"/>
        <c:axId val="142021760"/>
      </c:scatterChart>
      <c:valAx>
        <c:axId val="120974720"/>
        <c:scaling>
          <c:orientation val="minMax"/>
        </c:scaling>
        <c:delete val="0"/>
        <c:axPos val="b"/>
        <c:numFmt formatCode="#,##0" sourceLinked="0"/>
        <c:majorTickMark val="out"/>
        <c:minorTickMark val="none"/>
        <c:tickLblPos val="nextTo"/>
        <c:txPr>
          <a:bodyPr rot="0" vert="horz"/>
          <a:lstStyle/>
          <a:p>
            <a:pPr>
              <a:defRPr sz="800" b="0" i="0" u="none" strike="noStrike" baseline="0">
                <a:solidFill>
                  <a:srgbClr val="000000"/>
                </a:solidFill>
                <a:latin typeface="Arial"/>
                <a:ea typeface="Arial"/>
                <a:cs typeface="Arial"/>
              </a:defRPr>
            </a:pPr>
            <a:endParaRPr lang="en-US"/>
          </a:p>
        </c:txPr>
        <c:crossAx val="142021760"/>
        <c:crosses val="autoZero"/>
        <c:crossBetween val="midCat"/>
      </c:valAx>
      <c:valAx>
        <c:axId val="142021760"/>
        <c:scaling>
          <c:orientation val="minMax"/>
        </c:scaling>
        <c:delete val="0"/>
        <c:axPos val="l"/>
        <c:title>
          <c:tx>
            <c:rich>
              <a:bodyPr rot="-5400000" vert="horz"/>
              <a:lstStyle/>
              <a:p>
                <a:pPr>
                  <a:defRPr sz="800" b="0">
                    <a:latin typeface="Arial" pitchFamily="34" charset="0"/>
                    <a:cs typeface="Arial" pitchFamily="34" charset="0"/>
                  </a:defRPr>
                </a:pPr>
                <a:r>
                  <a:rPr lang="en-US" sz="800" b="0">
                    <a:latin typeface="Arial" pitchFamily="34" charset="0"/>
                    <a:cs typeface="Arial" pitchFamily="34" charset="0"/>
                  </a:rPr>
                  <a:t>Liklihood of this many referrals in</a:t>
                </a:r>
                <a:r>
                  <a:rPr lang="en-US" sz="800" b="0" baseline="0">
                    <a:latin typeface="Arial" pitchFamily="34" charset="0"/>
                    <a:cs typeface="Arial" pitchFamily="34" charset="0"/>
                  </a:rPr>
                  <a:t> any one week</a:t>
                </a:r>
                <a:endParaRPr lang="en-US" sz="800" b="0">
                  <a:latin typeface="Arial" pitchFamily="34" charset="0"/>
                  <a:cs typeface="Arial" pitchFamily="34" charset="0"/>
                </a:endParaRPr>
              </a:p>
            </c:rich>
          </c:tx>
          <c:layout>
            <c:manualLayout>
              <c:xMode val="edge"/>
              <c:yMode val="edge"/>
              <c:x val="1.6666538216165077E-2"/>
              <c:y val="0.10661444521507352"/>
            </c:manualLayout>
          </c:layout>
          <c:overlay val="0"/>
          <c:spPr>
            <a:noFill/>
            <a:ln w="25400">
              <a:noFill/>
            </a:ln>
          </c:spPr>
        </c:title>
        <c:numFmt formatCode="0.00000" sourceLinked="1"/>
        <c:majorTickMark val="none"/>
        <c:minorTickMark val="none"/>
        <c:tickLblPos val="none"/>
        <c:spPr>
          <a:ln>
            <a:tailEnd type="stealth"/>
          </a:ln>
        </c:spPr>
        <c:crossAx val="120974720"/>
        <c:crosses val="autoZero"/>
        <c:crossBetween val="midCat"/>
      </c:valAx>
    </c:plotArea>
    <c:legend>
      <c:legendPos val="b"/>
      <c:layout>
        <c:manualLayout>
          <c:xMode val="edge"/>
          <c:yMode val="edge"/>
          <c:x val="0.16092912529490092"/>
          <c:y val="0.92614118831001058"/>
          <c:w val="0.70414698162729672"/>
          <c:h val="5.6393184012619835E-2"/>
        </c:manualLayout>
      </c:layout>
      <c:overlay val="0"/>
      <c:txPr>
        <a:bodyPr/>
        <a:lstStyle/>
        <a:p>
          <a:pPr>
            <a:defRPr sz="800">
              <a:latin typeface="Arial" pitchFamily="34" charset="0"/>
              <a:cs typeface="Arial" pitchFamily="34" charset="0"/>
            </a:defRPr>
          </a:pPr>
          <a:endParaRPr lang="en-US"/>
        </a:p>
      </c:txPr>
    </c:legend>
    <c:plotVisOnly val="1"/>
    <c:dispBlanksAs val="gap"/>
    <c:showDLblsOverMax val="0"/>
  </c:chart>
  <c:spPr>
    <a:noFill/>
    <a:ln w="9525">
      <a:noFill/>
    </a:ln>
  </c:spPr>
  <c:printSettings>
    <c:headerFooter/>
    <c:pageMargins b="0.75000000000000056" l="0.70000000000000051" r="0.70000000000000051" t="0.75000000000000056" header="0.30000000000000027" footer="0.30000000000000027"/>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latin typeface="Arial" pitchFamily="34" charset="0"/>
                <a:cs typeface="Arial" pitchFamily="34" charset="0"/>
              </a:defRPr>
            </a:pPr>
            <a:r>
              <a:rPr lang="en-GB" sz="1100">
                <a:latin typeface="Arial" pitchFamily="34" charset="0"/>
                <a:cs typeface="Arial" pitchFamily="34" charset="0"/>
              </a:rPr>
              <a:t>Actual Activity Against Plan</a:t>
            </a:r>
          </a:p>
        </c:rich>
      </c:tx>
      <c:overlay val="1"/>
      <c:spPr>
        <a:noFill/>
        <a:ln w="25400">
          <a:noFill/>
        </a:ln>
      </c:spPr>
    </c:title>
    <c:autoTitleDeleted val="0"/>
    <c:plotArea>
      <c:layout>
        <c:manualLayout>
          <c:layoutTarget val="inner"/>
          <c:xMode val="edge"/>
          <c:yMode val="edge"/>
          <c:x val="4.84413679467161E-2"/>
          <c:y val="3.7225042301184431E-2"/>
          <c:w val="0.90347798253744249"/>
          <c:h val="0.79702199661590523"/>
        </c:manualLayout>
      </c:layout>
      <c:lineChart>
        <c:grouping val="standard"/>
        <c:varyColors val="0"/>
        <c:ser>
          <c:idx val="5"/>
          <c:order val="0"/>
          <c:tx>
            <c:v>Scenario 1 Plan</c:v>
          </c:tx>
          <c:spPr>
            <a:ln w="19050">
              <a:solidFill>
                <a:srgbClr val="003893"/>
              </a:solidFill>
            </a:ln>
          </c:spPr>
          <c:marker>
            <c:symbol val="none"/>
          </c:marker>
          <c:val>
            <c:numRef>
              <c:f>[0]!WaitingListPlanRange1</c:f>
              <c:numCache>
                <c:formatCode>0</c:formatCode>
                <c:ptCount val="34"/>
                <c:pt idx="0">
                  <c:v>2243.9257157894735</c:v>
                </c:pt>
                <c:pt idx="1">
                  <c:v>2086.8514315789471</c:v>
                </c:pt>
                <c:pt idx="2">
                  <c:v>1929.7771473684206</c:v>
                </c:pt>
                <c:pt idx="3">
                  <c:v>1772.7028631578942</c:v>
                </c:pt>
                <c:pt idx="4">
                  <c:v>1615.6285789473677</c:v>
                </c:pt>
                <c:pt idx="5">
                  <c:v>1458.5542947368413</c:v>
                </c:pt>
                <c:pt idx="6">
                  <c:v>1301.4800105263148</c:v>
                </c:pt>
                <c:pt idx="7">
                  <c:v>1144.4057263157883</c:v>
                </c:pt>
                <c:pt idx="8">
                  <c:v>987.33144210526189</c:v>
                </c:pt>
                <c:pt idx="9">
                  <c:v>950.25715789473543</c:v>
                </c:pt>
                <c:pt idx="10">
                  <c:v>913.18287368420897</c:v>
                </c:pt>
                <c:pt idx="11">
                  <c:v>876.10858947368251</c:v>
                </c:pt>
                <c:pt idx="12">
                  <c:v>839.03430526315606</c:v>
                </c:pt>
                <c:pt idx="13">
                  <c:v>801.9600210526296</c:v>
                </c:pt>
                <c:pt idx="14">
                  <c:v>764.88573684210326</c:v>
                </c:pt>
                <c:pt idx="15">
                  <c:v>727.81145263157691</c:v>
                </c:pt>
                <c:pt idx="16">
                  <c:v>690.73716842105057</c:v>
                </c:pt>
                <c:pt idx="17">
                  <c:v>653.66288421052423</c:v>
                </c:pt>
                <c:pt idx="18">
                  <c:v>616.58859999999788</c:v>
                </c:pt>
                <c:pt idx="19">
                  <c:v>579.51431578947154</c:v>
                </c:pt>
                <c:pt idx="20">
                  <c:v>542.4400315789452</c:v>
                </c:pt>
                <c:pt idx="21">
                  <c:v>505.36574736841885</c:v>
                </c:pt>
                <c:pt idx="22">
                  <c:v>468.29146315789251</c:v>
                </c:pt>
                <c:pt idx="23">
                  <c:v>431.21717894736616</c:v>
                </c:pt>
                <c:pt idx="24">
                  <c:v>394.14289473683982</c:v>
                </c:pt>
                <c:pt idx="25">
                  <c:v>357.06861052631348</c:v>
                </c:pt>
                <c:pt idx="26">
                  <c:v>319.99432631578713</c:v>
                </c:pt>
                <c:pt idx="27">
                  <c:v>282.92004210526079</c:v>
                </c:pt>
                <c:pt idx="28">
                  <c:v>245.84575789473448</c:v>
                </c:pt>
                <c:pt idx="29">
                  <c:v>208.77147368420813</c:v>
                </c:pt>
                <c:pt idx="30">
                  <c:v>171.69718947368179</c:v>
                </c:pt>
                <c:pt idx="31">
                  <c:v>134.62290526315545</c:v>
                </c:pt>
                <c:pt idx="32">
                  <c:v>97.548621052629088</c:v>
                </c:pt>
                <c:pt idx="33">
                  <c:v>60.474336842102751</c:v>
                </c:pt>
              </c:numCache>
            </c:numRef>
          </c:val>
          <c:smooth val="0"/>
          <c:extLst xmlns:c16r2="http://schemas.microsoft.com/office/drawing/2015/06/chart">
            <c:ext xmlns:c16="http://schemas.microsoft.com/office/drawing/2014/chart" uri="{C3380CC4-5D6E-409C-BE32-E72D297353CC}">
              <c16:uniqueId val="{00000000-EAEB-4E46-899A-50B3D13A47BA}"/>
            </c:ext>
          </c:extLst>
        </c:ser>
        <c:ser>
          <c:idx val="2"/>
          <c:order val="1"/>
          <c:tx>
            <c:v>Scenario 2 Plan</c:v>
          </c:tx>
          <c:spPr>
            <a:ln w="19050">
              <a:solidFill>
                <a:srgbClr val="A00054"/>
              </a:solidFill>
            </a:ln>
          </c:spPr>
          <c:marker>
            <c:symbol val="none"/>
          </c:marker>
          <c:val>
            <c:numRef>
              <c:f>[0]!WaitingListPlanRange2</c:f>
              <c:numCache>
                <c:formatCode>0</c:formatCode>
                <c:ptCount val="34"/>
                <c:pt idx="0">
                  <c:v>2363.9257157894735</c:v>
                </c:pt>
                <c:pt idx="1">
                  <c:v>2326.8514315789471</c:v>
                </c:pt>
                <c:pt idx="2">
                  <c:v>2289.7771473684206</c:v>
                </c:pt>
                <c:pt idx="3">
                  <c:v>2252.7028631578942</c:v>
                </c:pt>
                <c:pt idx="4">
                  <c:v>2215.6285789473677</c:v>
                </c:pt>
                <c:pt idx="5">
                  <c:v>2178.5542947368413</c:v>
                </c:pt>
                <c:pt idx="6">
                  <c:v>2141.4800105263148</c:v>
                </c:pt>
                <c:pt idx="7">
                  <c:v>2104.4057263157883</c:v>
                </c:pt>
                <c:pt idx="8">
                  <c:v>2067.3314421052619</c:v>
                </c:pt>
                <c:pt idx="9">
                  <c:v>2030.2571578947354</c:v>
                </c:pt>
                <c:pt idx="10">
                  <c:v>1993.182873684209</c:v>
                </c:pt>
                <c:pt idx="11">
                  <c:v>1956.1085894736825</c:v>
                </c:pt>
                <c:pt idx="12">
                  <c:v>1919.0343052631561</c:v>
                </c:pt>
                <c:pt idx="13">
                  <c:v>1881.9600210526296</c:v>
                </c:pt>
                <c:pt idx="14">
                  <c:v>1844.8857368421031</c:v>
                </c:pt>
                <c:pt idx="15">
                  <c:v>1807.8114526315767</c:v>
                </c:pt>
                <c:pt idx="16">
                  <c:v>1770.7371684210502</c:v>
                </c:pt>
                <c:pt idx="17">
                  <c:v>1733.6628842105238</c:v>
                </c:pt>
                <c:pt idx="18">
                  <c:v>1696.5885999999973</c:v>
                </c:pt>
                <c:pt idx="19">
                  <c:v>1659.5143157894709</c:v>
                </c:pt>
                <c:pt idx="20">
                  <c:v>1622.4400315789444</c:v>
                </c:pt>
                <c:pt idx="21">
                  <c:v>1585.3657473684179</c:v>
                </c:pt>
                <c:pt idx="22">
                  <c:v>1548.2914631578915</c:v>
                </c:pt>
                <c:pt idx="23">
                  <c:v>1511.217178947365</c:v>
                </c:pt>
                <c:pt idx="24">
                  <c:v>1474.1428947368386</c:v>
                </c:pt>
                <c:pt idx="25">
                  <c:v>1437.0686105263121</c:v>
                </c:pt>
                <c:pt idx="26">
                  <c:v>1399.9943263157857</c:v>
                </c:pt>
                <c:pt idx="27">
                  <c:v>1362.9200421052592</c:v>
                </c:pt>
                <c:pt idx="28">
                  <c:v>1325.8457578947327</c:v>
                </c:pt>
                <c:pt idx="29">
                  <c:v>1288.7714736842063</c:v>
                </c:pt>
                <c:pt idx="30">
                  <c:v>1251.6971894736798</c:v>
                </c:pt>
                <c:pt idx="31">
                  <c:v>1214.6229052631534</c:v>
                </c:pt>
                <c:pt idx="32">
                  <c:v>1177.5486210526269</c:v>
                </c:pt>
                <c:pt idx="33">
                  <c:v>1140.4743368421005</c:v>
                </c:pt>
              </c:numCache>
            </c:numRef>
          </c:val>
          <c:smooth val="0"/>
          <c:extLst xmlns:c16r2="http://schemas.microsoft.com/office/drawing/2015/06/chart">
            <c:ext xmlns:c16="http://schemas.microsoft.com/office/drawing/2014/chart" uri="{C3380CC4-5D6E-409C-BE32-E72D297353CC}">
              <c16:uniqueId val="{00000001-EAEB-4E46-899A-50B3D13A47BA}"/>
            </c:ext>
          </c:extLst>
        </c:ser>
        <c:ser>
          <c:idx val="3"/>
          <c:order val="2"/>
          <c:tx>
            <c:v>Lower Target PTL</c:v>
          </c:tx>
          <c:spPr>
            <a:ln w="19050">
              <a:solidFill>
                <a:srgbClr val="009E49"/>
              </a:solidFill>
            </a:ln>
          </c:spPr>
          <c:marker>
            <c:symbol val="none"/>
          </c:marker>
          <c:val>
            <c:numRef>
              <c:f>[0]!MinWaitingListRange</c:f>
              <c:numCache>
                <c:formatCode>General</c:formatCode>
                <c:ptCount val="34"/>
                <c:pt idx="0">
                  <c:v>929.09999999999991</c:v>
                </c:pt>
                <c:pt idx="1">
                  <c:v>929.09999999999991</c:v>
                </c:pt>
                <c:pt idx="2">
                  <c:v>929.09999999999991</c:v>
                </c:pt>
                <c:pt idx="3">
                  <c:v>929.09999999999991</c:v>
                </c:pt>
                <c:pt idx="4">
                  <c:v>929.09999999999991</c:v>
                </c:pt>
                <c:pt idx="5">
                  <c:v>929.09999999999991</c:v>
                </c:pt>
                <c:pt idx="6">
                  <c:v>929.09999999999991</c:v>
                </c:pt>
                <c:pt idx="7">
                  <c:v>929.09999999999991</c:v>
                </c:pt>
                <c:pt idx="8">
                  <c:v>929.09999999999991</c:v>
                </c:pt>
                <c:pt idx="9">
                  <c:v>929.09999999999991</c:v>
                </c:pt>
                <c:pt idx="10">
                  <c:v>929.09999999999991</c:v>
                </c:pt>
                <c:pt idx="11">
                  <c:v>929.09999999999991</c:v>
                </c:pt>
                <c:pt idx="12">
                  <c:v>929.09999999999991</c:v>
                </c:pt>
                <c:pt idx="13">
                  <c:v>929.09999999999991</c:v>
                </c:pt>
                <c:pt idx="14">
                  <c:v>929.09999999999991</c:v>
                </c:pt>
                <c:pt idx="15">
                  <c:v>929.09999999999991</c:v>
                </c:pt>
                <c:pt idx="16">
                  <c:v>929.09999999999991</c:v>
                </c:pt>
                <c:pt idx="17">
                  <c:v>929.09999999999991</c:v>
                </c:pt>
                <c:pt idx="18">
                  <c:v>929.09999999999991</c:v>
                </c:pt>
                <c:pt idx="19">
                  <c:v>929.09999999999991</c:v>
                </c:pt>
                <c:pt idx="20">
                  <c:v>929.09999999999991</c:v>
                </c:pt>
                <c:pt idx="21">
                  <c:v>929.09999999999991</c:v>
                </c:pt>
                <c:pt idx="22">
                  <c:v>929.09999999999991</c:v>
                </c:pt>
                <c:pt idx="23">
                  <c:v>929.09999999999991</c:v>
                </c:pt>
                <c:pt idx="24">
                  <c:v>929.09999999999991</c:v>
                </c:pt>
                <c:pt idx="25">
                  <c:v>929.09999999999991</c:v>
                </c:pt>
                <c:pt idx="26">
                  <c:v>929.09999999999991</c:v>
                </c:pt>
                <c:pt idx="27">
                  <c:v>929.09999999999991</c:v>
                </c:pt>
                <c:pt idx="28">
                  <c:v>929.09999999999991</c:v>
                </c:pt>
                <c:pt idx="29">
                  <c:v>929.09999999999991</c:v>
                </c:pt>
                <c:pt idx="30">
                  <c:v>929.09999999999991</c:v>
                </c:pt>
                <c:pt idx="31">
                  <c:v>929.09999999999991</c:v>
                </c:pt>
                <c:pt idx="32">
                  <c:v>929.09999999999991</c:v>
                </c:pt>
                <c:pt idx="33">
                  <c:v>929.09999999999991</c:v>
                </c:pt>
              </c:numCache>
            </c:numRef>
          </c:val>
          <c:smooth val="0"/>
          <c:extLst xmlns:c16r2="http://schemas.microsoft.com/office/drawing/2015/06/chart">
            <c:ext xmlns:c16="http://schemas.microsoft.com/office/drawing/2014/chart" uri="{C3380CC4-5D6E-409C-BE32-E72D297353CC}">
              <c16:uniqueId val="{00000002-EAEB-4E46-899A-50B3D13A47BA}"/>
            </c:ext>
          </c:extLst>
        </c:ser>
        <c:ser>
          <c:idx val="4"/>
          <c:order val="3"/>
          <c:tx>
            <c:v>Upper Target PTL</c:v>
          </c:tx>
          <c:spPr>
            <a:ln w="19050">
              <a:solidFill>
                <a:srgbClr val="D81E05"/>
              </a:solidFill>
            </a:ln>
          </c:spPr>
          <c:marker>
            <c:symbol val="none"/>
          </c:marker>
          <c:val>
            <c:numRef>
              <c:f>[0]!MaxWaitingListRange</c:f>
              <c:numCache>
                <c:formatCode>General</c:formatCode>
                <c:ptCount val="34"/>
                <c:pt idx="0">
                  <c:v>1026.9000000000001</c:v>
                </c:pt>
                <c:pt idx="1">
                  <c:v>1026.9000000000001</c:v>
                </c:pt>
                <c:pt idx="2">
                  <c:v>1026.9000000000001</c:v>
                </c:pt>
                <c:pt idx="3">
                  <c:v>1026.9000000000001</c:v>
                </c:pt>
                <c:pt idx="4">
                  <c:v>1026.9000000000001</c:v>
                </c:pt>
                <c:pt idx="5">
                  <c:v>1026.9000000000001</c:v>
                </c:pt>
                <c:pt idx="6">
                  <c:v>1026.9000000000001</c:v>
                </c:pt>
                <c:pt idx="7">
                  <c:v>1026.9000000000001</c:v>
                </c:pt>
                <c:pt idx="8">
                  <c:v>1026.9000000000001</c:v>
                </c:pt>
                <c:pt idx="9">
                  <c:v>1026.9000000000001</c:v>
                </c:pt>
                <c:pt idx="10">
                  <c:v>1026.9000000000001</c:v>
                </c:pt>
                <c:pt idx="11">
                  <c:v>1026.9000000000001</c:v>
                </c:pt>
                <c:pt idx="12">
                  <c:v>1026.9000000000001</c:v>
                </c:pt>
                <c:pt idx="13">
                  <c:v>1026.9000000000001</c:v>
                </c:pt>
                <c:pt idx="14">
                  <c:v>1026.9000000000001</c:v>
                </c:pt>
                <c:pt idx="15">
                  <c:v>1026.9000000000001</c:v>
                </c:pt>
                <c:pt idx="16">
                  <c:v>1026.9000000000001</c:v>
                </c:pt>
                <c:pt idx="17">
                  <c:v>1026.9000000000001</c:v>
                </c:pt>
                <c:pt idx="18">
                  <c:v>1026.9000000000001</c:v>
                </c:pt>
                <c:pt idx="19">
                  <c:v>1026.9000000000001</c:v>
                </c:pt>
                <c:pt idx="20">
                  <c:v>1026.9000000000001</c:v>
                </c:pt>
                <c:pt idx="21">
                  <c:v>1026.9000000000001</c:v>
                </c:pt>
                <c:pt idx="22">
                  <c:v>1026.9000000000001</c:v>
                </c:pt>
                <c:pt idx="23">
                  <c:v>1026.9000000000001</c:v>
                </c:pt>
                <c:pt idx="24">
                  <c:v>1026.9000000000001</c:v>
                </c:pt>
                <c:pt idx="25">
                  <c:v>1026.9000000000001</c:v>
                </c:pt>
                <c:pt idx="26">
                  <c:v>1026.9000000000001</c:v>
                </c:pt>
                <c:pt idx="27">
                  <c:v>1026.9000000000001</c:v>
                </c:pt>
                <c:pt idx="28">
                  <c:v>1026.9000000000001</c:v>
                </c:pt>
                <c:pt idx="29">
                  <c:v>1026.9000000000001</c:v>
                </c:pt>
                <c:pt idx="30">
                  <c:v>1026.9000000000001</c:v>
                </c:pt>
                <c:pt idx="31">
                  <c:v>1026.9000000000001</c:v>
                </c:pt>
                <c:pt idx="32">
                  <c:v>1026.9000000000001</c:v>
                </c:pt>
                <c:pt idx="33">
                  <c:v>1026.9000000000001</c:v>
                </c:pt>
              </c:numCache>
            </c:numRef>
          </c:val>
          <c:smooth val="0"/>
          <c:extLst xmlns:c16r2="http://schemas.microsoft.com/office/drawing/2015/06/chart">
            <c:ext xmlns:c16="http://schemas.microsoft.com/office/drawing/2014/chart" uri="{C3380CC4-5D6E-409C-BE32-E72D297353CC}">
              <c16:uniqueId val="{00000003-EAEB-4E46-899A-50B3D13A47BA}"/>
            </c:ext>
          </c:extLst>
        </c:ser>
        <c:ser>
          <c:idx val="1"/>
          <c:order val="4"/>
          <c:tx>
            <c:v>Actual PTL</c:v>
          </c:tx>
          <c:spPr>
            <a:ln w="19050">
              <a:solidFill>
                <a:srgbClr val="0091C9"/>
              </a:solidFill>
            </a:ln>
          </c:spPr>
          <c:marker>
            <c:symbol val="square"/>
            <c:size val="4"/>
            <c:spPr>
              <a:solidFill>
                <a:srgbClr val="0091C9"/>
              </a:solidFill>
              <a:ln>
                <a:solidFill>
                  <a:srgbClr val="0091C9"/>
                </a:solidFill>
              </a:ln>
            </c:spPr>
          </c:marker>
          <c:cat>
            <c:numLit>
              <c:formatCode>General</c:formatCode>
              <c:ptCount val="52"/>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numLit>
          </c:cat>
          <c:val>
            <c:numRef>
              <c:f>[0]!WaitingListActualRange</c:f>
              <c:numCache>
                <c:formatCode>0</c:formatCode>
                <c:ptCount val="1"/>
                <c:pt idx="0">
                  <c:v>2401</c:v>
                </c:pt>
              </c:numCache>
            </c:numRef>
          </c:val>
          <c:smooth val="0"/>
          <c:extLst xmlns:c16r2="http://schemas.microsoft.com/office/drawing/2015/06/chart">
            <c:ext xmlns:c16="http://schemas.microsoft.com/office/drawing/2014/chart" uri="{C3380CC4-5D6E-409C-BE32-E72D297353CC}">
              <c16:uniqueId val="{00000004-EAEB-4E46-899A-50B3D13A47BA}"/>
            </c:ext>
          </c:extLst>
        </c:ser>
        <c:dLbls>
          <c:showLegendKey val="0"/>
          <c:showVal val="0"/>
          <c:showCatName val="0"/>
          <c:showSerName val="0"/>
          <c:showPercent val="0"/>
          <c:showBubbleSize val="0"/>
        </c:dLbls>
        <c:marker val="1"/>
        <c:smooth val="0"/>
        <c:axId val="142060160"/>
        <c:axId val="142078720"/>
      </c:lineChart>
      <c:catAx>
        <c:axId val="142060160"/>
        <c:scaling>
          <c:orientation val="minMax"/>
        </c:scaling>
        <c:delete val="0"/>
        <c:axPos val="b"/>
        <c:numFmt formatCode="#,##0" sourceLinked="0"/>
        <c:majorTickMark val="out"/>
        <c:minorTickMark val="none"/>
        <c:tickLblPos val="nextTo"/>
        <c:txPr>
          <a:bodyPr rot="0" vert="horz"/>
          <a:lstStyle/>
          <a:p>
            <a:pPr>
              <a:defRPr sz="900" b="0">
                <a:latin typeface="Arial" pitchFamily="34" charset="0"/>
                <a:cs typeface="Arial" pitchFamily="34" charset="0"/>
              </a:defRPr>
            </a:pPr>
            <a:endParaRPr lang="en-US"/>
          </a:p>
        </c:txPr>
        <c:crossAx val="142078720"/>
        <c:crosses val="autoZero"/>
        <c:auto val="1"/>
        <c:lblAlgn val="ctr"/>
        <c:lblOffset val="100"/>
        <c:noMultiLvlLbl val="0"/>
      </c:catAx>
      <c:valAx>
        <c:axId val="142078720"/>
        <c:scaling>
          <c:orientation val="minMax"/>
        </c:scaling>
        <c:delete val="0"/>
        <c:axPos val="l"/>
        <c:numFmt formatCode="0" sourceLinked="1"/>
        <c:majorTickMark val="out"/>
        <c:minorTickMark val="none"/>
        <c:tickLblPos val="nextTo"/>
        <c:spPr>
          <a:noFill/>
        </c:spPr>
        <c:txPr>
          <a:bodyPr/>
          <a:lstStyle/>
          <a:p>
            <a:pPr>
              <a:defRPr sz="900" b="0">
                <a:latin typeface="Arial" pitchFamily="34" charset="0"/>
                <a:cs typeface="Arial" pitchFamily="34" charset="0"/>
              </a:defRPr>
            </a:pPr>
            <a:endParaRPr lang="en-US"/>
          </a:p>
        </c:txPr>
        <c:crossAx val="142060160"/>
        <c:crosses val="autoZero"/>
        <c:crossBetween val="midCat"/>
      </c:valAx>
      <c:spPr>
        <a:noFill/>
        <a:ln w="25400">
          <a:noFill/>
        </a:ln>
      </c:spPr>
    </c:plotArea>
    <c:legend>
      <c:legendPos val="b"/>
      <c:overlay val="0"/>
      <c:txPr>
        <a:bodyPr/>
        <a:lstStyle/>
        <a:p>
          <a:pPr>
            <a:defRPr sz="900" baseline="0">
              <a:latin typeface="Arial" pitchFamily="34" charset="0"/>
              <a:cs typeface="Arial" pitchFamily="34" charset="0"/>
            </a:defRPr>
          </a:pPr>
          <a:endParaRPr lang="en-US"/>
        </a:p>
      </c:txPr>
    </c:legend>
    <c:plotVisOnly val="1"/>
    <c:dispBlanksAs val="gap"/>
    <c:showDLblsOverMax val="0"/>
  </c:chart>
  <c:spPr>
    <a:noFill/>
    <a:ln w="9525">
      <a:noFill/>
    </a:ln>
  </c:spPr>
  <c:printSettings>
    <c:headerFooter/>
    <c:pageMargins b="0.75000000000000111" l="0.70000000000000062" r="0.70000000000000062" t="0.75000000000000111" header="0.30000000000000032" footer="0.30000000000000032"/>
    <c:pageSetup orientation="portrait"/>
  </c:printSettings>
</c:chartSpace>
</file>

<file path=xl/ctrlProps/ctrlProp1.xml><?xml version="1.0" encoding="utf-8"?>
<formControlPr xmlns="http://schemas.microsoft.com/office/spreadsheetml/2009/9/main" objectType="Scroll" dx="16" fmlaLink="$L$8" horiz="1" max="5000" noThreeD="1" page="20" val="2401"/>
</file>

<file path=xl/ctrlProps/ctrlProp2.xml><?xml version="1.0" encoding="utf-8"?>
<formControlPr xmlns="http://schemas.microsoft.com/office/spreadsheetml/2009/9/main" objectType="Drop" dropLines="20" dropStyle="combo" dx="16" fmlaLink="$S$32" fmlaRange="[0]!SplitRange" sel="35" val="20"/>
</file>

<file path=xl/ctrlProps/ctrlProp3.xml><?xml version="1.0" encoding="utf-8"?>
<formControlPr xmlns="http://schemas.microsoft.com/office/spreadsheetml/2009/9/main" objectType="Scroll" dx="16" fmlaLink="C13" horiz="1" max="500" noThreeD="1" page="10" val="201"/>
</file>

<file path=xl/ctrlProps/ctrlProp4.xml><?xml version="1.0" encoding="utf-8"?>
<formControlPr xmlns="http://schemas.microsoft.com/office/spreadsheetml/2009/9/main" objectType="Scroll" dx="16" fmlaLink="L13" horiz="1" max="200" noThreeD="1" page="10" val="32"/>
</file>

<file path=xl/ctrlProps/ctrlProp5.xml><?xml version="1.0" encoding="utf-8"?>
<formControlPr xmlns="http://schemas.microsoft.com/office/spreadsheetml/2009/9/main" objectType="Radio" checked="Checked" firstButton="1" fmlaLink="I15" lockText="1"/>
</file>

<file path=xl/ctrlProps/ctrlProp6.xml><?xml version="1.0" encoding="utf-8"?>
<formControlPr xmlns="http://schemas.microsoft.com/office/spreadsheetml/2009/9/main" objectType="Radio" lockText="1"/>
</file>

<file path=xl/ctrlProps/ctrlProp7.xml><?xml version="1.0" encoding="utf-8"?>
<formControlPr xmlns="http://schemas.microsoft.com/office/spreadsheetml/2009/9/main" objectType="Scroll" dx="16" fmlaLink="C15" horiz="1" max="500" noThreeD="1" page="20" val="500"/>
</file>

<file path=xl/ctrlProps/ctrlProp8.xml><?xml version="1.0" encoding="utf-8"?>
<formControlPr xmlns="http://schemas.microsoft.com/office/spreadsheetml/2009/9/main" objectType="Scroll" dx="16" fmlaLink="$G$25" horiz="1" max="500" noThreeD="1" page="10" val="60"/>
</file>

<file path=xl/ctrlProps/ctrlProp9.xml><?xml version="1.0" encoding="utf-8"?>
<formControlPr xmlns="http://schemas.microsoft.com/office/spreadsheetml/2009/9/main" objectType="Scroll" dx="16" fmlaLink="$K$25" horiz="1" inc="10" max="100" noThreeD="1" page="10" val="30"/>
</file>

<file path=xl/ctrlProps/ctrlProp10.xml><?xml version="1.0" encoding="utf-8"?>
<formControlPr xmlns="http://schemas.microsoft.com/office/spreadsheetml/2009/9/main" objectType="Scroll" dx="16" fmlaLink="$C$20" horiz="1" max="1000" noThreeD="1" page="100" val="1000"/>
</file>

<file path=xl/ctrlProps/ctrlProp11.xml><?xml version="1.0" encoding="utf-8"?>
<formControlPr xmlns="http://schemas.microsoft.com/office/spreadsheetml/2009/9/main" objectType="Scroll" dx="16" fmlaLink="$C$25" horiz="1" inc="10" max="1000" noThreeD="1" page="50" val="1000"/>
</file>

<file path=xl/ctrlProps/ctrlProp12.xml><?xml version="1.0" encoding="utf-8"?>
<formControlPr xmlns="http://schemas.microsoft.com/office/spreadsheetml/2009/9/main" objectType="Scroll" dx="16" fmlaLink="G20" horiz="1" max="1000" noThreeD="1" page="100" val="306"/>
</file>

<file path=xl/ctrlProps/ctrlProp13.xml><?xml version="1.0" encoding="utf-8"?>
<formControlPr xmlns="http://schemas.microsoft.com/office/spreadsheetml/2009/9/main" objectType="Scroll" dx="16" fmlaLink="$K$15" horiz="1" max="100" noThreeD="1" page="5" val="10"/>
</file>

<file path=xl/ctrlProps/ctrlProp14.xml><?xml version="1.0" encoding="utf-8"?>
<formControlPr xmlns="http://schemas.microsoft.com/office/spreadsheetml/2009/9/main" objectType="Scroll" dx="16" fmlaLink="$O$20" horiz="1" max="18" min="1" noThreeD="1" page="2" val="9"/>
</file>

<file path=xl/ctrlProps/ctrlProp15.xml><?xml version="1.0" encoding="utf-8"?>
<formControlPr xmlns="http://schemas.microsoft.com/office/spreadsheetml/2009/9/main" objectType="Scroll" dx="16" fmlaLink="$K$20" horiz="1" max="17" min="1" noThreeD="1" page="2" val="2"/>
</file>

<file path=xl/ctrlProps/ctrlProp16.xml><?xml version="1.0" encoding="utf-8"?>
<formControlPr xmlns="http://schemas.microsoft.com/office/spreadsheetml/2009/9/main" objectType="Scroll" dx="16" fmlaLink="$O$15" horiz="1" max="18" min="1" noThreeD="1" page="5" val="2"/>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image" Target="../media/image1.jpeg"/><Relationship Id="rId4" Type="http://schemas.openxmlformats.org/officeDocument/2006/relationships/chart" Target="../charts/chart4.xml"/></Relationships>
</file>

<file path=xl/drawings/_rels/drawing7.xml.rels><?xml version="1.0" encoding="UTF-8" standalone="yes"?>
<Relationships xmlns="http://schemas.openxmlformats.org/package/2006/relationships"><Relationship Id="rId3" Type="http://schemas.openxmlformats.org/officeDocument/2006/relationships/chart" Target="../charts/chart6.xml"/><Relationship Id="rId2" Type="http://schemas.openxmlformats.org/officeDocument/2006/relationships/chart" Target="../charts/chart5.xml"/><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9.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absolute">
    <xdr:from>
      <xdr:col>10</xdr:col>
      <xdr:colOff>257175</xdr:colOff>
      <xdr:row>1</xdr:row>
      <xdr:rowOff>9524</xdr:rowOff>
    </xdr:from>
    <xdr:to>
      <xdr:col>14</xdr:col>
      <xdr:colOff>323850</xdr:colOff>
      <xdr:row>1</xdr:row>
      <xdr:rowOff>676275</xdr:rowOff>
    </xdr:to>
    <xdr:pic>
      <xdr:nvPicPr>
        <xdr:cNvPr id="3" name="Picture 2" descr="ISI IMAS Logo">
          <a:extLst>
            <a:ext uri="{FF2B5EF4-FFF2-40B4-BE49-F238E27FC236}">
              <a16:creationId xmlns:a16="http://schemas.microsoft.com/office/drawing/2014/main" xmlns="" id="{00000000-0008-0000-02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6858000" y="200024"/>
          <a:ext cx="2505075" cy="666751"/>
        </a:xfrm>
        <a:prstGeom prst="rect">
          <a:avLst/>
        </a:prstGeom>
        <a:noFill/>
        <a:ln w="3175">
          <a:noFill/>
          <a:miter lim="800000"/>
          <a:headEnd/>
          <a:tailEnd/>
        </a:ln>
        <a:effectLst>
          <a:outerShdw sx="1000" sy="1000" algn="ctr" rotWithShape="0">
            <a:srgbClr val="000000"/>
          </a:outerShdw>
        </a:effectLst>
      </xdr:spPr>
    </xdr:pic>
    <xdr:clientData fPrintsWithSheet="0"/>
  </xdr:twoCellAnchor>
</xdr:wsDr>
</file>

<file path=xl/drawings/drawing2.xml><?xml version="1.0" encoding="utf-8"?>
<xdr:wsDr xmlns:xdr="http://schemas.openxmlformats.org/drawingml/2006/spreadsheetDrawing" xmlns:a="http://schemas.openxmlformats.org/drawingml/2006/main">
  <xdr:twoCellAnchor editAs="absolute">
    <xdr:from>
      <xdr:col>10</xdr:col>
      <xdr:colOff>342900</xdr:colOff>
      <xdr:row>1</xdr:row>
      <xdr:rowOff>9524</xdr:rowOff>
    </xdr:from>
    <xdr:to>
      <xdr:col>13</xdr:col>
      <xdr:colOff>438150</xdr:colOff>
      <xdr:row>1</xdr:row>
      <xdr:rowOff>676275</xdr:rowOff>
    </xdr:to>
    <xdr:pic>
      <xdr:nvPicPr>
        <xdr:cNvPr id="2" name="Picture 1" descr="ISI IMAS Logo">
          <a:extLst>
            <a:ext uri="{FF2B5EF4-FFF2-40B4-BE49-F238E27FC236}">
              <a16:creationId xmlns:a16="http://schemas.microsoft.com/office/drawing/2014/main" xmlns="" id="{00000000-0008-0000-0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6877050" y="200024"/>
          <a:ext cx="2505075" cy="666751"/>
        </a:xfrm>
        <a:prstGeom prst="rect">
          <a:avLst/>
        </a:prstGeom>
        <a:noFill/>
        <a:ln w="3175">
          <a:noFill/>
          <a:miter lim="800000"/>
          <a:headEnd/>
          <a:tailEnd/>
        </a:ln>
        <a:effectLst>
          <a:outerShdw sx="1000" sy="1000" algn="ctr" rotWithShape="0">
            <a:srgbClr val="000000"/>
          </a:outerShdw>
        </a:effectLst>
      </xdr:spPr>
    </xdr:pic>
    <xdr:clientData fPrintsWithSheet="0"/>
  </xdr:twoCellAnchor>
  <mc:AlternateContent xmlns:mc="http://schemas.openxmlformats.org/markup-compatibility/2006">
    <mc:Choice xmlns:a14="http://schemas.microsoft.com/office/drawing/2010/main" Requires="a14">
      <xdr:twoCellAnchor editAs="oneCell">
        <xdr:from>
          <xdr:col>10</xdr:col>
          <xdr:colOff>0</xdr:colOff>
          <xdr:row>7</xdr:row>
          <xdr:rowOff>9525</xdr:rowOff>
        </xdr:from>
        <xdr:to>
          <xdr:col>12</xdr:col>
          <xdr:colOff>885825</xdr:colOff>
          <xdr:row>7</xdr:row>
          <xdr:rowOff>190500</xdr:rowOff>
        </xdr:to>
        <xdr:sp macro="" textlink="">
          <xdr:nvSpPr>
            <xdr:cNvPr id="251010" name="Scroll Bar 130" hidden="1">
              <a:extLst>
                <a:ext uri="{63B3BB69-23CF-44E3-9099-C40C66FF867C}">
                  <a14:compatExt spid="_x0000_s251010"/>
                </a:ext>
              </a:extLst>
            </xdr:cNvPr>
            <xdr:cNvSpPr/>
          </xdr:nvSpPr>
          <xdr:spPr>
            <a:xfrm>
              <a:off x="0" y="0"/>
              <a:ext cx="0" cy="0"/>
            </a:xfrm>
            <a:prstGeom prst="rect">
              <a:avLst/>
            </a:prstGeom>
          </xdr:spPr>
        </xdr:sp>
        <xdr:clientData fLocksWithSheet="0" fPrintsWithSheet="0"/>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16</xdr:col>
      <xdr:colOff>9525</xdr:colOff>
      <xdr:row>4</xdr:row>
      <xdr:rowOff>200025</xdr:rowOff>
    </xdr:from>
    <xdr:to>
      <xdr:col>31</xdr:col>
      <xdr:colOff>28575</xdr:colOff>
      <xdr:row>32</xdr:row>
      <xdr:rowOff>66675</xdr:rowOff>
    </xdr:to>
    <xdr:graphicFrame macro="">
      <xdr:nvGraphicFramePr>
        <xdr:cNvPr id="858513" name="Chart 1">
          <a:extLst>
            <a:ext uri="{FF2B5EF4-FFF2-40B4-BE49-F238E27FC236}">
              <a16:creationId xmlns:a16="http://schemas.microsoft.com/office/drawing/2014/main" xmlns="" id="{00000000-0008-0000-0400-000091190D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27</xdr:col>
      <xdr:colOff>28575</xdr:colOff>
      <xdr:row>1</xdr:row>
      <xdr:rowOff>9525</xdr:rowOff>
    </xdr:from>
    <xdr:to>
      <xdr:col>31</xdr:col>
      <xdr:colOff>0</xdr:colOff>
      <xdr:row>1</xdr:row>
      <xdr:rowOff>676276</xdr:rowOff>
    </xdr:to>
    <xdr:pic>
      <xdr:nvPicPr>
        <xdr:cNvPr id="3" name="Picture 2" descr="ISI IMAS Logo">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6858000" y="200025"/>
          <a:ext cx="2505075" cy="666751"/>
        </a:xfrm>
        <a:prstGeom prst="rect">
          <a:avLst/>
        </a:prstGeom>
        <a:noFill/>
        <a:ln w="3175">
          <a:noFill/>
          <a:miter lim="800000"/>
          <a:headEnd/>
          <a:tailEnd/>
        </a:ln>
        <a:effectLst>
          <a:outerShdw sx="1000" sy="1000" algn="ctr" rotWithShape="0">
            <a:srgbClr val="000000"/>
          </a:outerShdw>
        </a:effectLst>
      </xdr:spPr>
    </xdr:pic>
    <xdr:clientData fPrintsWithSheet="0"/>
  </xdr:twoCellAnchor>
  <mc:AlternateContent xmlns:mc="http://schemas.openxmlformats.org/markup-compatibility/2006">
    <mc:Choice xmlns:a14="http://schemas.microsoft.com/office/drawing/2010/main" Requires="a14">
      <xdr:twoCellAnchor editAs="oneCell">
        <xdr:from>
          <xdr:col>17</xdr:col>
          <xdr:colOff>485775</xdr:colOff>
          <xdr:row>31</xdr:row>
          <xdr:rowOff>0</xdr:rowOff>
        </xdr:from>
        <xdr:to>
          <xdr:col>18</xdr:col>
          <xdr:colOff>514350</xdr:colOff>
          <xdr:row>32</xdr:row>
          <xdr:rowOff>9525</xdr:rowOff>
        </xdr:to>
        <xdr:sp macro="" textlink="">
          <xdr:nvSpPr>
            <xdr:cNvPr id="858117" name="Drop Down 5" hidden="1">
              <a:extLst>
                <a:ext uri="{63B3BB69-23CF-44E3-9099-C40C66FF867C}">
                  <a14:compatExt spid="_x0000_s858117"/>
                </a:ext>
              </a:extLst>
            </xdr:cNvPr>
            <xdr:cNvSpPr/>
          </xdr:nvSpPr>
          <xdr:spPr>
            <a:xfrm>
              <a:off x="0" y="0"/>
              <a:ext cx="0" cy="0"/>
            </a:xfrm>
            <a:prstGeom prst="rect">
              <a:avLst/>
            </a:prstGeom>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absolute">
    <xdr:from>
      <xdr:col>11</xdr:col>
      <xdr:colOff>390525</xdr:colOff>
      <xdr:row>1</xdr:row>
      <xdr:rowOff>9524</xdr:rowOff>
    </xdr:from>
    <xdr:to>
      <xdr:col>16</xdr:col>
      <xdr:colOff>0</xdr:colOff>
      <xdr:row>1</xdr:row>
      <xdr:rowOff>676275</xdr:rowOff>
    </xdr:to>
    <xdr:pic>
      <xdr:nvPicPr>
        <xdr:cNvPr id="2" name="Picture 1" descr="ISI IMAS Logo">
          <a:extLst>
            <a:ext uri="{FF2B5EF4-FFF2-40B4-BE49-F238E27FC236}">
              <a16:creationId xmlns:a16="http://schemas.microsoft.com/office/drawing/2014/main" xmlns="" id="{00000000-0008-0000-05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6858000" y="200024"/>
          <a:ext cx="2505075" cy="666751"/>
        </a:xfrm>
        <a:prstGeom prst="rect">
          <a:avLst/>
        </a:prstGeom>
        <a:noFill/>
        <a:ln w="3175">
          <a:noFill/>
          <a:miter lim="800000"/>
          <a:headEnd/>
          <a:tailEnd/>
        </a:ln>
        <a:effectLst>
          <a:outerShdw sx="1000" sy="1000" algn="ctr" rotWithShape="0">
            <a:srgbClr val="000000"/>
          </a:outerShdw>
        </a:effectLst>
      </xdr:spPr>
    </xdr:pic>
    <xdr:clientData fPrintsWithSheet="0"/>
  </xdr:twoCellAnchor>
  <mc:AlternateContent xmlns:mc="http://schemas.openxmlformats.org/markup-compatibility/2006">
    <mc:Choice xmlns:a14="http://schemas.microsoft.com/office/drawing/2010/main" Requires="a14">
      <xdr:twoCellAnchor editAs="oneCell">
        <xdr:from>
          <xdr:col>1</xdr:col>
          <xdr:colOff>0</xdr:colOff>
          <xdr:row>12</xdr:row>
          <xdr:rowOff>28575</xdr:rowOff>
        </xdr:from>
        <xdr:to>
          <xdr:col>2</xdr:col>
          <xdr:colOff>771525</xdr:colOff>
          <xdr:row>12</xdr:row>
          <xdr:rowOff>209550</xdr:rowOff>
        </xdr:to>
        <xdr:sp macro="" textlink="">
          <xdr:nvSpPr>
            <xdr:cNvPr id="17489" name="Scroll Bar 81" hidden="1">
              <a:extLst>
                <a:ext uri="{63B3BB69-23CF-44E3-9099-C40C66FF867C}">
                  <a14:compatExt spid="_x0000_s17489"/>
                </a:ext>
              </a:extLst>
            </xdr:cNvPr>
            <xdr:cNvSpPr/>
          </xdr:nvSpPr>
          <xdr:spPr>
            <a:xfrm>
              <a:off x="0" y="0"/>
              <a:ext cx="0" cy="0"/>
            </a:xfrm>
            <a:prstGeom prst="rect">
              <a:avLst/>
            </a:prstGeom>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12</xdr:row>
          <xdr:rowOff>28575</xdr:rowOff>
        </xdr:from>
        <xdr:to>
          <xdr:col>11</xdr:col>
          <xdr:colOff>771525</xdr:colOff>
          <xdr:row>12</xdr:row>
          <xdr:rowOff>209550</xdr:rowOff>
        </xdr:to>
        <xdr:sp macro="" textlink="">
          <xdr:nvSpPr>
            <xdr:cNvPr id="17490" name="Scroll Bar 82" hidden="1">
              <a:extLst>
                <a:ext uri="{63B3BB69-23CF-44E3-9099-C40C66FF867C}">
                  <a14:compatExt spid="_x0000_s17490"/>
                </a:ext>
              </a:extLst>
            </xdr:cNvPr>
            <xdr:cNvSpPr/>
          </xdr:nvSpPr>
          <xdr:spPr>
            <a:xfrm>
              <a:off x="0" y="0"/>
              <a:ext cx="0" cy="0"/>
            </a:xfrm>
            <a:prstGeom prst="rect">
              <a:avLst/>
            </a:prstGeom>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11</xdr:row>
          <xdr:rowOff>171450</xdr:rowOff>
        </xdr:from>
        <xdr:to>
          <xdr:col>6</xdr:col>
          <xdr:colOff>114300</xdr:colOff>
          <xdr:row>12</xdr:row>
          <xdr:rowOff>200025</xdr:rowOff>
        </xdr:to>
        <xdr:sp macro="" textlink="">
          <xdr:nvSpPr>
            <xdr:cNvPr id="17835" name="Option Button 427" hidden="1">
              <a:extLst>
                <a:ext uri="{63B3BB69-23CF-44E3-9099-C40C66FF867C}">
                  <a14:compatExt spid="_x0000_s1783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Capacity Calculator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11</xdr:row>
          <xdr:rowOff>171450</xdr:rowOff>
        </xdr:from>
        <xdr:to>
          <xdr:col>10</xdr:col>
          <xdr:colOff>200025</xdr:colOff>
          <xdr:row>12</xdr:row>
          <xdr:rowOff>200025</xdr:rowOff>
        </xdr:to>
        <xdr:sp macro="" textlink="">
          <xdr:nvSpPr>
            <xdr:cNvPr id="17836" name="Option Button 428" hidden="1">
              <a:extLst>
                <a:ext uri="{63B3BB69-23CF-44E3-9099-C40C66FF867C}">
                  <a14:compatExt spid="_x0000_s1783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Historical Data</a:t>
              </a:r>
            </a:p>
          </xdr:txBody>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editAs="absolute">
    <xdr:from>
      <xdr:col>12</xdr:col>
      <xdr:colOff>247650</xdr:colOff>
      <xdr:row>1</xdr:row>
      <xdr:rowOff>9525</xdr:rowOff>
    </xdr:from>
    <xdr:to>
      <xdr:col>17</xdr:col>
      <xdr:colOff>0</xdr:colOff>
      <xdr:row>1</xdr:row>
      <xdr:rowOff>676276</xdr:rowOff>
    </xdr:to>
    <xdr:pic>
      <xdr:nvPicPr>
        <xdr:cNvPr id="4" name="Picture 3" descr="ISI IMAS Logo">
          <a:extLst>
            <a:ext uri="{FF2B5EF4-FFF2-40B4-BE49-F238E27FC236}">
              <a16:creationId xmlns:a16="http://schemas.microsoft.com/office/drawing/2014/main" xmlns="" id="{00000000-0008-0000-06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6858000" y="200025"/>
          <a:ext cx="2505075" cy="666751"/>
        </a:xfrm>
        <a:prstGeom prst="rect">
          <a:avLst/>
        </a:prstGeom>
        <a:noFill/>
        <a:ln w="3175">
          <a:noFill/>
          <a:miter lim="800000"/>
          <a:headEnd/>
          <a:tailEnd/>
        </a:ln>
        <a:effectLst>
          <a:outerShdw sx="1000" sy="1000" algn="ctr" rotWithShape="0">
            <a:srgbClr val="000000"/>
          </a:outerShdw>
        </a:effectLst>
      </xdr:spPr>
    </xdr:pic>
    <xdr:clientData fPrintsWithSheet="0"/>
  </xdr:twoCellAnchor>
  <xdr:twoCellAnchor>
    <xdr:from>
      <xdr:col>0</xdr:col>
      <xdr:colOff>352425</xdr:colOff>
      <xdr:row>10</xdr:row>
      <xdr:rowOff>0</xdr:rowOff>
    </xdr:from>
    <xdr:to>
      <xdr:col>8</xdr:col>
      <xdr:colOff>180975</xdr:colOff>
      <xdr:row>25</xdr:row>
      <xdr:rowOff>171450</xdr:rowOff>
    </xdr:to>
    <xdr:sp macro="" textlink="">
      <xdr:nvSpPr>
        <xdr:cNvPr id="3" name="Rectangle 2">
          <a:extLst>
            <a:ext uri="{FF2B5EF4-FFF2-40B4-BE49-F238E27FC236}">
              <a16:creationId xmlns:a16="http://schemas.microsoft.com/office/drawing/2014/main" xmlns="" id="{00000000-0008-0000-0600-000003000000}"/>
            </a:ext>
          </a:extLst>
        </xdr:cNvPr>
        <xdr:cNvSpPr/>
      </xdr:nvSpPr>
      <xdr:spPr>
        <a:xfrm>
          <a:off x="352425" y="2276475"/>
          <a:ext cx="4229100" cy="3095625"/>
        </a:xfrm>
        <a:prstGeom prst="rect">
          <a:avLst/>
        </a:prstGeom>
        <a:noFill/>
        <a:ln w="12700">
          <a:solidFill>
            <a:srgbClr val="0091C9"/>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endParaRPr lang="en-GB"/>
        </a:p>
      </xdr:txBody>
    </xdr:sp>
    <xdr:clientData/>
  </xdr:twoCellAnchor>
  <xdr:twoCellAnchor>
    <xdr:from>
      <xdr:col>8</xdr:col>
      <xdr:colOff>381000</xdr:colOff>
      <xdr:row>10</xdr:row>
      <xdr:rowOff>0</xdr:rowOff>
    </xdr:from>
    <xdr:to>
      <xdr:col>16</xdr:col>
      <xdr:colOff>190500</xdr:colOff>
      <xdr:row>25</xdr:row>
      <xdr:rowOff>171450</xdr:rowOff>
    </xdr:to>
    <xdr:sp macro="" textlink="">
      <xdr:nvSpPr>
        <xdr:cNvPr id="5" name="Rectangle 4">
          <a:extLst>
            <a:ext uri="{FF2B5EF4-FFF2-40B4-BE49-F238E27FC236}">
              <a16:creationId xmlns:a16="http://schemas.microsoft.com/office/drawing/2014/main" xmlns="" id="{00000000-0008-0000-0600-000005000000}"/>
            </a:ext>
          </a:extLst>
        </xdr:cNvPr>
        <xdr:cNvSpPr/>
      </xdr:nvSpPr>
      <xdr:spPr>
        <a:xfrm>
          <a:off x="4781550" y="2276475"/>
          <a:ext cx="4229100" cy="3095625"/>
        </a:xfrm>
        <a:prstGeom prst="rect">
          <a:avLst/>
        </a:prstGeom>
        <a:noFill/>
        <a:ln w="12700">
          <a:solidFill>
            <a:srgbClr val="0091C9"/>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endParaRPr lang="en-GB"/>
        </a:p>
      </xdr:txBody>
    </xdr:sp>
    <xdr:clientData/>
  </xdr:twoCellAnchor>
  <mc:AlternateContent xmlns:mc="http://schemas.openxmlformats.org/markup-compatibility/2006">
    <mc:Choice xmlns:a14="http://schemas.microsoft.com/office/drawing/2010/main" Requires="a14">
      <xdr:twoCellAnchor editAs="oneCell">
        <xdr:from>
          <xdr:col>1</xdr:col>
          <xdr:colOff>0</xdr:colOff>
          <xdr:row>13</xdr:row>
          <xdr:rowOff>228600</xdr:rowOff>
        </xdr:from>
        <xdr:to>
          <xdr:col>3</xdr:col>
          <xdr:colOff>542925</xdr:colOff>
          <xdr:row>15</xdr:row>
          <xdr:rowOff>0</xdr:rowOff>
        </xdr:to>
        <xdr:sp macro="" textlink="">
          <xdr:nvSpPr>
            <xdr:cNvPr id="16440" name="Scroll Bar 56" hidden="1">
              <a:extLst>
                <a:ext uri="{63B3BB69-23CF-44E3-9099-C40C66FF867C}">
                  <a14:compatExt spid="_x0000_s16440"/>
                </a:ext>
              </a:extLst>
            </xdr:cNvPr>
            <xdr:cNvSpPr/>
          </xdr:nvSpPr>
          <xdr:spPr>
            <a:xfrm>
              <a:off x="0" y="0"/>
              <a:ext cx="0" cy="0"/>
            </a:xfrm>
            <a:prstGeom prst="rect">
              <a:avLst/>
            </a:prstGeom>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23</xdr:row>
          <xdr:rowOff>180975</xdr:rowOff>
        </xdr:from>
        <xdr:to>
          <xdr:col>7</xdr:col>
          <xdr:colOff>542925</xdr:colOff>
          <xdr:row>25</xdr:row>
          <xdr:rowOff>0</xdr:rowOff>
        </xdr:to>
        <xdr:sp macro="" textlink="">
          <xdr:nvSpPr>
            <xdr:cNvPr id="16441" name="Scroll Bar 57" hidden="1">
              <a:extLst>
                <a:ext uri="{63B3BB69-23CF-44E3-9099-C40C66FF867C}">
                  <a14:compatExt spid="_x0000_s16441"/>
                </a:ext>
              </a:extLst>
            </xdr:cNvPr>
            <xdr:cNvSpPr/>
          </xdr:nvSpPr>
          <xdr:spPr>
            <a:xfrm>
              <a:off x="0" y="0"/>
              <a:ext cx="0" cy="0"/>
            </a:xfrm>
            <a:prstGeom prst="rect">
              <a:avLst/>
            </a:prstGeom>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23</xdr:row>
          <xdr:rowOff>180975</xdr:rowOff>
        </xdr:from>
        <xdr:to>
          <xdr:col>11</xdr:col>
          <xdr:colOff>542925</xdr:colOff>
          <xdr:row>25</xdr:row>
          <xdr:rowOff>0</xdr:rowOff>
        </xdr:to>
        <xdr:sp macro="" textlink="">
          <xdr:nvSpPr>
            <xdr:cNvPr id="16442" name="Scroll Bar 58" hidden="1">
              <a:extLst>
                <a:ext uri="{63B3BB69-23CF-44E3-9099-C40C66FF867C}">
                  <a14:compatExt spid="_x0000_s16442"/>
                </a:ext>
              </a:extLst>
            </xdr:cNvPr>
            <xdr:cNvSpPr/>
          </xdr:nvSpPr>
          <xdr:spPr>
            <a:xfrm>
              <a:off x="0" y="0"/>
              <a:ext cx="0" cy="0"/>
            </a:xfrm>
            <a:prstGeom prst="rect">
              <a:avLst/>
            </a:prstGeom>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xdr:row>
          <xdr:rowOff>180975</xdr:rowOff>
        </xdr:from>
        <xdr:to>
          <xdr:col>3</xdr:col>
          <xdr:colOff>542925</xdr:colOff>
          <xdr:row>20</xdr:row>
          <xdr:rowOff>0</xdr:rowOff>
        </xdr:to>
        <xdr:sp macro="" textlink="">
          <xdr:nvSpPr>
            <xdr:cNvPr id="16447" name="Scroll Bar 63" hidden="1">
              <a:extLst>
                <a:ext uri="{63B3BB69-23CF-44E3-9099-C40C66FF867C}">
                  <a14:compatExt spid="_x0000_s16447"/>
                </a:ext>
              </a:extLst>
            </xdr:cNvPr>
            <xdr:cNvSpPr/>
          </xdr:nvSpPr>
          <xdr:spPr>
            <a:xfrm>
              <a:off x="0" y="0"/>
              <a:ext cx="0" cy="0"/>
            </a:xfrm>
            <a:prstGeom prst="rect">
              <a:avLst/>
            </a:prstGeom>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23</xdr:row>
          <xdr:rowOff>180975</xdr:rowOff>
        </xdr:from>
        <xdr:to>
          <xdr:col>3</xdr:col>
          <xdr:colOff>542925</xdr:colOff>
          <xdr:row>25</xdr:row>
          <xdr:rowOff>0</xdr:rowOff>
        </xdr:to>
        <xdr:sp macro="" textlink="">
          <xdr:nvSpPr>
            <xdr:cNvPr id="16448" name="Scroll Bar 64" hidden="1">
              <a:extLst>
                <a:ext uri="{63B3BB69-23CF-44E3-9099-C40C66FF867C}">
                  <a14:compatExt spid="_x0000_s16448"/>
                </a:ext>
              </a:extLst>
            </xdr:cNvPr>
            <xdr:cNvSpPr/>
          </xdr:nvSpPr>
          <xdr:spPr>
            <a:xfrm>
              <a:off x="0" y="0"/>
              <a:ext cx="0" cy="0"/>
            </a:xfrm>
            <a:prstGeom prst="rect">
              <a:avLst/>
            </a:prstGeom>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18</xdr:row>
          <xdr:rowOff>180975</xdr:rowOff>
        </xdr:from>
        <xdr:to>
          <xdr:col>7</xdr:col>
          <xdr:colOff>542925</xdr:colOff>
          <xdr:row>20</xdr:row>
          <xdr:rowOff>0</xdr:rowOff>
        </xdr:to>
        <xdr:sp macro="" textlink="">
          <xdr:nvSpPr>
            <xdr:cNvPr id="16489" name="Scroll Bar 105" hidden="1">
              <a:extLst>
                <a:ext uri="{63B3BB69-23CF-44E3-9099-C40C66FF867C}">
                  <a14:compatExt spid="_x0000_s16489"/>
                </a:ext>
              </a:extLst>
            </xdr:cNvPr>
            <xdr:cNvSpPr/>
          </xdr:nvSpPr>
          <xdr:spPr>
            <a:xfrm>
              <a:off x="0" y="0"/>
              <a:ext cx="0" cy="0"/>
            </a:xfrm>
            <a:prstGeom prst="rect">
              <a:avLst/>
            </a:prstGeom>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13</xdr:row>
          <xdr:rowOff>228600</xdr:rowOff>
        </xdr:from>
        <xdr:to>
          <xdr:col>11</xdr:col>
          <xdr:colOff>542925</xdr:colOff>
          <xdr:row>15</xdr:row>
          <xdr:rowOff>0</xdr:rowOff>
        </xdr:to>
        <xdr:sp macro="" textlink="">
          <xdr:nvSpPr>
            <xdr:cNvPr id="16598" name="Scroll Bar 214" hidden="1">
              <a:extLst>
                <a:ext uri="{63B3BB69-23CF-44E3-9099-C40C66FF867C}">
                  <a14:compatExt spid="_x0000_s16598"/>
                </a:ext>
              </a:extLst>
            </xdr:cNvPr>
            <xdr:cNvSpPr/>
          </xdr:nvSpPr>
          <xdr:spPr>
            <a:xfrm>
              <a:off x="0" y="0"/>
              <a:ext cx="0" cy="0"/>
            </a:xfrm>
            <a:prstGeom prst="rect">
              <a:avLst/>
            </a:prstGeom>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18</xdr:row>
          <xdr:rowOff>180975</xdr:rowOff>
        </xdr:from>
        <xdr:to>
          <xdr:col>15</xdr:col>
          <xdr:colOff>542925</xdr:colOff>
          <xdr:row>20</xdr:row>
          <xdr:rowOff>0</xdr:rowOff>
        </xdr:to>
        <xdr:sp macro="" textlink="">
          <xdr:nvSpPr>
            <xdr:cNvPr id="16792" name="Scroll Bar 408" hidden="1">
              <a:extLst>
                <a:ext uri="{63B3BB69-23CF-44E3-9099-C40C66FF867C}">
                  <a14:compatExt spid="_x0000_s16792"/>
                </a:ext>
              </a:extLst>
            </xdr:cNvPr>
            <xdr:cNvSpPr/>
          </xdr:nvSpPr>
          <xdr:spPr>
            <a:xfrm>
              <a:off x="0" y="0"/>
              <a:ext cx="0" cy="0"/>
            </a:xfrm>
            <a:prstGeom prst="rect">
              <a:avLst/>
            </a:prstGeom>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18</xdr:row>
          <xdr:rowOff>180975</xdr:rowOff>
        </xdr:from>
        <xdr:to>
          <xdr:col>11</xdr:col>
          <xdr:colOff>542925</xdr:colOff>
          <xdr:row>20</xdr:row>
          <xdr:rowOff>0</xdr:rowOff>
        </xdr:to>
        <xdr:sp macro="" textlink="">
          <xdr:nvSpPr>
            <xdr:cNvPr id="16802" name="Scroll Bar 418" hidden="1">
              <a:extLst>
                <a:ext uri="{63B3BB69-23CF-44E3-9099-C40C66FF867C}">
                  <a14:compatExt spid="_x0000_s16802"/>
                </a:ext>
              </a:extLst>
            </xdr:cNvPr>
            <xdr:cNvSpPr/>
          </xdr:nvSpPr>
          <xdr:spPr>
            <a:xfrm>
              <a:off x="0" y="0"/>
              <a:ext cx="0" cy="0"/>
            </a:xfrm>
            <a:prstGeom prst="rect">
              <a:avLst/>
            </a:prstGeom>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13</xdr:row>
          <xdr:rowOff>228600</xdr:rowOff>
        </xdr:from>
        <xdr:to>
          <xdr:col>15</xdr:col>
          <xdr:colOff>542925</xdr:colOff>
          <xdr:row>15</xdr:row>
          <xdr:rowOff>0</xdr:rowOff>
        </xdr:to>
        <xdr:sp macro="" textlink="">
          <xdr:nvSpPr>
            <xdr:cNvPr id="17085" name="Scroll Bar 701" hidden="1">
              <a:extLst>
                <a:ext uri="{63B3BB69-23CF-44E3-9099-C40C66FF867C}">
                  <a14:compatExt spid="_x0000_s17085"/>
                </a:ext>
              </a:extLst>
            </xdr:cNvPr>
            <xdr:cNvSpPr/>
          </xdr:nvSpPr>
          <xdr:spPr>
            <a:xfrm>
              <a:off x="0" y="0"/>
              <a:ext cx="0" cy="0"/>
            </a:xfrm>
            <a:prstGeom prst="rect">
              <a:avLst/>
            </a:prstGeom>
          </xdr:spPr>
        </xdr:sp>
        <xdr:clientData fLocksWithSheet="0" fPrintsWithSheet="0"/>
      </xdr:twoCellAnchor>
    </mc:Choice>
    <mc:Fallback/>
  </mc:AlternateContent>
</xdr:wsDr>
</file>

<file path=xl/drawings/drawing6.xml><?xml version="1.0" encoding="utf-8"?>
<xdr:wsDr xmlns:xdr="http://schemas.openxmlformats.org/drawingml/2006/spreadsheetDrawing" xmlns:a="http://schemas.openxmlformats.org/drawingml/2006/main">
  <xdr:absoluteAnchor>
    <xdr:pos x="6858000" y="200025"/>
    <xdr:ext cx="2505075" cy="666751"/>
    <xdr:pic>
      <xdr:nvPicPr>
        <xdr:cNvPr id="4" name="Picture 3" descr="ISI IMAS Logo">
          <a:extLst>
            <a:ext uri="{FF2B5EF4-FFF2-40B4-BE49-F238E27FC236}">
              <a16:creationId xmlns:a16="http://schemas.microsoft.com/office/drawing/2014/main" xmlns="" id="{00000000-0008-0000-0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6858000" y="200025"/>
          <a:ext cx="2505075" cy="666751"/>
        </a:xfrm>
        <a:prstGeom prst="rect">
          <a:avLst/>
        </a:prstGeom>
        <a:noFill/>
        <a:ln w="3175">
          <a:noFill/>
          <a:miter lim="800000"/>
          <a:headEnd/>
          <a:tailEnd/>
        </a:ln>
        <a:effectLst>
          <a:outerShdw sx="1000" sy="1000" algn="ctr" rotWithShape="0">
            <a:srgbClr val="000000"/>
          </a:outerShdw>
        </a:effectLst>
      </xdr:spPr>
    </xdr:pic>
    <xdr:clientData fPrintsWithSheet="0"/>
  </xdr:absoluteAnchor>
  <xdr:twoCellAnchor>
    <xdr:from>
      <xdr:col>9</xdr:col>
      <xdr:colOff>9525</xdr:colOff>
      <xdr:row>62</xdr:row>
      <xdr:rowOff>38100</xdr:rowOff>
    </xdr:from>
    <xdr:to>
      <xdr:col>15</xdr:col>
      <xdr:colOff>57150</xdr:colOff>
      <xdr:row>76</xdr:row>
      <xdr:rowOff>0</xdr:rowOff>
    </xdr:to>
    <xdr:graphicFrame macro="">
      <xdr:nvGraphicFramePr>
        <xdr:cNvPr id="938871" name="Chart 1">
          <a:extLst>
            <a:ext uri="{FF2B5EF4-FFF2-40B4-BE49-F238E27FC236}">
              <a16:creationId xmlns:a16="http://schemas.microsoft.com/office/drawing/2014/main" xmlns="" id="{00000000-0008-0000-0700-000077530E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twoCellAnchor>
  <xdr:twoCellAnchor>
    <xdr:from>
      <xdr:col>7</xdr:col>
      <xdr:colOff>133350</xdr:colOff>
      <xdr:row>3</xdr:row>
      <xdr:rowOff>190500</xdr:rowOff>
    </xdr:from>
    <xdr:to>
      <xdr:col>14</xdr:col>
      <xdr:colOff>781050</xdr:colOff>
      <xdr:row>22</xdr:row>
      <xdr:rowOff>142875</xdr:rowOff>
    </xdr:to>
    <xdr:graphicFrame macro="">
      <xdr:nvGraphicFramePr>
        <xdr:cNvPr id="938872" name="Chart 6">
          <a:extLst>
            <a:ext uri="{FF2B5EF4-FFF2-40B4-BE49-F238E27FC236}">
              <a16:creationId xmlns:a16="http://schemas.microsoft.com/office/drawing/2014/main" xmlns="" id="{00000000-0008-0000-0700-000078530E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fLocksWithSheet="0"/>
  </xdr:twoCellAnchor>
  <xdr:twoCellAnchor>
    <xdr:from>
      <xdr:col>7</xdr:col>
      <xdr:colOff>514350</xdr:colOff>
      <xdr:row>37</xdr:row>
      <xdr:rowOff>114300</xdr:rowOff>
    </xdr:from>
    <xdr:to>
      <xdr:col>15</xdr:col>
      <xdr:colOff>95250</xdr:colOff>
      <xdr:row>54</xdr:row>
      <xdr:rowOff>76200</xdr:rowOff>
    </xdr:to>
    <xdr:graphicFrame macro="">
      <xdr:nvGraphicFramePr>
        <xdr:cNvPr id="938873" name="Chart 3">
          <a:extLst>
            <a:ext uri="{FF2B5EF4-FFF2-40B4-BE49-F238E27FC236}">
              <a16:creationId xmlns:a16="http://schemas.microsoft.com/office/drawing/2014/main" xmlns="" id="{00000000-0008-0000-0700-000079530E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fLocksWithSheet="0"/>
  </xdr:twoCellAnchor>
</xdr:wsDr>
</file>

<file path=xl/drawings/drawing7.xml><?xml version="1.0" encoding="utf-8"?>
<xdr:wsDr xmlns:xdr="http://schemas.openxmlformats.org/drawingml/2006/spreadsheetDrawing" xmlns:a="http://schemas.openxmlformats.org/drawingml/2006/main">
  <xdr:twoCellAnchor editAs="absolute">
    <xdr:from>
      <xdr:col>11</xdr:col>
      <xdr:colOff>152400</xdr:colOff>
      <xdr:row>1</xdr:row>
      <xdr:rowOff>9524</xdr:rowOff>
    </xdr:from>
    <xdr:to>
      <xdr:col>15</xdr:col>
      <xdr:colOff>0</xdr:colOff>
      <xdr:row>1</xdr:row>
      <xdr:rowOff>676275</xdr:rowOff>
    </xdr:to>
    <xdr:pic>
      <xdr:nvPicPr>
        <xdr:cNvPr id="3" name="Picture 2" descr="ISI IMAS Logo">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6858000" y="200024"/>
          <a:ext cx="2505075" cy="666751"/>
        </a:xfrm>
        <a:prstGeom prst="rect">
          <a:avLst/>
        </a:prstGeom>
        <a:noFill/>
        <a:ln w="3175">
          <a:noFill/>
          <a:miter lim="800000"/>
          <a:headEnd/>
          <a:tailEnd/>
        </a:ln>
        <a:effectLst>
          <a:outerShdw sx="1000" sy="1000" algn="ctr" rotWithShape="0">
            <a:srgbClr val="000000"/>
          </a:outerShdw>
        </a:effectLst>
      </xdr:spPr>
    </xdr:pic>
    <xdr:clientData fPrintsWithSheet="0"/>
  </xdr:twoCellAnchor>
  <xdr:twoCellAnchor>
    <xdr:from>
      <xdr:col>6</xdr:col>
      <xdr:colOff>319089</xdr:colOff>
      <xdr:row>30</xdr:row>
      <xdr:rowOff>166687</xdr:rowOff>
    </xdr:from>
    <xdr:to>
      <xdr:col>14</xdr:col>
      <xdr:colOff>819151</xdr:colOff>
      <xdr:row>50</xdr:row>
      <xdr:rowOff>80962</xdr:rowOff>
    </xdr:to>
    <xdr:graphicFrame macro="">
      <xdr:nvGraphicFramePr>
        <xdr:cNvPr id="1831155" name="Chart 4">
          <a:extLst>
            <a:ext uri="{FF2B5EF4-FFF2-40B4-BE49-F238E27FC236}">
              <a16:creationId xmlns:a16="http://schemas.microsoft.com/office/drawing/2014/main" xmlns="" id="{00000000-0008-0000-0800-0000F3F01B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381000</xdr:colOff>
      <xdr:row>5</xdr:row>
      <xdr:rowOff>57151</xdr:rowOff>
    </xdr:from>
    <xdr:to>
      <xdr:col>15</xdr:col>
      <xdr:colOff>0</xdr:colOff>
      <xdr:row>25</xdr:row>
      <xdr:rowOff>1</xdr:rowOff>
    </xdr:to>
    <xdr:graphicFrame macro="">
      <xdr:nvGraphicFramePr>
        <xdr:cNvPr id="1831157" name="Chart 3">
          <a:extLst>
            <a:ext uri="{FF2B5EF4-FFF2-40B4-BE49-F238E27FC236}">
              <a16:creationId xmlns:a16="http://schemas.microsoft.com/office/drawing/2014/main" xmlns="" id="{00000000-0008-0000-0800-0000F5F01B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editAs="absolute">
    <xdr:from>
      <xdr:col>8</xdr:col>
      <xdr:colOff>581025</xdr:colOff>
      <xdr:row>1</xdr:row>
      <xdr:rowOff>9525</xdr:rowOff>
    </xdr:from>
    <xdr:to>
      <xdr:col>14</xdr:col>
      <xdr:colOff>0</xdr:colOff>
      <xdr:row>1</xdr:row>
      <xdr:rowOff>676276</xdr:rowOff>
    </xdr:to>
    <xdr:pic>
      <xdr:nvPicPr>
        <xdr:cNvPr id="2" name="Picture 1" descr="ISI IMAS Logo">
          <a:extLst>
            <a:ext uri="{FF2B5EF4-FFF2-40B4-BE49-F238E27FC236}">
              <a16:creationId xmlns:a16="http://schemas.microsoft.com/office/drawing/2014/main" xmlns="" id="{00000000-0008-0000-09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6858000" y="200025"/>
          <a:ext cx="2505075" cy="666751"/>
        </a:xfrm>
        <a:prstGeom prst="rect">
          <a:avLst/>
        </a:prstGeom>
        <a:noFill/>
        <a:ln w="3175">
          <a:noFill/>
          <a:miter lim="800000"/>
          <a:headEnd/>
          <a:tailEnd/>
        </a:ln>
        <a:effectLst>
          <a:outerShdw sx="1000" sy="1000" algn="ctr" rotWithShape="0">
            <a:srgbClr val="000000"/>
          </a:outerShdw>
        </a:effectLst>
      </xdr:spPr>
    </xdr:pic>
    <xdr:clientData fPrintsWithSheet="0"/>
  </xdr:twoCellAnchor>
</xdr:wsDr>
</file>

<file path=xl/drawings/drawing9.xml><?xml version="1.0" encoding="utf-8"?>
<xdr:wsDr xmlns:xdr="http://schemas.openxmlformats.org/drawingml/2006/spreadsheetDrawing" xmlns:a="http://schemas.openxmlformats.org/drawingml/2006/main">
  <xdr:twoCellAnchor editAs="absolute">
    <xdr:from>
      <xdr:col>10</xdr:col>
      <xdr:colOff>0</xdr:colOff>
      <xdr:row>1</xdr:row>
      <xdr:rowOff>9525</xdr:rowOff>
    </xdr:from>
    <xdr:to>
      <xdr:col>13</xdr:col>
      <xdr:colOff>533400</xdr:colOff>
      <xdr:row>1</xdr:row>
      <xdr:rowOff>676276</xdr:rowOff>
    </xdr:to>
    <xdr:pic>
      <xdr:nvPicPr>
        <xdr:cNvPr id="2" name="Picture 1" descr="ISI IMAS Logo">
          <a:extLst>
            <a:ext uri="{FF2B5EF4-FFF2-40B4-BE49-F238E27FC236}">
              <a16:creationId xmlns:a16="http://schemas.microsoft.com/office/drawing/2014/main" xmlns="" id="{00000000-0008-0000-0A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6858000" y="200025"/>
          <a:ext cx="2505075" cy="666751"/>
        </a:xfrm>
        <a:prstGeom prst="rect">
          <a:avLst/>
        </a:prstGeom>
        <a:noFill/>
        <a:ln w="3175">
          <a:noFill/>
          <a:miter lim="800000"/>
          <a:headEnd/>
          <a:tailEnd/>
        </a:ln>
        <a:effectLst>
          <a:outerShdw sx="1000" sy="1000" algn="ctr" rotWithShape="0">
            <a:srgbClr val="000000"/>
          </a:outerShdw>
        </a:effectLst>
      </xdr:spPr>
    </xdr:pic>
    <xdr:clientData fPrintsWithSheet="0"/>
  </xdr:twoCellAnchor>
</xdr:wsDr>
</file>

<file path=xl/drawings/drawing10.xml><?xml version="1.0" encoding="utf-8"?>
<xdr:wsDr xmlns:xdr="http://schemas.openxmlformats.org/drawingml/2006/spreadsheetDrawing" xmlns:a="http://schemas.openxmlformats.org/drawingml/2006/main">
  <xdr:twoCellAnchor editAs="absolute">
    <xdr:from>
      <xdr:col>7</xdr:col>
      <xdr:colOff>542925</xdr:colOff>
      <xdr:row>1</xdr:row>
      <xdr:rowOff>9525</xdr:rowOff>
    </xdr:from>
    <xdr:to>
      <xdr:col>12</xdr:col>
      <xdr:colOff>0</xdr:colOff>
      <xdr:row>1</xdr:row>
      <xdr:rowOff>676276</xdr:rowOff>
    </xdr:to>
    <xdr:pic>
      <xdr:nvPicPr>
        <xdr:cNvPr id="2" name="Picture 1" descr="ISI IMAS Logo">
          <a:extLst>
            <a:ext uri="{FF2B5EF4-FFF2-40B4-BE49-F238E27FC236}">
              <a16:creationId xmlns:a16="http://schemas.microsoft.com/office/drawing/2014/main" xmlns="" id="{2D1A6ACE-1636-4ED4-9DCB-CA33EC29709C}"/>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5981700" y="200025"/>
          <a:ext cx="2505075" cy="666751"/>
        </a:xfrm>
        <a:prstGeom prst="rect">
          <a:avLst/>
        </a:prstGeom>
        <a:noFill/>
        <a:ln w="3175">
          <a:noFill/>
          <a:miter lim="800000"/>
          <a:headEnd/>
          <a:tailEnd/>
        </a:ln>
        <a:effectLst>
          <a:outerShdw sx="1000" sy="1000" algn="ctr" rotWithShape="0">
            <a:srgbClr val="000000"/>
          </a:outerShdw>
        </a:effectLst>
      </xdr:spPr>
    </xdr:pic>
    <xdr:clientData fPrintsWithSheet="0"/>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ata"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s>
    <sheetDataSet>
      <sheetData sheetId="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ctrlProp" Target="../ctrlProps/ctrlProp1.xml"/><Relationship Id="rId4" Type="http://schemas.openxmlformats.org/officeDocument/2006/relationships/vmlDrawing" Target="../drawings/vmlDrawing3.v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trlProp" Target="../ctrlProps/ctrlProp2.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6.xml"/><Relationship Id="rId3" Type="http://schemas.openxmlformats.org/officeDocument/2006/relationships/vmlDrawing" Target="../drawings/vmlDrawing5.vml"/><Relationship Id="rId7" Type="http://schemas.openxmlformats.org/officeDocument/2006/relationships/ctrlProp" Target="../ctrlProps/ctrlProp5.xml"/><Relationship Id="rId2" Type="http://schemas.openxmlformats.org/officeDocument/2006/relationships/drawing" Target="../drawings/drawing4.xml"/><Relationship Id="rId1" Type="http://schemas.openxmlformats.org/officeDocument/2006/relationships/printerSettings" Target="../printerSettings/printerSettings4.bin"/><Relationship Id="rId6" Type="http://schemas.openxmlformats.org/officeDocument/2006/relationships/ctrlProp" Target="../ctrlProps/ctrlProp4.xml"/><Relationship Id="rId5" Type="http://schemas.openxmlformats.org/officeDocument/2006/relationships/ctrlProp" Target="../ctrlProps/ctrlProp3.xml"/><Relationship Id="rId4" Type="http://schemas.openxmlformats.org/officeDocument/2006/relationships/vmlDrawing" Target="../drawings/vmlDrawing6.v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10.xml"/><Relationship Id="rId13" Type="http://schemas.openxmlformats.org/officeDocument/2006/relationships/ctrlProp" Target="../ctrlProps/ctrlProp15.xml"/><Relationship Id="rId3" Type="http://schemas.openxmlformats.org/officeDocument/2006/relationships/vmlDrawing" Target="../drawings/vmlDrawing7.vml"/><Relationship Id="rId7" Type="http://schemas.openxmlformats.org/officeDocument/2006/relationships/ctrlProp" Target="../ctrlProps/ctrlProp9.xml"/><Relationship Id="rId12" Type="http://schemas.openxmlformats.org/officeDocument/2006/relationships/ctrlProp" Target="../ctrlProps/ctrlProp14.xml"/><Relationship Id="rId2" Type="http://schemas.openxmlformats.org/officeDocument/2006/relationships/drawing" Target="../drawings/drawing5.xml"/><Relationship Id="rId1" Type="http://schemas.openxmlformats.org/officeDocument/2006/relationships/printerSettings" Target="../printerSettings/printerSettings5.bin"/><Relationship Id="rId6" Type="http://schemas.openxmlformats.org/officeDocument/2006/relationships/ctrlProp" Target="../ctrlProps/ctrlProp8.xml"/><Relationship Id="rId11" Type="http://schemas.openxmlformats.org/officeDocument/2006/relationships/ctrlProp" Target="../ctrlProps/ctrlProp13.xml"/><Relationship Id="rId5" Type="http://schemas.openxmlformats.org/officeDocument/2006/relationships/ctrlProp" Target="../ctrlProps/ctrlProp7.xml"/><Relationship Id="rId10" Type="http://schemas.openxmlformats.org/officeDocument/2006/relationships/ctrlProp" Target="../ctrlProps/ctrlProp12.xml"/><Relationship Id="rId4" Type="http://schemas.openxmlformats.org/officeDocument/2006/relationships/vmlDrawing" Target="../drawings/vmlDrawing8.vml"/><Relationship Id="rId9" Type="http://schemas.openxmlformats.org/officeDocument/2006/relationships/ctrlProp" Target="../ctrlProps/ctrlProp11.xml"/><Relationship Id="rId14" Type="http://schemas.openxmlformats.org/officeDocument/2006/relationships/ctrlProp" Target="../ctrlProps/ctrlProp16.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IT44"/>
  <sheetViews>
    <sheetView showGridLines="0" showRowColHeaders="0" tabSelected="1" zoomScaleNormal="100" zoomScaleSheetLayoutView="80" workbookViewId="0">
      <selection activeCell="B36" sqref="B36:O36"/>
    </sheetView>
  </sheetViews>
  <sheetFormatPr defaultRowHeight="15" x14ac:dyDescent="0.25"/>
  <cols>
    <col min="1" max="1" width="16.7109375" bestFit="1" customWidth="1"/>
    <col min="15" max="15" width="10.5703125" customWidth="1"/>
  </cols>
  <sheetData>
    <row r="1" spans="1:254" x14ac:dyDescent="0.25">
      <c r="B1" s="47" t="s">
        <v>823</v>
      </c>
    </row>
    <row r="2" spans="1:254" ht="54" customHeight="1" x14ac:dyDescent="0.25">
      <c r="A2" s="281" t="str">
        <f>"Welcome - "&amp;ModelName&amp;"
Version 2.02fii
Last Updated: 20/01/2017"</f>
        <v>Welcome - The IST IMAS First Outpatients Demand &amp; Capacity Model
Version 2.02fii
Last Updated: 20/01/2017</v>
      </c>
      <c r="B2" s="282"/>
      <c r="C2" s="282"/>
      <c r="D2" s="282"/>
      <c r="E2" s="282"/>
      <c r="F2" s="282"/>
      <c r="G2" s="282"/>
      <c r="H2" s="282"/>
      <c r="I2" s="282"/>
      <c r="J2" s="282"/>
      <c r="K2" s="282"/>
      <c r="L2" s="282"/>
      <c r="M2" s="282"/>
      <c r="N2" s="282"/>
      <c r="O2" s="283"/>
    </row>
    <row r="3" spans="1:254" s="3" customFormat="1" ht="23.25" customHeight="1" x14ac:dyDescent="0.25">
      <c r="A3" s="287" t="s">
        <v>10</v>
      </c>
      <c r="B3" s="288"/>
      <c r="C3" s="288"/>
      <c r="D3" s="288"/>
      <c r="E3" s="288"/>
      <c r="F3" s="288"/>
      <c r="G3" s="288"/>
      <c r="H3" s="288"/>
      <c r="I3" s="288"/>
      <c r="J3" s="288"/>
      <c r="K3" s="288"/>
      <c r="L3" s="288"/>
      <c r="M3" s="288"/>
      <c r="N3" s="288"/>
      <c r="O3" s="289"/>
    </row>
    <row r="4" spans="1:254" x14ac:dyDescent="0.25">
      <c r="A4" s="284" t="s">
        <v>61</v>
      </c>
      <c r="B4" s="285"/>
      <c r="C4" s="285"/>
      <c r="D4" s="285"/>
      <c r="E4" s="285"/>
      <c r="F4" s="285"/>
      <c r="G4" s="285"/>
      <c r="H4" s="285"/>
      <c r="I4" s="285"/>
      <c r="J4" s="285"/>
      <c r="K4" s="285"/>
      <c r="L4" s="285"/>
      <c r="M4" s="285"/>
      <c r="N4" s="285"/>
      <c r="O4" s="286"/>
    </row>
    <row r="5" spans="1:254" ht="15" customHeight="1" x14ac:dyDescent="0.25">
      <c r="A5" s="284" t="s">
        <v>298</v>
      </c>
      <c r="B5" s="285"/>
      <c r="C5" s="285"/>
      <c r="D5" s="285"/>
      <c r="E5" s="285"/>
      <c r="F5" s="285"/>
      <c r="G5" s="285"/>
      <c r="H5" s="285"/>
      <c r="I5" s="285"/>
      <c r="J5" s="285"/>
      <c r="K5" s="285"/>
      <c r="L5" s="285"/>
      <c r="M5" s="285"/>
      <c r="N5" s="285"/>
      <c r="O5" s="286"/>
    </row>
    <row r="6" spans="1:254" s="87" customFormat="1" ht="15" customHeight="1" x14ac:dyDescent="0.25">
      <c r="A6" s="278" t="s">
        <v>815</v>
      </c>
      <c r="B6" s="279"/>
      <c r="C6" s="279"/>
      <c r="D6" s="279"/>
      <c r="E6" s="279"/>
      <c r="F6" s="279"/>
      <c r="G6" s="279"/>
      <c r="H6" s="279"/>
      <c r="I6" s="279"/>
      <c r="J6" s="279"/>
      <c r="K6" s="279"/>
      <c r="L6" s="279"/>
      <c r="M6" s="279"/>
      <c r="N6" s="279"/>
      <c r="O6" s="280"/>
    </row>
    <row r="7" spans="1:254" ht="15" customHeight="1" x14ac:dyDescent="0.25">
      <c r="A7" s="267"/>
      <c r="B7" s="268"/>
      <c r="C7" s="268"/>
      <c r="D7" s="268"/>
      <c r="E7" s="268"/>
      <c r="F7" s="268"/>
      <c r="G7" s="268"/>
      <c r="H7" s="268"/>
      <c r="I7" s="268"/>
      <c r="J7" s="268"/>
      <c r="K7" s="268"/>
      <c r="L7" s="268"/>
      <c r="M7" s="268"/>
      <c r="N7" s="268"/>
      <c r="O7" s="269"/>
    </row>
    <row r="8" spans="1:254" s="3" customFormat="1" ht="23.25" customHeight="1" x14ac:dyDescent="0.25">
      <c r="A8" s="287" t="s">
        <v>11</v>
      </c>
      <c r="B8" s="288"/>
      <c r="C8" s="288"/>
      <c r="D8" s="288"/>
      <c r="E8" s="288"/>
      <c r="F8" s="288"/>
      <c r="G8" s="288"/>
      <c r="H8" s="288"/>
      <c r="I8" s="288"/>
      <c r="J8" s="288"/>
      <c r="K8" s="288"/>
      <c r="L8" s="288"/>
      <c r="M8" s="288"/>
      <c r="N8" s="288"/>
      <c r="O8" s="289"/>
    </row>
    <row r="9" spans="1:254" ht="15" customHeight="1" x14ac:dyDescent="0.25">
      <c r="A9" s="284" t="s">
        <v>320</v>
      </c>
      <c r="B9" s="285"/>
      <c r="C9" s="285"/>
      <c r="D9" s="285"/>
      <c r="E9" s="285"/>
      <c r="F9" s="285"/>
      <c r="G9" s="285"/>
      <c r="H9" s="285"/>
      <c r="I9" s="285"/>
      <c r="J9" s="285"/>
      <c r="K9" s="285"/>
      <c r="L9" s="285"/>
      <c r="M9" s="285"/>
      <c r="N9" s="285"/>
      <c r="O9" s="286"/>
      <c r="P9" s="275"/>
      <c r="Q9" s="275"/>
      <c r="R9" s="275"/>
      <c r="S9" s="275"/>
      <c r="T9" s="275"/>
      <c r="U9" s="275"/>
      <c r="V9" s="275"/>
      <c r="W9" s="275"/>
      <c r="X9" s="275"/>
      <c r="Y9" s="275"/>
      <c r="Z9" s="275"/>
      <c r="AA9" s="275"/>
      <c r="AB9" s="276"/>
      <c r="AC9" s="277"/>
      <c r="AD9" s="275"/>
      <c r="AE9" s="275"/>
      <c r="AF9" s="275"/>
      <c r="AG9" s="275"/>
      <c r="AH9" s="275"/>
      <c r="AI9" s="275"/>
      <c r="AJ9" s="275"/>
      <c r="AK9" s="275"/>
      <c r="AL9" s="275"/>
      <c r="AM9" s="275"/>
      <c r="AN9" s="275"/>
      <c r="AO9" s="275"/>
      <c r="AP9" s="275"/>
      <c r="AQ9" s="276"/>
      <c r="AR9" s="277"/>
      <c r="AS9" s="275"/>
      <c r="AT9" s="275"/>
      <c r="AU9" s="275"/>
      <c r="AV9" s="275"/>
      <c r="AW9" s="275"/>
      <c r="AX9" s="275"/>
      <c r="AY9" s="275"/>
      <c r="AZ9" s="275"/>
      <c r="BA9" s="275"/>
      <c r="BB9" s="275"/>
      <c r="BC9" s="275"/>
      <c r="BD9" s="275"/>
      <c r="BE9" s="275"/>
      <c r="BF9" s="276"/>
      <c r="BG9" s="277"/>
      <c r="BH9" s="275"/>
      <c r="BI9" s="275"/>
      <c r="BJ9" s="275"/>
      <c r="BK9" s="275"/>
      <c r="BL9" s="275"/>
      <c r="BM9" s="275"/>
      <c r="BN9" s="275"/>
      <c r="BO9" s="275"/>
      <c r="BP9" s="275"/>
      <c r="BQ9" s="275"/>
      <c r="BR9" s="275"/>
      <c r="BS9" s="275"/>
      <c r="BT9" s="275"/>
      <c r="BU9" s="276"/>
      <c r="BV9" s="277"/>
      <c r="BW9" s="275"/>
      <c r="BX9" s="275"/>
      <c r="BY9" s="275"/>
      <c r="BZ9" s="275"/>
      <c r="CA9" s="275"/>
      <c r="CB9" s="275"/>
      <c r="CC9" s="275"/>
      <c r="CD9" s="275"/>
      <c r="CE9" s="275"/>
      <c r="CF9" s="275"/>
      <c r="CG9" s="275"/>
      <c r="CH9" s="275"/>
      <c r="CI9" s="275"/>
      <c r="CJ9" s="276"/>
      <c r="CK9" s="277"/>
      <c r="CL9" s="275"/>
      <c r="CM9" s="275"/>
      <c r="CN9" s="275"/>
      <c r="CO9" s="275"/>
      <c r="CP9" s="275"/>
      <c r="CQ9" s="275"/>
      <c r="CR9" s="275"/>
      <c r="CS9" s="275"/>
      <c r="CT9" s="275"/>
      <c r="CU9" s="275"/>
      <c r="CV9" s="275"/>
      <c r="CW9" s="275"/>
      <c r="CX9" s="275"/>
      <c r="CY9" s="276"/>
      <c r="CZ9" s="277"/>
      <c r="DA9" s="275"/>
      <c r="DB9" s="275"/>
      <c r="DC9" s="275"/>
      <c r="DD9" s="275"/>
      <c r="DE9" s="275"/>
      <c r="DF9" s="275"/>
      <c r="DG9" s="275"/>
      <c r="DH9" s="275"/>
      <c r="DI9" s="275"/>
      <c r="DJ9" s="275"/>
      <c r="DK9" s="275"/>
      <c r="DL9" s="275"/>
      <c r="DM9" s="275"/>
      <c r="DN9" s="276"/>
      <c r="DO9" s="277"/>
      <c r="DP9" s="275"/>
      <c r="DQ9" s="275"/>
      <c r="DR9" s="275"/>
      <c r="DS9" s="275"/>
      <c r="DT9" s="275"/>
      <c r="DU9" s="275"/>
      <c r="DV9" s="275"/>
      <c r="DW9" s="275"/>
      <c r="DX9" s="275"/>
      <c r="DY9" s="275"/>
      <c r="DZ9" s="275"/>
      <c r="EA9" s="275"/>
      <c r="EB9" s="275"/>
      <c r="EC9" s="276"/>
      <c r="ED9" s="277"/>
      <c r="EE9" s="275"/>
      <c r="EF9" s="275"/>
      <c r="EG9" s="275"/>
      <c r="EH9" s="275"/>
      <c r="EI9" s="275"/>
      <c r="EJ9" s="275"/>
      <c r="EK9" s="275"/>
      <c r="EL9" s="275"/>
      <c r="EM9" s="275"/>
      <c r="EN9" s="275"/>
      <c r="EO9" s="275"/>
      <c r="EP9" s="275"/>
      <c r="EQ9" s="275"/>
      <c r="ER9" s="276"/>
      <c r="ES9" s="277"/>
      <c r="ET9" s="275"/>
      <c r="EU9" s="275"/>
      <c r="EV9" s="275"/>
      <c r="EW9" s="275"/>
      <c r="EX9" s="275"/>
      <c r="EY9" s="275"/>
      <c r="EZ9" s="275"/>
      <c r="FA9" s="275"/>
      <c r="FB9" s="275"/>
      <c r="FC9" s="275"/>
      <c r="FD9" s="275"/>
      <c r="FE9" s="275"/>
      <c r="FF9" s="275"/>
      <c r="FG9" s="276"/>
      <c r="FH9" s="277"/>
      <c r="FI9" s="275"/>
      <c r="FJ9" s="275"/>
      <c r="FK9" s="275"/>
      <c r="FL9" s="275"/>
      <c r="FM9" s="275"/>
      <c r="FN9" s="275"/>
      <c r="FO9" s="275"/>
      <c r="FP9" s="275"/>
      <c r="FQ9" s="275"/>
      <c r="FR9" s="275"/>
      <c r="FS9" s="275"/>
      <c r="FT9" s="275"/>
      <c r="FU9" s="275"/>
      <c r="FV9" s="276"/>
      <c r="FW9" s="277"/>
      <c r="FX9" s="275"/>
      <c r="FY9" s="275"/>
      <c r="FZ9" s="275"/>
      <c r="GA9" s="275"/>
      <c r="GB9" s="275"/>
      <c r="GC9" s="275"/>
      <c r="GD9" s="275"/>
      <c r="GE9" s="275"/>
      <c r="GF9" s="275"/>
      <c r="GG9" s="275"/>
      <c r="GH9" s="275"/>
      <c r="GI9" s="275"/>
      <c r="GJ9" s="275"/>
      <c r="GK9" s="276"/>
      <c r="GL9" s="277"/>
      <c r="GM9" s="275"/>
      <c r="GN9" s="275"/>
      <c r="GO9" s="275"/>
      <c r="GP9" s="275"/>
      <c r="GQ9" s="275"/>
      <c r="GR9" s="275"/>
      <c r="GS9" s="275"/>
      <c r="GT9" s="275"/>
      <c r="GU9" s="275"/>
      <c r="GV9" s="275"/>
      <c r="GW9" s="275"/>
      <c r="GX9" s="275"/>
      <c r="GY9" s="275"/>
      <c r="GZ9" s="276"/>
      <c r="HA9" s="277"/>
      <c r="HB9" s="275"/>
      <c r="HC9" s="275"/>
      <c r="HD9" s="275"/>
      <c r="HE9" s="275"/>
      <c r="HF9" s="275"/>
      <c r="HG9" s="275"/>
      <c r="HH9" s="275"/>
      <c r="HI9" s="275"/>
      <c r="HJ9" s="275"/>
      <c r="HK9" s="275"/>
      <c r="HL9" s="275"/>
      <c r="HM9" s="275"/>
      <c r="HN9" s="275"/>
      <c r="HO9" s="276"/>
      <c r="HP9" s="277"/>
      <c r="HQ9" s="275"/>
      <c r="HR9" s="275"/>
      <c r="HS9" s="275"/>
      <c r="HT9" s="275"/>
      <c r="HU9" s="275"/>
      <c r="HV9" s="275"/>
      <c r="HW9" s="275"/>
      <c r="HX9" s="275"/>
      <c r="HY9" s="275"/>
      <c r="HZ9" s="275"/>
      <c r="IA9" s="275"/>
      <c r="IB9" s="275"/>
      <c r="IC9" s="275"/>
      <c r="ID9" s="276"/>
      <c r="IE9" s="277"/>
      <c r="IF9" s="275"/>
      <c r="IG9" s="275"/>
      <c r="IH9" s="275"/>
      <c r="II9" s="275"/>
      <c r="IJ9" s="275"/>
      <c r="IK9" s="275"/>
      <c r="IL9" s="275"/>
      <c r="IM9" s="275"/>
      <c r="IN9" s="275"/>
      <c r="IO9" s="275"/>
      <c r="IP9" s="275"/>
      <c r="IQ9" s="275"/>
      <c r="IR9" s="275"/>
      <c r="IS9" s="276"/>
      <c r="IT9" s="5"/>
    </row>
    <row r="10" spans="1:254" ht="15" customHeight="1" x14ac:dyDescent="0.25">
      <c r="A10" s="284" t="s">
        <v>62</v>
      </c>
      <c r="B10" s="285"/>
      <c r="C10" s="285"/>
      <c r="D10" s="285"/>
      <c r="E10" s="285"/>
      <c r="F10" s="285"/>
      <c r="G10" s="285"/>
      <c r="H10" s="285"/>
      <c r="I10" s="285"/>
      <c r="J10" s="285"/>
      <c r="K10" s="285"/>
      <c r="L10" s="285"/>
      <c r="M10" s="285"/>
      <c r="N10" s="285"/>
      <c r="O10" s="286"/>
      <c r="P10" s="20"/>
      <c r="Q10" s="20"/>
      <c r="R10" s="20"/>
      <c r="S10" s="20"/>
      <c r="T10" s="20"/>
      <c r="U10" s="20"/>
      <c r="V10" s="20"/>
      <c r="W10" s="20"/>
      <c r="X10" s="20"/>
      <c r="Y10" s="20"/>
      <c r="Z10" s="20"/>
      <c r="AA10" s="20"/>
      <c r="AB10" s="20"/>
      <c r="AC10" s="20"/>
      <c r="AD10" s="20"/>
      <c r="AE10" s="20"/>
      <c r="AF10" s="20"/>
      <c r="AG10" s="20"/>
      <c r="AH10" s="20"/>
      <c r="AI10" s="20"/>
      <c r="AJ10" s="20"/>
      <c r="AK10" s="20"/>
      <c r="AL10" s="20"/>
      <c r="AM10" s="20"/>
      <c r="AN10" s="20"/>
      <c r="AO10" s="20"/>
      <c r="AP10" s="20"/>
      <c r="AQ10" s="20"/>
      <c r="AR10" s="20"/>
      <c r="AS10" s="20"/>
      <c r="AT10" s="20"/>
      <c r="AU10" s="20"/>
      <c r="AV10" s="20"/>
      <c r="AW10" s="20"/>
      <c r="AX10" s="20"/>
      <c r="AY10" s="20"/>
      <c r="AZ10" s="20"/>
      <c r="BA10" s="20"/>
      <c r="BB10" s="20"/>
      <c r="BC10" s="20"/>
      <c r="BD10" s="20"/>
      <c r="BE10" s="20"/>
      <c r="BF10" s="20"/>
      <c r="BG10" s="20"/>
      <c r="BH10" s="20"/>
      <c r="BI10" s="20"/>
      <c r="BJ10" s="20"/>
      <c r="BK10" s="20"/>
      <c r="BL10" s="20"/>
      <c r="BM10" s="20"/>
      <c r="BN10" s="20"/>
      <c r="BO10" s="20"/>
      <c r="BP10" s="20"/>
      <c r="BQ10" s="20"/>
      <c r="BR10" s="20"/>
      <c r="BS10" s="20"/>
      <c r="BT10" s="20"/>
      <c r="BU10" s="20"/>
      <c r="BV10" s="20"/>
      <c r="BW10" s="20"/>
      <c r="BX10" s="20"/>
      <c r="BY10" s="20"/>
      <c r="BZ10" s="20"/>
      <c r="CA10" s="20"/>
      <c r="CB10" s="20"/>
      <c r="CC10" s="20"/>
      <c r="CD10" s="20"/>
      <c r="CE10" s="20"/>
      <c r="CF10" s="20"/>
      <c r="CG10" s="20"/>
      <c r="CH10" s="20"/>
      <c r="CI10" s="20"/>
      <c r="CJ10" s="20"/>
      <c r="CK10" s="20"/>
      <c r="CL10" s="20"/>
      <c r="CM10" s="20"/>
      <c r="CN10" s="20"/>
      <c r="CO10" s="20"/>
      <c r="CP10" s="20"/>
      <c r="CQ10" s="20"/>
      <c r="CR10" s="20"/>
      <c r="CS10" s="20"/>
      <c r="CT10" s="20"/>
      <c r="CU10" s="20"/>
      <c r="CV10" s="20"/>
      <c r="CW10" s="20"/>
      <c r="CX10" s="20"/>
      <c r="CY10" s="20"/>
      <c r="CZ10" s="20"/>
      <c r="DA10" s="20"/>
      <c r="DB10" s="20"/>
      <c r="DC10" s="20"/>
      <c r="DD10" s="20"/>
      <c r="DE10" s="20"/>
      <c r="DF10" s="20"/>
      <c r="DG10" s="20"/>
      <c r="DH10" s="20"/>
      <c r="DI10" s="20"/>
      <c r="DJ10" s="20"/>
      <c r="DK10" s="20"/>
      <c r="DL10" s="20"/>
      <c r="DM10" s="20"/>
      <c r="DN10" s="20"/>
      <c r="DO10" s="20"/>
      <c r="DP10" s="20"/>
      <c r="DQ10" s="20"/>
      <c r="DR10" s="20"/>
      <c r="DS10" s="20"/>
      <c r="DT10" s="20"/>
      <c r="DU10" s="20"/>
      <c r="DV10" s="20"/>
      <c r="DW10" s="20"/>
      <c r="DX10" s="20"/>
      <c r="DY10" s="20"/>
      <c r="DZ10" s="20"/>
      <c r="EA10" s="20"/>
      <c r="EB10" s="20"/>
      <c r="EC10" s="20"/>
      <c r="ED10" s="20"/>
      <c r="EE10" s="20"/>
      <c r="EF10" s="20"/>
      <c r="EG10" s="20"/>
      <c r="EH10" s="20"/>
      <c r="EI10" s="20"/>
      <c r="EJ10" s="20"/>
      <c r="EK10" s="20"/>
      <c r="EL10" s="20"/>
      <c r="EM10" s="20"/>
      <c r="EN10" s="20"/>
      <c r="EO10" s="20"/>
      <c r="EP10" s="20"/>
      <c r="EQ10" s="20"/>
      <c r="ER10" s="20"/>
      <c r="ES10" s="20"/>
      <c r="ET10" s="20"/>
      <c r="EU10" s="20"/>
      <c r="EV10" s="20"/>
      <c r="EW10" s="20"/>
      <c r="EX10" s="20"/>
      <c r="EY10" s="20"/>
      <c r="EZ10" s="20"/>
      <c r="FA10" s="20"/>
      <c r="FB10" s="20"/>
      <c r="FC10" s="20"/>
      <c r="FD10" s="20"/>
      <c r="FE10" s="20"/>
      <c r="FF10" s="20"/>
      <c r="FG10" s="20"/>
      <c r="FH10" s="20"/>
      <c r="FI10" s="20"/>
      <c r="FJ10" s="20"/>
      <c r="FK10" s="20"/>
      <c r="FL10" s="20"/>
      <c r="FM10" s="20"/>
      <c r="FN10" s="20"/>
      <c r="FO10" s="20"/>
      <c r="FP10" s="20"/>
      <c r="FQ10" s="20"/>
      <c r="FR10" s="20"/>
      <c r="FS10" s="20"/>
      <c r="FT10" s="20"/>
      <c r="FU10" s="20"/>
      <c r="FV10" s="20"/>
      <c r="FW10" s="20"/>
      <c r="FX10" s="20"/>
      <c r="FY10" s="20"/>
      <c r="FZ10" s="20"/>
      <c r="GA10" s="20"/>
      <c r="GB10" s="20"/>
      <c r="GC10" s="20"/>
      <c r="GD10" s="20"/>
      <c r="GE10" s="20"/>
      <c r="GF10" s="20"/>
      <c r="GG10" s="20"/>
      <c r="GH10" s="20"/>
      <c r="GI10" s="20"/>
      <c r="GJ10" s="20"/>
      <c r="GK10" s="20"/>
      <c r="GL10" s="20"/>
      <c r="GM10" s="20"/>
      <c r="GN10" s="20"/>
      <c r="GO10" s="20"/>
      <c r="GP10" s="20"/>
      <c r="GQ10" s="20"/>
      <c r="GR10" s="20"/>
      <c r="GS10" s="20"/>
      <c r="GT10" s="20"/>
      <c r="GU10" s="20"/>
      <c r="GV10" s="20"/>
      <c r="GW10" s="20"/>
      <c r="GX10" s="20"/>
      <c r="GY10" s="20"/>
      <c r="GZ10" s="20"/>
      <c r="HA10" s="20"/>
      <c r="HB10" s="20"/>
      <c r="HC10" s="20"/>
      <c r="HD10" s="20"/>
      <c r="HE10" s="20"/>
      <c r="HF10" s="20"/>
      <c r="HG10" s="20"/>
      <c r="HH10" s="20"/>
      <c r="HI10" s="20"/>
      <c r="HJ10" s="20"/>
      <c r="HK10" s="20"/>
      <c r="HL10" s="20"/>
      <c r="HM10" s="20"/>
      <c r="HN10" s="20"/>
      <c r="HO10" s="20"/>
      <c r="HP10" s="20"/>
      <c r="HQ10" s="20"/>
      <c r="HR10" s="20"/>
      <c r="HS10" s="20"/>
      <c r="HT10" s="20"/>
      <c r="HU10" s="20"/>
      <c r="HV10" s="20"/>
      <c r="HW10" s="20"/>
      <c r="HX10" s="20"/>
      <c r="HY10" s="20"/>
      <c r="HZ10" s="20"/>
      <c r="IA10" s="20"/>
      <c r="IB10" s="20"/>
      <c r="IC10" s="20"/>
      <c r="ID10" s="20"/>
      <c r="IE10" s="20"/>
      <c r="IF10" s="20"/>
      <c r="IG10" s="20"/>
      <c r="IH10" s="20"/>
      <c r="II10" s="20"/>
      <c r="IJ10" s="20"/>
      <c r="IK10" s="20"/>
      <c r="IL10" s="20"/>
      <c r="IM10" s="20"/>
      <c r="IN10" s="20"/>
      <c r="IO10" s="20"/>
      <c r="IP10" s="20"/>
      <c r="IQ10" s="20"/>
      <c r="IR10" s="20"/>
      <c r="IS10" s="20"/>
      <c r="IT10" s="20"/>
    </row>
    <row r="11" spans="1:254" ht="15" customHeight="1" x14ac:dyDescent="0.25">
      <c r="A11" s="267"/>
      <c r="B11" s="270"/>
      <c r="C11" s="270"/>
      <c r="D11" s="270"/>
      <c r="E11" s="270"/>
      <c r="F11" s="270"/>
      <c r="G11" s="270"/>
      <c r="H11" s="270"/>
      <c r="I11" s="270"/>
      <c r="J11" s="270"/>
      <c r="K11" s="270"/>
      <c r="L11" s="270"/>
      <c r="M11" s="270"/>
      <c r="N11" s="270"/>
      <c r="O11" s="271"/>
    </row>
    <row r="12" spans="1:254" s="3" customFormat="1" ht="23.25" customHeight="1" x14ac:dyDescent="0.25">
      <c r="A12" s="287" t="s">
        <v>12</v>
      </c>
      <c r="B12" s="288"/>
      <c r="C12" s="288"/>
      <c r="D12" s="288"/>
      <c r="E12" s="288"/>
      <c r="F12" s="288"/>
      <c r="G12" s="288"/>
      <c r="H12" s="288"/>
      <c r="I12" s="288"/>
      <c r="J12" s="288"/>
      <c r="K12" s="288"/>
      <c r="L12" s="288"/>
      <c r="M12" s="288"/>
      <c r="N12" s="288"/>
      <c r="O12" s="289"/>
    </row>
    <row r="13" spans="1:254" ht="15" customHeight="1" x14ac:dyDescent="0.25">
      <c r="A13" s="284" t="s">
        <v>13</v>
      </c>
      <c r="B13" s="285"/>
      <c r="C13" s="285"/>
      <c r="D13" s="285"/>
      <c r="E13" s="285"/>
      <c r="F13" s="285"/>
      <c r="G13" s="285"/>
      <c r="H13" s="285"/>
      <c r="I13" s="285"/>
      <c r="J13" s="285"/>
      <c r="K13" s="285"/>
      <c r="L13" s="285"/>
      <c r="M13" s="285"/>
      <c r="N13" s="285"/>
      <c r="O13" s="286"/>
      <c r="P13" s="275"/>
      <c r="Q13" s="275"/>
      <c r="R13" s="275"/>
      <c r="S13" s="275"/>
      <c r="T13" s="275"/>
      <c r="U13" s="275"/>
      <c r="V13" s="275"/>
      <c r="W13" s="275"/>
      <c r="X13" s="275"/>
      <c r="Y13" s="275"/>
      <c r="Z13" s="275"/>
      <c r="AA13" s="275"/>
      <c r="AB13" s="276"/>
      <c r="AC13" s="277"/>
      <c r="AD13" s="275"/>
      <c r="AE13" s="275"/>
      <c r="AF13" s="275"/>
      <c r="AG13" s="275"/>
      <c r="AH13" s="275"/>
      <c r="AI13" s="275"/>
      <c r="AJ13" s="275"/>
      <c r="AK13" s="275"/>
      <c r="AL13" s="275"/>
      <c r="AM13" s="275"/>
      <c r="AN13" s="275"/>
      <c r="AO13" s="275"/>
      <c r="AP13" s="275"/>
      <c r="AQ13" s="276"/>
      <c r="AR13" s="277"/>
      <c r="AS13" s="275"/>
      <c r="AT13" s="275"/>
      <c r="AU13" s="275"/>
      <c r="AV13" s="275"/>
      <c r="AW13" s="275"/>
      <c r="AX13" s="275"/>
      <c r="AY13" s="275"/>
      <c r="AZ13" s="275"/>
      <c r="BA13" s="275"/>
      <c r="BB13" s="275"/>
      <c r="BC13" s="275"/>
      <c r="BD13" s="275"/>
      <c r="BE13" s="275"/>
      <c r="BF13" s="276"/>
      <c r="BG13" s="277"/>
      <c r="BH13" s="275"/>
      <c r="BI13" s="275"/>
      <c r="BJ13" s="275"/>
      <c r="BK13" s="275"/>
      <c r="BL13" s="275"/>
      <c r="BM13" s="275"/>
      <c r="BN13" s="275"/>
      <c r="BO13" s="275"/>
      <c r="BP13" s="275"/>
      <c r="BQ13" s="275"/>
      <c r="BR13" s="275"/>
      <c r="BS13" s="275"/>
      <c r="BT13" s="275"/>
      <c r="BU13" s="276"/>
      <c r="BV13" s="277"/>
      <c r="BW13" s="275"/>
      <c r="BX13" s="275"/>
      <c r="BY13" s="275"/>
      <c r="BZ13" s="275"/>
      <c r="CA13" s="275"/>
      <c r="CB13" s="275"/>
      <c r="CC13" s="275"/>
      <c r="CD13" s="275"/>
      <c r="CE13" s="275"/>
      <c r="CF13" s="275"/>
      <c r="CG13" s="275"/>
      <c r="CH13" s="275"/>
      <c r="CI13" s="275"/>
      <c r="CJ13" s="276"/>
      <c r="CK13" s="277"/>
      <c r="CL13" s="275"/>
      <c r="CM13" s="275"/>
      <c r="CN13" s="275"/>
      <c r="CO13" s="275"/>
      <c r="CP13" s="275"/>
      <c r="CQ13" s="275"/>
      <c r="CR13" s="275"/>
      <c r="CS13" s="275"/>
      <c r="CT13" s="275"/>
      <c r="CU13" s="275"/>
      <c r="CV13" s="275"/>
      <c r="CW13" s="275"/>
      <c r="CX13" s="275"/>
      <c r="CY13" s="276"/>
      <c r="CZ13" s="277"/>
      <c r="DA13" s="275"/>
      <c r="DB13" s="275"/>
      <c r="DC13" s="275"/>
      <c r="DD13" s="275"/>
      <c r="DE13" s="275"/>
      <c r="DF13" s="275"/>
      <c r="DG13" s="275"/>
      <c r="DH13" s="275"/>
      <c r="DI13" s="275"/>
      <c r="DJ13" s="275"/>
      <c r="DK13" s="275"/>
      <c r="DL13" s="275"/>
      <c r="DM13" s="275"/>
      <c r="DN13" s="276"/>
      <c r="DO13" s="277"/>
      <c r="DP13" s="275"/>
      <c r="DQ13" s="275"/>
      <c r="DR13" s="275"/>
      <c r="DS13" s="275"/>
      <c r="DT13" s="275"/>
      <c r="DU13" s="275"/>
      <c r="DV13" s="275"/>
      <c r="DW13" s="275"/>
      <c r="DX13" s="275"/>
      <c r="DY13" s="275"/>
      <c r="DZ13" s="275"/>
      <c r="EA13" s="275"/>
      <c r="EB13" s="275"/>
      <c r="EC13" s="276"/>
      <c r="ED13" s="277"/>
      <c r="EE13" s="275"/>
      <c r="EF13" s="275"/>
      <c r="EG13" s="275"/>
      <c r="EH13" s="275"/>
      <c r="EI13" s="275"/>
      <c r="EJ13" s="275"/>
      <c r="EK13" s="275"/>
      <c r="EL13" s="275"/>
      <c r="EM13" s="275"/>
      <c r="EN13" s="275"/>
      <c r="EO13" s="275"/>
      <c r="EP13" s="275"/>
      <c r="EQ13" s="275"/>
      <c r="ER13" s="276"/>
      <c r="ES13" s="277"/>
      <c r="ET13" s="275"/>
      <c r="EU13" s="275"/>
      <c r="EV13" s="275"/>
      <c r="EW13" s="275"/>
      <c r="EX13" s="275"/>
      <c r="EY13" s="275"/>
      <c r="EZ13" s="275"/>
      <c r="FA13" s="275"/>
      <c r="FB13" s="275"/>
      <c r="FC13" s="275"/>
      <c r="FD13" s="275"/>
      <c r="FE13" s="275"/>
      <c r="FF13" s="275"/>
      <c r="FG13" s="276"/>
      <c r="FH13" s="277"/>
      <c r="FI13" s="275"/>
      <c r="FJ13" s="275"/>
      <c r="FK13" s="275"/>
      <c r="FL13" s="275"/>
      <c r="FM13" s="275"/>
      <c r="FN13" s="275"/>
      <c r="FO13" s="275"/>
      <c r="FP13" s="275"/>
      <c r="FQ13" s="275"/>
      <c r="FR13" s="275"/>
      <c r="FS13" s="275"/>
      <c r="FT13" s="275"/>
      <c r="FU13" s="275"/>
      <c r="FV13" s="276"/>
      <c r="FW13" s="277"/>
      <c r="FX13" s="275"/>
      <c r="FY13" s="275"/>
      <c r="FZ13" s="275"/>
      <c r="GA13" s="275"/>
      <c r="GB13" s="275"/>
      <c r="GC13" s="275"/>
      <c r="GD13" s="275"/>
      <c r="GE13" s="275"/>
      <c r="GF13" s="275"/>
      <c r="GG13" s="275"/>
      <c r="GH13" s="275"/>
      <c r="GI13" s="275"/>
      <c r="GJ13" s="275"/>
      <c r="GK13" s="276"/>
      <c r="GL13" s="277"/>
      <c r="GM13" s="275"/>
      <c r="GN13" s="275"/>
      <c r="GO13" s="275"/>
      <c r="GP13" s="275"/>
      <c r="GQ13" s="275"/>
      <c r="GR13" s="275"/>
      <c r="GS13" s="275"/>
      <c r="GT13" s="275"/>
      <c r="GU13" s="275"/>
      <c r="GV13" s="275"/>
      <c r="GW13" s="275"/>
      <c r="GX13" s="275"/>
      <c r="GY13" s="275"/>
      <c r="GZ13" s="276"/>
      <c r="HA13" s="277"/>
      <c r="HB13" s="275"/>
      <c r="HC13" s="275"/>
      <c r="HD13" s="275"/>
      <c r="HE13" s="275"/>
      <c r="HF13" s="275"/>
      <c r="HG13" s="275"/>
      <c r="HH13" s="275"/>
      <c r="HI13" s="275"/>
      <c r="HJ13" s="275"/>
      <c r="HK13" s="275"/>
      <c r="HL13" s="275"/>
      <c r="HM13" s="275"/>
      <c r="HN13" s="275"/>
      <c r="HO13" s="276"/>
      <c r="HP13" s="277"/>
      <c r="HQ13" s="275"/>
      <c r="HR13" s="275"/>
      <c r="HS13" s="275"/>
      <c r="HT13" s="275"/>
      <c r="HU13" s="275"/>
      <c r="HV13" s="275"/>
      <c r="HW13" s="275"/>
      <c r="HX13" s="275"/>
      <c r="HY13" s="275"/>
      <c r="HZ13" s="275"/>
      <c r="IA13" s="275"/>
      <c r="IB13" s="275"/>
      <c r="IC13" s="275"/>
      <c r="ID13" s="276"/>
      <c r="IE13" s="277"/>
      <c r="IF13" s="275"/>
      <c r="IG13" s="275"/>
      <c r="IH13" s="275"/>
      <c r="II13" s="275"/>
      <c r="IJ13" s="275"/>
      <c r="IK13" s="275"/>
      <c r="IL13" s="275"/>
      <c r="IM13" s="275"/>
      <c r="IN13" s="275"/>
      <c r="IO13" s="275"/>
      <c r="IP13" s="275"/>
      <c r="IQ13" s="275"/>
      <c r="IR13" s="275"/>
      <c r="IS13" s="276"/>
      <c r="IT13" s="5"/>
    </row>
    <row r="14" spans="1:254" s="3" customFormat="1" x14ac:dyDescent="0.25">
      <c r="A14" s="267"/>
      <c r="B14" s="292" t="s">
        <v>318</v>
      </c>
      <c r="C14" s="293"/>
      <c r="D14" s="293"/>
      <c r="E14" s="293"/>
      <c r="F14" s="293"/>
      <c r="G14" s="293"/>
      <c r="H14" s="293"/>
      <c r="I14" s="293"/>
      <c r="J14" s="293"/>
      <c r="K14" s="293"/>
      <c r="L14" s="293"/>
      <c r="M14" s="293"/>
      <c r="N14" s="293"/>
      <c r="O14" s="294"/>
    </row>
    <row r="15" spans="1:254" s="3" customFormat="1" x14ac:dyDescent="0.25">
      <c r="A15" s="267"/>
      <c r="B15" s="292" t="s">
        <v>321</v>
      </c>
      <c r="C15" s="292"/>
      <c r="D15" s="292"/>
      <c r="E15" s="292"/>
      <c r="F15" s="292"/>
      <c r="G15" s="292"/>
      <c r="H15" s="292"/>
      <c r="I15" s="292"/>
      <c r="J15" s="292"/>
      <c r="K15" s="292"/>
      <c r="L15" s="292"/>
      <c r="M15" s="292"/>
      <c r="N15" s="292"/>
      <c r="O15" s="295"/>
    </row>
    <row r="16" spans="1:254" s="3" customFormat="1" x14ac:dyDescent="0.25">
      <c r="A16" s="267"/>
      <c r="B16" s="292" t="s">
        <v>322</v>
      </c>
      <c r="C16" s="293"/>
      <c r="D16" s="293"/>
      <c r="E16" s="293"/>
      <c r="F16" s="293"/>
      <c r="G16" s="293"/>
      <c r="H16" s="293"/>
      <c r="I16" s="293"/>
      <c r="J16" s="293"/>
      <c r="K16" s="293"/>
      <c r="L16" s="293"/>
      <c r="M16" s="293"/>
      <c r="N16" s="293"/>
      <c r="O16" s="294"/>
    </row>
    <row r="17" spans="1:254" s="3" customFormat="1" x14ac:dyDescent="0.25">
      <c r="A17" s="267"/>
      <c r="B17" s="292" t="s">
        <v>82</v>
      </c>
      <c r="C17" s="293"/>
      <c r="D17" s="293"/>
      <c r="E17" s="293"/>
      <c r="F17" s="293"/>
      <c r="G17" s="293"/>
      <c r="H17" s="293"/>
      <c r="I17" s="293"/>
      <c r="J17" s="293"/>
      <c r="K17" s="293"/>
      <c r="L17" s="293"/>
      <c r="M17" s="293"/>
      <c r="N17" s="293"/>
      <c r="O17" s="294"/>
    </row>
    <row r="18" spans="1:254" s="3" customFormat="1" x14ac:dyDescent="0.25">
      <c r="A18" s="267"/>
      <c r="B18" s="272" t="s">
        <v>805</v>
      </c>
      <c r="C18" s="148"/>
      <c r="D18" s="148"/>
      <c r="E18" s="148"/>
      <c r="F18" s="148"/>
      <c r="G18" s="148"/>
      <c r="H18" s="148"/>
      <c r="I18" s="148"/>
      <c r="J18" s="148"/>
      <c r="K18" s="148"/>
      <c r="L18" s="148"/>
      <c r="M18" s="148"/>
      <c r="N18" s="148"/>
      <c r="O18" s="149"/>
    </row>
    <row r="19" spans="1:254" s="3" customFormat="1" x14ac:dyDescent="0.25">
      <c r="A19" s="267"/>
      <c r="B19" s="272" t="s">
        <v>452</v>
      </c>
      <c r="C19" s="148"/>
      <c r="D19" s="148"/>
      <c r="E19" s="148"/>
      <c r="F19" s="148"/>
      <c r="G19" s="148"/>
      <c r="H19" s="148"/>
      <c r="I19" s="148"/>
      <c r="J19" s="148"/>
      <c r="K19" s="148"/>
      <c r="L19" s="148"/>
      <c r="M19" s="148"/>
      <c r="N19" s="148"/>
      <c r="O19" s="149"/>
    </row>
    <row r="20" spans="1:254" s="3" customFormat="1" x14ac:dyDescent="0.25">
      <c r="A20" s="267"/>
      <c r="B20" s="268"/>
      <c r="C20" s="268"/>
      <c r="D20" s="268"/>
      <c r="E20" s="268"/>
      <c r="F20" s="268"/>
      <c r="G20" s="268"/>
      <c r="H20" s="268"/>
      <c r="I20" s="268"/>
      <c r="J20" s="268"/>
      <c r="K20" s="268"/>
      <c r="L20" s="268"/>
      <c r="M20" s="268"/>
      <c r="N20" s="268"/>
      <c r="O20" s="269"/>
    </row>
    <row r="21" spans="1:254" s="3" customFormat="1" ht="23.25" customHeight="1" x14ac:dyDescent="0.25">
      <c r="A21" s="287" t="s">
        <v>14</v>
      </c>
      <c r="B21" s="288"/>
      <c r="C21" s="288"/>
      <c r="D21" s="288"/>
      <c r="E21" s="288"/>
      <c r="F21" s="288"/>
      <c r="G21" s="288"/>
      <c r="H21" s="288"/>
      <c r="I21" s="288"/>
      <c r="J21" s="288"/>
      <c r="K21" s="288"/>
      <c r="L21" s="288"/>
      <c r="M21" s="288"/>
      <c r="N21" s="288"/>
      <c r="O21" s="289"/>
    </row>
    <row r="22" spans="1:254" ht="15" customHeight="1" x14ac:dyDescent="0.25">
      <c r="A22" s="278" t="s">
        <v>827</v>
      </c>
      <c r="B22" s="285"/>
      <c r="C22" s="285"/>
      <c r="D22" s="285"/>
      <c r="E22" s="285"/>
      <c r="F22" s="285"/>
      <c r="G22" s="285"/>
      <c r="H22" s="285"/>
      <c r="I22" s="285"/>
      <c r="J22" s="285"/>
      <c r="K22" s="285"/>
      <c r="L22" s="285"/>
      <c r="M22" s="285"/>
      <c r="N22" s="285"/>
      <c r="O22" s="286"/>
      <c r="P22" s="20"/>
      <c r="Q22" s="20"/>
      <c r="R22" s="20"/>
      <c r="S22" s="20"/>
      <c r="T22" s="20"/>
      <c r="U22" s="20"/>
      <c r="V22" s="20"/>
      <c r="W22" s="20"/>
      <c r="X22" s="20"/>
      <c r="Y22" s="20"/>
      <c r="Z22" s="20"/>
      <c r="AA22" s="20"/>
      <c r="AB22" s="20"/>
      <c r="AC22" s="20"/>
      <c r="AD22" s="20"/>
      <c r="AE22" s="20"/>
      <c r="AF22" s="20"/>
      <c r="AG22" s="20"/>
      <c r="AH22" s="20"/>
      <c r="AI22" s="20"/>
      <c r="AJ22" s="20"/>
      <c r="AK22" s="20"/>
      <c r="AL22" s="20"/>
      <c r="AM22" s="20"/>
      <c r="AN22" s="20"/>
      <c r="AO22" s="20"/>
      <c r="AP22" s="20"/>
      <c r="AQ22" s="20"/>
      <c r="AR22" s="20"/>
      <c r="AS22" s="20"/>
      <c r="AT22" s="20"/>
      <c r="AU22" s="20"/>
      <c r="AV22" s="20"/>
      <c r="AW22" s="20"/>
      <c r="AX22" s="20"/>
      <c r="AY22" s="20"/>
      <c r="AZ22" s="20"/>
      <c r="BA22" s="20"/>
      <c r="BB22" s="20"/>
      <c r="BC22" s="20"/>
      <c r="BD22" s="20"/>
      <c r="BE22" s="20"/>
      <c r="BF22" s="20"/>
      <c r="BG22" s="20"/>
      <c r="BH22" s="20"/>
      <c r="BI22" s="20"/>
      <c r="BJ22" s="20"/>
      <c r="BK22" s="20"/>
      <c r="BL22" s="20"/>
      <c r="BM22" s="20"/>
      <c r="BN22" s="20"/>
      <c r="BO22" s="20"/>
      <c r="BP22" s="20"/>
      <c r="BQ22" s="20"/>
      <c r="BR22" s="20"/>
      <c r="BS22" s="20"/>
      <c r="BT22" s="20"/>
      <c r="BU22" s="20"/>
      <c r="BV22" s="20"/>
      <c r="BW22" s="20"/>
      <c r="BX22" s="20"/>
      <c r="BY22" s="20"/>
      <c r="BZ22" s="20"/>
      <c r="CA22" s="20"/>
      <c r="CB22" s="20"/>
      <c r="CC22" s="20"/>
      <c r="CD22" s="20"/>
      <c r="CE22" s="20"/>
      <c r="CF22" s="20"/>
      <c r="CG22" s="20"/>
      <c r="CH22" s="20"/>
      <c r="CI22" s="20"/>
      <c r="CJ22" s="20"/>
      <c r="CK22" s="20"/>
      <c r="CL22" s="20"/>
      <c r="CM22" s="20"/>
      <c r="CN22" s="20"/>
      <c r="CO22" s="20"/>
      <c r="CP22" s="20"/>
      <c r="CQ22" s="20"/>
      <c r="CR22" s="20"/>
      <c r="CS22" s="20"/>
      <c r="CT22" s="20"/>
      <c r="CU22" s="20"/>
      <c r="CV22" s="20"/>
      <c r="CW22" s="20"/>
      <c r="CX22" s="20"/>
      <c r="CY22" s="20"/>
      <c r="CZ22" s="20"/>
      <c r="DA22" s="20"/>
      <c r="DB22" s="20"/>
      <c r="DC22" s="20"/>
      <c r="DD22" s="20"/>
      <c r="DE22" s="20"/>
      <c r="DF22" s="20"/>
      <c r="DG22" s="20"/>
      <c r="DH22" s="20"/>
      <c r="DI22" s="20"/>
      <c r="DJ22" s="20"/>
      <c r="DK22" s="20"/>
      <c r="DL22" s="20"/>
      <c r="DM22" s="20"/>
      <c r="DN22" s="20"/>
      <c r="DO22" s="20"/>
      <c r="DP22" s="20"/>
      <c r="DQ22" s="20"/>
      <c r="DR22" s="20"/>
      <c r="DS22" s="20"/>
      <c r="DT22" s="20"/>
      <c r="DU22" s="20"/>
      <c r="DV22" s="20"/>
      <c r="DW22" s="20"/>
      <c r="DX22" s="20"/>
      <c r="DY22" s="20"/>
      <c r="DZ22" s="20"/>
      <c r="EA22" s="20"/>
      <c r="EB22" s="20"/>
      <c r="EC22" s="20"/>
      <c r="ED22" s="20"/>
      <c r="EE22" s="20"/>
      <c r="EF22" s="20"/>
      <c r="EG22" s="20"/>
      <c r="EH22" s="20"/>
      <c r="EI22" s="20"/>
      <c r="EJ22" s="20"/>
      <c r="EK22" s="20"/>
      <c r="EL22" s="20"/>
      <c r="EM22" s="20"/>
      <c r="EN22" s="20"/>
      <c r="EO22" s="20"/>
      <c r="EP22" s="20"/>
      <c r="EQ22" s="20"/>
      <c r="ER22" s="20"/>
      <c r="ES22" s="20"/>
      <c r="ET22" s="20"/>
      <c r="EU22" s="20"/>
      <c r="EV22" s="20"/>
      <c r="EW22" s="20"/>
      <c r="EX22" s="20"/>
      <c r="EY22" s="20"/>
      <c r="EZ22" s="20"/>
      <c r="FA22" s="20"/>
      <c r="FB22" s="20"/>
      <c r="FC22" s="20"/>
      <c r="FD22" s="20"/>
      <c r="FE22" s="20"/>
      <c r="FF22" s="20"/>
      <c r="FG22" s="20"/>
      <c r="FH22" s="20"/>
      <c r="FI22" s="20"/>
      <c r="FJ22" s="20"/>
      <c r="FK22" s="20"/>
      <c r="FL22" s="20"/>
      <c r="FM22" s="20"/>
      <c r="FN22" s="20"/>
      <c r="FO22" s="20"/>
      <c r="FP22" s="20"/>
      <c r="FQ22" s="20"/>
      <c r="FR22" s="20"/>
      <c r="FS22" s="20"/>
      <c r="FT22" s="20"/>
      <c r="FU22" s="20"/>
      <c r="FV22" s="20"/>
      <c r="FW22" s="20"/>
      <c r="FX22" s="20"/>
      <c r="FY22" s="20"/>
      <c r="FZ22" s="20"/>
      <c r="GA22" s="20"/>
      <c r="GB22" s="20"/>
      <c r="GC22" s="20"/>
      <c r="GD22" s="20"/>
      <c r="GE22" s="20"/>
      <c r="GF22" s="20"/>
      <c r="GG22" s="20"/>
      <c r="GH22" s="20"/>
      <c r="GI22" s="20"/>
      <c r="GJ22" s="20"/>
      <c r="GK22" s="20"/>
      <c r="GL22" s="20"/>
      <c r="GM22" s="20"/>
      <c r="GN22" s="20"/>
      <c r="GO22" s="20"/>
      <c r="GP22" s="20"/>
      <c r="GQ22" s="20"/>
      <c r="GR22" s="20"/>
      <c r="GS22" s="20"/>
      <c r="GT22" s="20"/>
      <c r="GU22" s="20"/>
      <c r="GV22" s="20"/>
      <c r="GW22" s="20"/>
      <c r="GX22" s="20"/>
      <c r="GY22" s="20"/>
      <c r="GZ22" s="20"/>
      <c r="HA22" s="20"/>
      <c r="HB22" s="20"/>
      <c r="HC22" s="20"/>
      <c r="HD22" s="20"/>
      <c r="HE22" s="20"/>
      <c r="HF22" s="20"/>
      <c r="HG22" s="20"/>
      <c r="HH22" s="20"/>
      <c r="HI22" s="20"/>
      <c r="HJ22" s="20"/>
      <c r="HK22" s="20"/>
      <c r="HL22" s="20"/>
      <c r="HM22" s="20"/>
      <c r="HN22" s="20"/>
      <c r="HO22" s="20"/>
      <c r="HP22" s="20"/>
      <c r="HQ22" s="20"/>
      <c r="HR22" s="20"/>
      <c r="HS22" s="20"/>
      <c r="HT22" s="20"/>
      <c r="HU22" s="20"/>
      <c r="HV22" s="20"/>
      <c r="HW22" s="20"/>
      <c r="HX22" s="20"/>
      <c r="HY22" s="20"/>
      <c r="HZ22" s="20"/>
      <c r="IA22" s="20"/>
      <c r="IB22" s="20"/>
      <c r="IC22" s="20"/>
      <c r="ID22" s="20"/>
      <c r="IE22" s="20"/>
      <c r="IF22" s="20"/>
      <c r="IG22" s="20"/>
      <c r="IH22" s="20"/>
      <c r="II22" s="20"/>
      <c r="IJ22" s="20"/>
      <c r="IK22" s="20"/>
      <c r="IL22" s="20"/>
      <c r="IM22" s="20"/>
      <c r="IN22" s="20"/>
      <c r="IO22" s="20"/>
      <c r="IP22" s="20"/>
      <c r="IQ22" s="20"/>
      <c r="IR22" s="20"/>
      <c r="IS22" s="20"/>
      <c r="IT22" s="20"/>
    </row>
    <row r="23" spans="1:254" ht="15" customHeight="1" x14ac:dyDescent="0.25">
      <c r="A23" s="284" t="s">
        <v>63</v>
      </c>
      <c r="B23" s="285"/>
      <c r="C23" s="285"/>
      <c r="D23" s="285"/>
      <c r="E23" s="285"/>
      <c r="F23" s="285"/>
      <c r="G23" s="285"/>
      <c r="H23" s="285"/>
      <c r="I23" s="285"/>
      <c r="J23" s="285"/>
      <c r="K23" s="285"/>
      <c r="L23" s="285"/>
      <c r="M23" s="285"/>
      <c r="N23" s="285"/>
      <c r="O23" s="286"/>
      <c r="P23" s="20"/>
      <c r="Q23" s="20"/>
      <c r="R23" s="20"/>
      <c r="S23" s="20"/>
      <c r="T23" s="20"/>
      <c r="U23" s="20"/>
      <c r="V23" s="20"/>
      <c r="W23" s="20"/>
      <c r="X23" s="20"/>
      <c r="Y23" s="20"/>
      <c r="Z23" s="20"/>
      <c r="AA23" s="20"/>
      <c r="AB23" s="20"/>
      <c r="AC23" s="20"/>
      <c r="AD23" s="20"/>
      <c r="AE23" s="20"/>
      <c r="AF23" s="20"/>
      <c r="AG23" s="20"/>
      <c r="AH23" s="20"/>
      <c r="AI23" s="20"/>
      <c r="AJ23" s="20"/>
      <c r="AK23" s="20"/>
      <c r="AL23" s="20"/>
      <c r="AM23" s="20"/>
      <c r="AN23" s="20"/>
      <c r="AO23" s="20"/>
      <c r="AP23" s="20"/>
      <c r="AQ23" s="20"/>
      <c r="AR23" s="20"/>
      <c r="AS23" s="20"/>
      <c r="AT23" s="20"/>
      <c r="AU23" s="20"/>
      <c r="AV23" s="20"/>
      <c r="AW23" s="20"/>
      <c r="AX23" s="20"/>
      <c r="AY23" s="20"/>
      <c r="AZ23" s="20"/>
      <c r="BA23" s="20"/>
      <c r="BB23" s="20"/>
      <c r="BC23" s="20"/>
      <c r="BD23" s="20"/>
      <c r="BE23" s="20"/>
      <c r="BF23" s="20"/>
      <c r="BG23" s="20"/>
      <c r="BH23" s="20"/>
      <c r="BI23" s="20"/>
      <c r="BJ23" s="20"/>
      <c r="BK23" s="20"/>
      <c r="BL23" s="20"/>
      <c r="BM23" s="20"/>
      <c r="BN23" s="20"/>
      <c r="BO23" s="20"/>
      <c r="BP23" s="20"/>
      <c r="BQ23" s="20"/>
      <c r="BR23" s="20"/>
      <c r="BS23" s="20"/>
      <c r="BT23" s="20"/>
      <c r="BU23" s="20"/>
      <c r="BV23" s="20"/>
      <c r="BW23" s="20"/>
      <c r="BX23" s="20"/>
      <c r="BY23" s="20"/>
      <c r="BZ23" s="20"/>
      <c r="CA23" s="20"/>
      <c r="CB23" s="20"/>
      <c r="CC23" s="20"/>
      <c r="CD23" s="20"/>
      <c r="CE23" s="20"/>
      <c r="CF23" s="20"/>
      <c r="CG23" s="20"/>
      <c r="CH23" s="20"/>
      <c r="CI23" s="20"/>
      <c r="CJ23" s="20"/>
      <c r="CK23" s="20"/>
      <c r="CL23" s="20"/>
      <c r="CM23" s="20"/>
      <c r="CN23" s="20"/>
      <c r="CO23" s="20"/>
      <c r="CP23" s="20"/>
      <c r="CQ23" s="20"/>
      <c r="CR23" s="20"/>
      <c r="CS23" s="20"/>
      <c r="CT23" s="20"/>
      <c r="CU23" s="20"/>
      <c r="CV23" s="20"/>
      <c r="CW23" s="20"/>
      <c r="CX23" s="20"/>
      <c r="CY23" s="20"/>
      <c r="CZ23" s="20"/>
      <c r="DA23" s="20"/>
      <c r="DB23" s="20"/>
      <c r="DC23" s="20"/>
      <c r="DD23" s="20"/>
      <c r="DE23" s="20"/>
      <c r="DF23" s="20"/>
      <c r="DG23" s="20"/>
      <c r="DH23" s="20"/>
      <c r="DI23" s="20"/>
      <c r="DJ23" s="20"/>
      <c r="DK23" s="20"/>
      <c r="DL23" s="20"/>
      <c r="DM23" s="20"/>
      <c r="DN23" s="20"/>
      <c r="DO23" s="20"/>
      <c r="DP23" s="20"/>
      <c r="DQ23" s="20"/>
      <c r="DR23" s="20"/>
      <c r="DS23" s="20"/>
      <c r="DT23" s="20"/>
      <c r="DU23" s="20"/>
      <c r="DV23" s="20"/>
      <c r="DW23" s="20"/>
      <c r="DX23" s="20"/>
      <c r="DY23" s="20"/>
      <c r="DZ23" s="20"/>
      <c r="EA23" s="20"/>
      <c r="EB23" s="20"/>
      <c r="EC23" s="20"/>
      <c r="ED23" s="20"/>
      <c r="EE23" s="20"/>
      <c r="EF23" s="20"/>
      <c r="EG23" s="20"/>
      <c r="EH23" s="20"/>
      <c r="EI23" s="20"/>
      <c r="EJ23" s="20"/>
      <c r="EK23" s="20"/>
      <c r="EL23" s="20"/>
      <c r="EM23" s="20"/>
      <c r="EN23" s="20"/>
      <c r="EO23" s="20"/>
      <c r="EP23" s="20"/>
      <c r="EQ23" s="20"/>
      <c r="ER23" s="20"/>
      <c r="ES23" s="20"/>
      <c r="ET23" s="20"/>
      <c r="EU23" s="20"/>
      <c r="EV23" s="20"/>
      <c r="EW23" s="20"/>
      <c r="EX23" s="20"/>
      <c r="EY23" s="20"/>
      <c r="EZ23" s="20"/>
      <c r="FA23" s="20"/>
      <c r="FB23" s="20"/>
      <c r="FC23" s="20"/>
      <c r="FD23" s="20"/>
      <c r="FE23" s="20"/>
      <c r="FF23" s="20"/>
      <c r="FG23" s="20"/>
      <c r="FH23" s="20"/>
      <c r="FI23" s="20"/>
      <c r="FJ23" s="20"/>
      <c r="FK23" s="20"/>
      <c r="FL23" s="20"/>
      <c r="FM23" s="20"/>
      <c r="FN23" s="20"/>
      <c r="FO23" s="20"/>
      <c r="FP23" s="20"/>
      <c r="FQ23" s="20"/>
      <c r="FR23" s="20"/>
      <c r="FS23" s="20"/>
      <c r="FT23" s="20"/>
      <c r="FU23" s="20"/>
      <c r="FV23" s="20"/>
      <c r="FW23" s="20"/>
      <c r="FX23" s="20"/>
      <c r="FY23" s="20"/>
      <c r="FZ23" s="20"/>
      <c r="GA23" s="20"/>
      <c r="GB23" s="20"/>
      <c r="GC23" s="20"/>
      <c r="GD23" s="20"/>
      <c r="GE23" s="20"/>
      <c r="GF23" s="20"/>
      <c r="GG23" s="20"/>
      <c r="GH23" s="20"/>
      <c r="GI23" s="20"/>
      <c r="GJ23" s="20"/>
      <c r="GK23" s="20"/>
      <c r="GL23" s="20"/>
      <c r="GM23" s="20"/>
      <c r="GN23" s="20"/>
      <c r="GO23" s="20"/>
      <c r="GP23" s="20"/>
      <c r="GQ23" s="20"/>
      <c r="GR23" s="20"/>
      <c r="GS23" s="20"/>
      <c r="GT23" s="20"/>
      <c r="GU23" s="20"/>
      <c r="GV23" s="20"/>
      <c r="GW23" s="20"/>
      <c r="GX23" s="20"/>
      <c r="GY23" s="20"/>
      <c r="GZ23" s="20"/>
      <c r="HA23" s="20"/>
      <c r="HB23" s="20"/>
      <c r="HC23" s="20"/>
      <c r="HD23" s="20"/>
      <c r="HE23" s="20"/>
      <c r="HF23" s="20"/>
      <c r="HG23" s="20"/>
      <c r="HH23" s="20"/>
      <c r="HI23" s="20"/>
      <c r="HJ23" s="20"/>
      <c r="HK23" s="20"/>
      <c r="HL23" s="20"/>
      <c r="HM23" s="20"/>
      <c r="HN23" s="20"/>
      <c r="HO23" s="20"/>
      <c r="HP23" s="20"/>
      <c r="HQ23" s="20"/>
      <c r="HR23" s="20"/>
      <c r="HS23" s="20"/>
      <c r="HT23" s="20"/>
      <c r="HU23" s="20"/>
      <c r="HV23" s="20"/>
      <c r="HW23" s="20"/>
      <c r="HX23" s="20"/>
      <c r="HY23" s="20"/>
      <c r="HZ23" s="20"/>
      <c r="IA23" s="20"/>
      <c r="IB23" s="20"/>
      <c r="IC23" s="20"/>
      <c r="ID23" s="20"/>
      <c r="IE23" s="20"/>
      <c r="IF23" s="20"/>
      <c r="IG23" s="20"/>
      <c r="IH23" s="20"/>
      <c r="II23" s="20"/>
      <c r="IJ23" s="20"/>
      <c r="IK23" s="20"/>
      <c r="IL23" s="20"/>
      <c r="IM23" s="20"/>
      <c r="IN23" s="20"/>
      <c r="IO23" s="20"/>
      <c r="IP23" s="20"/>
      <c r="IQ23" s="20"/>
      <c r="IR23" s="20"/>
      <c r="IS23" s="20"/>
      <c r="IT23" s="20"/>
    </row>
    <row r="24" spans="1:254" s="3" customFormat="1" x14ac:dyDescent="0.25">
      <c r="A24" s="267"/>
      <c r="B24" s="268"/>
      <c r="C24" s="268"/>
      <c r="D24" s="268"/>
      <c r="E24" s="268"/>
      <c r="F24" s="268"/>
      <c r="G24" s="268"/>
      <c r="H24" s="268"/>
      <c r="I24" s="268"/>
      <c r="J24" s="268"/>
      <c r="K24" s="268"/>
      <c r="L24" s="268"/>
      <c r="M24" s="268"/>
      <c r="N24" s="268"/>
      <c r="O24" s="269"/>
    </row>
    <row r="25" spans="1:254" s="3" customFormat="1" ht="23.25" customHeight="1" x14ac:dyDescent="0.25">
      <c r="A25" s="287" t="s">
        <v>15</v>
      </c>
      <c r="B25" s="288"/>
      <c r="C25" s="288"/>
      <c r="D25" s="288"/>
      <c r="E25" s="288"/>
      <c r="F25" s="288"/>
      <c r="G25" s="288"/>
      <c r="H25" s="288"/>
      <c r="I25" s="288"/>
      <c r="J25" s="288"/>
      <c r="K25" s="288"/>
      <c r="L25" s="288"/>
      <c r="M25" s="288"/>
      <c r="N25" s="288"/>
      <c r="O25" s="289"/>
    </row>
    <row r="26" spans="1:254" ht="15" customHeight="1" x14ac:dyDescent="0.25">
      <c r="A26" s="284" t="s">
        <v>77</v>
      </c>
      <c r="B26" s="285"/>
      <c r="C26" s="285"/>
      <c r="D26" s="285"/>
      <c r="E26" s="285"/>
      <c r="F26" s="285"/>
      <c r="G26" s="285"/>
      <c r="H26" s="285"/>
      <c r="I26" s="285"/>
      <c r="J26" s="285"/>
      <c r="K26" s="285"/>
      <c r="L26" s="285"/>
      <c r="M26" s="285"/>
      <c r="N26" s="285"/>
      <c r="O26" s="286"/>
      <c r="P26" s="275"/>
      <c r="Q26" s="275"/>
      <c r="R26" s="275"/>
      <c r="S26" s="275"/>
      <c r="T26" s="275"/>
      <c r="U26" s="275"/>
      <c r="V26" s="275"/>
      <c r="W26" s="275"/>
      <c r="X26" s="275"/>
      <c r="Y26" s="275"/>
      <c r="Z26" s="275"/>
      <c r="AA26" s="275"/>
      <c r="AB26" s="276"/>
      <c r="AC26" s="277"/>
      <c r="AD26" s="275"/>
      <c r="AE26" s="275"/>
      <c r="AF26" s="275"/>
      <c r="AG26" s="275"/>
      <c r="AH26" s="275"/>
      <c r="AI26" s="275"/>
      <c r="AJ26" s="275"/>
      <c r="AK26" s="275"/>
      <c r="AL26" s="275"/>
      <c r="AM26" s="275"/>
      <c r="AN26" s="275"/>
      <c r="AO26" s="275"/>
      <c r="AP26" s="275"/>
      <c r="AQ26" s="276"/>
      <c r="AR26" s="277"/>
      <c r="AS26" s="275"/>
      <c r="AT26" s="275"/>
      <c r="AU26" s="275"/>
      <c r="AV26" s="275"/>
      <c r="AW26" s="275"/>
      <c r="AX26" s="275"/>
      <c r="AY26" s="275"/>
      <c r="AZ26" s="275"/>
      <c r="BA26" s="275"/>
      <c r="BB26" s="275"/>
      <c r="BC26" s="275"/>
      <c r="BD26" s="275"/>
      <c r="BE26" s="275"/>
      <c r="BF26" s="276"/>
      <c r="BG26" s="277"/>
      <c r="BH26" s="275"/>
      <c r="BI26" s="275"/>
      <c r="BJ26" s="275"/>
      <c r="BK26" s="275"/>
      <c r="BL26" s="275"/>
      <c r="BM26" s="275"/>
      <c r="BN26" s="275"/>
      <c r="BO26" s="275"/>
      <c r="BP26" s="275"/>
      <c r="BQ26" s="275"/>
      <c r="BR26" s="275"/>
      <c r="BS26" s="275"/>
      <c r="BT26" s="275"/>
      <c r="BU26" s="276"/>
      <c r="BV26" s="277"/>
      <c r="BW26" s="275"/>
      <c r="BX26" s="275"/>
      <c r="BY26" s="275"/>
      <c r="BZ26" s="275"/>
      <c r="CA26" s="275"/>
      <c r="CB26" s="275"/>
      <c r="CC26" s="275"/>
      <c r="CD26" s="275"/>
      <c r="CE26" s="275"/>
      <c r="CF26" s="275"/>
      <c r="CG26" s="275"/>
      <c r="CH26" s="275"/>
      <c r="CI26" s="275"/>
      <c r="CJ26" s="276"/>
      <c r="CK26" s="277"/>
      <c r="CL26" s="275"/>
      <c r="CM26" s="275"/>
      <c r="CN26" s="275"/>
      <c r="CO26" s="275"/>
      <c r="CP26" s="275"/>
      <c r="CQ26" s="275"/>
      <c r="CR26" s="275"/>
      <c r="CS26" s="275"/>
      <c r="CT26" s="275"/>
      <c r="CU26" s="275"/>
      <c r="CV26" s="275"/>
      <c r="CW26" s="275"/>
      <c r="CX26" s="275"/>
      <c r="CY26" s="276"/>
      <c r="CZ26" s="277"/>
      <c r="DA26" s="275"/>
      <c r="DB26" s="275"/>
      <c r="DC26" s="275"/>
      <c r="DD26" s="275"/>
      <c r="DE26" s="275"/>
      <c r="DF26" s="275"/>
      <c r="DG26" s="275"/>
      <c r="DH26" s="275"/>
      <c r="DI26" s="275"/>
      <c r="DJ26" s="275"/>
      <c r="DK26" s="275"/>
      <c r="DL26" s="275"/>
      <c r="DM26" s="275"/>
      <c r="DN26" s="276"/>
      <c r="DO26" s="277"/>
      <c r="DP26" s="275"/>
      <c r="DQ26" s="275"/>
      <c r="DR26" s="275"/>
      <c r="DS26" s="275"/>
      <c r="DT26" s="275"/>
      <c r="DU26" s="275"/>
      <c r="DV26" s="275"/>
      <c r="DW26" s="275"/>
      <c r="DX26" s="275"/>
      <c r="DY26" s="275"/>
      <c r="DZ26" s="275"/>
      <c r="EA26" s="275"/>
      <c r="EB26" s="275"/>
      <c r="EC26" s="276"/>
      <c r="ED26" s="277"/>
      <c r="EE26" s="275"/>
      <c r="EF26" s="275"/>
      <c r="EG26" s="275"/>
      <c r="EH26" s="275"/>
      <c r="EI26" s="275"/>
      <c r="EJ26" s="275"/>
      <c r="EK26" s="275"/>
      <c r="EL26" s="275"/>
      <c r="EM26" s="275"/>
      <c r="EN26" s="275"/>
      <c r="EO26" s="275"/>
      <c r="EP26" s="275"/>
      <c r="EQ26" s="275"/>
      <c r="ER26" s="276"/>
      <c r="ES26" s="277"/>
      <c r="ET26" s="275"/>
      <c r="EU26" s="275"/>
      <c r="EV26" s="275"/>
      <c r="EW26" s="275"/>
      <c r="EX26" s="275"/>
      <c r="EY26" s="275"/>
      <c r="EZ26" s="275"/>
      <c r="FA26" s="275"/>
      <c r="FB26" s="275"/>
      <c r="FC26" s="275"/>
      <c r="FD26" s="275"/>
      <c r="FE26" s="275"/>
      <c r="FF26" s="275"/>
      <c r="FG26" s="276"/>
      <c r="FH26" s="277"/>
      <c r="FI26" s="275"/>
      <c r="FJ26" s="275"/>
      <c r="FK26" s="275"/>
      <c r="FL26" s="275"/>
      <c r="FM26" s="275"/>
      <c r="FN26" s="275"/>
      <c r="FO26" s="275"/>
      <c r="FP26" s="275"/>
      <c r="FQ26" s="275"/>
      <c r="FR26" s="275"/>
      <c r="FS26" s="275"/>
      <c r="FT26" s="275"/>
      <c r="FU26" s="275"/>
      <c r="FV26" s="276"/>
      <c r="FW26" s="277"/>
      <c r="FX26" s="275"/>
      <c r="FY26" s="275"/>
      <c r="FZ26" s="275"/>
      <c r="GA26" s="275"/>
      <c r="GB26" s="275"/>
      <c r="GC26" s="275"/>
      <c r="GD26" s="275"/>
      <c r="GE26" s="275"/>
      <c r="GF26" s="275"/>
      <c r="GG26" s="275"/>
      <c r="GH26" s="275"/>
      <c r="GI26" s="275"/>
      <c r="GJ26" s="275"/>
      <c r="GK26" s="276"/>
      <c r="GL26" s="277"/>
      <c r="GM26" s="275"/>
      <c r="GN26" s="275"/>
      <c r="GO26" s="275"/>
      <c r="GP26" s="275"/>
      <c r="GQ26" s="275"/>
      <c r="GR26" s="275"/>
      <c r="GS26" s="275"/>
      <c r="GT26" s="275"/>
      <c r="GU26" s="275"/>
      <c r="GV26" s="275"/>
      <c r="GW26" s="275"/>
      <c r="GX26" s="275"/>
      <c r="GY26" s="275"/>
      <c r="GZ26" s="276"/>
      <c r="HA26" s="277"/>
      <c r="HB26" s="275"/>
      <c r="HC26" s="275"/>
      <c r="HD26" s="275"/>
      <c r="HE26" s="275"/>
      <c r="HF26" s="275"/>
      <c r="HG26" s="275"/>
      <c r="HH26" s="275"/>
      <c r="HI26" s="275"/>
      <c r="HJ26" s="275"/>
      <c r="HK26" s="275"/>
      <c r="HL26" s="275"/>
      <c r="HM26" s="275"/>
      <c r="HN26" s="275"/>
      <c r="HO26" s="276"/>
      <c r="HP26" s="277"/>
      <c r="HQ26" s="275"/>
      <c r="HR26" s="275"/>
      <c r="HS26" s="275"/>
      <c r="HT26" s="275"/>
      <c r="HU26" s="275"/>
      <c r="HV26" s="275"/>
      <c r="HW26" s="275"/>
      <c r="HX26" s="275"/>
      <c r="HY26" s="275"/>
      <c r="HZ26" s="275"/>
      <c r="IA26" s="275"/>
      <c r="IB26" s="275"/>
      <c r="IC26" s="275"/>
      <c r="ID26" s="276"/>
      <c r="IE26" s="277"/>
      <c r="IF26" s="275"/>
      <c r="IG26" s="275"/>
      <c r="IH26" s="275"/>
      <c r="II26" s="275"/>
      <c r="IJ26" s="275"/>
      <c r="IK26" s="275"/>
      <c r="IL26" s="275"/>
      <c r="IM26" s="275"/>
      <c r="IN26" s="275"/>
      <c r="IO26" s="275"/>
      <c r="IP26" s="275"/>
      <c r="IQ26" s="275"/>
      <c r="IR26" s="275"/>
      <c r="IS26" s="276"/>
      <c r="IT26" s="5"/>
    </row>
    <row r="27" spans="1:254" ht="15" customHeight="1" x14ac:dyDescent="0.25">
      <c r="A27" s="284" t="s">
        <v>84</v>
      </c>
      <c r="B27" s="285"/>
      <c r="C27" s="285"/>
      <c r="D27" s="285"/>
      <c r="E27" s="285"/>
      <c r="F27" s="285"/>
      <c r="G27" s="285"/>
      <c r="H27" s="285"/>
      <c r="I27" s="285"/>
      <c r="J27" s="285"/>
      <c r="K27" s="285"/>
      <c r="L27" s="285"/>
      <c r="M27" s="285"/>
      <c r="N27" s="285"/>
      <c r="O27" s="286"/>
      <c r="P27" s="275"/>
      <c r="Q27" s="275"/>
      <c r="R27" s="275"/>
      <c r="S27" s="275"/>
      <c r="T27" s="275"/>
      <c r="U27" s="275"/>
      <c r="V27" s="275"/>
      <c r="W27" s="275"/>
      <c r="X27" s="275"/>
      <c r="Y27" s="275"/>
      <c r="Z27" s="275"/>
      <c r="AA27" s="275"/>
      <c r="AB27" s="276"/>
      <c r="AC27" s="277"/>
      <c r="AD27" s="275"/>
      <c r="AE27" s="275"/>
      <c r="AF27" s="275"/>
      <c r="AG27" s="275"/>
      <c r="AH27" s="275"/>
      <c r="AI27" s="275"/>
      <c r="AJ27" s="275"/>
      <c r="AK27" s="275"/>
      <c r="AL27" s="275"/>
      <c r="AM27" s="275"/>
      <c r="AN27" s="275"/>
      <c r="AO27" s="275"/>
      <c r="AP27" s="275"/>
      <c r="AQ27" s="276"/>
      <c r="AR27" s="277"/>
      <c r="AS27" s="275"/>
      <c r="AT27" s="275"/>
      <c r="AU27" s="275"/>
      <c r="AV27" s="275"/>
      <c r="AW27" s="275"/>
      <c r="AX27" s="275"/>
      <c r="AY27" s="275"/>
      <c r="AZ27" s="275"/>
      <c r="BA27" s="275"/>
      <c r="BB27" s="275"/>
      <c r="BC27" s="275"/>
      <c r="BD27" s="275"/>
      <c r="BE27" s="275"/>
      <c r="BF27" s="276"/>
      <c r="BG27" s="277"/>
      <c r="BH27" s="275"/>
      <c r="BI27" s="275"/>
      <c r="BJ27" s="275"/>
      <c r="BK27" s="275"/>
      <c r="BL27" s="275"/>
      <c r="BM27" s="275"/>
      <c r="BN27" s="275"/>
      <c r="BO27" s="275"/>
      <c r="BP27" s="275"/>
      <c r="BQ27" s="275"/>
      <c r="BR27" s="275"/>
      <c r="BS27" s="275"/>
      <c r="BT27" s="275"/>
      <c r="BU27" s="276"/>
      <c r="BV27" s="277"/>
      <c r="BW27" s="275"/>
      <c r="BX27" s="275"/>
      <c r="BY27" s="275"/>
      <c r="BZ27" s="275"/>
      <c r="CA27" s="275"/>
      <c r="CB27" s="275"/>
      <c r="CC27" s="275"/>
      <c r="CD27" s="275"/>
      <c r="CE27" s="275"/>
      <c r="CF27" s="275"/>
      <c r="CG27" s="275"/>
      <c r="CH27" s="275"/>
      <c r="CI27" s="275"/>
      <c r="CJ27" s="276"/>
      <c r="CK27" s="277"/>
      <c r="CL27" s="275"/>
      <c r="CM27" s="275"/>
      <c r="CN27" s="275"/>
      <c r="CO27" s="275"/>
      <c r="CP27" s="275"/>
      <c r="CQ27" s="275"/>
      <c r="CR27" s="275"/>
      <c r="CS27" s="275"/>
      <c r="CT27" s="275"/>
      <c r="CU27" s="275"/>
      <c r="CV27" s="275"/>
      <c r="CW27" s="275"/>
      <c r="CX27" s="275"/>
      <c r="CY27" s="276"/>
      <c r="CZ27" s="277"/>
      <c r="DA27" s="275"/>
      <c r="DB27" s="275"/>
      <c r="DC27" s="275"/>
      <c r="DD27" s="275"/>
      <c r="DE27" s="275"/>
      <c r="DF27" s="275"/>
      <c r="DG27" s="275"/>
      <c r="DH27" s="275"/>
      <c r="DI27" s="275"/>
      <c r="DJ27" s="275"/>
      <c r="DK27" s="275"/>
      <c r="DL27" s="275"/>
      <c r="DM27" s="275"/>
      <c r="DN27" s="276"/>
      <c r="DO27" s="277"/>
      <c r="DP27" s="275"/>
      <c r="DQ27" s="275"/>
      <c r="DR27" s="275"/>
      <c r="DS27" s="275"/>
      <c r="DT27" s="275"/>
      <c r="DU27" s="275"/>
      <c r="DV27" s="275"/>
      <c r="DW27" s="275"/>
      <c r="DX27" s="275"/>
      <c r="DY27" s="275"/>
      <c r="DZ27" s="275"/>
      <c r="EA27" s="275"/>
      <c r="EB27" s="275"/>
      <c r="EC27" s="276"/>
      <c r="ED27" s="277"/>
      <c r="EE27" s="275"/>
      <c r="EF27" s="275"/>
      <c r="EG27" s="275"/>
      <c r="EH27" s="275"/>
      <c r="EI27" s="275"/>
      <c r="EJ27" s="275"/>
      <c r="EK27" s="275"/>
      <c r="EL27" s="275"/>
      <c r="EM27" s="275"/>
      <c r="EN27" s="275"/>
      <c r="EO27" s="275"/>
      <c r="EP27" s="275"/>
      <c r="EQ27" s="275"/>
      <c r="ER27" s="276"/>
      <c r="ES27" s="277"/>
      <c r="ET27" s="275"/>
      <c r="EU27" s="275"/>
      <c r="EV27" s="275"/>
      <c r="EW27" s="275"/>
      <c r="EX27" s="275"/>
      <c r="EY27" s="275"/>
      <c r="EZ27" s="275"/>
      <c r="FA27" s="275"/>
      <c r="FB27" s="275"/>
      <c r="FC27" s="275"/>
      <c r="FD27" s="275"/>
      <c r="FE27" s="275"/>
      <c r="FF27" s="275"/>
      <c r="FG27" s="276"/>
      <c r="FH27" s="277"/>
      <c r="FI27" s="275"/>
      <c r="FJ27" s="275"/>
      <c r="FK27" s="275"/>
      <c r="FL27" s="275"/>
      <c r="FM27" s="275"/>
      <c r="FN27" s="275"/>
      <c r="FO27" s="275"/>
      <c r="FP27" s="275"/>
      <c r="FQ27" s="275"/>
      <c r="FR27" s="275"/>
      <c r="FS27" s="275"/>
      <c r="FT27" s="275"/>
      <c r="FU27" s="275"/>
      <c r="FV27" s="276"/>
      <c r="FW27" s="277"/>
      <c r="FX27" s="275"/>
      <c r="FY27" s="275"/>
      <c r="FZ27" s="275"/>
      <c r="GA27" s="275"/>
      <c r="GB27" s="275"/>
      <c r="GC27" s="275"/>
      <c r="GD27" s="275"/>
      <c r="GE27" s="275"/>
      <c r="GF27" s="275"/>
      <c r="GG27" s="275"/>
      <c r="GH27" s="275"/>
      <c r="GI27" s="275"/>
      <c r="GJ27" s="275"/>
      <c r="GK27" s="276"/>
      <c r="GL27" s="277"/>
      <c r="GM27" s="275"/>
      <c r="GN27" s="275"/>
      <c r="GO27" s="275"/>
      <c r="GP27" s="275"/>
      <c r="GQ27" s="275"/>
      <c r="GR27" s="275"/>
      <c r="GS27" s="275"/>
      <c r="GT27" s="275"/>
      <c r="GU27" s="275"/>
      <c r="GV27" s="275"/>
      <c r="GW27" s="275"/>
      <c r="GX27" s="275"/>
      <c r="GY27" s="275"/>
      <c r="GZ27" s="276"/>
      <c r="HA27" s="277"/>
      <c r="HB27" s="275"/>
      <c r="HC27" s="275"/>
      <c r="HD27" s="275"/>
      <c r="HE27" s="275"/>
      <c r="HF27" s="275"/>
      <c r="HG27" s="275"/>
      <c r="HH27" s="275"/>
      <c r="HI27" s="275"/>
      <c r="HJ27" s="275"/>
      <c r="HK27" s="275"/>
      <c r="HL27" s="275"/>
      <c r="HM27" s="275"/>
      <c r="HN27" s="275"/>
      <c r="HO27" s="276"/>
      <c r="HP27" s="277"/>
      <c r="HQ27" s="275"/>
      <c r="HR27" s="275"/>
      <c r="HS27" s="275"/>
      <c r="HT27" s="275"/>
      <c r="HU27" s="275"/>
      <c r="HV27" s="275"/>
      <c r="HW27" s="275"/>
      <c r="HX27" s="275"/>
      <c r="HY27" s="275"/>
      <c r="HZ27" s="275"/>
      <c r="IA27" s="275"/>
      <c r="IB27" s="275"/>
      <c r="IC27" s="275"/>
      <c r="ID27" s="276"/>
      <c r="IE27" s="277"/>
      <c r="IF27" s="275"/>
      <c r="IG27" s="275"/>
      <c r="IH27" s="275"/>
      <c r="II27" s="275"/>
      <c r="IJ27" s="275"/>
      <c r="IK27" s="275"/>
      <c r="IL27" s="275"/>
      <c r="IM27" s="275"/>
      <c r="IN27" s="275"/>
      <c r="IO27" s="275"/>
      <c r="IP27" s="275"/>
      <c r="IQ27" s="275"/>
      <c r="IR27" s="275"/>
      <c r="IS27" s="276"/>
      <c r="IT27" s="5"/>
    </row>
    <row r="28" spans="1:254" ht="30" customHeight="1" x14ac:dyDescent="0.25">
      <c r="A28" s="284" t="s">
        <v>16</v>
      </c>
      <c r="B28" s="285"/>
      <c r="C28" s="285"/>
      <c r="D28" s="285"/>
      <c r="E28" s="285"/>
      <c r="F28" s="285"/>
      <c r="G28" s="285"/>
      <c r="H28" s="285"/>
      <c r="I28" s="285"/>
      <c r="J28" s="285"/>
      <c r="K28" s="285"/>
      <c r="L28" s="285"/>
      <c r="M28" s="285"/>
      <c r="N28" s="285"/>
      <c r="O28" s="286"/>
      <c r="P28" s="275"/>
      <c r="Q28" s="275"/>
      <c r="R28" s="275"/>
      <c r="S28" s="275"/>
      <c r="T28" s="275"/>
      <c r="U28" s="275"/>
      <c r="V28" s="275"/>
      <c r="W28" s="275"/>
      <c r="X28" s="275"/>
      <c r="Y28" s="275"/>
      <c r="Z28" s="275"/>
      <c r="AA28" s="275"/>
      <c r="AB28" s="276"/>
      <c r="AC28" s="277"/>
      <c r="AD28" s="275"/>
      <c r="AE28" s="275"/>
      <c r="AF28" s="275"/>
      <c r="AG28" s="275"/>
      <c r="AH28" s="275"/>
      <c r="AI28" s="275"/>
      <c r="AJ28" s="275"/>
      <c r="AK28" s="275"/>
      <c r="AL28" s="275"/>
      <c r="AM28" s="275"/>
      <c r="AN28" s="275"/>
      <c r="AO28" s="275"/>
      <c r="AP28" s="275"/>
      <c r="AQ28" s="276"/>
      <c r="AR28" s="277"/>
      <c r="AS28" s="275"/>
      <c r="AT28" s="275"/>
      <c r="AU28" s="275"/>
      <c r="AV28" s="275"/>
      <c r="AW28" s="275"/>
      <c r="AX28" s="275"/>
      <c r="AY28" s="275"/>
      <c r="AZ28" s="275"/>
      <c r="BA28" s="275"/>
      <c r="BB28" s="275"/>
      <c r="BC28" s="275"/>
      <c r="BD28" s="275"/>
      <c r="BE28" s="275"/>
      <c r="BF28" s="276"/>
      <c r="BG28" s="277"/>
      <c r="BH28" s="275"/>
      <c r="BI28" s="275"/>
      <c r="BJ28" s="275"/>
      <c r="BK28" s="275"/>
      <c r="BL28" s="275"/>
      <c r="BM28" s="275"/>
      <c r="BN28" s="275"/>
      <c r="BO28" s="275"/>
      <c r="BP28" s="275"/>
      <c r="BQ28" s="275"/>
      <c r="BR28" s="275"/>
      <c r="BS28" s="275"/>
      <c r="BT28" s="275"/>
      <c r="BU28" s="276"/>
      <c r="BV28" s="277"/>
      <c r="BW28" s="275"/>
      <c r="BX28" s="275"/>
      <c r="BY28" s="275"/>
      <c r="BZ28" s="275"/>
      <c r="CA28" s="275"/>
      <c r="CB28" s="275"/>
      <c r="CC28" s="275"/>
      <c r="CD28" s="275"/>
      <c r="CE28" s="275"/>
      <c r="CF28" s="275"/>
      <c r="CG28" s="275"/>
      <c r="CH28" s="275"/>
      <c r="CI28" s="275"/>
      <c r="CJ28" s="276"/>
      <c r="CK28" s="277"/>
      <c r="CL28" s="275"/>
      <c r="CM28" s="275"/>
      <c r="CN28" s="275"/>
      <c r="CO28" s="275"/>
      <c r="CP28" s="275"/>
      <c r="CQ28" s="275"/>
      <c r="CR28" s="275"/>
      <c r="CS28" s="275"/>
      <c r="CT28" s="275"/>
      <c r="CU28" s="275"/>
      <c r="CV28" s="275"/>
      <c r="CW28" s="275"/>
      <c r="CX28" s="275"/>
      <c r="CY28" s="276"/>
      <c r="CZ28" s="277"/>
      <c r="DA28" s="275"/>
      <c r="DB28" s="275"/>
      <c r="DC28" s="275"/>
      <c r="DD28" s="275"/>
      <c r="DE28" s="275"/>
      <c r="DF28" s="275"/>
      <c r="DG28" s="275"/>
      <c r="DH28" s="275"/>
      <c r="DI28" s="275"/>
      <c r="DJ28" s="275"/>
      <c r="DK28" s="275"/>
      <c r="DL28" s="275"/>
      <c r="DM28" s="275"/>
      <c r="DN28" s="276"/>
      <c r="DO28" s="277"/>
      <c r="DP28" s="275"/>
      <c r="DQ28" s="275"/>
      <c r="DR28" s="275"/>
      <c r="DS28" s="275"/>
      <c r="DT28" s="275"/>
      <c r="DU28" s="275"/>
      <c r="DV28" s="275"/>
      <c r="DW28" s="275"/>
      <c r="DX28" s="275"/>
      <c r="DY28" s="275"/>
      <c r="DZ28" s="275"/>
      <c r="EA28" s="275"/>
      <c r="EB28" s="275"/>
      <c r="EC28" s="276"/>
      <c r="ED28" s="277"/>
      <c r="EE28" s="275"/>
      <c r="EF28" s="275"/>
      <c r="EG28" s="275"/>
      <c r="EH28" s="275"/>
      <c r="EI28" s="275"/>
      <c r="EJ28" s="275"/>
      <c r="EK28" s="275"/>
      <c r="EL28" s="275"/>
      <c r="EM28" s="275"/>
      <c r="EN28" s="275"/>
      <c r="EO28" s="275"/>
      <c r="EP28" s="275"/>
      <c r="EQ28" s="275"/>
      <c r="ER28" s="276"/>
      <c r="ES28" s="277"/>
      <c r="ET28" s="275"/>
      <c r="EU28" s="275"/>
      <c r="EV28" s="275"/>
      <c r="EW28" s="275"/>
      <c r="EX28" s="275"/>
      <c r="EY28" s="275"/>
      <c r="EZ28" s="275"/>
      <c r="FA28" s="275"/>
      <c r="FB28" s="275"/>
      <c r="FC28" s="275"/>
      <c r="FD28" s="275"/>
      <c r="FE28" s="275"/>
      <c r="FF28" s="275"/>
      <c r="FG28" s="276"/>
      <c r="FH28" s="277"/>
      <c r="FI28" s="275"/>
      <c r="FJ28" s="275"/>
      <c r="FK28" s="275"/>
      <c r="FL28" s="275"/>
      <c r="FM28" s="275"/>
      <c r="FN28" s="275"/>
      <c r="FO28" s="275"/>
      <c r="FP28" s="275"/>
      <c r="FQ28" s="275"/>
      <c r="FR28" s="275"/>
      <c r="FS28" s="275"/>
      <c r="FT28" s="275"/>
      <c r="FU28" s="275"/>
      <c r="FV28" s="276"/>
      <c r="FW28" s="277"/>
      <c r="FX28" s="275"/>
      <c r="FY28" s="275"/>
      <c r="FZ28" s="275"/>
      <c r="GA28" s="275"/>
      <c r="GB28" s="275"/>
      <c r="GC28" s="275"/>
      <c r="GD28" s="275"/>
      <c r="GE28" s="275"/>
      <c r="GF28" s="275"/>
      <c r="GG28" s="275"/>
      <c r="GH28" s="275"/>
      <c r="GI28" s="275"/>
      <c r="GJ28" s="275"/>
      <c r="GK28" s="276"/>
      <c r="GL28" s="277"/>
      <c r="GM28" s="275"/>
      <c r="GN28" s="275"/>
      <c r="GO28" s="275"/>
      <c r="GP28" s="275"/>
      <c r="GQ28" s="275"/>
      <c r="GR28" s="275"/>
      <c r="GS28" s="275"/>
      <c r="GT28" s="275"/>
      <c r="GU28" s="275"/>
      <c r="GV28" s="275"/>
      <c r="GW28" s="275"/>
      <c r="GX28" s="275"/>
      <c r="GY28" s="275"/>
      <c r="GZ28" s="276"/>
      <c r="HA28" s="277"/>
      <c r="HB28" s="275"/>
      <c r="HC28" s="275"/>
      <c r="HD28" s="275"/>
      <c r="HE28" s="275"/>
      <c r="HF28" s="275"/>
      <c r="HG28" s="275"/>
      <c r="HH28" s="275"/>
      <c r="HI28" s="275"/>
      <c r="HJ28" s="275"/>
      <c r="HK28" s="275"/>
      <c r="HL28" s="275"/>
      <c r="HM28" s="275"/>
      <c r="HN28" s="275"/>
      <c r="HO28" s="276"/>
      <c r="HP28" s="277"/>
      <c r="HQ28" s="275"/>
      <c r="HR28" s="275"/>
      <c r="HS28" s="275"/>
      <c r="HT28" s="275"/>
      <c r="HU28" s="275"/>
      <c r="HV28" s="275"/>
      <c r="HW28" s="275"/>
      <c r="HX28" s="275"/>
      <c r="HY28" s="275"/>
      <c r="HZ28" s="275"/>
      <c r="IA28" s="275"/>
      <c r="IB28" s="275"/>
      <c r="IC28" s="275"/>
      <c r="ID28" s="276"/>
      <c r="IE28" s="277"/>
      <c r="IF28" s="275"/>
      <c r="IG28" s="275"/>
      <c r="IH28" s="275"/>
      <c r="II28" s="275"/>
      <c r="IJ28" s="275"/>
      <c r="IK28" s="275"/>
      <c r="IL28" s="275"/>
      <c r="IM28" s="275"/>
      <c r="IN28" s="275"/>
      <c r="IO28" s="275"/>
      <c r="IP28" s="275"/>
      <c r="IQ28" s="275"/>
      <c r="IR28" s="275"/>
      <c r="IS28" s="276"/>
      <c r="IT28" s="5"/>
    </row>
    <row r="29" spans="1:254" x14ac:dyDescent="0.25">
      <c r="A29" s="284" t="s">
        <v>85</v>
      </c>
      <c r="B29" s="285"/>
      <c r="C29" s="285"/>
      <c r="D29" s="285"/>
      <c r="E29" s="285"/>
      <c r="F29" s="285"/>
      <c r="G29" s="285"/>
      <c r="H29" s="285"/>
      <c r="I29" s="285"/>
      <c r="J29" s="285"/>
      <c r="K29" s="285"/>
      <c r="L29" s="285"/>
      <c r="M29" s="285"/>
      <c r="N29" s="285"/>
      <c r="O29" s="286"/>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c r="BT29" s="20"/>
      <c r="BU29" s="20"/>
      <c r="BV29" s="20"/>
      <c r="BW29" s="20"/>
      <c r="BX29" s="20"/>
      <c r="BY29" s="20"/>
      <c r="BZ29" s="20"/>
      <c r="CA29" s="20"/>
      <c r="CB29" s="20"/>
      <c r="CC29" s="20"/>
      <c r="CD29" s="20"/>
      <c r="CE29" s="20"/>
      <c r="CF29" s="20"/>
      <c r="CG29" s="20"/>
      <c r="CH29" s="20"/>
      <c r="CI29" s="20"/>
      <c r="CJ29" s="20"/>
      <c r="CK29" s="20"/>
      <c r="CL29" s="20"/>
      <c r="CM29" s="20"/>
      <c r="CN29" s="20"/>
      <c r="CO29" s="20"/>
      <c r="CP29" s="20"/>
      <c r="CQ29" s="20"/>
      <c r="CR29" s="20"/>
      <c r="CS29" s="20"/>
      <c r="CT29" s="20"/>
      <c r="CU29" s="20"/>
      <c r="CV29" s="20"/>
      <c r="CW29" s="20"/>
      <c r="CX29" s="20"/>
      <c r="CY29" s="20"/>
      <c r="CZ29" s="20"/>
      <c r="DA29" s="20"/>
      <c r="DB29" s="20"/>
      <c r="DC29" s="20"/>
      <c r="DD29" s="20"/>
      <c r="DE29" s="20"/>
      <c r="DF29" s="20"/>
      <c r="DG29" s="20"/>
      <c r="DH29" s="20"/>
      <c r="DI29" s="20"/>
      <c r="DJ29" s="20"/>
      <c r="DK29" s="20"/>
      <c r="DL29" s="20"/>
      <c r="DM29" s="20"/>
      <c r="DN29" s="20"/>
      <c r="DO29" s="20"/>
      <c r="DP29" s="20"/>
      <c r="DQ29" s="20"/>
      <c r="DR29" s="20"/>
      <c r="DS29" s="20"/>
      <c r="DT29" s="20"/>
      <c r="DU29" s="20"/>
      <c r="DV29" s="20"/>
      <c r="DW29" s="20"/>
      <c r="DX29" s="20"/>
      <c r="DY29" s="20"/>
      <c r="DZ29" s="20"/>
      <c r="EA29" s="20"/>
      <c r="EB29" s="20"/>
      <c r="EC29" s="20"/>
      <c r="ED29" s="20"/>
      <c r="EE29" s="20"/>
      <c r="EF29" s="20"/>
      <c r="EG29" s="20"/>
      <c r="EH29" s="20"/>
      <c r="EI29" s="20"/>
      <c r="EJ29" s="20"/>
      <c r="EK29" s="20"/>
      <c r="EL29" s="20"/>
      <c r="EM29" s="20"/>
      <c r="EN29" s="20"/>
      <c r="EO29" s="20"/>
      <c r="EP29" s="20"/>
      <c r="EQ29" s="20"/>
      <c r="ER29" s="20"/>
      <c r="ES29" s="20"/>
      <c r="ET29" s="20"/>
      <c r="EU29" s="20"/>
      <c r="EV29" s="20"/>
      <c r="EW29" s="20"/>
      <c r="EX29" s="20"/>
      <c r="EY29" s="20"/>
      <c r="EZ29" s="20"/>
      <c r="FA29" s="20"/>
      <c r="FB29" s="20"/>
      <c r="FC29" s="20"/>
      <c r="FD29" s="20"/>
      <c r="FE29" s="20"/>
      <c r="FF29" s="20"/>
      <c r="FG29" s="20"/>
      <c r="FH29" s="20"/>
      <c r="FI29" s="20"/>
      <c r="FJ29" s="20"/>
      <c r="FK29" s="20"/>
      <c r="FL29" s="20"/>
      <c r="FM29" s="20"/>
      <c r="FN29" s="20"/>
      <c r="FO29" s="20"/>
      <c r="FP29" s="20"/>
      <c r="FQ29" s="20"/>
      <c r="FR29" s="20"/>
      <c r="FS29" s="20"/>
      <c r="FT29" s="20"/>
      <c r="FU29" s="20"/>
      <c r="FV29" s="20"/>
      <c r="FW29" s="20"/>
      <c r="FX29" s="20"/>
      <c r="FY29" s="20"/>
      <c r="FZ29" s="20"/>
      <c r="GA29" s="20"/>
      <c r="GB29" s="20"/>
      <c r="GC29" s="20"/>
      <c r="GD29" s="20"/>
      <c r="GE29" s="20"/>
      <c r="GF29" s="20"/>
      <c r="GG29" s="20"/>
      <c r="GH29" s="20"/>
      <c r="GI29" s="20"/>
      <c r="GJ29" s="20"/>
      <c r="GK29" s="20"/>
      <c r="GL29" s="20"/>
      <c r="GM29" s="20"/>
      <c r="GN29" s="20"/>
      <c r="GO29" s="20"/>
      <c r="GP29" s="20"/>
      <c r="GQ29" s="20"/>
      <c r="GR29" s="20"/>
      <c r="GS29" s="20"/>
      <c r="GT29" s="20"/>
      <c r="GU29" s="20"/>
      <c r="GV29" s="20"/>
      <c r="GW29" s="20"/>
      <c r="GX29" s="20"/>
      <c r="GY29" s="20"/>
      <c r="GZ29" s="20"/>
      <c r="HA29" s="20"/>
      <c r="HB29" s="20"/>
      <c r="HC29" s="20"/>
      <c r="HD29" s="20"/>
      <c r="HE29" s="20"/>
      <c r="HF29" s="20"/>
      <c r="HG29" s="20"/>
      <c r="HH29" s="20"/>
      <c r="HI29" s="20"/>
      <c r="HJ29" s="20"/>
      <c r="HK29" s="20"/>
      <c r="HL29" s="20"/>
      <c r="HM29" s="20"/>
      <c r="HN29" s="20"/>
      <c r="HO29" s="20"/>
      <c r="HP29" s="20"/>
      <c r="HQ29" s="20"/>
      <c r="HR29" s="20"/>
      <c r="HS29" s="20"/>
      <c r="HT29" s="20"/>
      <c r="HU29" s="20"/>
      <c r="HV29" s="20"/>
      <c r="HW29" s="20"/>
      <c r="HX29" s="20"/>
      <c r="HY29" s="20"/>
      <c r="HZ29" s="20"/>
      <c r="IA29" s="20"/>
      <c r="IB29" s="20"/>
      <c r="IC29" s="20"/>
      <c r="ID29" s="20"/>
      <c r="IE29" s="20"/>
      <c r="IF29" s="20"/>
      <c r="IG29" s="20"/>
      <c r="IH29" s="20"/>
      <c r="II29" s="20"/>
      <c r="IJ29" s="20"/>
      <c r="IK29" s="20"/>
      <c r="IL29" s="20"/>
      <c r="IM29" s="20"/>
      <c r="IN29" s="20"/>
      <c r="IO29" s="20"/>
      <c r="IP29" s="20"/>
      <c r="IQ29" s="20"/>
      <c r="IR29" s="20"/>
      <c r="IS29" s="20"/>
      <c r="IT29" s="20"/>
    </row>
    <row r="30" spans="1:254" ht="15" customHeight="1" x14ac:dyDescent="0.25">
      <c r="A30" s="278" t="s">
        <v>826</v>
      </c>
      <c r="B30" s="285"/>
      <c r="C30" s="285"/>
      <c r="D30" s="285"/>
      <c r="E30" s="285"/>
      <c r="F30" s="285"/>
      <c r="G30" s="285"/>
      <c r="H30" s="285"/>
      <c r="I30" s="285"/>
      <c r="J30" s="285"/>
      <c r="K30" s="285"/>
      <c r="L30" s="285"/>
      <c r="M30" s="285"/>
      <c r="N30" s="285"/>
      <c r="O30" s="286"/>
      <c r="P30" s="20"/>
      <c r="Q30" s="20"/>
      <c r="R30" s="20"/>
      <c r="S30" s="20"/>
      <c r="T30" s="20"/>
      <c r="U30" s="20"/>
      <c r="V30" s="20"/>
      <c r="W30" s="20"/>
      <c r="X30" s="20"/>
      <c r="Y30" s="20"/>
      <c r="Z30" s="20"/>
      <c r="AA30" s="20"/>
      <c r="AB30" s="20"/>
      <c r="AC30" s="20"/>
      <c r="AD30" s="20"/>
      <c r="AE30" s="20"/>
      <c r="AF30" s="20"/>
      <c r="AG30" s="20"/>
      <c r="AH30" s="20"/>
      <c r="AI30" s="20"/>
      <c r="AJ30" s="20"/>
      <c r="AK30" s="20"/>
      <c r="AL30" s="20"/>
      <c r="AM30" s="20"/>
      <c r="AN30" s="20"/>
      <c r="AO30" s="20"/>
      <c r="AP30" s="20"/>
      <c r="AQ30" s="20"/>
      <c r="AR30" s="20"/>
      <c r="AS30" s="20"/>
      <c r="AT30" s="20"/>
      <c r="AU30" s="20"/>
      <c r="AV30" s="20"/>
      <c r="AW30" s="20"/>
      <c r="AX30" s="20"/>
      <c r="AY30" s="20"/>
      <c r="AZ30" s="20"/>
      <c r="BA30" s="20"/>
      <c r="BB30" s="20"/>
      <c r="BC30" s="20"/>
      <c r="BD30" s="20"/>
      <c r="BE30" s="20"/>
      <c r="BF30" s="20"/>
      <c r="BG30" s="20"/>
      <c r="BH30" s="20"/>
      <c r="BI30" s="20"/>
      <c r="BJ30" s="20"/>
      <c r="BK30" s="20"/>
      <c r="BL30" s="20"/>
      <c r="BM30" s="20"/>
      <c r="BN30" s="20"/>
      <c r="BO30" s="20"/>
      <c r="BP30" s="20"/>
      <c r="BQ30" s="20"/>
      <c r="BR30" s="20"/>
      <c r="BS30" s="20"/>
      <c r="BT30" s="20"/>
      <c r="BU30" s="20"/>
      <c r="BV30" s="20"/>
      <c r="BW30" s="20"/>
      <c r="BX30" s="20"/>
      <c r="BY30" s="20"/>
      <c r="BZ30" s="20"/>
      <c r="CA30" s="20"/>
      <c r="CB30" s="20"/>
      <c r="CC30" s="20"/>
      <c r="CD30" s="20"/>
      <c r="CE30" s="20"/>
      <c r="CF30" s="20"/>
      <c r="CG30" s="20"/>
      <c r="CH30" s="20"/>
      <c r="CI30" s="20"/>
      <c r="CJ30" s="20"/>
      <c r="CK30" s="20"/>
      <c r="CL30" s="20"/>
      <c r="CM30" s="20"/>
      <c r="CN30" s="20"/>
      <c r="CO30" s="20"/>
      <c r="CP30" s="20"/>
      <c r="CQ30" s="20"/>
      <c r="CR30" s="20"/>
      <c r="CS30" s="20"/>
      <c r="CT30" s="20"/>
      <c r="CU30" s="20"/>
      <c r="CV30" s="20"/>
      <c r="CW30" s="20"/>
      <c r="CX30" s="20"/>
      <c r="CY30" s="20"/>
      <c r="CZ30" s="20"/>
      <c r="DA30" s="20"/>
      <c r="DB30" s="20"/>
      <c r="DC30" s="20"/>
      <c r="DD30" s="20"/>
      <c r="DE30" s="20"/>
      <c r="DF30" s="20"/>
      <c r="DG30" s="20"/>
      <c r="DH30" s="20"/>
      <c r="DI30" s="20"/>
      <c r="DJ30" s="20"/>
      <c r="DK30" s="20"/>
      <c r="DL30" s="20"/>
      <c r="DM30" s="20"/>
      <c r="DN30" s="20"/>
      <c r="DO30" s="20"/>
      <c r="DP30" s="20"/>
      <c r="DQ30" s="20"/>
      <c r="DR30" s="20"/>
      <c r="DS30" s="20"/>
      <c r="DT30" s="20"/>
      <c r="DU30" s="20"/>
      <c r="DV30" s="20"/>
      <c r="DW30" s="20"/>
      <c r="DX30" s="20"/>
      <c r="DY30" s="20"/>
      <c r="DZ30" s="20"/>
      <c r="EA30" s="20"/>
      <c r="EB30" s="20"/>
      <c r="EC30" s="20"/>
      <c r="ED30" s="20"/>
      <c r="EE30" s="20"/>
      <c r="EF30" s="20"/>
      <c r="EG30" s="20"/>
      <c r="EH30" s="20"/>
      <c r="EI30" s="20"/>
      <c r="EJ30" s="20"/>
      <c r="EK30" s="20"/>
      <c r="EL30" s="20"/>
      <c r="EM30" s="20"/>
      <c r="EN30" s="20"/>
      <c r="EO30" s="20"/>
      <c r="EP30" s="20"/>
      <c r="EQ30" s="20"/>
      <c r="ER30" s="20"/>
      <c r="ES30" s="20"/>
      <c r="ET30" s="20"/>
      <c r="EU30" s="20"/>
      <c r="EV30" s="20"/>
      <c r="EW30" s="20"/>
      <c r="EX30" s="20"/>
      <c r="EY30" s="20"/>
      <c r="EZ30" s="20"/>
      <c r="FA30" s="20"/>
      <c r="FB30" s="20"/>
      <c r="FC30" s="20"/>
      <c r="FD30" s="20"/>
      <c r="FE30" s="20"/>
      <c r="FF30" s="20"/>
      <c r="FG30" s="20"/>
      <c r="FH30" s="20"/>
      <c r="FI30" s="20"/>
      <c r="FJ30" s="20"/>
      <c r="FK30" s="20"/>
      <c r="FL30" s="20"/>
      <c r="FM30" s="20"/>
      <c r="FN30" s="20"/>
      <c r="FO30" s="20"/>
      <c r="FP30" s="20"/>
      <c r="FQ30" s="20"/>
      <c r="FR30" s="20"/>
      <c r="FS30" s="20"/>
      <c r="FT30" s="20"/>
      <c r="FU30" s="20"/>
      <c r="FV30" s="20"/>
      <c r="FW30" s="20"/>
      <c r="FX30" s="20"/>
      <c r="FY30" s="20"/>
      <c r="FZ30" s="20"/>
      <c r="GA30" s="20"/>
      <c r="GB30" s="20"/>
      <c r="GC30" s="20"/>
      <c r="GD30" s="20"/>
      <c r="GE30" s="20"/>
      <c r="GF30" s="20"/>
      <c r="GG30" s="20"/>
      <c r="GH30" s="20"/>
      <c r="GI30" s="20"/>
      <c r="GJ30" s="20"/>
      <c r="GK30" s="20"/>
      <c r="GL30" s="20"/>
      <c r="GM30" s="20"/>
      <c r="GN30" s="20"/>
      <c r="GO30" s="20"/>
      <c r="GP30" s="20"/>
      <c r="GQ30" s="20"/>
      <c r="GR30" s="20"/>
      <c r="GS30" s="20"/>
      <c r="GT30" s="20"/>
      <c r="GU30" s="20"/>
      <c r="GV30" s="20"/>
      <c r="GW30" s="20"/>
      <c r="GX30" s="20"/>
      <c r="GY30" s="20"/>
      <c r="GZ30" s="20"/>
      <c r="HA30" s="20"/>
      <c r="HB30" s="20"/>
      <c r="HC30" s="20"/>
      <c r="HD30" s="20"/>
      <c r="HE30" s="20"/>
      <c r="HF30" s="20"/>
      <c r="HG30" s="20"/>
      <c r="HH30" s="20"/>
      <c r="HI30" s="20"/>
      <c r="HJ30" s="20"/>
      <c r="HK30" s="20"/>
      <c r="HL30" s="20"/>
      <c r="HM30" s="20"/>
      <c r="HN30" s="20"/>
      <c r="HO30" s="20"/>
      <c r="HP30" s="20"/>
      <c r="HQ30" s="20"/>
      <c r="HR30" s="20"/>
      <c r="HS30" s="20"/>
      <c r="HT30" s="20"/>
      <c r="HU30" s="20"/>
      <c r="HV30" s="20"/>
      <c r="HW30" s="20"/>
      <c r="HX30" s="20"/>
      <c r="HY30" s="20"/>
      <c r="HZ30" s="20"/>
      <c r="IA30" s="20"/>
      <c r="IB30" s="20"/>
      <c r="IC30" s="20"/>
      <c r="ID30" s="20"/>
      <c r="IE30" s="20"/>
      <c r="IF30" s="20"/>
      <c r="IG30" s="20"/>
      <c r="IH30" s="20"/>
      <c r="II30" s="20"/>
      <c r="IJ30" s="20"/>
      <c r="IK30" s="20"/>
      <c r="IL30" s="20"/>
      <c r="IM30" s="20"/>
      <c r="IN30" s="20"/>
      <c r="IO30" s="20"/>
      <c r="IP30" s="20"/>
      <c r="IQ30" s="20"/>
      <c r="IR30" s="20"/>
      <c r="IS30" s="20"/>
      <c r="IT30" s="20"/>
    </row>
    <row r="31" spans="1:254" s="3" customFormat="1" x14ac:dyDescent="0.25">
      <c r="A31" s="267"/>
      <c r="B31" s="268"/>
      <c r="C31" s="268"/>
      <c r="D31" s="268"/>
      <c r="E31" s="268"/>
      <c r="F31" s="268"/>
      <c r="G31" s="268"/>
      <c r="H31" s="268"/>
      <c r="I31" s="268"/>
      <c r="J31" s="268"/>
      <c r="K31" s="268"/>
      <c r="L31" s="268"/>
      <c r="M31" s="268"/>
      <c r="N31" s="268"/>
      <c r="O31" s="269"/>
    </row>
    <row r="32" spans="1:254" s="3" customFormat="1" ht="23.25" customHeight="1" x14ac:dyDescent="0.25">
      <c r="A32" s="287" t="s">
        <v>41</v>
      </c>
      <c r="B32" s="288"/>
      <c r="C32" s="288"/>
      <c r="D32" s="288"/>
      <c r="E32" s="288"/>
      <c r="F32" s="288"/>
      <c r="G32" s="288"/>
      <c r="H32" s="288"/>
      <c r="I32" s="288"/>
      <c r="J32" s="288"/>
      <c r="K32" s="288"/>
      <c r="L32" s="288"/>
      <c r="M32" s="288"/>
      <c r="N32" s="288"/>
      <c r="O32" s="289"/>
    </row>
    <row r="33" spans="1:15" s="3" customFormat="1" x14ac:dyDescent="0.25">
      <c r="A33" s="273" t="s">
        <v>817</v>
      </c>
      <c r="B33" s="285" t="s">
        <v>319</v>
      </c>
      <c r="C33" s="285"/>
      <c r="D33" s="285"/>
      <c r="E33" s="285"/>
      <c r="F33" s="285"/>
      <c r="G33" s="285"/>
      <c r="H33" s="285"/>
      <c r="I33" s="285"/>
      <c r="J33" s="285"/>
      <c r="K33" s="285"/>
      <c r="L33" s="285"/>
      <c r="M33" s="285"/>
      <c r="N33" s="285"/>
      <c r="O33" s="286"/>
    </row>
    <row r="34" spans="1:15" s="3" customFormat="1" x14ac:dyDescent="0.25">
      <c r="A34" s="273" t="s">
        <v>454</v>
      </c>
      <c r="B34" s="285" t="s">
        <v>455</v>
      </c>
      <c r="C34" s="285"/>
      <c r="D34" s="285"/>
      <c r="E34" s="285"/>
      <c r="F34" s="285"/>
      <c r="G34" s="285"/>
      <c r="H34" s="285"/>
      <c r="I34" s="285"/>
      <c r="J34" s="285"/>
      <c r="K34" s="285"/>
      <c r="L34" s="285"/>
      <c r="M34" s="285"/>
      <c r="N34" s="285"/>
      <c r="O34" s="286"/>
    </row>
    <row r="35" spans="1:15" s="3" customFormat="1" x14ac:dyDescent="0.25">
      <c r="A35" s="273" t="s">
        <v>18</v>
      </c>
      <c r="B35" s="285" t="s">
        <v>55</v>
      </c>
      <c r="C35" s="285"/>
      <c r="D35" s="285"/>
      <c r="E35" s="285"/>
      <c r="F35" s="285"/>
      <c r="G35" s="285"/>
      <c r="H35" s="285"/>
      <c r="I35" s="285"/>
      <c r="J35" s="285"/>
      <c r="K35" s="285"/>
      <c r="L35" s="285"/>
      <c r="M35" s="285"/>
      <c r="N35" s="285"/>
      <c r="O35" s="286"/>
    </row>
    <row r="36" spans="1:15" s="3" customFormat="1" ht="15" customHeight="1" x14ac:dyDescent="0.25">
      <c r="A36" s="273" t="s">
        <v>297</v>
      </c>
      <c r="B36" s="285" t="s">
        <v>323</v>
      </c>
      <c r="C36" s="285"/>
      <c r="D36" s="285"/>
      <c r="E36" s="285"/>
      <c r="F36" s="285"/>
      <c r="G36" s="285"/>
      <c r="H36" s="285"/>
      <c r="I36" s="285"/>
      <c r="J36" s="285"/>
      <c r="K36" s="285"/>
      <c r="L36" s="285"/>
      <c r="M36" s="285"/>
      <c r="N36" s="285"/>
      <c r="O36" s="286"/>
    </row>
    <row r="37" spans="1:15" s="3" customFormat="1" x14ac:dyDescent="0.25">
      <c r="A37" s="273" t="s">
        <v>17</v>
      </c>
      <c r="B37" s="285" t="s">
        <v>56</v>
      </c>
      <c r="C37" s="285"/>
      <c r="D37" s="285"/>
      <c r="E37" s="285"/>
      <c r="F37" s="285"/>
      <c r="G37" s="285"/>
      <c r="H37" s="285"/>
      <c r="I37" s="285"/>
      <c r="J37" s="285"/>
      <c r="K37" s="285"/>
      <c r="L37" s="285"/>
      <c r="M37" s="285"/>
      <c r="N37" s="285"/>
      <c r="O37" s="286"/>
    </row>
    <row r="38" spans="1:15" s="3" customFormat="1" x14ac:dyDescent="0.25">
      <c r="A38" s="273" t="s">
        <v>19</v>
      </c>
      <c r="B38" s="285" t="s">
        <v>76</v>
      </c>
      <c r="C38" s="285"/>
      <c r="D38" s="285"/>
      <c r="E38" s="285"/>
      <c r="F38" s="285"/>
      <c r="G38" s="285"/>
      <c r="H38" s="285"/>
      <c r="I38" s="285"/>
      <c r="J38" s="285"/>
      <c r="K38" s="285"/>
      <c r="L38" s="285"/>
      <c r="M38" s="285"/>
      <c r="N38" s="285"/>
      <c r="O38" s="286"/>
    </row>
    <row r="39" spans="1:15" s="3" customFormat="1" ht="15" customHeight="1" x14ac:dyDescent="0.25">
      <c r="A39" s="273" t="s">
        <v>40</v>
      </c>
      <c r="B39" s="285" t="s">
        <v>75</v>
      </c>
      <c r="C39" s="285"/>
      <c r="D39" s="285"/>
      <c r="E39" s="285"/>
      <c r="F39" s="285"/>
      <c r="G39" s="285"/>
      <c r="H39" s="285"/>
      <c r="I39" s="285"/>
      <c r="J39" s="285"/>
      <c r="K39" s="285"/>
      <c r="L39" s="285"/>
      <c r="M39" s="285"/>
      <c r="N39" s="285"/>
      <c r="O39" s="286"/>
    </row>
    <row r="40" spans="1:15" s="3" customFormat="1" ht="15" customHeight="1" x14ac:dyDescent="0.25">
      <c r="A40" s="274" t="s">
        <v>816</v>
      </c>
      <c r="B40" s="290" t="s">
        <v>446</v>
      </c>
      <c r="C40" s="290"/>
      <c r="D40" s="290"/>
      <c r="E40" s="290"/>
      <c r="F40" s="290"/>
      <c r="G40" s="290"/>
      <c r="H40" s="290"/>
      <c r="I40" s="290"/>
      <c r="J40" s="290"/>
      <c r="K40" s="290"/>
      <c r="L40" s="290"/>
      <c r="M40" s="290"/>
      <c r="N40" s="290"/>
      <c r="O40" s="291"/>
    </row>
    <row r="41" spans="1:15" s="3" customFormat="1" x14ac:dyDescent="0.25">
      <c r="A41" s="6"/>
      <c r="B41" s="2"/>
      <c r="C41" s="2"/>
      <c r="D41" s="2"/>
      <c r="E41" s="2"/>
      <c r="F41" s="2"/>
      <c r="G41" s="2"/>
      <c r="H41" s="2"/>
      <c r="I41" s="2"/>
      <c r="J41" s="2"/>
      <c r="K41" s="2"/>
      <c r="L41" s="2"/>
      <c r="M41" s="2"/>
      <c r="N41" s="2"/>
      <c r="O41" s="2"/>
    </row>
    <row r="42" spans="1:15" s="3" customFormat="1" x14ac:dyDescent="0.25">
      <c r="A42" s="6"/>
      <c r="B42" s="2"/>
      <c r="C42" s="2"/>
      <c r="D42" s="2"/>
      <c r="E42" s="2"/>
      <c r="F42" s="2"/>
      <c r="G42" s="2"/>
      <c r="H42" s="2"/>
      <c r="I42" s="2"/>
      <c r="J42" s="2"/>
      <c r="K42" s="2"/>
      <c r="L42" s="2"/>
      <c r="M42" s="2"/>
      <c r="N42" s="2"/>
      <c r="O42" s="2"/>
    </row>
    <row r="43" spans="1:15" x14ac:dyDescent="0.25">
      <c r="A43" s="1"/>
      <c r="B43" s="1"/>
      <c r="C43" s="1"/>
      <c r="D43" s="1"/>
      <c r="E43" s="1"/>
      <c r="F43" s="1"/>
      <c r="G43" s="1"/>
      <c r="H43" s="1"/>
      <c r="I43" s="1"/>
      <c r="J43" s="1"/>
      <c r="K43" s="1"/>
      <c r="L43" s="1"/>
      <c r="M43" s="1"/>
      <c r="N43" s="1"/>
      <c r="O43" s="1"/>
    </row>
    <row r="44" spans="1:15" x14ac:dyDescent="0.25">
      <c r="A44" s="1"/>
      <c r="B44" s="1"/>
      <c r="C44" s="1"/>
      <c r="D44" s="1"/>
      <c r="E44" s="1"/>
      <c r="F44" s="1"/>
      <c r="G44" s="1"/>
      <c r="H44" s="1"/>
      <c r="I44" s="1"/>
      <c r="J44" s="1"/>
      <c r="K44" s="1"/>
      <c r="L44" s="1"/>
      <c r="M44" s="1"/>
      <c r="N44" s="1"/>
      <c r="O44" s="1"/>
    </row>
  </sheetData>
  <sheetProtection password="CD36" sheet="1" objects="1" scenarios="1"/>
  <mergeCells count="112">
    <mergeCell ref="B34:O34"/>
    <mergeCell ref="B39:O39"/>
    <mergeCell ref="A13:O13"/>
    <mergeCell ref="B16:O16"/>
    <mergeCell ref="B14:O14"/>
    <mergeCell ref="B17:O17"/>
    <mergeCell ref="B15:O15"/>
    <mergeCell ref="A29:O29"/>
    <mergeCell ref="B36:O36"/>
    <mergeCell ref="A30:O30"/>
    <mergeCell ref="B33:O33"/>
    <mergeCell ref="B35:O35"/>
    <mergeCell ref="B38:O38"/>
    <mergeCell ref="A32:O32"/>
    <mergeCell ref="B37:O37"/>
    <mergeCell ref="A27:O27"/>
    <mergeCell ref="HP28:ID28"/>
    <mergeCell ref="BV28:CJ28"/>
    <mergeCell ref="CK27:CY27"/>
    <mergeCell ref="CK28:CY28"/>
    <mergeCell ref="HA27:HO27"/>
    <mergeCell ref="HP27:ID27"/>
    <mergeCell ref="FW27:GK27"/>
    <mergeCell ref="IE27:IS27"/>
    <mergeCell ref="B40:O40"/>
    <mergeCell ref="IE28:IS28"/>
    <mergeCell ref="CZ28:DN28"/>
    <mergeCell ref="DO28:EC28"/>
    <mergeCell ref="ED28:ER28"/>
    <mergeCell ref="AR28:BF28"/>
    <mergeCell ref="BG28:BU28"/>
    <mergeCell ref="BG27:BU27"/>
    <mergeCell ref="BV27:CJ27"/>
    <mergeCell ref="ES28:FG28"/>
    <mergeCell ref="FH28:FV28"/>
    <mergeCell ref="FW28:GK28"/>
    <mergeCell ref="GL28:GZ28"/>
    <mergeCell ref="HA28:HO28"/>
    <mergeCell ref="AC28:AQ28"/>
    <mergeCell ref="A28:O28"/>
    <mergeCell ref="HP13:ID13"/>
    <mergeCell ref="IE13:IS13"/>
    <mergeCell ref="FW9:GK9"/>
    <mergeCell ref="GL9:GZ9"/>
    <mergeCell ref="CK26:CY26"/>
    <mergeCell ref="FH26:FV26"/>
    <mergeCell ref="FH27:FV27"/>
    <mergeCell ref="CZ26:DN26"/>
    <mergeCell ref="DO26:EC26"/>
    <mergeCell ref="ED26:ER26"/>
    <mergeCell ref="ES26:FG26"/>
    <mergeCell ref="FW26:GK26"/>
    <mergeCell ref="GL26:GZ26"/>
    <mergeCell ref="CZ27:DN27"/>
    <mergeCell ref="DO27:EC27"/>
    <mergeCell ref="ED27:ER27"/>
    <mergeCell ref="ES27:FG27"/>
    <mergeCell ref="GL27:GZ27"/>
    <mergeCell ref="HA9:HO9"/>
    <mergeCell ref="CZ13:DN13"/>
    <mergeCell ref="DO13:EC13"/>
    <mergeCell ref="CK9:CY9"/>
    <mergeCell ref="FH9:FV9"/>
    <mergeCell ref="FH13:FV13"/>
    <mergeCell ref="P9:AB9"/>
    <mergeCell ref="AC9:AQ9"/>
    <mergeCell ref="AR9:BF9"/>
    <mergeCell ref="BG9:BU9"/>
    <mergeCell ref="HA26:HO26"/>
    <mergeCell ref="HP26:ID26"/>
    <mergeCell ref="IE26:IS26"/>
    <mergeCell ref="BG26:BU26"/>
    <mergeCell ref="BV26:CJ26"/>
    <mergeCell ref="AC13:AQ13"/>
    <mergeCell ref="AR13:BF13"/>
    <mergeCell ref="ED9:ER9"/>
    <mergeCell ref="ES9:FG9"/>
    <mergeCell ref="BV9:CJ9"/>
    <mergeCell ref="BG13:BU13"/>
    <mergeCell ref="BV13:CJ13"/>
    <mergeCell ref="CZ9:DN9"/>
    <mergeCell ref="DO9:EC9"/>
    <mergeCell ref="CK13:CY13"/>
    <mergeCell ref="HP9:ID9"/>
    <mergeCell ref="IE9:IS9"/>
    <mergeCell ref="FW13:GK13"/>
    <mergeCell ref="GL13:GZ13"/>
    <mergeCell ref="HA13:HO13"/>
    <mergeCell ref="P27:AB27"/>
    <mergeCell ref="AC27:AQ27"/>
    <mergeCell ref="AR27:BF27"/>
    <mergeCell ref="P28:AB28"/>
    <mergeCell ref="ED13:ER13"/>
    <mergeCell ref="ES13:FG13"/>
    <mergeCell ref="A6:O6"/>
    <mergeCell ref="A2:O2"/>
    <mergeCell ref="A26:O26"/>
    <mergeCell ref="P13:AB13"/>
    <mergeCell ref="P26:AB26"/>
    <mergeCell ref="AC26:AQ26"/>
    <mergeCell ref="AR26:BF26"/>
    <mergeCell ref="A3:O3"/>
    <mergeCell ref="A8:O8"/>
    <mergeCell ref="A12:O12"/>
    <mergeCell ref="A21:O21"/>
    <mergeCell ref="A9:O9"/>
    <mergeCell ref="A10:O10"/>
    <mergeCell ref="A4:O4"/>
    <mergeCell ref="A5:O5"/>
    <mergeCell ref="A25:O25"/>
    <mergeCell ref="A23:O23"/>
    <mergeCell ref="A22:O22"/>
  </mergeCells>
  <phoneticPr fontId="0" type="noConversion"/>
  <hyperlinks>
    <hyperlink ref="A37" location="Summary!A1" display="Summary"/>
    <hyperlink ref="A36" location="Demand!A1" display="Demand"/>
    <hyperlink ref="A35" location="Capacity!A1" display="Capacity"/>
    <hyperlink ref="A38" location="Graphs!A1" display="Graphs"/>
    <hyperlink ref="A33" location="Demand!A1" display="Demand"/>
    <hyperlink ref="A39" location="Calculations!A1" display="Calculations"/>
    <hyperlink ref="A34" location="SPC!A1" display="SPC"/>
    <hyperlink ref="A40" location="'Backlog Clearance'!A1" display="Backlog Clearance"/>
  </hyperlinks>
  <pageMargins left="0.39370078740157483" right="0.39370078740157483" top="0.78740157480314965" bottom="0.59055118110236227" header="0.19685039370078741" footer="0"/>
  <pageSetup paperSize="9" scale="65" fitToHeight="0" orientation="portrait" errors="blank" r:id="rId1"/>
  <headerFooter>
    <oddHeader>&amp;R&amp;G</oddHeader>
  </headerFooter>
  <drawing r:id="rId2"/>
  <legacyDrawingHF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pageSetUpPr fitToPage="1"/>
  </sheetPr>
  <dimension ref="A2:V1025"/>
  <sheetViews>
    <sheetView showGridLines="0" showRowColHeaders="0" zoomScaleNormal="100" workbookViewId="0">
      <selection activeCell="D25" sqref="D25"/>
    </sheetView>
  </sheetViews>
  <sheetFormatPr defaultRowHeight="15" x14ac:dyDescent="0.25"/>
  <cols>
    <col min="1" max="2" width="8.28515625" customWidth="1"/>
    <col min="3" max="3" width="11.85546875" customWidth="1"/>
    <col min="4" max="5" width="10.28515625" customWidth="1"/>
    <col min="6" max="6" width="8" bestFit="1" customWidth="1"/>
    <col min="7" max="7" width="11.42578125" customWidth="1"/>
    <col min="8" max="8" width="8.85546875" bestFit="1" customWidth="1"/>
    <col min="10" max="10" width="11.5703125" customWidth="1"/>
    <col min="11" max="11" width="9.28515625" customWidth="1"/>
    <col min="12" max="14" width="13.42578125" customWidth="1"/>
    <col min="15" max="16" width="4.28515625" style="69" customWidth="1"/>
    <col min="17" max="17" width="8.28515625" style="70" customWidth="1"/>
    <col min="18" max="18" width="8" style="70" customWidth="1"/>
    <col min="19" max="19" width="8.28515625" style="71" customWidth="1"/>
    <col min="20" max="20" width="8.140625" style="71" customWidth="1"/>
    <col min="21" max="21" width="9.140625" style="47"/>
    <col min="22" max="22" width="9.140625" style="50"/>
  </cols>
  <sheetData>
    <row r="2" spans="1:22" ht="54" customHeight="1" x14ac:dyDescent="0.25">
      <c r="A2" s="298" t="str">
        <f>"Your Data - "&amp;ModelName</f>
        <v>Your Data - The IST IMAS First Outpatients Demand &amp; Capacity Model</v>
      </c>
      <c r="B2" s="299"/>
      <c r="C2" s="299"/>
      <c r="D2" s="299"/>
      <c r="E2" s="299"/>
      <c r="F2" s="299"/>
      <c r="G2" s="299"/>
      <c r="H2" s="299"/>
      <c r="I2" s="299"/>
      <c r="J2" s="299"/>
      <c r="K2" s="299"/>
      <c r="L2" s="299"/>
      <c r="M2" s="299"/>
      <c r="N2" s="299"/>
      <c r="O2" s="300"/>
      <c r="P2" s="66"/>
      <c r="Q2" s="66"/>
      <c r="R2" s="66"/>
      <c r="S2" s="66"/>
      <c r="T2" s="66"/>
    </row>
    <row r="3" spans="1:22" s="3" customFormat="1" ht="23.25" customHeight="1" x14ac:dyDescent="0.25">
      <c r="A3" s="323" t="s">
        <v>68</v>
      </c>
      <c r="B3" s="324"/>
      <c r="C3" s="324"/>
      <c r="D3" s="324"/>
      <c r="E3" s="324"/>
      <c r="F3" s="324"/>
      <c r="G3" s="324"/>
      <c r="H3" s="324"/>
      <c r="I3" s="324"/>
      <c r="J3" s="324"/>
      <c r="K3" s="324"/>
      <c r="L3" s="324"/>
      <c r="M3" s="324"/>
      <c r="N3" s="324"/>
      <c r="O3" s="325"/>
      <c r="P3" s="67"/>
      <c r="Q3" s="67"/>
      <c r="R3" s="67"/>
      <c r="S3" s="68"/>
      <c r="T3" s="68"/>
      <c r="U3" s="48"/>
      <c r="V3" s="51"/>
    </row>
    <row r="4" spans="1:22" ht="15.75" thickBot="1" x14ac:dyDescent="0.3">
      <c r="A4" s="24"/>
    </row>
    <row r="5" spans="1:22" ht="15" customHeight="1" x14ac:dyDescent="0.25">
      <c r="A5" s="24"/>
      <c r="B5" s="35" t="s">
        <v>288</v>
      </c>
      <c r="C5" s="7"/>
      <c r="D5" s="7"/>
      <c r="E5" s="7"/>
      <c r="F5" s="7"/>
      <c r="G5" s="7"/>
      <c r="H5" s="7"/>
      <c r="K5" s="306" t="s">
        <v>418</v>
      </c>
      <c r="L5" s="307"/>
      <c r="M5" s="308"/>
    </row>
    <row r="6" spans="1:22" ht="15" customHeight="1" x14ac:dyDescent="0.25">
      <c r="A6" s="24"/>
      <c r="B6" s="313" t="s">
        <v>87</v>
      </c>
      <c r="C6" s="314"/>
      <c r="D6" s="314"/>
      <c r="E6" s="314"/>
      <c r="F6" s="314"/>
      <c r="G6" s="315"/>
      <c r="K6" s="309"/>
      <c r="L6" s="310"/>
      <c r="M6" s="311"/>
    </row>
    <row r="7" spans="1:22" x14ac:dyDescent="0.25">
      <c r="A7" s="24"/>
      <c r="B7" s="301" t="s">
        <v>405</v>
      </c>
      <c r="C7" s="301"/>
      <c r="D7" s="301"/>
      <c r="E7" s="301"/>
      <c r="F7" s="301"/>
      <c r="G7" s="301"/>
      <c r="H7" s="301"/>
      <c r="K7" s="303">
        <f>L8</f>
        <v>2401</v>
      </c>
      <c r="L7" s="304"/>
      <c r="M7" s="305"/>
    </row>
    <row r="8" spans="1:22" ht="15.75" customHeight="1" thickBot="1" x14ac:dyDescent="0.3">
      <c r="A8" s="24"/>
      <c r="B8" s="316" t="s">
        <v>330</v>
      </c>
      <c r="C8" s="317"/>
      <c r="D8" s="317"/>
      <c r="E8" s="317"/>
      <c r="F8" s="317"/>
      <c r="G8" s="318"/>
      <c r="H8" s="60"/>
      <c r="K8" s="106"/>
      <c r="L8" s="107">
        <v>2401</v>
      </c>
      <c r="M8" s="108"/>
    </row>
    <row r="9" spans="1:22" ht="15" customHeight="1" x14ac:dyDescent="0.25">
      <c r="A9" s="24"/>
      <c r="B9" s="312"/>
      <c r="C9" s="312"/>
      <c r="D9" s="312"/>
      <c r="E9" s="312"/>
      <c r="F9" s="312"/>
      <c r="G9" s="312"/>
      <c r="H9" s="19"/>
    </row>
    <row r="10" spans="1:22" s="60" customFormat="1" ht="15" customHeight="1" x14ac:dyDescent="0.25">
      <c r="A10" s="24"/>
      <c r="B10" s="320" t="s">
        <v>471</v>
      </c>
      <c r="C10" s="320"/>
      <c r="D10" s="320"/>
      <c r="E10" s="320"/>
      <c r="F10" s="320"/>
      <c r="G10" s="320"/>
      <c r="H10" s="320"/>
      <c r="I10" s="320"/>
      <c r="J10" s="320"/>
      <c r="K10" s="320"/>
      <c r="L10" s="320"/>
      <c r="M10" s="320"/>
      <c r="N10" s="320"/>
      <c r="O10" s="71"/>
      <c r="P10" s="71"/>
      <c r="Q10" s="71"/>
      <c r="R10" s="71"/>
      <c r="S10" s="71"/>
      <c r="T10" s="71"/>
    </row>
    <row r="11" spans="1:22" s="60" customFormat="1" x14ac:dyDescent="0.25">
      <c r="A11" s="24"/>
      <c r="B11" s="321" t="s">
        <v>472</v>
      </c>
      <c r="C11" s="321"/>
      <c r="D11" s="321"/>
      <c r="E11" s="321"/>
      <c r="F11" s="321"/>
      <c r="G11" s="321"/>
      <c r="H11" s="321"/>
      <c r="I11" s="321"/>
      <c r="J11" s="321"/>
      <c r="K11" s="321"/>
      <c r="L11" s="321"/>
      <c r="M11" s="321"/>
      <c r="N11" s="321"/>
      <c r="O11" s="71"/>
      <c r="P11" s="71"/>
      <c r="Q11" s="71"/>
      <c r="R11" s="71"/>
      <c r="S11" s="71"/>
      <c r="T11" s="71"/>
    </row>
    <row r="12" spans="1:22" s="60" customFormat="1" x14ac:dyDescent="0.25">
      <c r="A12" s="24"/>
      <c r="B12" s="321"/>
      <c r="C12" s="321"/>
      <c r="D12" s="321"/>
      <c r="E12" s="321"/>
      <c r="F12" s="321"/>
      <c r="G12" s="321"/>
      <c r="H12" s="321"/>
      <c r="I12" s="321"/>
      <c r="J12" s="321"/>
      <c r="K12" s="321"/>
      <c r="L12" s="321"/>
      <c r="M12" s="321"/>
      <c r="N12" s="321"/>
      <c r="O12" s="71"/>
      <c r="P12" s="71"/>
      <c r="Q12" s="71"/>
      <c r="R12" s="71"/>
      <c r="S12" s="71"/>
      <c r="T12" s="71"/>
    </row>
    <row r="13" spans="1:22" ht="15" customHeight="1" x14ac:dyDescent="0.25">
      <c r="A13" s="24"/>
      <c r="B13" s="322" t="s">
        <v>810</v>
      </c>
      <c r="C13" s="322"/>
      <c r="D13" s="322"/>
      <c r="E13" s="322"/>
      <c r="F13" s="322"/>
      <c r="G13" s="322"/>
      <c r="H13" s="322"/>
      <c r="J13" s="319" t="s">
        <v>419</v>
      </c>
      <c r="K13" s="319"/>
      <c r="L13" s="319"/>
      <c r="M13" s="319"/>
      <c r="N13" s="319"/>
    </row>
    <row r="14" spans="1:22" x14ac:dyDescent="0.25">
      <c r="A14" s="24"/>
      <c r="B14" s="322"/>
      <c r="C14" s="322"/>
      <c r="D14" s="322"/>
      <c r="E14" s="322"/>
      <c r="F14" s="322"/>
      <c r="G14" s="322"/>
      <c r="H14" s="322"/>
      <c r="J14" s="319"/>
      <c r="K14" s="319"/>
      <c r="L14" s="319"/>
      <c r="M14" s="319"/>
      <c r="N14" s="319"/>
    </row>
    <row r="15" spans="1:22" x14ac:dyDescent="0.25">
      <c r="A15" s="24"/>
      <c r="B15" s="322"/>
      <c r="C15" s="322"/>
      <c r="D15" s="322"/>
      <c r="E15" s="322"/>
      <c r="F15" s="322"/>
      <c r="G15" s="322"/>
      <c r="H15" s="322"/>
      <c r="J15" s="319"/>
      <c r="K15" s="319"/>
      <c r="L15" s="319"/>
      <c r="M15" s="319"/>
      <c r="N15" s="319"/>
    </row>
    <row r="16" spans="1:22" x14ac:dyDescent="0.25">
      <c r="A16" s="24"/>
      <c r="B16" s="322"/>
      <c r="C16" s="322"/>
      <c r="D16" s="322"/>
      <c r="E16" s="322"/>
      <c r="F16" s="322"/>
      <c r="G16" s="322"/>
      <c r="H16" s="322"/>
      <c r="J16" s="319"/>
      <c r="K16" s="319"/>
      <c r="L16" s="319"/>
      <c r="M16" s="319"/>
      <c r="N16" s="319"/>
    </row>
    <row r="17" spans="1:21" x14ac:dyDescent="0.25">
      <c r="A17" s="24"/>
      <c r="B17" s="322"/>
      <c r="C17" s="322"/>
      <c r="D17" s="322"/>
      <c r="E17" s="322"/>
      <c r="F17" s="322"/>
      <c r="G17" s="322"/>
      <c r="H17" s="322"/>
      <c r="J17" s="319"/>
      <c r="K17" s="319"/>
      <c r="L17" s="319"/>
      <c r="M17" s="319"/>
      <c r="N17" s="319"/>
    </row>
    <row r="18" spans="1:21" x14ac:dyDescent="0.25">
      <c r="A18" s="24"/>
      <c r="B18" s="322"/>
      <c r="C18" s="322"/>
      <c r="D18" s="322"/>
      <c r="E18" s="322"/>
      <c r="F18" s="322"/>
      <c r="G18" s="322"/>
      <c r="H18" s="322"/>
      <c r="J18" s="319"/>
      <c r="K18" s="319"/>
      <c r="L18" s="319"/>
      <c r="M18" s="319"/>
      <c r="N18" s="319"/>
    </row>
    <row r="19" spans="1:21" x14ac:dyDescent="0.25">
      <c r="A19" s="24"/>
      <c r="B19" s="322"/>
      <c r="C19" s="322"/>
      <c r="D19" s="322"/>
      <c r="E19" s="322"/>
      <c r="F19" s="322"/>
      <c r="G19" s="322"/>
      <c r="H19" s="322"/>
      <c r="J19" s="319"/>
      <c r="K19" s="319"/>
      <c r="L19" s="319"/>
      <c r="M19" s="319"/>
      <c r="N19" s="319"/>
    </row>
    <row r="20" spans="1:21" ht="87.75" customHeight="1" x14ac:dyDescent="0.25">
      <c r="A20" s="24"/>
      <c r="B20" s="322"/>
      <c r="C20" s="322"/>
      <c r="D20" s="322"/>
      <c r="E20" s="322"/>
      <c r="F20" s="322"/>
      <c r="G20" s="322"/>
      <c r="H20" s="322"/>
      <c r="J20" s="319"/>
      <c r="K20" s="319"/>
      <c r="L20" s="319"/>
      <c r="M20" s="319"/>
      <c r="N20" s="319"/>
    </row>
    <row r="21" spans="1:21" ht="15" customHeight="1" x14ac:dyDescent="0.25">
      <c r="A21" s="24"/>
      <c r="B21" s="302" t="str">
        <f ca="1">IF(RefsPerWeek&gt;0,CONCATENATE("Mean referrals per week: ",ROUND(RefsPerWeek,1)),"")</f>
        <v>Mean referrals per week: 188.8</v>
      </c>
      <c r="C21" s="302"/>
      <c r="D21" s="302"/>
      <c r="E21" s="302"/>
      <c r="F21" s="19"/>
      <c r="G21" s="19"/>
      <c r="H21" s="19"/>
      <c r="J21" s="319"/>
      <c r="K21" s="319"/>
      <c r="L21" s="319"/>
      <c r="M21" s="319"/>
      <c r="N21" s="319"/>
    </row>
    <row r="22" spans="1:21" ht="15.75" thickBot="1" x14ac:dyDescent="0.3">
      <c r="A22" s="24"/>
      <c r="B22" s="326" t="str">
        <f>IF(Split=0,"","*Based on split at week "&amp;Split)</f>
        <v>*Based on split at week 34</v>
      </c>
      <c r="C22" s="326"/>
      <c r="D22" s="326"/>
      <c r="E22" s="326"/>
      <c r="F22" s="19"/>
      <c r="G22" s="19"/>
      <c r="H22" s="19"/>
      <c r="J22" s="319"/>
      <c r="K22" s="319"/>
      <c r="L22" s="319"/>
      <c r="M22" s="319"/>
      <c r="N22" s="319"/>
    </row>
    <row r="23" spans="1:21" ht="15.75" thickBot="1" x14ac:dyDescent="0.3">
      <c r="A23" s="25"/>
      <c r="B23" s="296" t="s">
        <v>71</v>
      </c>
      <c r="C23" s="297"/>
      <c r="F23" s="50"/>
      <c r="G23" s="50"/>
      <c r="H23" s="50"/>
      <c r="I23" s="50"/>
      <c r="J23" s="296" t="s">
        <v>72</v>
      </c>
      <c r="K23" s="297"/>
    </row>
    <row r="24" spans="1:21" ht="32.25" thickBot="1" x14ac:dyDescent="0.3">
      <c r="A24" s="25"/>
      <c r="B24" s="109" t="s">
        <v>65</v>
      </c>
      <c r="C24" s="111" t="s">
        <v>66</v>
      </c>
      <c r="D24" s="112" t="s">
        <v>806</v>
      </c>
      <c r="E24" s="113" t="s">
        <v>457</v>
      </c>
      <c r="F24" s="263"/>
      <c r="G24" s="263"/>
      <c r="H24" s="263"/>
      <c r="I24" s="263"/>
      <c r="J24" s="114" t="s">
        <v>67</v>
      </c>
      <c r="K24" s="111" t="s">
        <v>70</v>
      </c>
      <c r="L24" s="109" t="s">
        <v>408</v>
      </c>
      <c r="M24" s="110" t="s">
        <v>69</v>
      </c>
      <c r="N24" s="111" t="s">
        <v>409</v>
      </c>
    </row>
    <row r="25" spans="1:21" x14ac:dyDescent="0.25">
      <c r="A25" s="130">
        <f ca="1">IF(C25&gt;0,B25,0)</f>
        <v>1</v>
      </c>
      <c r="B25" s="131">
        <f t="array" aca="1" ref="B25:B76" ca="1">ROW(INDIRECT("1:52"))</f>
        <v>1</v>
      </c>
      <c r="C25" s="132">
        <f t="array" ref="C25:C76" ca="1">D25:D76+E25:E76+(RAND()*0)</f>
        <v>153</v>
      </c>
      <c r="D25" s="133">
        <v>104</v>
      </c>
      <c r="E25" s="134">
        <v>49</v>
      </c>
      <c r="F25" s="259">
        <f t="array" ref="F25:F76" ca="1">IF(B25:IB76=IF(Split&gt;0,Split,1),-3,IF(B25:B76&gt;Split,(6/(ROWS(CalculationRange)-1))+F24:F75,0))</f>
        <v>0</v>
      </c>
      <c r="G25" s="259"/>
      <c r="H25" s="259">
        <f t="array" aca="1" ref="H25:H76" ca="1">(F25:F76*Deviation+IF(Split=0,Mean,Mean2))</f>
        <v>188.78947368421052</v>
      </c>
      <c r="I25" s="259">
        <f t="array" aca="1" ref="I25:I76" ca="1">NORMDIST(H25:H76,IF(Split=0,Mean,Mean2),Deviation,FALSE)</f>
        <v>1.1964467860921833E-2</v>
      </c>
      <c r="J25" s="115">
        <v>40644</v>
      </c>
      <c r="K25" s="116"/>
      <c r="L25" s="117"/>
      <c r="M25" s="117"/>
      <c r="N25" s="118">
        <v>40644</v>
      </c>
      <c r="O25" s="261">
        <f t="array" ref="O25:O1024">ROUNDUP(IF(IF(L25:L1024="",N25:N1024-J25:J1024,N25:N1024-L25:L1024)/7=0,1,IF(L25:L1024="",N25:N1024-J25:J1024,N25:N1024-L25:L1024)/7),0)</f>
        <v>1</v>
      </c>
      <c r="P25" s="261">
        <f t="array" ref="P25:P1024">IF(L25:L1024="",N25:N1024-J25:J1024,N25:N1024-L25:L1024)</f>
        <v>0</v>
      </c>
      <c r="Q25" s="105">
        <f t="array" aca="1" ref="Q25:Q49" ca="1">IF(COUNT(WeeksWaitedRange)&gt;0,COUNTIF(WeeksWaitedRange,R25:R49),0)</f>
        <v>85</v>
      </c>
      <c r="R25" s="105">
        <f t="array" aca="1" ref="R25:R49" ca="1">ROW(INDIRECT("1:25"))</f>
        <v>1</v>
      </c>
      <c r="S25" s="262">
        <f t="array" aca="1" ref="S25:S49" ca="1">IF($Q$25:$Q$49&gt;0,$R$25:$R$49,0)</f>
        <v>1</v>
      </c>
      <c r="T25" s="47">
        <f t="array" aca="1" ref="T25:T200" ca="1">ROW(INDIRECT("1:176"))-1</f>
        <v>0</v>
      </c>
      <c r="U25" s="47">
        <f t="array" aca="1" ref="U25:U200" ca="1">COUNTIF(DaysWaitedRange,$T$25:$T$200)</f>
        <v>7</v>
      </c>
    </row>
    <row r="26" spans="1:21" x14ac:dyDescent="0.25">
      <c r="A26" s="130">
        <f t="shared" ref="A26:A76" ca="1" si="0">IF(C26&gt;0,B26,0)</f>
        <v>2</v>
      </c>
      <c r="B26" s="135">
        <f ca="1"/>
        <v>2</v>
      </c>
      <c r="C26" s="136">
        <f ca="1"/>
        <v>123</v>
      </c>
      <c r="D26" s="137">
        <v>78</v>
      </c>
      <c r="E26" s="138">
        <v>45</v>
      </c>
      <c r="F26" s="259">
        <f ca="1"/>
        <v>0</v>
      </c>
      <c r="G26" s="259"/>
      <c r="H26" s="259">
        <f ca="1"/>
        <v>188.78947368421052</v>
      </c>
      <c r="I26" s="259">
        <f ca="1"/>
        <v>1.1964467860921833E-2</v>
      </c>
      <c r="J26" s="119">
        <v>40641</v>
      </c>
      <c r="K26" s="120"/>
      <c r="L26" s="121"/>
      <c r="M26" s="122"/>
      <c r="N26" s="123">
        <v>40672</v>
      </c>
      <c r="O26" s="261">
        <v>5</v>
      </c>
      <c r="P26" s="261">
        <v>31</v>
      </c>
      <c r="Q26" s="105">
        <f ca="1"/>
        <v>45</v>
      </c>
      <c r="R26" s="105">
        <f ca="1"/>
        <v>2</v>
      </c>
      <c r="S26" s="262">
        <f ca="1"/>
        <v>2</v>
      </c>
      <c r="T26" s="47">
        <f ca="1"/>
        <v>1</v>
      </c>
      <c r="U26" s="47">
        <f ca="1"/>
        <v>4</v>
      </c>
    </row>
    <row r="27" spans="1:21" x14ac:dyDescent="0.25">
      <c r="A27" s="130">
        <f t="shared" ca="1" si="0"/>
        <v>3</v>
      </c>
      <c r="B27" s="135">
        <f ca="1"/>
        <v>3</v>
      </c>
      <c r="C27" s="136">
        <f ca="1"/>
        <v>127</v>
      </c>
      <c r="D27" s="137">
        <v>88</v>
      </c>
      <c r="E27" s="138">
        <v>39</v>
      </c>
      <c r="F27" s="259">
        <f ca="1"/>
        <v>0</v>
      </c>
      <c r="G27" s="259"/>
      <c r="H27" s="259">
        <f ca="1"/>
        <v>188.78947368421052</v>
      </c>
      <c r="I27" s="259">
        <f ca="1"/>
        <v>1.1964467860921833E-2</v>
      </c>
      <c r="J27" s="119">
        <v>40641</v>
      </c>
      <c r="K27" s="120"/>
      <c r="L27" s="121"/>
      <c r="M27" s="124"/>
      <c r="N27" s="123">
        <v>40672</v>
      </c>
      <c r="O27" s="261">
        <v>5</v>
      </c>
      <c r="P27" s="261">
        <v>31</v>
      </c>
      <c r="Q27" s="105">
        <f ca="1"/>
        <v>27</v>
      </c>
      <c r="R27" s="105">
        <f ca="1"/>
        <v>3</v>
      </c>
      <c r="S27" s="262">
        <f ca="1"/>
        <v>3</v>
      </c>
      <c r="T27" s="47">
        <f ca="1"/>
        <v>2</v>
      </c>
      <c r="U27" s="47">
        <f ca="1"/>
        <v>10</v>
      </c>
    </row>
    <row r="28" spans="1:21" x14ac:dyDescent="0.25">
      <c r="A28" s="130">
        <f t="shared" ca="1" si="0"/>
        <v>4</v>
      </c>
      <c r="B28" s="135">
        <f ca="1"/>
        <v>4</v>
      </c>
      <c r="C28" s="136">
        <f ca="1"/>
        <v>141</v>
      </c>
      <c r="D28" s="137">
        <v>94</v>
      </c>
      <c r="E28" s="138">
        <v>47</v>
      </c>
      <c r="F28" s="259">
        <f ca="1"/>
        <v>0</v>
      </c>
      <c r="G28" s="259"/>
      <c r="H28" s="259">
        <f ca="1"/>
        <v>188.78947368421052</v>
      </c>
      <c r="I28" s="259">
        <f ca="1"/>
        <v>1.1964467860921833E-2</v>
      </c>
      <c r="J28" s="119">
        <v>40644</v>
      </c>
      <c r="K28" s="120"/>
      <c r="L28" s="121"/>
      <c r="M28" s="122"/>
      <c r="N28" s="123">
        <v>40648</v>
      </c>
      <c r="O28" s="261">
        <v>1</v>
      </c>
      <c r="P28" s="261">
        <v>4</v>
      </c>
      <c r="Q28" s="105">
        <f ca="1"/>
        <v>87</v>
      </c>
      <c r="R28" s="105">
        <f ca="1"/>
        <v>4</v>
      </c>
      <c r="S28" s="262">
        <f ca="1"/>
        <v>4</v>
      </c>
      <c r="T28" s="47">
        <f ca="1"/>
        <v>3</v>
      </c>
      <c r="U28" s="47">
        <f ca="1"/>
        <v>13</v>
      </c>
    </row>
    <row r="29" spans="1:21" x14ac:dyDescent="0.25">
      <c r="A29" s="130">
        <f t="shared" ca="1" si="0"/>
        <v>5</v>
      </c>
      <c r="B29" s="135">
        <f ca="1"/>
        <v>5</v>
      </c>
      <c r="C29" s="136">
        <f ca="1"/>
        <v>137</v>
      </c>
      <c r="D29" s="137">
        <v>100</v>
      </c>
      <c r="E29" s="138">
        <v>37</v>
      </c>
      <c r="F29" s="259">
        <f ca="1"/>
        <v>0</v>
      </c>
      <c r="G29" s="259"/>
      <c r="H29" s="259">
        <f ca="1"/>
        <v>188.78947368421052</v>
      </c>
      <c r="I29" s="259">
        <f ca="1"/>
        <v>1.1964467860921833E-2</v>
      </c>
      <c r="J29" s="119">
        <v>40646</v>
      </c>
      <c r="K29" s="120"/>
      <c r="L29" s="121"/>
      <c r="M29" s="122"/>
      <c r="N29" s="123">
        <v>40650</v>
      </c>
      <c r="O29" s="261">
        <v>1</v>
      </c>
      <c r="P29" s="261">
        <v>4</v>
      </c>
      <c r="Q29" s="105">
        <f ca="1"/>
        <v>75</v>
      </c>
      <c r="R29" s="105">
        <f ca="1"/>
        <v>5</v>
      </c>
      <c r="S29" s="262">
        <f ca="1"/>
        <v>5</v>
      </c>
      <c r="T29" s="47">
        <f ca="1"/>
        <v>4</v>
      </c>
      <c r="U29" s="47">
        <f ca="1"/>
        <v>38</v>
      </c>
    </row>
    <row r="30" spans="1:21" x14ac:dyDescent="0.25">
      <c r="A30" s="130">
        <f t="shared" ca="1" si="0"/>
        <v>6</v>
      </c>
      <c r="B30" s="135">
        <f ca="1"/>
        <v>6</v>
      </c>
      <c r="C30" s="136">
        <f ca="1"/>
        <v>128</v>
      </c>
      <c r="D30" s="137">
        <v>86</v>
      </c>
      <c r="E30" s="138">
        <v>42</v>
      </c>
      <c r="F30" s="259">
        <f ca="1"/>
        <v>0</v>
      </c>
      <c r="G30" s="259"/>
      <c r="H30" s="259">
        <f ca="1"/>
        <v>188.78947368421052</v>
      </c>
      <c r="I30" s="259">
        <f ca="1"/>
        <v>1.1964467860921833E-2</v>
      </c>
      <c r="J30" s="119">
        <v>40644</v>
      </c>
      <c r="K30" s="120"/>
      <c r="L30" s="121"/>
      <c r="M30" s="121"/>
      <c r="N30" s="123">
        <v>40657</v>
      </c>
      <c r="O30" s="261">
        <v>2</v>
      </c>
      <c r="P30" s="261">
        <v>13</v>
      </c>
      <c r="Q30" s="105">
        <f ca="1"/>
        <v>127</v>
      </c>
      <c r="R30" s="105">
        <f ca="1"/>
        <v>6</v>
      </c>
      <c r="S30" s="262">
        <f ca="1"/>
        <v>6</v>
      </c>
      <c r="T30" s="47">
        <f ca="1"/>
        <v>5</v>
      </c>
      <c r="U30" s="47">
        <f ca="1"/>
        <v>8</v>
      </c>
    </row>
    <row r="31" spans="1:21" x14ac:dyDescent="0.25">
      <c r="A31" s="130">
        <f t="shared" ca="1" si="0"/>
        <v>7</v>
      </c>
      <c r="B31" s="135">
        <f ca="1"/>
        <v>7</v>
      </c>
      <c r="C31" s="136">
        <f ca="1"/>
        <v>152</v>
      </c>
      <c r="D31" s="137">
        <v>116</v>
      </c>
      <c r="E31" s="138">
        <v>36</v>
      </c>
      <c r="F31" s="259">
        <f ca="1"/>
        <v>0</v>
      </c>
      <c r="G31" s="259"/>
      <c r="H31" s="259">
        <f ca="1"/>
        <v>188.78947368421052</v>
      </c>
      <c r="I31" s="259">
        <f ca="1"/>
        <v>1.1964467860921833E-2</v>
      </c>
      <c r="J31" s="119">
        <v>40644</v>
      </c>
      <c r="K31" s="120"/>
      <c r="L31" s="121"/>
      <c r="M31" s="121"/>
      <c r="N31" s="123">
        <v>40653</v>
      </c>
      <c r="O31" s="261">
        <v>2</v>
      </c>
      <c r="P31" s="261">
        <v>9</v>
      </c>
      <c r="Q31" s="105">
        <f ca="1"/>
        <v>53</v>
      </c>
      <c r="R31" s="105">
        <f ca="1"/>
        <v>7</v>
      </c>
      <c r="S31" s="262">
        <f ca="1"/>
        <v>7</v>
      </c>
      <c r="T31" s="47">
        <f ca="1"/>
        <v>6</v>
      </c>
      <c r="U31" s="47">
        <f ca="1"/>
        <v>5</v>
      </c>
    </row>
    <row r="32" spans="1:21" x14ac:dyDescent="0.25">
      <c r="A32" s="130">
        <f t="shared" ca="1" si="0"/>
        <v>8</v>
      </c>
      <c r="B32" s="135">
        <f ca="1"/>
        <v>8</v>
      </c>
      <c r="C32" s="136">
        <f ca="1"/>
        <v>125</v>
      </c>
      <c r="D32" s="137">
        <v>82</v>
      </c>
      <c r="E32" s="138">
        <v>43</v>
      </c>
      <c r="F32" s="259">
        <f ca="1"/>
        <v>0</v>
      </c>
      <c r="G32" s="259"/>
      <c r="H32" s="259">
        <f ca="1"/>
        <v>188.78947368421052</v>
      </c>
      <c r="I32" s="259">
        <f ca="1"/>
        <v>1.1964467860921833E-2</v>
      </c>
      <c r="J32" s="119">
        <v>40644</v>
      </c>
      <c r="K32" s="120"/>
      <c r="L32" s="121"/>
      <c r="M32" s="121"/>
      <c r="N32" s="123">
        <v>40648</v>
      </c>
      <c r="O32" s="261">
        <v>1</v>
      </c>
      <c r="P32" s="261">
        <v>4</v>
      </c>
      <c r="Q32" s="105">
        <f ca="1"/>
        <v>1</v>
      </c>
      <c r="R32" s="105">
        <f ca="1"/>
        <v>8</v>
      </c>
      <c r="S32" s="262">
        <f ca="1"/>
        <v>8</v>
      </c>
      <c r="T32" s="47">
        <f ca="1"/>
        <v>7</v>
      </c>
      <c r="U32" s="47">
        <f ca="1"/>
        <v>0</v>
      </c>
    </row>
    <row r="33" spans="1:21" x14ac:dyDescent="0.25">
      <c r="A33" s="130">
        <f t="shared" ca="1" si="0"/>
        <v>9</v>
      </c>
      <c r="B33" s="135">
        <f ca="1"/>
        <v>9</v>
      </c>
      <c r="C33" s="136">
        <f ca="1"/>
        <v>134</v>
      </c>
      <c r="D33" s="137">
        <v>91</v>
      </c>
      <c r="E33" s="138">
        <v>43</v>
      </c>
      <c r="F33" s="259">
        <f ca="1"/>
        <v>0</v>
      </c>
      <c r="G33" s="259"/>
      <c r="H33" s="259">
        <f ca="1"/>
        <v>188.78947368421052</v>
      </c>
      <c r="I33" s="259">
        <f ca="1"/>
        <v>1.1964467860921833E-2</v>
      </c>
      <c r="J33" s="119">
        <v>40644</v>
      </c>
      <c r="K33" s="120"/>
      <c r="L33" s="121"/>
      <c r="M33" s="121"/>
      <c r="N33" s="123">
        <v>40653</v>
      </c>
      <c r="O33" s="261">
        <v>2</v>
      </c>
      <c r="P33" s="261">
        <v>9</v>
      </c>
      <c r="Q33" s="105">
        <f ca="1"/>
        <v>0</v>
      </c>
      <c r="R33" s="105">
        <f ca="1"/>
        <v>9</v>
      </c>
      <c r="S33" s="262">
        <f ca="1"/>
        <v>0</v>
      </c>
      <c r="T33" s="47">
        <f ca="1"/>
        <v>8</v>
      </c>
      <c r="U33" s="47">
        <f ca="1"/>
        <v>2</v>
      </c>
    </row>
    <row r="34" spans="1:21" x14ac:dyDescent="0.25">
      <c r="A34" s="130">
        <f t="shared" ca="1" si="0"/>
        <v>10</v>
      </c>
      <c r="B34" s="135">
        <f ca="1"/>
        <v>10</v>
      </c>
      <c r="C34" s="136">
        <f ca="1"/>
        <v>130</v>
      </c>
      <c r="D34" s="137">
        <v>80</v>
      </c>
      <c r="E34" s="138">
        <v>50</v>
      </c>
      <c r="F34" s="259">
        <f ca="1"/>
        <v>0</v>
      </c>
      <c r="G34" s="259"/>
      <c r="H34" s="259">
        <f ca="1"/>
        <v>188.78947368421052</v>
      </c>
      <c r="I34" s="259">
        <f ca="1"/>
        <v>1.1964467860921833E-2</v>
      </c>
      <c r="J34" s="119">
        <v>40645</v>
      </c>
      <c r="K34" s="120"/>
      <c r="L34" s="121"/>
      <c r="M34" s="121"/>
      <c r="N34" s="123">
        <v>40645</v>
      </c>
      <c r="O34" s="261">
        <v>1</v>
      </c>
      <c r="P34" s="261">
        <v>0</v>
      </c>
      <c r="Q34" s="105">
        <f ca="1"/>
        <v>0</v>
      </c>
      <c r="R34" s="105">
        <f ca="1"/>
        <v>10</v>
      </c>
      <c r="S34" s="262">
        <f ca="1"/>
        <v>0</v>
      </c>
      <c r="T34" s="47">
        <f ca="1"/>
        <v>9</v>
      </c>
      <c r="U34" s="47">
        <f ca="1"/>
        <v>21</v>
      </c>
    </row>
    <row r="35" spans="1:21" x14ac:dyDescent="0.25">
      <c r="A35" s="130">
        <f t="shared" ca="1" si="0"/>
        <v>11</v>
      </c>
      <c r="B35" s="135">
        <f ca="1"/>
        <v>11</v>
      </c>
      <c r="C35" s="136">
        <f ca="1"/>
        <v>147</v>
      </c>
      <c r="D35" s="137">
        <v>110</v>
      </c>
      <c r="E35" s="138">
        <v>37</v>
      </c>
      <c r="F35" s="259">
        <f ca="1"/>
        <v>0</v>
      </c>
      <c r="G35" s="259"/>
      <c r="H35" s="259">
        <f ca="1"/>
        <v>188.78947368421052</v>
      </c>
      <c r="I35" s="259">
        <f ca="1"/>
        <v>1.1964467860921833E-2</v>
      </c>
      <c r="J35" s="119">
        <v>40641</v>
      </c>
      <c r="K35" s="120"/>
      <c r="L35" s="121"/>
      <c r="M35" s="121"/>
      <c r="N35" s="123">
        <v>40672</v>
      </c>
      <c r="O35" s="261">
        <v>5</v>
      </c>
      <c r="P35" s="261">
        <v>31</v>
      </c>
      <c r="Q35" s="105">
        <f ca="1"/>
        <v>0</v>
      </c>
      <c r="R35" s="105">
        <f ca="1"/>
        <v>11</v>
      </c>
      <c r="S35" s="262">
        <f ca="1"/>
        <v>0</v>
      </c>
      <c r="T35" s="47">
        <f ca="1"/>
        <v>10</v>
      </c>
      <c r="U35" s="47">
        <f ca="1"/>
        <v>0</v>
      </c>
    </row>
    <row r="36" spans="1:21" x14ac:dyDescent="0.25">
      <c r="A36" s="130">
        <f t="shared" ca="1" si="0"/>
        <v>12</v>
      </c>
      <c r="B36" s="135">
        <f ca="1"/>
        <v>12</v>
      </c>
      <c r="C36" s="136">
        <f ca="1"/>
        <v>133</v>
      </c>
      <c r="D36" s="137">
        <v>103</v>
      </c>
      <c r="E36" s="138">
        <v>30</v>
      </c>
      <c r="F36" s="259">
        <f ca="1"/>
        <v>0</v>
      </c>
      <c r="G36" s="259"/>
      <c r="H36" s="259">
        <f ca="1"/>
        <v>188.78947368421052</v>
      </c>
      <c r="I36" s="259">
        <f ca="1"/>
        <v>1.1964467860921833E-2</v>
      </c>
      <c r="J36" s="119">
        <v>40644</v>
      </c>
      <c r="K36" s="120"/>
      <c r="L36" s="121"/>
      <c r="M36" s="121"/>
      <c r="N36" s="123">
        <v>40653</v>
      </c>
      <c r="O36" s="261">
        <v>2</v>
      </c>
      <c r="P36" s="261">
        <v>9</v>
      </c>
      <c r="Q36" s="105">
        <f ca="1"/>
        <v>0</v>
      </c>
      <c r="R36" s="105">
        <f ca="1"/>
        <v>12</v>
      </c>
      <c r="S36" s="262">
        <f ca="1"/>
        <v>0</v>
      </c>
      <c r="T36" s="47">
        <f ca="1"/>
        <v>11</v>
      </c>
      <c r="U36" s="47">
        <f ca="1"/>
        <v>0</v>
      </c>
    </row>
    <row r="37" spans="1:21" x14ac:dyDescent="0.25">
      <c r="A37" s="130">
        <f t="shared" ca="1" si="0"/>
        <v>13</v>
      </c>
      <c r="B37" s="135">
        <f ca="1"/>
        <v>13</v>
      </c>
      <c r="C37" s="136">
        <f ca="1"/>
        <v>152</v>
      </c>
      <c r="D37" s="137">
        <v>116</v>
      </c>
      <c r="E37" s="138">
        <v>36</v>
      </c>
      <c r="F37" s="259">
        <f ca="1"/>
        <v>0</v>
      </c>
      <c r="G37" s="259"/>
      <c r="H37" s="259">
        <f ca="1"/>
        <v>188.78947368421052</v>
      </c>
      <c r="I37" s="259">
        <f ca="1"/>
        <v>1.1964467860921833E-2</v>
      </c>
      <c r="J37" s="119">
        <v>40645</v>
      </c>
      <c r="K37" s="120"/>
      <c r="L37" s="121"/>
      <c r="M37" s="121"/>
      <c r="N37" s="123">
        <v>40667</v>
      </c>
      <c r="O37" s="261">
        <v>4</v>
      </c>
      <c r="P37" s="261">
        <v>22</v>
      </c>
      <c r="Q37" s="105">
        <f ca="1"/>
        <v>0</v>
      </c>
      <c r="R37" s="105">
        <f ca="1"/>
        <v>13</v>
      </c>
      <c r="S37" s="262">
        <f ca="1"/>
        <v>0</v>
      </c>
      <c r="T37" s="47">
        <f ca="1"/>
        <v>12</v>
      </c>
      <c r="U37" s="47">
        <f ca="1"/>
        <v>1</v>
      </c>
    </row>
    <row r="38" spans="1:21" x14ac:dyDescent="0.25">
      <c r="A38" s="130">
        <f t="shared" ca="1" si="0"/>
        <v>14</v>
      </c>
      <c r="B38" s="135">
        <f ca="1"/>
        <v>14</v>
      </c>
      <c r="C38" s="136">
        <f ca="1"/>
        <v>151</v>
      </c>
      <c r="D38" s="137">
        <v>111</v>
      </c>
      <c r="E38" s="138">
        <v>40</v>
      </c>
      <c r="F38" s="259">
        <f ca="1"/>
        <v>0</v>
      </c>
      <c r="G38" s="259"/>
      <c r="H38" s="259">
        <f ca="1"/>
        <v>188.78947368421052</v>
      </c>
      <c r="I38" s="259">
        <f ca="1"/>
        <v>1.1964467860921833E-2</v>
      </c>
      <c r="J38" s="119">
        <v>40630</v>
      </c>
      <c r="K38" s="120"/>
      <c r="L38" s="121"/>
      <c r="M38" s="121"/>
      <c r="N38" s="123">
        <v>40632</v>
      </c>
      <c r="O38" s="261">
        <v>1</v>
      </c>
      <c r="P38" s="261">
        <v>2</v>
      </c>
      <c r="Q38" s="105">
        <f ca="1"/>
        <v>0</v>
      </c>
      <c r="R38" s="105">
        <f ca="1"/>
        <v>14</v>
      </c>
      <c r="S38" s="262">
        <f ca="1"/>
        <v>0</v>
      </c>
      <c r="T38" s="47">
        <f ca="1"/>
        <v>13</v>
      </c>
      <c r="U38" s="47">
        <f ca="1"/>
        <v>21</v>
      </c>
    </row>
    <row r="39" spans="1:21" x14ac:dyDescent="0.25">
      <c r="A39" s="130">
        <f t="shared" ca="1" si="0"/>
        <v>15</v>
      </c>
      <c r="B39" s="135">
        <f ca="1"/>
        <v>15</v>
      </c>
      <c r="C39" s="136">
        <f ca="1"/>
        <v>127</v>
      </c>
      <c r="D39" s="137">
        <v>87</v>
      </c>
      <c r="E39" s="138">
        <v>40</v>
      </c>
      <c r="F39" s="259">
        <f ca="1"/>
        <v>0</v>
      </c>
      <c r="G39" s="259"/>
      <c r="H39" s="259">
        <f ca="1"/>
        <v>188.78947368421052</v>
      </c>
      <c r="I39" s="259">
        <f ca="1"/>
        <v>1.1964467860921833E-2</v>
      </c>
      <c r="J39" s="119">
        <v>40641</v>
      </c>
      <c r="K39" s="120"/>
      <c r="L39" s="121"/>
      <c r="M39" s="121"/>
      <c r="N39" s="123">
        <v>40663</v>
      </c>
      <c r="O39" s="261">
        <v>4</v>
      </c>
      <c r="P39" s="261">
        <v>22</v>
      </c>
      <c r="Q39" s="105">
        <f ca="1"/>
        <v>0</v>
      </c>
      <c r="R39" s="105">
        <f ca="1"/>
        <v>15</v>
      </c>
      <c r="S39" s="262">
        <f ca="1"/>
        <v>0</v>
      </c>
      <c r="T39" s="47">
        <f ca="1"/>
        <v>14</v>
      </c>
      <c r="U39" s="47">
        <f ca="1"/>
        <v>0</v>
      </c>
    </row>
    <row r="40" spans="1:21" x14ac:dyDescent="0.25">
      <c r="A40" s="130">
        <f t="shared" ca="1" si="0"/>
        <v>16</v>
      </c>
      <c r="B40" s="135">
        <f ca="1"/>
        <v>16</v>
      </c>
      <c r="C40" s="136">
        <f ca="1"/>
        <v>100</v>
      </c>
      <c r="D40" s="137">
        <v>62</v>
      </c>
      <c r="E40" s="138">
        <v>38</v>
      </c>
      <c r="F40" s="259">
        <f ca="1"/>
        <v>0</v>
      </c>
      <c r="G40" s="259"/>
      <c r="H40" s="259">
        <f ca="1"/>
        <v>188.78947368421052</v>
      </c>
      <c r="I40" s="259">
        <f ca="1"/>
        <v>1.1964467860921833E-2</v>
      </c>
      <c r="J40" s="119">
        <v>40653</v>
      </c>
      <c r="K40" s="120"/>
      <c r="L40" s="121"/>
      <c r="M40" s="121"/>
      <c r="N40" s="123">
        <v>40662</v>
      </c>
      <c r="O40" s="261">
        <v>2</v>
      </c>
      <c r="P40" s="261">
        <v>9</v>
      </c>
      <c r="Q40" s="105">
        <f ca="1"/>
        <v>0</v>
      </c>
      <c r="R40" s="105">
        <f ca="1"/>
        <v>16</v>
      </c>
      <c r="S40" s="262">
        <f ca="1"/>
        <v>0</v>
      </c>
      <c r="T40" s="47">
        <f ca="1"/>
        <v>15</v>
      </c>
      <c r="U40" s="47">
        <f ca="1"/>
        <v>0</v>
      </c>
    </row>
    <row r="41" spans="1:21" x14ac:dyDescent="0.25">
      <c r="A41" s="130">
        <f t="shared" ca="1" si="0"/>
        <v>17</v>
      </c>
      <c r="B41" s="135">
        <f ca="1"/>
        <v>17</v>
      </c>
      <c r="C41" s="136">
        <f ca="1"/>
        <v>146</v>
      </c>
      <c r="D41" s="137">
        <v>105</v>
      </c>
      <c r="E41" s="138">
        <v>41</v>
      </c>
      <c r="F41" s="259">
        <f ca="1"/>
        <v>0</v>
      </c>
      <c r="G41" s="259"/>
      <c r="H41" s="259">
        <f ca="1"/>
        <v>188.78947368421052</v>
      </c>
      <c r="I41" s="259">
        <f ca="1"/>
        <v>1.1964467860921833E-2</v>
      </c>
      <c r="J41" s="119">
        <v>40641</v>
      </c>
      <c r="K41" s="120"/>
      <c r="L41" s="121"/>
      <c r="M41" s="121"/>
      <c r="N41" s="123">
        <v>40654</v>
      </c>
      <c r="O41" s="261">
        <v>2</v>
      </c>
      <c r="P41" s="261">
        <v>13</v>
      </c>
      <c r="Q41" s="105">
        <f ca="1"/>
        <v>0</v>
      </c>
      <c r="R41" s="105">
        <f ca="1"/>
        <v>17</v>
      </c>
      <c r="S41" s="262">
        <f ca="1"/>
        <v>0</v>
      </c>
      <c r="T41" s="47">
        <f ca="1"/>
        <v>16</v>
      </c>
      <c r="U41" s="47">
        <f ca="1"/>
        <v>0</v>
      </c>
    </row>
    <row r="42" spans="1:21" x14ac:dyDescent="0.25">
      <c r="A42" s="130">
        <f t="shared" ca="1" si="0"/>
        <v>18</v>
      </c>
      <c r="B42" s="135">
        <f ca="1"/>
        <v>18</v>
      </c>
      <c r="C42" s="136">
        <f ca="1"/>
        <v>167</v>
      </c>
      <c r="D42" s="137">
        <v>124</v>
      </c>
      <c r="E42" s="138">
        <v>43</v>
      </c>
      <c r="F42" s="259">
        <f ca="1"/>
        <v>0</v>
      </c>
      <c r="G42" s="259"/>
      <c r="H42" s="259">
        <f ca="1"/>
        <v>188.78947368421052</v>
      </c>
      <c r="I42" s="259">
        <f ca="1"/>
        <v>1.1964467860921833E-2</v>
      </c>
      <c r="J42" s="119">
        <v>40639</v>
      </c>
      <c r="K42" s="120"/>
      <c r="L42" s="121"/>
      <c r="M42" s="121"/>
      <c r="N42" s="123">
        <v>40670</v>
      </c>
      <c r="O42" s="261">
        <v>5</v>
      </c>
      <c r="P42" s="261">
        <v>31</v>
      </c>
      <c r="Q42" s="105">
        <f ca="1"/>
        <v>0</v>
      </c>
      <c r="R42" s="105">
        <f ca="1"/>
        <v>18</v>
      </c>
      <c r="S42" s="262">
        <f ca="1"/>
        <v>0</v>
      </c>
      <c r="T42" s="47">
        <f ca="1"/>
        <v>17</v>
      </c>
      <c r="U42" s="47">
        <f ca="1"/>
        <v>0</v>
      </c>
    </row>
    <row r="43" spans="1:21" x14ac:dyDescent="0.25">
      <c r="A43" s="130">
        <f t="shared" ca="1" si="0"/>
        <v>19</v>
      </c>
      <c r="B43" s="135">
        <f ca="1"/>
        <v>19</v>
      </c>
      <c r="C43" s="136">
        <f ca="1"/>
        <v>116</v>
      </c>
      <c r="D43" s="137">
        <v>81</v>
      </c>
      <c r="E43" s="138">
        <v>35</v>
      </c>
      <c r="F43" s="259">
        <f ca="1"/>
        <v>0</v>
      </c>
      <c r="G43" s="259"/>
      <c r="H43" s="259">
        <f ca="1"/>
        <v>188.78947368421052</v>
      </c>
      <c r="I43" s="259">
        <f ca="1"/>
        <v>1.1964467860921833E-2</v>
      </c>
      <c r="J43" s="119">
        <v>40640</v>
      </c>
      <c r="K43" s="120"/>
      <c r="L43" s="121"/>
      <c r="M43" s="121"/>
      <c r="N43" s="123">
        <v>40671</v>
      </c>
      <c r="O43" s="261">
        <v>5</v>
      </c>
      <c r="P43" s="261">
        <v>31</v>
      </c>
      <c r="Q43" s="105">
        <f ca="1"/>
        <v>0</v>
      </c>
      <c r="R43" s="105">
        <f ca="1"/>
        <v>19</v>
      </c>
      <c r="S43" s="262">
        <f ca="1"/>
        <v>0</v>
      </c>
      <c r="T43" s="47">
        <f ca="1"/>
        <v>18</v>
      </c>
      <c r="U43" s="47">
        <f ca="1"/>
        <v>27</v>
      </c>
    </row>
    <row r="44" spans="1:21" x14ac:dyDescent="0.25">
      <c r="A44" s="130">
        <f t="shared" ca="1" si="0"/>
        <v>20</v>
      </c>
      <c r="B44" s="135">
        <f ca="1"/>
        <v>20</v>
      </c>
      <c r="C44" s="136">
        <f ca="1"/>
        <v>150</v>
      </c>
      <c r="D44" s="137">
        <v>118</v>
      </c>
      <c r="E44" s="138">
        <v>32</v>
      </c>
      <c r="F44" s="259">
        <f ca="1"/>
        <v>0</v>
      </c>
      <c r="G44" s="259"/>
      <c r="H44" s="259">
        <f ca="1"/>
        <v>188.78947368421052</v>
      </c>
      <c r="I44" s="259">
        <f ca="1"/>
        <v>1.1964467860921833E-2</v>
      </c>
      <c r="J44" s="119">
        <v>40640</v>
      </c>
      <c r="K44" s="120"/>
      <c r="L44" s="121"/>
      <c r="M44" s="121"/>
      <c r="N44" s="123">
        <v>40662</v>
      </c>
      <c r="O44" s="261">
        <v>4</v>
      </c>
      <c r="P44" s="261">
        <v>22</v>
      </c>
      <c r="Q44" s="105">
        <f ca="1"/>
        <v>0</v>
      </c>
      <c r="R44" s="105">
        <f ca="1"/>
        <v>20</v>
      </c>
      <c r="S44" s="262">
        <f ca="1"/>
        <v>0</v>
      </c>
      <c r="T44" s="47">
        <f ca="1"/>
        <v>19</v>
      </c>
      <c r="U44" s="47">
        <f ca="1"/>
        <v>0</v>
      </c>
    </row>
    <row r="45" spans="1:21" x14ac:dyDescent="0.25">
      <c r="A45" s="130">
        <f t="shared" ca="1" si="0"/>
        <v>21</v>
      </c>
      <c r="B45" s="135">
        <f ca="1"/>
        <v>21</v>
      </c>
      <c r="C45" s="136">
        <f ca="1"/>
        <v>157</v>
      </c>
      <c r="D45" s="137">
        <v>113</v>
      </c>
      <c r="E45" s="138">
        <v>44</v>
      </c>
      <c r="F45" s="259">
        <f ca="1"/>
        <v>0</v>
      </c>
      <c r="G45" s="259"/>
      <c r="H45" s="259">
        <f ca="1"/>
        <v>188.78947368421052</v>
      </c>
      <c r="I45" s="259">
        <f ca="1"/>
        <v>1.1964467860921833E-2</v>
      </c>
      <c r="J45" s="119">
        <v>40641</v>
      </c>
      <c r="K45" s="120"/>
      <c r="L45" s="121"/>
      <c r="M45" s="121"/>
      <c r="N45" s="123">
        <v>40659</v>
      </c>
      <c r="O45" s="261">
        <v>3</v>
      </c>
      <c r="P45" s="261">
        <v>18</v>
      </c>
      <c r="Q45" s="105">
        <f ca="1"/>
        <v>0</v>
      </c>
      <c r="R45" s="105">
        <f ca="1"/>
        <v>21</v>
      </c>
      <c r="S45" s="262">
        <f ca="1"/>
        <v>0</v>
      </c>
      <c r="T45" s="47">
        <f ca="1"/>
        <v>20</v>
      </c>
      <c r="U45" s="47">
        <f ca="1"/>
        <v>0</v>
      </c>
    </row>
    <row r="46" spans="1:21" x14ac:dyDescent="0.25">
      <c r="A46" s="130">
        <f t="shared" ca="1" si="0"/>
        <v>22</v>
      </c>
      <c r="B46" s="135">
        <f ca="1"/>
        <v>22</v>
      </c>
      <c r="C46" s="136">
        <f ca="1"/>
        <v>144</v>
      </c>
      <c r="D46" s="137">
        <v>98</v>
      </c>
      <c r="E46" s="138">
        <v>46</v>
      </c>
      <c r="F46" s="259">
        <f ca="1"/>
        <v>0</v>
      </c>
      <c r="G46" s="259"/>
      <c r="H46" s="259">
        <f ca="1"/>
        <v>188.78947368421052</v>
      </c>
      <c r="I46" s="259">
        <f ca="1"/>
        <v>1.1964467860921833E-2</v>
      </c>
      <c r="J46" s="119">
        <v>40644</v>
      </c>
      <c r="K46" s="120"/>
      <c r="L46" s="121"/>
      <c r="M46" s="121"/>
      <c r="N46" s="123">
        <v>40653</v>
      </c>
      <c r="O46" s="261">
        <v>2</v>
      </c>
      <c r="P46" s="261">
        <v>9</v>
      </c>
      <c r="Q46" s="105">
        <f ca="1"/>
        <v>0</v>
      </c>
      <c r="R46" s="105">
        <f ca="1"/>
        <v>22</v>
      </c>
      <c r="S46" s="262">
        <f ca="1"/>
        <v>0</v>
      </c>
      <c r="T46" s="47">
        <f ca="1"/>
        <v>21</v>
      </c>
      <c r="U46" s="47">
        <f ca="1"/>
        <v>0</v>
      </c>
    </row>
    <row r="47" spans="1:21" x14ac:dyDescent="0.25">
      <c r="A47" s="130">
        <f t="shared" ca="1" si="0"/>
        <v>23</v>
      </c>
      <c r="B47" s="135">
        <f ca="1"/>
        <v>23</v>
      </c>
      <c r="C47" s="136">
        <f ca="1"/>
        <v>142</v>
      </c>
      <c r="D47" s="137">
        <v>110</v>
      </c>
      <c r="E47" s="138">
        <v>32</v>
      </c>
      <c r="F47" s="259">
        <f ca="1"/>
        <v>0</v>
      </c>
      <c r="G47" s="259"/>
      <c r="H47" s="259">
        <f ca="1"/>
        <v>188.78947368421052</v>
      </c>
      <c r="I47" s="259">
        <f ca="1"/>
        <v>1.1964467860921833E-2</v>
      </c>
      <c r="J47" s="119">
        <v>40640</v>
      </c>
      <c r="K47" s="120"/>
      <c r="L47" s="121"/>
      <c r="M47" s="121"/>
      <c r="N47" s="123">
        <v>40671</v>
      </c>
      <c r="O47" s="261">
        <v>5</v>
      </c>
      <c r="P47" s="261">
        <v>31</v>
      </c>
      <c r="Q47" s="105">
        <f ca="1"/>
        <v>0</v>
      </c>
      <c r="R47" s="105">
        <f ca="1"/>
        <v>23</v>
      </c>
      <c r="S47" s="262">
        <f ca="1"/>
        <v>0</v>
      </c>
      <c r="T47" s="47">
        <f ca="1"/>
        <v>22</v>
      </c>
      <c r="U47" s="47">
        <f ca="1"/>
        <v>43</v>
      </c>
    </row>
    <row r="48" spans="1:21" x14ac:dyDescent="0.25">
      <c r="A48" s="130">
        <f t="shared" ca="1" si="0"/>
        <v>24</v>
      </c>
      <c r="B48" s="135">
        <f ca="1"/>
        <v>24</v>
      </c>
      <c r="C48" s="136">
        <f ca="1"/>
        <v>136</v>
      </c>
      <c r="D48" s="137">
        <v>86</v>
      </c>
      <c r="E48" s="138">
        <v>50</v>
      </c>
      <c r="F48" s="259">
        <f ca="1"/>
        <v>0</v>
      </c>
      <c r="G48" s="259"/>
      <c r="H48" s="259">
        <f ca="1"/>
        <v>188.78947368421052</v>
      </c>
      <c r="I48" s="259">
        <f ca="1"/>
        <v>1.1964467860921833E-2</v>
      </c>
      <c r="J48" s="119">
        <v>40640</v>
      </c>
      <c r="K48" s="120"/>
      <c r="L48" s="121"/>
      <c r="M48" s="121"/>
      <c r="N48" s="123">
        <v>40667</v>
      </c>
      <c r="O48" s="261">
        <v>4</v>
      </c>
      <c r="P48" s="261">
        <v>27</v>
      </c>
      <c r="Q48" s="105">
        <f ca="1"/>
        <v>0</v>
      </c>
      <c r="R48" s="105">
        <f ca="1"/>
        <v>24</v>
      </c>
      <c r="S48" s="262">
        <f ca="1"/>
        <v>0</v>
      </c>
      <c r="T48" s="47">
        <f ca="1"/>
        <v>23</v>
      </c>
      <c r="U48" s="47">
        <f ca="1"/>
        <v>0</v>
      </c>
    </row>
    <row r="49" spans="1:21" x14ac:dyDescent="0.25">
      <c r="A49" s="130">
        <f t="shared" ca="1" si="0"/>
        <v>25</v>
      </c>
      <c r="B49" s="135">
        <f ca="1"/>
        <v>25</v>
      </c>
      <c r="C49" s="136">
        <f ca="1"/>
        <v>143</v>
      </c>
      <c r="D49" s="137">
        <v>109</v>
      </c>
      <c r="E49" s="138">
        <v>34</v>
      </c>
      <c r="F49" s="259">
        <f ca="1"/>
        <v>0</v>
      </c>
      <c r="G49" s="259"/>
      <c r="H49" s="259">
        <f ca="1"/>
        <v>188.78947368421052</v>
      </c>
      <c r="I49" s="259">
        <f ca="1"/>
        <v>1.1964467860921833E-2</v>
      </c>
      <c r="J49" s="119">
        <v>40639</v>
      </c>
      <c r="K49" s="120"/>
      <c r="L49" s="121"/>
      <c r="M49" s="121"/>
      <c r="N49" s="123">
        <v>40670</v>
      </c>
      <c r="O49" s="261">
        <v>5</v>
      </c>
      <c r="P49" s="261">
        <v>31</v>
      </c>
      <c r="Q49" s="105">
        <f ca="1"/>
        <v>0</v>
      </c>
      <c r="R49" s="105">
        <f ca="1"/>
        <v>25</v>
      </c>
      <c r="S49" s="262">
        <f ca="1"/>
        <v>0</v>
      </c>
      <c r="T49" s="47">
        <f ca="1"/>
        <v>24</v>
      </c>
      <c r="U49" s="47">
        <f ca="1"/>
        <v>1</v>
      </c>
    </row>
    <row r="50" spans="1:21" x14ac:dyDescent="0.25">
      <c r="A50" s="130">
        <f t="shared" ca="1" si="0"/>
        <v>26</v>
      </c>
      <c r="B50" s="135">
        <f ca="1"/>
        <v>26</v>
      </c>
      <c r="C50" s="136">
        <f ca="1"/>
        <v>128</v>
      </c>
      <c r="D50" s="137">
        <v>79</v>
      </c>
      <c r="E50" s="138">
        <v>49</v>
      </c>
      <c r="F50" s="259">
        <f ca="1"/>
        <v>0</v>
      </c>
      <c r="G50" s="259"/>
      <c r="H50" s="259">
        <f ca="1"/>
        <v>188.78947368421052</v>
      </c>
      <c r="I50" s="259">
        <f ca="1"/>
        <v>1.1964467860921833E-2</v>
      </c>
      <c r="J50" s="119">
        <v>40640</v>
      </c>
      <c r="K50" s="120"/>
      <c r="L50" s="121"/>
      <c r="M50" s="121"/>
      <c r="N50" s="123">
        <v>40662</v>
      </c>
      <c r="O50" s="261">
        <v>4</v>
      </c>
      <c r="P50" s="261">
        <v>22</v>
      </c>
      <c r="Q50" s="105"/>
      <c r="R50" s="105"/>
      <c r="S50" s="47"/>
      <c r="T50" s="47">
        <f ca="1"/>
        <v>25</v>
      </c>
      <c r="U50" s="47">
        <f ca="1"/>
        <v>0</v>
      </c>
    </row>
    <row r="51" spans="1:21" x14ac:dyDescent="0.25">
      <c r="A51" s="130">
        <f t="shared" ca="1" si="0"/>
        <v>27</v>
      </c>
      <c r="B51" s="135">
        <f ca="1"/>
        <v>27</v>
      </c>
      <c r="C51" s="136">
        <f ca="1"/>
        <v>138</v>
      </c>
      <c r="D51" s="137">
        <v>95</v>
      </c>
      <c r="E51" s="138">
        <v>43</v>
      </c>
      <c r="F51" s="259">
        <f ca="1"/>
        <v>0</v>
      </c>
      <c r="G51" s="259"/>
      <c r="H51" s="259">
        <f ca="1"/>
        <v>188.78947368421052</v>
      </c>
      <c r="I51" s="259">
        <f ca="1"/>
        <v>1.1964467860921833E-2</v>
      </c>
      <c r="J51" s="119">
        <v>40638</v>
      </c>
      <c r="K51" s="120"/>
      <c r="L51" s="121"/>
      <c r="M51" s="121"/>
      <c r="N51" s="123">
        <v>40674</v>
      </c>
      <c r="O51" s="261">
        <v>6</v>
      </c>
      <c r="P51" s="261">
        <v>36</v>
      </c>
      <c r="Q51" s="105"/>
      <c r="R51" s="105"/>
      <c r="S51" s="47"/>
      <c r="T51" s="47">
        <f ca="1"/>
        <v>26</v>
      </c>
      <c r="U51" s="47">
        <f ca="1"/>
        <v>0</v>
      </c>
    </row>
    <row r="52" spans="1:21" x14ac:dyDescent="0.25">
      <c r="A52" s="130">
        <f t="shared" ca="1" si="0"/>
        <v>28</v>
      </c>
      <c r="B52" s="135">
        <f ca="1"/>
        <v>28</v>
      </c>
      <c r="C52" s="136">
        <f ca="1"/>
        <v>171</v>
      </c>
      <c r="D52" s="137">
        <v>135</v>
      </c>
      <c r="E52" s="138">
        <v>36</v>
      </c>
      <c r="F52" s="259">
        <f ca="1"/>
        <v>0</v>
      </c>
      <c r="G52" s="259"/>
      <c r="H52" s="259">
        <f ca="1"/>
        <v>188.78947368421052</v>
      </c>
      <c r="I52" s="259">
        <f ca="1"/>
        <v>1.1964467860921833E-2</v>
      </c>
      <c r="J52" s="119">
        <v>40644</v>
      </c>
      <c r="K52" s="120"/>
      <c r="L52" s="121"/>
      <c r="M52" s="121"/>
      <c r="N52" s="123">
        <v>40662</v>
      </c>
      <c r="O52" s="261">
        <v>3</v>
      </c>
      <c r="P52" s="261">
        <v>18</v>
      </c>
      <c r="Q52" s="105"/>
      <c r="R52" s="105"/>
      <c r="S52" s="47"/>
      <c r="T52" s="47">
        <f ca="1"/>
        <v>27</v>
      </c>
      <c r="U52" s="47">
        <f ca="1"/>
        <v>43</v>
      </c>
    </row>
    <row r="53" spans="1:21" x14ac:dyDescent="0.25">
      <c r="A53" s="130">
        <f t="shared" ca="1" si="0"/>
        <v>29</v>
      </c>
      <c r="B53" s="135">
        <f ca="1"/>
        <v>29</v>
      </c>
      <c r="C53" s="136">
        <f ca="1"/>
        <v>156</v>
      </c>
      <c r="D53" s="137">
        <v>119</v>
      </c>
      <c r="E53" s="138">
        <v>37</v>
      </c>
      <c r="F53" s="259">
        <f ca="1"/>
        <v>0</v>
      </c>
      <c r="G53" s="259"/>
      <c r="H53" s="259">
        <f ca="1"/>
        <v>188.78947368421052</v>
      </c>
      <c r="I53" s="259">
        <f ca="1"/>
        <v>1.1964467860921833E-2</v>
      </c>
      <c r="J53" s="119">
        <v>40639</v>
      </c>
      <c r="K53" s="120"/>
      <c r="L53" s="121"/>
      <c r="M53" s="121"/>
      <c r="N53" s="123">
        <v>40666</v>
      </c>
      <c r="O53" s="261">
        <v>4</v>
      </c>
      <c r="P53" s="261">
        <v>27</v>
      </c>
      <c r="Q53" s="105"/>
      <c r="R53" s="105"/>
      <c r="S53" s="47"/>
      <c r="T53" s="47">
        <f ca="1"/>
        <v>28</v>
      </c>
      <c r="U53" s="47">
        <f ca="1"/>
        <v>0</v>
      </c>
    </row>
    <row r="54" spans="1:21" x14ac:dyDescent="0.25">
      <c r="A54" s="130">
        <f t="shared" ca="1" si="0"/>
        <v>30</v>
      </c>
      <c r="B54" s="135">
        <f ca="1"/>
        <v>30</v>
      </c>
      <c r="C54" s="136">
        <f ca="1"/>
        <v>145</v>
      </c>
      <c r="D54" s="137">
        <v>101</v>
      </c>
      <c r="E54" s="138">
        <v>44</v>
      </c>
      <c r="F54" s="259">
        <f ca="1"/>
        <v>0</v>
      </c>
      <c r="G54" s="259"/>
      <c r="H54" s="259">
        <f ca="1"/>
        <v>188.78947368421052</v>
      </c>
      <c r="I54" s="259">
        <f ca="1"/>
        <v>1.1964467860921833E-2</v>
      </c>
      <c r="J54" s="119">
        <v>40644</v>
      </c>
      <c r="K54" s="120"/>
      <c r="L54" s="121"/>
      <c r="M54" s="121"/>
      <c r="N54" s="123">
        <v>40662</v>
      </c>
      <c r="O54" s="261">
        <v>3</v>
      </c>
      <c r="P54" s="261">
        <v>18</v>
      </c>
      <c r="Q54" s="105"/>
      <c r="R54" s="105"/>
      <c r="S54" s="47"/>
      <c r="T54" s="47">
        <f ca="1"/>
        <v>29</v>
      </c>
      <c r="U54" s="47">
        <f ca="1"/>
        <v>0</v>
      </c>
    </row>
    <row r="55" spans="1:21" x14ac:dyDescent="0.25">
      <c r="A55" s="130">
        <f t="shared" ca="1" si="0"/>
        <v>31</v>
      </c>
      <c r="B55" s="135">
        <f ca="1"/>
        <v>31</v>
      </c>
      <c r="C55" s="136">
        <f ca="1"/>
        <v>151</v>
      </c>
      <c r="D55" s="137">
        <v>120</v>
      </c>
      <c r="E55" s="138">
        <v>31</v>
      </c>
      <c r="F55" s="259">
        <f ca="1"/>
        <v>0</v>
      </c>
      <c r="G55" s="259"/>
      <c r="H55" s="259">
        <f ca="1"/>
        <v>188.78947368421052</v>
      </c>
      <c r="I55" s="259">
        <f ca="1"/>
        <v>1.1964467860921833E-2</v>
      </c>
      <c r="J55" s="119">
        <v>40639</v>
      </c>
      <c r="K55" s="120"/>
      <c r="L55" s="121"/>
      <c r="M55" s="121"/>
      <c r="N55" s="123">
        <v>40679</v>
      </c>
      <c r="O55" s="261">
        <v>6</v>
      </c>
      <c r="P55" s="261">
        <v>40</v>
      </c>
      <c r="Q55" s="105"/>
      <c r="R55" s="105"/>
      <c r="S55" s="47"/>
      <c r="T55" s="47">
        <f ca="1"/>
        <v>30</v>
      </c>
      <c r="U55" s="47">
        <f ca="1"/>
        <v>1</v>
      </c>
    </row>
    <row r="56" spans="1:21" x14ac:dyDescent="0.25">
      <c r="A56" s="130">
        <f t="shared" ca="1" si="0"/>
        <v>32</v>
      </c>
      <c r="B56" s="135">
        <f ca="1"/>
        <v>32</v>
      </c>
      <c r="C56" s="136">
        <f ca="1"/>
        <v>88</v>
      </c>
      <c r="D56" s="137">
        <v>51</v>
      </c>
      <c r="E56" s="138">
        <v>37</v>
      </c>
      <c r="F56" s="259">
        <f ca="1"/>
        <v>0</v>
      </c>
      <c r="G56" s="259"/>
      <c r="H56" s="259">
        <f ca="1"/>
        <v>188.78947368421052</v>
      </c>
      <c r="I56" s="259">
        <f ca="1"/>
        <v>1.1964467860921833E-2</v>
      </c>
      <c r="J56" s="119">
        <v>40640</v>
      </c>
      <c r="K56" s="120"/>
      <c r="L56" s="121"/>
      <c r="M56" s="121"/>
      <c r="N56" s="123">
        <v>40671</v>
      </c>
      <c r="O56" s="261">
        <v>5</v>
      </c>
      <c r="P56" s="261">
        <v>31</v>
      </c>
      <c r="Q56" s="105"/>
      <c r="R56" s="105"/>
      <c r="S56" s="47"/>
      <c r="T56" s="47">
        <f ca="1"/>
        <v>31</v>
      </c>
      <c r="U56" s="47">
        <f ca="1"/>
        <v>73</v>
      </c>
    </row>
    <row r="57" spans="1:21" x14ac:dyDescent="0.25">
      <c r="A57" s="130">
        <f t="shared" ca="1" si="0"/>
        <v>33</v>
      </c>
      <c r="B57" s="135">
        <f ca="1"/>
        <v>33</v>
      </c>
      <c r="C57" s="136">
        <f ca="1"/>
        <v>128</v>
      </c>
      <c r="D57" s="137">
        <v>78</v>
      </c>
      <c r="E57" s="138">
        <v>50</v>
      </c>
      <c r="F57" s="259">
        <f ca="1"/>
        <v>0</v>
      </c>
      <c r="G57" s="259"/>
      <c r="H57" s="259">
        <f ca="1"/>
        <v>188.78947368421052</v>
      </c>
      <c r="I57" s="259">
        <f ca="1"/>
        <v>1.1964467860921833E-2</v>
      </c>
      <c r="J57" s="119">
        <v>40640</v>
      </c>
      <c r="K57" s="120"/>
      <c r="L57" s="121"/>
      <c r="M57" s="122"/>
      <c r="N57" s="123">
        <v>40671</v>
      </c>
      <c r="O57" s="261">
        <v>5</v>
      </c>
      <c r="P57" s="261">
        <v>31</v>
      </c>
      <c r="Q57" s="105"/>
      <c r="R57" s="105"/>
      <c r="S57" s="47"/>
      <c r="T57" s="47">
        <f ca="1"/>
        <v>32</v>
      </c>
      <c r="U57" s="47">
        <f ca="1"/>
        <v>0</v>
      </c>
    </row>
    <row r="58" spans="1:21" x14ac:dyDescent="0.25">
      <c r="A58" s="130">
        <f t="shared" ca="1" si="0"/>
        <v>34</v>
      </c>
      <c r="B58" s="135">
        <f ca="1"/>
        <v>34</v>
      </c>
      <c r="C58" s="136">
        <f ca="1"/>
        <v>136</v>
      </c>
      <c r="D58" s="137">
        <v>93</v>
      </c>
      <c r="E58" s="138">
        <v>43</v>
      </c>
      <c r="F58" s="259">
        <f ca="1"/>
        <v>-3</v>
      </c>
      <c r="G58" s="259"/>
      <c r="H58" s="259">
        <f ca="1"/>
        <v>88.75770836739639</v>
      </c>
      <c r="I58" s="259">
        <f ca="1"/>
        <v>1.3291323204889198E-4</v>
      </c>
      <c r="J58" s="119">
        <v>40634</v>
      </c>
      <c r="K58" s="120"/>
      <c r="L58" s="121"/>
      <c r="M58" s="122"/>
      <c r="N58" s="123">
        <v>40635</v>
      </c>
      <c r="O58" s="261">
        <v>1</v>
      </c>
      <c r="P58" s="261">
        <v>1</v>
      </c>
      <c r="Q58" s="105"/>
      <c r="R58" s="105"/>
      <c r="S58" s="47"/>
      <c r="T58" s="47">
        <f ca="1"/>
        <v>33</v>
      </c>
      <c r="U58" s="47">
        <f ca="1"/>
        <v>0</v>
      </c>
    </row>
    <row r="59" spans="1:21" x14ac:dyDescent="0.25">
      <c r="A59" s="130">
        <f t="shared" ca="1" si="0"/>
        <v>35</v>
      </c>
      <c r="B59" s="135">
        <f ca="1"/>
        <v>35</v>
      </c>
      <c r="C59" s="136">
        <f ca="1"/>
        <v>138</v>
      </c>
      <c r="D59" s="137">
        <v>96</v>
      </c>
      <c r="E59" s="138">
        <v>42</v>
      </c>
      <c r="F59" s="259">
        <f ca="1"/>
        <v>-2.6666666666666665</v>
      </c>
      <c r="G59" s="259"/>
      <c r="H59" s="259">
        <f ca="1"/>
        <v>99.872348958153509</v>
      </c>
      <c r="I59" s="259">
        <f ca="1"/>
        <v>3.4177101606789039E-4</v>
      </c>
      <c r="J59" s="119">
        <v>40641</v>
      </c>
      <c r="K59" s="120"/>
      <c r="L59" s="121"/>
      <c r="M59" s="122"/>
      <c r="N59" s="123">
        <v>40659</v>
      </c>
      <c r="O59" s="261">
        <v>3</v>
      </c>
      <c r="P59" s="261">
        <v>18</v>
      </c>
      <c r="Q59" s="105"/>
      <c r="R59" s="105"/>
      <c r="S59" s="47"/>
      <c r="T59" s="47">
        <f ca="1"/>
        <v>34</v>
      </c>
      <c r="U59" s="47">
        <f ca="1"/>
        <v>1</v>
      </c>
    </row>
    <row r="60" spans="1:21" x14ac:dyDescent="0.25">
      <c r="A60" s="130">
        <f t="shared" ca="1" si="0"/>
        <v>36</v>
      </c>
      <c r="B60" s="135">
        <f ca="1"/>
        <v>36</v>
      </c>
      <c r="C60" s="136">
        <f ca="1"/>
        <v>162</v>
      </c>
      <c r="D60" s="137">
        <v>113</v>
      </c>
      <c r="E60" s="138">
        <v>49</v>
      </c>
      <c r="F60" s="259">
        <f ca="1"/>
        <v>-2.333333333333333</v>
      </c>
      <c r="G60" s="259"/>
      <c r="H60" s="259">
        <f ca="1"/>
        <v>110.98698954891064</v>
      </c>
      <c r="I60" s="259">
        <f ca="1"/>
        <v>7.8640686817816057E-4</v>
      </c>
      <c r="J60" s="119">
        <v>40639</v>
      </c>
      <c r="K60" s="120"/>
      <c r="L60" s="121"/>
      <c r="M60" s="122"/>
      <c r="N60" s="123">
        <v>40679</v>
      </c>
      <c r="O60" s="261">
        <v>6</v>
      </c>
      <c r="P60" s="261">
        <v>40</v>
      </c>
      <c r="Q60" s="105"/>
      <c r="R60" s="105"/>
      <c r="S60" s="47"/>
      <c r="T60" s="47">
        <f ca="1"/>
        <v>35</v>
      </c>
      <c r="U60" s="47">
        <f ca="1"/>
        <v>0</v>
      </c>
    </row>
    <row r="61" spans="1:21" x14ac:dyDescent="0.25">
      <c r="A61" s="130">
        <f t="shared" ca="1" si="0"/>
        <v>37</v>
      </c>
      <c r="B61" s="135">
        <f ca="1"/>
        <v>37</v>
      </c>
      <c r="C61" s="136">
        <f ca="1"/>
        <v>210</v>
      </c>
      <c r="D61" s="137">
        <v>165</v>
      </c>
      <c r="E61" s="138">
        <v>45</v>
      </c>
      <c r="F61" s="259">
        <f ca="1"/>
        <v>-1.9999999999999998</v>
      </c>
      <c r="G61" s="259"/>
      <c r="H61" s="259">
        <f ca="1"/>
        <v>122.10163013966778</v>
      </c>
      <c r="I61" s="259">
        <f ca="1"/>
        <v>1.6192146467332072E-3</v>
      </c>
      <c r="J61" s="119">
        <v>40638</v>
      </c>
      <c r="K61" s="120"/>
      <c r="L61" s="121"/>
      <c r="M61" s="122"/>
      <c r="N61" s="123">
        <v>40683</v>
      </c>
      <c r="O61" s="261">
        <v>7</v>
      </c>
      <c r="P61" s="261">
        <v>45</v>
      </c>
      <c r="Q61" s="105"/>
      <c r="R61" s="105"/>
      <c r="S61" s="47"/>
      <c r="T61" s="47">
        <f ca="1"/>
        <v>36</v>
      </c>
      <c r="U61" s="47">
        <f ca="1"/>
        <v>59</v>
      </c>
    </row>
    <row r="62" spans="1:21" x14ac:dyDescent="0.25">
      <c r="A62" s="130">
        <f t="shared" ca="1" si="0"/>
        <v>38</v>
      </c>
      <c r="B62" s="135">
        <f ca="1"/>
        <v>38</v>
      </c>
      <c r="C62" s="136">
        <f ca="1"/>
        <v>220</v>
      </c>
      <c r="D62" s="137">
        <v>158</v>
      </c>
      <c r="E62" s="138">
        <v>62</v>
      </c>
      <c r="F62" s="259">
        <f ca="1"/>
        <v>-1.6666666666666665</v>
      </c>
      <c r="G62" s="259"/>
      <c r="H62" s="259">
        <f ca="1"/>
        <v>133.2162707304249</v>
      </c>
      <c r="I62" s="259">
        <f ca="1"/>
        <v>2.9833664879658321E-3</v>
      </c>
      <c r="J62" s="119">
        <v>40639</v>
      </c>
      <c r="K62" s="120"/>
      <c r="L62" s="121"/>
      <c r="M62" s="122"/>
      <c r="N62" s="123">
        <v>40670</v>
      </c>
      <c r="O62" s="261">
        <v>5</v>
      </c>
      <c r="P62" s="261">
        <v>31</v>
      </c>
      <c r="Q62" s="105"/>
      <c r="R62" s="105"/>
      <c r="S62" s="47"/>
      <c r="T62" s="47">
        <f ca="1"/>
        <v>37</v>
      </c>
      <c r="U62" s="47">
        <f ca="1"/>
        <v>0</v>
      </c>
    </row>
    <row r="63" spans="1:21" x14ac:dyDescent="0.25">
      <c r="A63" s="130">
        <f t="shared" ca="1" si="0"/>
        <v>39</v>
      </c>
      <c r="B63" s="135">
        <f ca="1"/>
        <v>39</v>
      </c>
      <c r="C63" s="136">
        <f ca="1"/>
        <v>201</v>
      </c>
      <c r="D63" s="137">
        <v>137</v>
      </c>
      <c r="E63" s="138">
        <v>64</v>
      </c>
      <c r="F63" s="259">
        <f ca="1"/>
        <v>-1.3333333333333333</v>
      </c>
      <c r="G63" s="259"/>
      <c r="H63" s="259">
        <f ca="1"/>
        <v>144.33091132118201</v>
      </c>
      <c r="I63" s="259">
        <f ca="1"/>
        <v>4.918739787003204E-3</v>
      </c>
      <c r="J63" s="119">
        <v>40632</v>
      </c>
      <c r="K63" s="120"/>
      <c r="L63" s="121"/>
      <c r="M63" s="122"/>
      <c r="N63" s="123">
        <v>40668</v>
      </c>
      <c r="O63" s="261">
        <v>6</v>
      </c>
      <c r="P63" s="261">
        <v>36</v>
      </c>
      <c r="Q63" s="105"/>
      <c r="R63" s="105"/>
      <c r="S63" s="47"/>
      <c r="T63" s="47">
        <f ca="1"/>
        <v>38</v>
      </c>
      <c r="U63" s="47">
        <f ca="1"/>
        <v>0</v>
      </c>
    </row>
    <row r="64" spans="1:21" x14ac:dyDescent="0.25">
      <c r="A64" s="130">
        <f t="shared" ca="1" si="0"/>
        <v>40</v>
      </c>
      <c r="B64" s="135">
        <f ca="1"/>
        <v>40</v>
      </c>
      <c r="C64" s="136">
        <f ca="1"/>
        <v>199</v>
      </c>
      <c r="D64" s="137">
        <v>154</v>
      </c>
      <c r="E64" s="138">
        <v>45</v>
      </c>
      <c r="F64" s="259">
        <f ca="1"/>
        <v>-1</v>
      </c>
      <c r="G64" s="259"/>
      <c r="H64" s="259">
        <f ca="1"/>
        <v>155.44555191193913</v>
      </c>
      <c r="I64" s="259">
        <f ca="1"/>
        <v>7.2568165847955186E-3</v>
      </c>
      <c r="J64" s="119">
        <v>40637</v>
      </c>
      <c r="K64" s="120"/>
      <c r="L64" s="121"/>
      <c r="M64" s="122"/>
      <c r="N64" s="123">
        <v>40682</v>
      </c>
      <c r="O64" s="261">
        <v>7</v>
      </c>
      <c r="P64" s="261">
        <v>45</v>
      </c>
      <c r="Q64" s="105"/>
      <c r="R64" s="105"/>
      <c r="S64" s="47"/>
      <c r="T64" s="47">
        <f ca="1"/>
        <v>39</v>
      </c>
      <c r="U64" s="47">
        <f ca="1"/>
        <v>0</v>
      </c>
    </row>
    <row r="65" spans="1:21" x14ac:dyDescent="0.25">
      <c r="A65" s="130">
        <f t="shared" ca="1" si="0"/>
        <v>41</v>
      </c>
      <c r="B65" s="135">
        <f ca="1"/>
        <v>41</v>
      </c>
      <c r="C65" s="136">
        <f ca="1"/>
        <v>190</v>
      </c>
      <c r="D65" s="137">
        <v>120</v>
      </c>
      <c r="E65" s="138">
        <v>70</v>
      </c>
      <c r="F65" s="259">
        <f ca="1"/>
        <v>-0.66666666666666674</v>
      </c>
      <c r="G65" s="259"/>
      <c r="H65" s="259">
        <f ca="1"/>
        <v>166.56019250269625</v>
      </c>
      <c r="I65" s="259">
        <f ca="1"/>
        <v>9.5803969222361639E-3</v>
      </c>
      <c r="J65" s="119">
        <v>40637</v>
      </c>
      <c r="K65" s="120"/>
      <c r="L65" s="121"/>
      <c r="M65" s="122"/>
      <c r="N65" s="123">
        <v>40682</v>
      </c>
      <c r="O65" s="261">
        <v>7</v>
      </c>
      <c r="P65" s="261">
        <v>45</v>
      </c>
      <c r="Q65" s="105"/>
      <c r="R65" s="105"/>
      <c r="S65" s="47"/>
      <c r="T65" s="47">
        <f ca="1"/>
        <v>40</v>
      </c>
      <c r="U65" s="47">
        <f ca="1"/>
        <v>68</v>
      </c>
    </row>
    <row r="66" spans="1:21" x14ac:dyDescent="0.25">
      <c r="A66" s="130">
        <f t="shared" ca="1" si="0"/>
        <v>42</v>
      </c>
      <c r="B66" s="135">
        <f ca="1"/>
        <v>42</v>
      </c>
      <c r="C66" s="136">
        <f ca="1"/>
        <v>201</v>
      </c>
      <c r="D66" s="137">
        <v>153</v>
      </c>
      <c r="E66" s="138">
        <v>48</v>
      </c>
      <c r="F66" s="259">
        <f ca="1"/>
        <v>-0.33333333333333343</v>
      </c>
      <c r="G66" s="259"/>
      <c r="H66" s="259">
        <f ca="1"/>
        <v>177.6748330934534</v>
      </c>
      <c r="I66" s="259">
        <f ca="1"/>
        <v>1.1317901663469682E-2</v>
      </c>
      <c r="J66" s="119">
        <v>40638</v>
      </c>
      <c r="K66" s="120"/>
      <c r="L66" s="121"/>
      <c r="M66" s="122"/>
      <c r="N66" s="123">
        <v>40678</v>
      </c>
      <c r="O66" s="261">
        <v>6</v>
      </c>
      <c r="P66" s="261">
        <v>40</v>
      </c>
      <c r="Q66" s="105"/>
      <c r="R66" s="105"/>
      <c r="S66" s="47"/>
      <c r="T66" s="47">
        <f ca="1"/>
        <v>41</v>
      </c>
      <c r="U66" s="47">
        <f ca="1"/>
        <v>0</v>
      </c>
    </row>
    <row r="67" spans="1:21" x14ac:dyDescent="0.25">
      <c r="A67" s="130">
        <f t="shared" ca="1" si="0"/>
        <v>43</v>
      </c>
      <c r="B67" s="135">
        <f ca="1"/>
        <v>43</v>
      </c>
      <c r="C67" s="136">
        <f ca="1"/>
        <v>180</v>
      </c>
      <c r="D67" s="137">
        <v>111</v>
      </c>
      <c r="E67" s="138">
        <v>69</v>
      </c>
      <c r="F67" s="259">
        <f ca="1"/>
        <v>-1.1102230246251565E-16</v>
      </c>
      <c r="G67" s="259"/>
      <c r="H67" s="259">
        <f ca="1"/>
        <v>188.78947368421052</v>
      </c>
      <c r="I67" s="259">
        <f ca="1"/>
        <v>1.1964467860921833E-2</v>
      </c>
      <c r="J67" s="119">
        <v>40638</v>
      </c>
      <c r="K67" s="120"/>
      <c r="L67" s="121"/>
      <c r="M67" s="122"/>
      <c r="N67" s="123">
        <v>40674</v>
      </c>
      <c r="O67" s="261">
        <v>6</v>
      </c>
      <c r="P67" s="261">
        <v>36</v>
      </c>
      <c r="Q67" s="105"/>
      <c r="R67" s="105"/>
      <c r="S67" s="47"/>
      <c r="T67" s="47">
        <f ca="1"/>
        <v>42</v>
      </c>
      <c r="U67" s="47">
        <f ca="1"/>
        <v>0</v>
      </c>
    </row>
    <row r="68" spans="1:21" x14ac:dyDescent="0.25">
      <c r="A68" s="130">
        <f t="shared" ca="1" si="0"/>
        <v>44</v>
      </c>
      <c r="B68" s="135">
        <f ca="1"/>
        <v>44</v>
      </c>
      <c r="C68" s="136">
        <f ca="1"/>
        <v>193</v>
      </c>
      <c r="D68" s="137">
        <v>133</v>
      </c>
      <c r="E68" s="138">
        <v>60</v>
      </c>
      <c r="F68" s="259">
        <f ca="1"/>
        <v>0.3333333333333332</v>
      </c>
      <c r="G68" s="259"/>
      <c r="H68" s="259">
        <f ca="1"/>
        <v>199.90411427496764</v>
      </c>
      <c r="I68" s="259">
        <f ca="1"/>
        <v>1.1317901663469682E-2</v>
      </c>
      <c r="J68" s="119">
        <v>40639</v>
      </c>
      <c r="K68" s="120"/>
      <c r="L68" s="121"/>
      <c r="M68" s="122"/>
      <c r="N68" s="123">
        <v>40661</v>
      </c>
      <c r="O68" s="261">
        <v>4</v>
      </c>
      <c r="P68" s="261">
        <v>22</v>
      </c>
      <c r="Q68" s="105"/>
      <c r="R68" s="105"/>
      <c r="S68" s="47"/>
      <c r="T68" s="47">
        <f ca="1"/>
        <v>43</v>
      </c>
      <c r="U68" s="47">
        <f ca="1"/>
        <v>0</v>
      </c>
    </row>
    <row r="69" spans="1:21" x14ac:dyDescent="0.25">
      <c r="A69" s="130">
        <f t="shared" ca="1" si="0"/>
        <v>45</v>
      </c>
      <c r="B69" s="135">
        <f ca="1"/>
        <v>45</v>
      </c>
      <c r="C69" s="136">
        <f ca="1"/>
        <v>239</v>
      </c>
      <c r="D69" s="137">
        <v>189</v>
      </c>
      <c r="E69" s="138">
        <v>50</v>
      </c>
      <c r="F69" s="259">
        <f ca="1"/>
        <v>0.66666666666666652</v>
      </c>
      <c r="G69" s="259"/>
      <c r="H69" s="259">
        <f ca="1"/>
        <v>211.01875486572476</v>
      </c>
      <c r="I69" s="259">
        <f ca="1"/>
        <v>9.5803969222361691E-3</v>
      </c>
      <c r="J69" s="119">
        <v>40639</v>
      </c>
      <c r="K69" s="120"/>
      <c r="L69" s="121"/>
      <c r="M69" s="122"/>
      <c r="N69" s="123">
        <v>40666</v>
      </c>
      <c r="O69" s="261">
        <v>4</v>
      </c>
      <c r="P69" s="261">
        <v>27</v>
      </c>
      <c r="Q69" s="105"/>
      <c r="R69" s="105"/>
      <c r="S69" s="47"/>
      <c r="T69" s="47">
        <f ca="1"/>
        <v>44</v>
      </c>
      <c r="U69" s="47">
        <f ca="1"/>
        <v>0</v>
      </c>
    </row>
    <row r="70" spans="1:21" x14ac:dyDescent="0.25">
      <c r="A70" s="130">
        <f t="shared" ca="1" si="0"/>
        <v>46</v>
      </c>
      <c r="B70" s="135">
        <f ca="1"/>
        <v>46</v>
      </c>
      <c r="C70" s="136">
        <f ca="1"/>
        <v>219</v>
      </c>
      <c r="D70" s="137">
        <v>167</v>
      </c>
      <c r="E70" s="138">
        <v>52</v>
      </c>
      <c r="F70" s="259">
        <f ca="1"/>
        <v>0.99999999999999978</v>
      </c>
      <c r="G70" s="259"/>
      <c r="H70" s="259">
        <f ca="1"/>
        <v>222.13339545648188</v>
      </c>
      <c r="I70" s="259">
        <f ca="1"/>
        <v>7.2568165847955255E-3</v>
      </c>
      <c r="J70" s="119">
        <v>40637</v>
      </c>
      <c r="K70" s="120"/>
      <c r="L70" s="121"/>
      <c r="M70" s="122"/>
      <c r="N70" s="123">
        <v>40677</v>
      </c>
      <c r="O70" s="261">
        <v>6</v>
      </c>
      <c r="P70" s="261">
        <v>40</v>
      </c>
      <c r="Q70" s="105"/>
      <c r="R70" s="105"/>
      <c r="S70" s="47"/>
      <c r="T70" s="47">
        <f ca="1"/>
        <v>45</v>
      </c>
      <c r="U70" s="47">
        <f ca="1"/>
        <v>38</v>
      </c>
    </row>
    <row r="71" spans="1:21" x14ac:dyDescent="0.25">
      <c r="A71" s="130">
        <f t="shared" ca="1" si="0"/>
        <v>47</v>
      </c>
      <c r="B71" s="135">
        <f ca="1"/>
        <v>47</v>
      </c>
      <c r="C71" s="136">
        <f ca="1"/>
        <v>203</v>
      </c>
      <c r="D71" s="137">
        <v>141</v>
      </c>
      <c r="E71" s="138">
        <v>62</v>
      </c>
      <c r="F71" s="259">
        <f ca="1"/>
        <v>1.333333333333333</v>
      </c>
      <c r="G71" s="259"/>
      <c r="H71" s="259">
        <f ca="1"/>
        <v>233.24803604723903</v>
      </c>
      <c r="I71" s="259">
        <f ca="1"/>
        <v>4.918739787003204E-3</v>
      </c>
      <c r="J71" s="119">
        <v>40638</v>
      </c>
      <c r="K71" s="120"/>
      <c r="L71" s="121"/>
      <c r="M71" s="122"/>
      <c r="N71" s="123">
        <v>40669</v>
      </c>
      <c r="O71" s="261">
        <v>5</v>
      </c>
      <c r="P71" s="261">
        <v>31</v>
      </c>
      <c r="Q71" s="105"/>
      <c r="R71" s="105"/>
      <c r="S71" s="47"/>
      <c r="T71" s="47">
        <f ca="1"/>
        <v>46</v>
      </c>
      <c r="U71" s="47">
        <f ca="1"/>
        <v>0</v>
      </c>
    </row>
    <row r="72" spans="1:21" x14ac:dyDescent="0.25">
      <c r="A72" s="130">
        <f t="shared" ca="1" si="0"/>
        <v>48</v>
      </c>
      <c r="B72" s="135">
        <f ca="1"/>
        <v>48</v>
      </c>
      <c r="C72" s="136">
        <f ca="1"/>
        <v>211</v>
      </c>
      <c r="D72" s="137">
        <v>168</v>
      </c>
      <c r="E72" s="138">
        <v>43</v>
      </c>
      <c r="F72" s="259">
        <f ca="1"/>
        <v>1.6666666666666663</v>
      </c>
      <c r="G72" s="259"/>
      <c r="H72" s="259">
        <f ca="1"/>
        <v>244.36267663799615</v>
      </c>
      <c r="I72" s="259">
        <f ca="1"/>
        <v>2.9833664879658321E-3</v>
      </c>
      <c r="J72" s="119">
        <v>40639</v>
      </c>
      <c r="K72" s="120"/>
      <c r="L72" s="121"/>
      <c r="M72" s="122"/>
      <c r="N72" s="123">
        <v>40666</v>
      </c>
      <c r="O72" s="261">
        <v>4</v>
      </c>
      <c r="P72" s="261">
        <v>27</v>
      </c>
      <c r="Q72" s="105"/>
      <c r="R72" s="105"/>
      <c r="S72" s="47"/>
      <c r="T72" s="47">
        <f ca="1"/>
        <v>47</v>
      </c>
      <c r="U72" s="47">
        <f ca="1"/>
        <v>0</v>
      </c>
    </row>
    <row r="73" spans="1:21" x14ac:dyDescent="0.25">
      <c r="A73" s="130">
        <f t="shared" ca="1" si="0"/>
        <v>49</v>
      </c>
      <c r="B73" s="135">
        <f ca="1"/>
        <v>49</v>
      </c>
      <c r="C73" s="136">
        <f ca="1"/>
        <v>123</v>
      </c>
      <c r="D73" s="137">
        <v>71</v>
      </c>
      <c r="E73" s="138">
        <v>52</v>
      </c>
      <c r="F73" s="259">
        <f ca="1"/>
        <v>1.9999999999999996</v>
      </c>
      <c r="G73" s="259"/>
      <c r="H73" s="259">
        <f ca="1"/>
        <v>255.47731722875326</v>
      </c>
      <c r="I73" s="259">
        <f ca="1"/>
        <v>1.6192146467332072E-3</v>
      </c>
      <c r="J73" s="119">
        <v>40638</v>
      </c>
      <c r="K73" s="120"/>
      <c r="L73" s="121"/>
      <c r="M73" s="122"/>
      <c r="N73" s="123">
        <v>40674</v>
      </c>
      <c r="O73" s="261">
        <v>6</v>
      </c>
      <c r="P73" s="261">
        <v>36</v>
      </c>
      <c r="Q73" s="105"/>
      <c r="R73" s="105"/>
      <c r="S73" s="47"/>
      <c r="T73" s="47">
        <f ca="1"/>
        <v>48</v>
      </c>
      <c r="U73" s="47">
        <f ca="1"/>
        <v>0</v>
      </c>
    </row>
    <row r="74" spans="1:21" x14ac:dyDescent="0.25">
      <c r="A74" s="130">
        <f t="shared" ca="1" si="0"/>
        <v>50</v>
      </c>
      <c r="B74" s="135">
        <f ca="1"/>
        <v>50</v>
      </c>
      <c r="C74" s="136">
        <f ca="1"/>
        <v>179</v>
      </c>
      <c r="D74" s="137">
        <v>109</v>
      </c>
      <c r="E74" s="138">
        <v>70</v>
      </c>
      <c r="F74" s="259">
        <f ca="1"/>
        <v>2.333333333333333</v>
      </c>
      <c r="G74" s="259"/>
      <c r="H74" s="259">
        <f ca="1"/>
        <v>266.59195781951041</v>
      </c>
      <c r="I74" s="259">
        <f ca="1"/>
        <v>7.8640686817815948E-4</v>
      </c>
      <c r="J74" s="119">
        <v>40637</v>
      </c>
      <c r="K74" s="120"/>
      <c r="L74" s="121"/>
      <c r="M74" s="122"/>
      <c r="N74" s="123">
        <v>40677</v>
      </c>
      <c r="O74" s="261">
        <v>6</v>
      </c>
      <c r="P74" s="261">
        <v>40</v>
      </c>
      <c r="Q74" s="105"/>
      <c r="R74" s="105"/>
      <c r="S74" s="47"/>
      <c r="T74" s="47">
        <f ca="1"/>
        <v>49</v>
      </c>
      <c r="U74" s="47">
        <f ca="1"/>
        <v>15</v>
      </c>
    </row>
    <row r="75" spans="1:21" x14ac:dyDescent="0.25">
      <c r="A75" s="130">
        <f t="shared" ca="1" si="0"/>
        <v>51</v>
      </c>
      <c r="B75" s="135">
        <f ca="1"/>
        <v>51</v>
      </c>
      <c r="C75" s="136">
        <f ca="1"/>
        <v>190</v>
      </c>
      <c r="D75" s="137">
        <v>130</v>
      </c>
      <c r="E75" s="138">
        <v>60</v>
      </c>
      <c r="F75" s="259">
        <f ca="1"/>
        <v>2.6666666666666665</v>
      </c>
      <c r="G75" s="259"/>
      <c r="H75" s="259">
        <f ca="1"/>
        <v>277.70659841026753</v>
      </c>
      <c r="I75" s="259">
        <f ca="1"/>
        <v>3.4177101606789039E-4</v>
      </c>
      <c r="J75" s="119">
        <v>40639</v>
      </c>
      <c r="K75" s="120"/>
      <c r="L75" s="121"/>
      <c r="M75" s="122"/>
      <c r="N75" s="123">
        <v>40666</v>
      </c>
      <c r="O75" s="261">
        <v>4</v>
      </c>
      <c r="P75" s="261">
        <v>27</v>
      </c>
      <c r="Q75" s="105"/>
      <c r="R75" s="105"/>
      <c r="S75" s="47"/>
      <c r="T75" s="47">
        <f ca="1"/>
        <v>50</v>
      </c>
      <c r="U75" s="47">
        <f ca="1"/>
        <v>0</v>
      </c>
    </row>
    <row r="76" spans="1:21" ht="15.75" thickBot="1" x14ac:dyDescent="0.3">
      <c r="A76" s="130">
        <f t="shared" ca="1" si="0"/>
        <v>52</v>
      </c>
      <c r="B76" s="139">
        <f ca="1"/>
        <v>52</v>
      </c>
      <c r="C76" s="140">
        <f ca="1"/>
        <v>193</v>
      </c>
      <c r="D76" s="141">
        <v>134</v>
      </c>
      <c r="E76" s="142">
        <v>59</v>
      </c>
      <c r="F76" s="259">
        <f ca="1"/>
        <v>3</v>
      </c>
      <c r="G76" s="259"/>
      <c r="H76" s="259">
        <f ca="1"/>
        <v>288.82123900102465</v>
      </c>
      <c r="I76" s="259">
        <f ca="1"/>
        <v>1.3291323204889198E-4</v>
      </c>
      <c r="J76" s="119">
        <v>40638</v>
      </c>
      <c r="K76" s="120"/>
      <c r="L76" s="121"/>
      <c r="M76" s="122"/>
      <c r="N76" s="123">
        <v>40669</v>
      </c>
      <c r="O76" s="261">
        <v>5</v>
      </c>
      <c r="P76" s="261">
        <v>31</v>
      </c>
      <c r="Q76" s="105"/>
      <c r="R76" s="105"/>
      <c r="S76" s="47"/>
      <c r="T76" s="47">
        <f ca="1"/>
        <v>51</v>
      </c>
      <c r="U76" s="47">
        <f ca="1"/>
        <v>0</v>
      </c>
    </row>
    <row r="77" spans="1:21" x14ac:dyDescent="0.25">
      <c r="A77" s="24"/>
      <c r="B77" s="21"/>
      <c r="C77" s="47">
        <f ca="1">RAND()</f>
        <v>0.27385776367292847</v>
      </c>
      <c r="D77" s="22"/>
      <c r="E77" s="23"/>
      <c r="F77" s="260">
        <f t="array" aca="1" ref="F77:F78" ca="1">IF(Split=0,Mean,Mean2)</f>
        <v>188.78947368421052</v>
      </c>
      <c r="G77" s="260"/>
      <c r="H77" s="259">
        <f ca="1">NORMDIST(IF(Split=0,Mean,Mean2),IF(Split=0,Mean,Mean2),Deviation,FALSE)</f>
        <v>1.1964467860921833E-2</v>
      </c>
      <c r="I77" s="259"/>
      <c r="J77" s="119">
        <v>40637</v>
      </c>
      <c r="K77" s="120"/>
      <c r="L77" s="121"/>
      <c r="M77" s="122"/>
      <c r="N77" s="123">
        <v>40682</v>
      </c>
      <c r="O77" s="261">
        <v>7</v>
      </c>
      <c r="P77" s="261">
        <v>45</v>
      </c>
      <c r="Q77" s="105"/>
      <c r="R77" s="105"/>
      <c r="S77" s="47"/>
      <c r="T77" s="47">
        <f ca="1"/>
        <v>52</v>
      </c>
      <c r="U77" s="47">
        <f ca="1"/>
        <v>0</v>
      </c>
    </row>
    <row r="78" spans="1:21" x14ac:dyDescent="0.25">
      <c r="A78" s="24"/>
      <c r="E78" s="13"/>
      <c r="F78" s="260">
        <f ca="1"/>
        <v>188.78947368421052</v>
      </c>
      <c r="G78" s="260"/>
      <c r="H78" s="259">
        <v>0</v>
      </c>
      <c r="I78" s="259"/>
      <c r="J78" s="119">
        <v>40637</v>
      </c>
      <c r="K78" s="120"/>
      <c r="L78" s="121"/>
      <c r="M78" s="122"/>
      <c r="N78" s="123">
        <v>40677</v>
      </c>
      <c r="O78" s="261">
        <v>6</v>
      </c>
      <c r="P78" s="261">
        <v>40</v>
      </c>
      <c r="Q78" s="105"/>
      <c r="R78" s="105"/>
      <c r="S78" s="47"/>
      <c r="T78" s="47">
        <f ca="1"/>
        <v>53</v>
      </c>
      <c r="U78" s="47">
        <f ca="1"/>
        <v>0</v>
      </c>
    </row>
    <row r="79" spans="1:21" x14ac:dyDescent="0.25">
      <c r="A79" s="24"/>
      <c r="E79" s="13"/>
      <c r="F79" s="260">
        <f t="array" aca="1" ref="F79:F80" ca="1">Percentile85</f>
        <v>222.36279999999999</v>
      </c>
      <c r="G79" s="260"/>
      <c r="H79" s="259">
        <f ca="1">NORMDIST(Percentile85,IF(Split=0,Mean,Mean2),Deviation,FALSE)</f>
        <v>7.2068908296146379E-3</v>
      </c>
      <c r="I79" s="259"/>
      <c r="J79" s="119">
        <v>40637</v>
      </c>
      <c r="K79" s="120"/>
      <c r="L79" s="121"/>
      <c r="M79" s="122"/>
      <c r="N79" s="123">
        <v>40673</v>
      </c>
      <c r="O79" s="261">
        <v>6</v>
      </c>
      <c r="P79" s="261">
        <v>36</v>
      </c>
      <c r="Q79" s="105"/>
      <c r="R79" s="105"/>
      <c r="S79" s="47"/>
      <c r="T79" s="47">
        <f ca="1"/>
        <v>54</v>
      </c>
      <c r="U79" s="47">
        <f ca="1"/>
        <v>1</v>
      </c>
    </row>
    <row r="80" spans="1:21" x14ac:dyDescent="0.25">
      <c r="A80" s="24"/>
      <c r="E80" s="13"/>
      <c r="F80" s="260">
        <f ca="1"/>
        <v>222.36279999999999</v>
      </c>
      <c r="G80" s="260"/>
      <c r="H80" s="259">
        <v>0</v>
      </c>
      <c r="I80" s="259"/>
      <c r="J80" s="119">
        <v>40637</v>
      </c>
      <c r="K80" s="120"/>
      <c r="L80" s="121"/>
      <c r="M80" s="122"/>
      <c r="N80" s="123">
        <v>40673</v>
      </c>
      <c r="O80" s="261">
        <v>6</v>
      </c>
      <c r="P80" s="261">
        <v>36</v>
      </c>
      <c r="Q80" s="105"/>
      <c r="R80" s="105"/>
      <c r="S80" s="47"/>
      <c r="T80" s="47">
        <f ca="1"/>
        <v>55</v>
      </c>
      <c r="U80" s="47">
        <f ca="1"/>
        <v>0</v>
      </c>
    </row>
    <row r="81" spans="1:21" x14ac:dyDescent="0.25">
      <c r="A81" s="24"/>
      <c r="E81" s="13"/>
      <c r="F81" s="260">
        <f t="array" aca="1" ref="F81:F82" ca="1">(Mean+(3*Deviation))</f>
        <v>256.82022685527568</v>
      </c>
      <c r="G81" s="260"/>
      <c r="H81" s="259">
        <f ca="1">NORMDIST(F81,IF(Split=0,Mean,Mean2),Deviation,FALSE)</f>
        <v>1.4926920538287304E-3</v>
      </c>
      <c r="I81" s="259"/>
      <c r="J81" s="119">
        <v>40637</v>
      </c>
      <c r="K81" s="120"/>
      <c r="L81" s="121"/>
      <c r="M81" s="122"/>
      <c r="N81" s="123">
        <v>40673</v>
      </c>
      <c r="O81" s="261">
        <v>6</v>
      </c>
      <c r="P81" s="261">
        <v>36</v>
      </c>
      <c r="Q81" s="105"/>
      <c r="R81" s="105"/>
      <c r="S81" s="47"/>
      <c r="T81" s="47">
        <f ca="1"/>
        <v>56</v>
      </c>
      <c r="U81" s="47">
        <f ca="1"/>
        <v>0</v>
      </c>
    </row>
    <row r="82" spans="1:21" x14ac:dyDescent="0.25">
      <c r="A82" s="24"/>
      <c r="E82" s="13"/>
      <c r="F82" s="260">
        <f ca="1"/>
        <v>256.82022685527568</v>
      </c>
      <c r="G82" s="260"/>
      <c r="H82" s="105">
        <v>0</v>
      </c>
      <c r="I82" s="105"/>
      <c r="J82" s="119">
        <v>40638</v>
      </c>
      <c r="K82" s="120"/>
      <c r="L82" s="121"/>
      <c r="M82" s="122"/>
      <c r="N82" s="123">
        <v>40674</v>
      </c>
      <c r="O82" s="261">
        <v>6</v>
      </c>
      <c r="P82" s="261">
        <v>36</v>
      </c>
      <c r="Q82" s="105"/>
      <c r="R82" s="105"/>
      <c r="S82" s="47"/>
      <c r="T82" s="47">
        <f ca="1"/>
        <v>57</v>
      </c>
      <c r="U82" s="47">
        <f ca="1"/>
        <v>0</v>
      </c>
    </row>
    <row r="83" spans="1:21" x14ac:dyDescent="0.25">
      <c r="A83" s="63" t="s">
        <v>86</v>
      </c>
      <c r="B83" s="63" t="s">
        <v>324</v>
      </c>
      <c r="E83" s="13"/>
      <c r="F83" s="13"/>
      <c r="G83" s="13"/>
      <c r="H83" s="13"/>
      <c r="I83" s="13"/>
      <c r="J83" s="119">
        <v>40638</v>
      </c>
      <c r="K83" s="120"/>
      <c r="L83" s="121"/>
      <c r="M83" s="122"/>
      <c r="N83" s="123">
        <v>40669</v>
      </c>
      <c r="O83" s="261">
        <v>5</v>
      </c>
      <c r="P83" s="261">
        <v>31</v>
      </c>
      <c r="Q83" s="105"/>
      <c r="R83" s="105"/>
      <c r="S83" s="47"/>
      <c r="T83" s="47">
        <f ca="1"/>
        <v>58</v>
      </c>
      <c r="U83" s="47">
        <f ca="1"/>
        <v>0</v>
      </c>
    </row>
    <row r="84" spans="1:21" x14ac:dyDescent="0.25">
      <c r="A84" s="63" t="s">
        <v>87</v>
      </c>
      <c r="B84" s="63" t="s">
        <v>325</v>
      </c>
      <c r="F84" s="264"/>
      <c r="G84" s="50"/>
      <c r="H84" s="50"/>
      <c r="I84" s="50"/>
      <c r="J84" s="119">
        <v>40638</v>
      </c>
      <c r="K84" s="120"/>
      <c r="L84" s="121"/>
      <c r="M84" s="122"/>
      <c r="N84" s="123">
        <v>40669</v>
      </c>
      <c r="O84" s="261">
        <v>5</v>
      </c>
      <c r="P84" s="261">
        <v>31</v>
      </c>
      <c r="Q84" s="105"/>
      <c r="R84" s="105"/>
      <c r="S84" s="47"/>
      <c r="T84" s="47">
        <f ca="1"/>
        <v>59</v>
      </c>
      <c r="U84" s="47">
        <f ca="1"/>
        <v>0</v>
      </c>
    </row>
    <row r="85" spans="1:21" x14ac:dyDescent="0.25">
      <c r="A85" s="63" t="s">
        <v>498</v>
      </c>
      <c r="B85" s="63" t="s">
        <v>326</v>
      </c>
      <c r="F85" s="50"/>
      <c r="G85" s="50"/>
      <c r="H85" s="50"/>
      <c r="I85" s="50"/>
      <c r="J85" s="119">
        <v>40637</v>
      </c>
      <c r="K85" s="120"/>
      <c r="L85" s="121"/>
      <c r="M85" s="122"/>
      <c r="N85" s="123">
        <v>40682</v>
      </c>
      <c r="O85" s="261">
        <v>7</v>
      </c>
      <c r="P85" s="261">
        <v>45</v>
      </c>
      <c r="Q85" s="105"/>
      <c r="R85" s="105"/>
      <c r="S85" s="47"/>
      <c r="T85" s="47">
        <f ca="1"/>
        <v>60</v>
      </c>
      <c r="U85" s="47">
        <f ca="1"/>
        <v>0</v>
      </c>
    </row>
    <row r="86" spans="1:21" x14ac:dyDescent="0.25">
      <c r="A86" s="63" t="s">
        <v>88</v>
      </c>
      <c r="B86" s="63" t="s">
        <v>327</v>
      </c>
      <c r="F86" s="50"/>
      <c r="G86" s="50"/>
      <c r="H86" s="50"/>
      <c r="I86" s="50"/>
      <c r="J86" s="119">
        <v>40639</v>
      </c>
      <c r="K86" s="120"/>
      <c r="L86" s="121"/>
      <c r="M86" s="122"/>
      <c r="N86" s="123">
        <v>40661</v>
      </c>
      <c r="O86" s="261">
        <v>4</v>
      </c>
      <c r="P86" s="261">
        <v>22</v>
      </c>
      <c r="Q86" s="105"/>
      <c r="R86" s="105"/>
      <c r="S86" s="47"/>
      <c r="T86" s="47">
        <f ca="1"/>
        <v>61</v>
      </c>
      <c r="U86" s="47">
        <f ca="1"/>
        <v>0</v>
      </c>
    </row>
    <row r="87" spans="1:21" x14ac:dyDescent="0.25">
      <c r="A87" s="63" t="s">
        <v>89</v>
      </c>
      <c r="B87" s="63" t="s">
        <v>328</v>
      </c>
      <c r="F87" s="50"/>
      <c r="G87" s="50"/>
      <c r="H87" s="50"/>
      <c r="I87" s="50"/>
      <c r="J87" s="119">
        <v>40637</v>
      </c>
      <c r="K87" s="120"/>
      <c r="L87" s="121"/>
      <c r="M87" s="122"/>
      <c r="N87" s="123">
        <v>40673</v>
      </c>
      <c r="O87" s="261">
        <v>6</v>
      </c>
      <c r="P87" s="261">
        <v>36</v>
      </c>
      <c r="Q87" s="105"/>
      <c r="R87" s="105"/>
      <c r="S87" s="47"/>
      <c r="T87" s="47">
        <f ca="1"/>
        <v>62</v>
      </c>
      <c r="U87" s="47">
        <f ca="1"/>
        <v>0</v>
      </c>
    </row>
    <row r="88" spans="1:21" x14ac:dyDescent="0.25">
      <c r="A88" s="63" t="s">
        <v>90</v>
      </c>
      <c r="B88" s="63" t="s">
        <v>329</v>
      </c>
      <c r="F88" s="50"/>
      <c r="G88" s="50"/>
      <c r="H88" s="50"/>
      <c r="I88" s="50"/>
      <c r="J88" s="119">
        <v>40637</v>
      </c>
      <c r="K88" s="120"/>
      <c r="L88" s="121"/>
      <c r="M88" s="122"/>
      <c r="N88" s="123">
        <v>40677</v>
      </c>
      <c r="O88" s="261">
        <v>6</v>
      </c>
      <c r="P88" s="261">
        <v>40</v>
      </c>
      <c r="Q88" s="105"/>
      <c r="R88" s="105"/>
      <c r="S88" s="47"/>
      <c r="T88" s="47">
        <f ca="1"/>
        <v>63</v>
      </c>
      <c r="U88" s="47">
        <f ca="1"/>
        <v>0</v>
      </c>
    </row>
    <row r="89" spans="1:21" x14ac:dyDescent="0.25">
      <c r="A89" s="63" t="s">
        <v>91</v>
      </c>
      <c r="B89" s="63" t="s">
        <v>330</v>
      </c>
      <c r="F89" s="50"/>
      <c r="G89" s="50"/>
      <c r="H89" s="50"/>
      <c r="I89" s="50"/>
      <c r="J89" s="119">
        <v>40638</v>
      </c>
      <c r="K89" s="120"/>
      <c r="L89" s="121"/>
      <c r="M89" s="122"/>
      <c r="N89" s="123">
        <v>40674</v>
      </c>
      <c r="O89" s="261">
        <v>6</v>
      </c>
      <c r="P89" s="261">
        <v>36</v>
      </c>
      <c r="Q89" s="105"/>
      <c r="R89" s="105"/>
      <c r="S89" s="47"/>
      <c r="T89" s="47">
        <f ca="1"/>
        <v>64</v>
      </c>
      <c r="U89" s="47">
        <f ca="1"/>
        <v>0</v>
      </c>
    </row>
    <row r="90" spans="1:21" x14ac:dyDescent="0.25">
      <c r="A90" s="63" t="s">
        <v>92</v>
      </c>
      <c r="B90" s="63" t="s">
        <v>331</v>
      </c>
      <c r="F90" s="50"/>
      <c r="G90" s="50"/>
      <c r="H90" s="50"/>
      <c r="I90" s="50"/>
      <c r="J90" s="119">
        <v>40639</v>
      </c>
      <c r="K90" s="120"/>
      <c r="L90" s="121"/>
      <c r="M90" s="122"/>
      <c r="N90" s="123">
        <v>40666</v>
      </c>
      <c r="O90" s="261">
        <v>4</v>
      </c>
      <c r="P90" s="261">
        <v>27</v>
      </c>
      <c r="Q90" s="105"/>
      <c r="R90" s="105"/>
      <c r="S90" s="47"/>
      <c r="T90" s="47">
        <f ca="1"/>
        <v>65</v>
      </c>
      <c r="U90" s="47">
        <f ca="1"/>
        <v>0</v>
      </c>
    </row>
    <row r="91" spans="1:21" x14ac:dyDescent="0.25">
      <c r="A91" s="63" t="s">
        <v>93</v>
      </c>
      <c r="B91" s="63" t="s">
        <v>332</v>
      </c>
      <c r="F91" s="50"/>
      <c r="G91" s="50"/>
      <c r="H91" s="50"/>
      <c r="I91" s="50"/>
      <c r="J91" s="119">
        <v>40633</v>
      </c>
      <c r="K91" s="120"/>
      <c r="L91" s="121"/>
      <c r="M91" s="122"/>
      <c r="N91" s="123">
        <v>40669</v>
      </c>
      <c r="O91" s="261">
        <v>6</v>
      </c>
      <c r="P91" s="261">
        <v>36</v>
      </c>
      <c r="Q91" s="105"/>
      <c r="R91" s="105"/>
      <c r="S91" s="47"/>
      <c r="T91" s="47">
        <f ca="1"/>
        <v>66</v>
      </c>
      <c r="U91" s="47">
        <f ca="1"/>
        <v>0</v>
      </c>
    </row>
    <row r="92" spans="1:21" x14ac:dyDescent="0.25">
      <c r="A92" s="63" t="s">
        <v>94</v>
      </c>
      <c r="B92" s="63" t="s">
        <v>333</v>
      </c>
      <c r="F92" s="50"/>
      <c r="G92" s="50"/>
      <c r="H92" s="50"/>
      <c r="I92" s="50"/>
      <c r="J92" s="119">
        <v>40637</v>
      </c>
      <c r="K92" s="120"/>
      <c r="L92" s="121"/>
      <c r="M92" s="122"/>
      <c r="N92" s="123">
        <v>40646</v>
      </c>
      <c r="O92" s="261">
        <v>2</v>
      </c>
      <c r="P92" s="261">
        <v>9</v>
      </c>
      <c r="Q92" s="105"/>
      <c r="R92" s="105"/>
      <c r="S92" s="47"/>
      <c r="T92" s="47">
        <f ca="1"/>
        <v>67</v>
      </c>
      <c r="U92" s="47">
        <f ca="1"/>
        <v>0</v>
      </c>
    </row>
    <row r="93" spans="1:21" x14ac:dyDescent="0.25">
      <c r="A93" s="63" t="s">
        <v>95</v>
      </c>
      <c r="B93" s="63" t="s">
        <v>334</v>
      </c>
      <c r="F93" s="50"/>
      <c r="G93" s="50"/>
      <c r="H93" s="50"/>
      <c r="I93" s="50"/>
      <c r="J93" s="119">
        <v>40627</v>
      </c>
      <c r="K93" s="120"/>
      <c r="L93" s="121"/>
      <c r="M93" s="122"/>
      <c r="N93" s="123">
        <v>40628</v>
      </c>
      <c r="O93" s="261">
        <v>1</v>
      </c>
      <c r="P93" s="261">
        <v>1</v>
      </c>
      <c r="Q93" s="105"/>
      <c r="R93" s="105"/>
      <c r="S93" s="47"/>
      <c r="T93" s="47">
        <f ca="1"/>
        <v>68</v>
      </c>
      <c r="U93" s="47">
        <f ca="1"/>
        <v>0</v>
      </c>
    </row>
    <row r="94" spans="1:21" x14ac:dyDescent="0.25">
      <c r="A94" s="63" t="s">
        <v>499</v>
      </c>
      <c r="B94" s="63" t="s">
        <v>335</v>
      </c>
      <c r="F94" s="50"/>
      <c r="G94" s="50"/>
      <c r="H94" s="50"/>
      <c r="I94" s="50"/>
      <c r="J94" s="119">
        <v>40627</v>
      </c>
      <c r="K94" s="120"/>
      <c r="L94" s="121"/>
      <c r="M94" s="122"/>
      <c r="N94" s="123">
        <v>40629</v>
      </c>
      <c r="O94" s="261">
        <v>1</v>
      </c>
      <c r="P94" s="261">
        <v>2</v>
      </c>
      <c r="Q94" s="105"/>
      <c r="R94" s="105"/>
      <c r="S94" s="47"/>
      <c r="T94" s="47">
        <f ca="1"/>
        <v>69</v>
      </c>
      <c r="U94" s="47">
        <f ca="1"/>
        <v>0</v>
      </c>
    </row>
    <row r="95" spans="1:21" x14ac:dyDescent="0.25">
      <c r="A95" s="63" t="s">
        <v>96</v>
      </c>
      <c r="B95" s="63" t="s">
        <v>336</v>
      </c>
      <c r="F95" s="50"/>
      <c r="G95" s="50"/>
      <c r="H95" s="50"/>
      <c r="I95" s="50"/>
      <c r="J95" s="119">
        <v>40638</v>
      </c>
      <c r="K95" s="120"/>
      <c r="L95" s="121"/>
      <c r="M95" s="122"/>
      <c r="N95" s="123">
        <v>40638</v>
      </c>
      <c r="O95" s="261">
        <v>1</v>
      </c>
      <c r="P95" s="261">
        <v>0</v>
      </c>
      <c r="Q95" s="105"/>
      <c r="R95" s="105"/>
      <c r="S95" s="47"/>
      <c r="T95" s="47">
        <f ca="1"/>
        <v>70</v>
      </c>
      <c r="U95" s="47">
        <f ca="1"/>
        <v>0</v>
      </c>
    </row>
    <row r="96" spans="1:21" x14ac:dyDescent="0.25">
      <c r="A96" s="63" t="s">
        <v>500</v>
      </c>
      <c r="B96" s="63" t="s">
        <v>337</v>
      </c>
      <c r="F96" s="50"/>
      <c r="G96" s="50"/>
      <c r="H96" s="50"/>
      <c r="I96" s="50"/>
      <c r="J96" s="119">
        <v>40638</v>
      </c>
      <c r="K96" s="120"/>
      <c r="L96" s="121"/>
      <c r="M96" s="122"/>
      <c r="N96" s="123">
        <v>40638</v>
      </c>
      <c r="O96" s="261">
        <v>1</v>
      </c>
      <c r="P96" s="261">
        <v>0</v>
      </c>
      <c r="Q96" s="105"/>
      <c r="R96" s="105"/>
      <c r="S96" s="47"/>
      <c r="T96" s="47">
        <f ca="1"/>
        <v>71</v>
      </c>
      <c r="U96" s="47">
        <f ca="1"/>
        <v>0</v>
      </c>
    </row>
    <row r="97" spans="1:21" x14ac:dyDescent="0.25">
      <c r="A97" s="63" t="s">
        <v>501</v>
      </c>
      <c r="B97" s="63" t="s">
        <v>338</v>
      </c>
      <c r="F97" s="50"/>
      <c r="G97" s="50"/>
      <c r="H97" s="50"/>
      <c r="I97" s="50"/>
      <c r="J97" s="119">
        <v>40634</v>
      </c>
      <c r="K97" s="120"/>
      <c r="L97" s="121"/>
      <c r="M97" s="122"/>
      <c r="N97" s="123">
        <v>40661</v>
      </c>
      <c r="O97" s="261">
        <v>4</v>
      </c>
      <c r="P97" s="261">
        <v>27</v>
      </c>
      <c r="Q97" s="105"/>
      <c r="R97" s="105"/>
      <c r="S97" s="47"/>
      <c r="T97" s="47">
        <f ca="1"/>
        <v>72</v>
      </c>
      <c r="U97" s="47">
        <f ca="1"/>
        <v>0</v>
      </c>
    </row>
    <row r="98" spans="1:21" x14ac:dyDescent="0.25">
      <c r="A98" s="63" t="s">
        <v>97</v>
      </c>
      <c r="B98" s="63" t="s">
        <v>339</v>
      </c>
      <c r="F98" s="50"/>
      <c r="G98" s="50"/>
      <c r="H98" s="50"/>
      <c r="I98" s="50"/>
      <c r="J98" s="119">
        <v>40633</v>
      </c>
      <c r="K98" s="120"/>
      <c r="L98" s="121"/>
      <c r="M98" s="122"/>
      <c r="N98" s="123">
        <v>40673</v>
      </c>
      <c r="O98" s="261">
        <v>6</v>
      </c>
      <c r="P98" s="261">
        <v>40</v>
      </c>
      <c r="Q98" s="105"/>
      <c r="R98" s="105"/>
      <c r="S98" s="47"/>
      <c r="T98" s="47">
        <f ca="1"/>
        <v>73</v>
      </c>
      <c r="U98" s="47">
        <f ca="1"/>
        <v>0</v>
      </c>
    </row>
    <row r="99" spans="1:21" x14ac:dyDescent="0.25">
      <c r="A99" s="63" t="s">
        <v>98</v>
      </c>
      <c r="B99" s="63" t="s">
        <v>340</v>
      </c>
      <c r="F99" s="50"/>
      <c r="G99" s="50"/>
      <c r="H99" s="50"/>
      <c r="I99" s="50"/>
      <c r="J99" s="119">
        <v>40633</v>
      </c>
      <c r="K99" s="120"/>
      <c r="L99" s="121"/>
      <c r="M99" s="122"/>
      <c r="N99" s="123">
        <v>40682</v>
      </c>
      <c r="O99" s="261">
        <v>7</v>
      </c>
      <c r="P99" s="261">
        <v>49</v>
      </c>
      <c r="Q99" s="105"/>
      <c r="R99" s="105"/>
      <c r="S99" s="47"/>
      <c r="T99" s="47">
        <f ca="1"/>
        <v>74</v>
      </c>
      <c r="U99" s="47">
        <f ca="1"/>
        <v>0</v>
      </c>
    </row>
    <row r="100" spans="1:21" x14ac:dyDescent="0.25">
      <c r="A100" s="63" t="s">
        <v>99</v>
      </c>
      <c r="B100" s="63" t="s">
        <v>341</v>
      </c>
      <c r="F100" s="50"/>
      <c r="G100" s="50"/>
      <c r="H100" s="50"/>
      <c r="I100" s="50"/>
      <c r="J100" s="119">
        <v>40639</v>
      </c>
      <c r="K100" s="120"/>
      <c r="L100" s="121"/>
      <c r="M100" s="122"/>
      <c r="N100" s="123">
        <v>40648</v>
      </c>
      <c r="O100" s="261">
        <v>2</v>
      </c>
      <c r="P100" s="261">
        <v>9</v>
      </c>
      <c r="Q100" s="105"/>
      <c r="R100" s="105"/>
      <c r="S100" s="47"/>
      <c r="T100" s="47">
        <f ca="1"/>
        <v>75</v>
      </c>
      <c r="U100" s="47">
        <f ca="1"/>
        <v>0</v>
      </c>
    </row>
    <row r="101" spans="1:21" x14ac:dyDescent="0.25">
      <c r="A101" s="63" t="s">
        <v>100</v>
      </c>
      <c r="B101" s="63" t="s">
        <v>342</v>
      </c>
      <c r="F101" s="50"/>
      <c r="G101" s="50"/>
      <c r="H101" s="50"/>
      <c r="I101" s="50"/>
      <c r="J101" s="119">
        <v>40633</v>
      </c>
      <c r="K101" s="120"/>
      <c r="L101" s="121"/>
      <c r="M101" s="122"/>
      <c r="N101" s="123">
        <v>40678</v>
      </c>
      <c r="O101" s="261">
        <v>7</v>
      </c>
      <c r="P101" s="261">
        <v>45</v>
      </c>
      <c r="Q101" s="105"/>
      <c r="R101" s="105"/>
      <c r="S101" s="47"/>
      <c r="T101" s="47">
        <f ca="1"/>
        <v>76</v>
      </c>
      <c r="U101" s="47">
        <f ca="1"/>
        <v>0</v>
      </c>
    </row>
    <row r="102" spans="1:21" x14ac:dyDescent="0.25">
      <c r="A102" s="63" t="s">
        <v>101</v>
      </c>
      <c r="B102" s="63" t="s">
        <v>343</v>
      </c>
      <c r="F102" s="50"/>
      <c r="G102" s="50"/>
      <c r="H102" s="50"/>
      <c r="I102" s="50"/>
      <c r="J102" s="119">
        <v>40633</v>
      </c>
      <c r="K102" s="120"/>
      <c r="L102" s="121"/>
      <c r="M102" s="122"/>
      <c r="N102" s="123">
        <v>40669</v>
      </c>
      <c r="O102" s="261">
        <v>6</v>
      </c>
      <c r="P102" s="261">
        <v>36</v>
      </c>
      <c r="Q102" s="105"/>
      <c r="R102" s="105"/>
      <c r="S102" s="47"/>
      <c r="T102" s="47">
        <f ca="1"/>
        <v>77</v>
      </c>
      <c r="U102" s="47">
        <f ca="1"/>
        <v>0</v>
      </c>
    </row>
    <row r="103" spans="1:21" x14ac:dyDescent="0.25">
      <c r="A103" s="63" t="s">
        <v>102</v>
      </c>
      <c r="B103" s="63" t="s">
        <v>344</v>
      </c>
      <c r="F103" s="50"/>
      <c r="G103" s="50"/>
      <c r="H103" s="50"/>
      <c r="I103" s="50"/>
      <c r="J103" s="119">
        <v>40633</v>
      </c>
      <c r="K103" s="120"/>
      <c r="L103" s="121"/>
      <c r="M103" s="122"/>
      <c r="N103" s="123">
        <v>40682</v>
      </c>
      <c r="O103" s="261">
        <v>7</v>
      </c>
      <c r="P103" s="261">
        <v>49</v>
      </c>
      <c r="Q103" s="105"/>
      <c r="R103" s="105"/>
      <c r="S103" s="47"/>
      <c r="T103" s="47">
        <f ca="1"/>
        <v>78</v>
      </c>
      <c r="U103" s="47">
        <f ca="1"/>
        <v>0</v>
      </c>
    </row>
    <row r="104" spans="1:21" x14ac:dyDescent="0.25">
      <c r="A104" s="63" t="s">
        <v>473</v>
      </c>
      <c r="B104" s="63" t="s">
        <v>345</v>
      </c>
      <c r="F104" s="50"/>
      <c r="G104" s="50"/>
      <c r="H104" s="50"/>
      <c r="I104" s="50"/>
      <c r="J104" s="119">
        <v>40633</v>
      </c>
      <c r="K104" s="120"/>
      <c r="L104" s="121"/>
      <c r="M104" s="122"/>
      <c r="N104" s="123">
        <v>40678</v>
      </c>
      <c r="O104" s="261">
        <v>7</v>
      </c>
      <c r="P104" s="261">
        <v>45</v>
      </c>
      <c r="Q104" s="105"/>
      <c r="R104" s="105"/>
      <c r="S104" s="47"/>
      <c r="T104" s="47">
        <f ca="1"/>
        <v>79</v>
      </c>
      <c r="U104" s="47">
        <f ca="1"/>
        <v>0</v>
      </c>
    </row>
    <row r="105" spans="1:21" x14ac:dyDescent="0.25">
      <c r="A105" s="63" t="s">
        <v>103</v>
      </c>
      <c r="B105" s="63" t="s">
        <v>346</v>
      </c>
      <c r="F105" s="50"/>
      <c r="G105" s="50"/>
      <c r="H105" s="50"/>
      <c r="I105" s="50"/>
      <c r="J105" s="119">
        <v>40633</v>
      </c>
      <c r="K105" s="120"/>
      <c r="L105" s="121"/>
      <c r="M105" s="122"/>
      <c r="N105" s="123">
        <v>40669</v>
      </c>
      <c r="O105" s="261">
        <v>6</v>
      </c>
      <c r="P105" s="261">
        <v>36</v>
      </c>
      <c r="Q105" s="105"/>
      <c r="R105" s="105"/>
      <c r="S105" s="47"/>
      <c r="T105" s="47">
        <f ca="1"/>
        <v>80</v>
      </c>
      <c r="U105" s="47">
        <f ca="1"/>
        <v>0</v>
      </c>
    </row>
    <row r="106" spans="1:21" x14ac:dyDescent="0.25">
      <c r="A106" s="63" t="s">
        <v>474</v>
      </c>
      <c r="B106" s="63" t="s">
        <v>347</v>
      </c>
      <c r="F106" s="50"/>
      <c r="G106" s="50"/>
      <c r="H106" s="50"/>
      <c r="I106" s="50"/>
      <c r="J106" s="119">
        <v>40634</v>
      </c>
      <c r="K106" s="120"/>
      <c r="L106" s="121"/>
      <c r="M106" s="122"/>
      <c r="N106" s="123">
        <v>40665</v>
      </c>
      <c r="O106" s="261">
        <v>5</v>
      </c>
      <c r="P106" s="261">
        <v>31</v>
      </c>
      <c r="Q106" s="105"/>
      <c r="R106" s="105"/>
      <c r="S106" s="47"/>
      <c r="T106" s="47">
        <f ca="1"/>
        <v>81</v>
      </c>
      <c r="U106" s="47">
        <f ca="1"/>
        <v>0</v>
      </c>
    </row>
    <row r="107" spans="1:21" x14ac:dyDescent="0.25">
      <c r="A107" s="63" t="s">
        <v>502</v>
      </c>
      <c r="B107" s="63" t="s">
        <v>348</v>
      </c>
      <c r="F107" s="50"/>
      <c r="G107" s="50"/>
      <c r="H107" s="50"/>
      <c r="I107" s="50"/>
      <c r="J107" s="119">
        <v>40634</v>
      </c>
      <c r="K107" s="120"/>
      <c r="L107" s="121"/>
      <c r="M107" s="122"/>
      <c r="N107" s="123">
        <v>40665</v>
      </c>
      <c r="O107" s="261">
        <v>5</v>
      </c>
      <c r="P107" s="261">
        <v>31</v>
      </c>
      <c r="Q107" s="105"/>
      <c r="R107" s="105"/>
      <c r="S107" s="47"/>
      <c r="T107" s="47">
        <f ca="1"/>
        <v>82</v>
      </c>
      <c r="U107" s="47">
        <f ca="1"/>
        <v>0</v>
      </c>
    </row>
    <row r="108" spans="1:21" x14ac:dyDescent="0.25">
      <c r="A108" s="63" t="s">
        <v>104</v>
      </c>
      <c r="B108" s="63" t="s">
        <v>349</v>
      </c>
      <c r="F108" s="50"/>
      <c r="G108" s="50"/>
      <c r="H108" s="50"/>
      <c r="I108" s="50"/>
      <c r="J108" s="119">
        <v>40634</v>
      </c>
      <c r="K108" s="120"/>
      <c r="L108" s="121"/>
      <c r="M108" s="122"/>
      <c r="N108" s="123">
        <v>40665</v>
      </c>
      <c r="O108" s="261">
        <v>5</v>
      </c>
      <c r="P108" s="261">
        <v>31</v>
      </c>
      <c r="Q108" s="105"/>
      <c r="R108" s="105"/>
      <c r="S108" s="47"/>
      <c r="T108" s="47">
        <f ca="1"/>
        <v>83</v>
      </c>
      <c r="U108" s="47">
        <f ca="1"/>
        <v>0</v>
      </c>
    </row>
    <row r="109" spans="1:21" x14ac:dyDescent="0.25">
      <c r="A109" s="63" t="s">
        <v>503</v>
      </c>
      <c r="B109" s="63" t="s">
        <v>350</v>
      </c>
      <c r="F109" s="50"/>
      <c r="G109" s="50"/>
      <c r="H109" s="50"/>
      <c r="I109" s="50"/>
      <c r="J109" s="119">
        <v>40634</v>
      </c>
      <c r="K109" s="120"/>
      <c r="L109" s="121"/>
      <c r="M109" s="122"/>
      <c r="N109" s="123">
        <v>40652</v>
      </c>
      <c r="O109" s="261">
        <v>3</v>
      </c>
      <c r="P109" s="261">
        <v>18</v>
      </c>
      <c r="Q109" s="105"/>
      <c r="R109" s="105"/>
      <c r="S109" s="47"/>
      <c r="T109" s="47">
        <f ca="1"/>
        <v>84</v>
      </c>
      <c r="U109" s="47">
        <f ca="1"/>
        <v>0</v>
      </c>
    </row>
    <row r="110" spans="1:21" x14ac:dyDescent="0.25">
      <c r="A110" s="63" t="s">
        <v>475</v>
      </c>
      <c r="B110" s="63" t="s">
        <v>351</v>
      </c>
      <c r="F110" s="50"/>
      <c r="G110" s="50"/>
      <c r="H110" s="50"/>
      <c r="I110" s="50"/>
      <c r="J110" s="119">
        <v>40634</v>
      </c>
      <c r="K110" s="120"/>
      <c r="L110" s="121"/>
      <c r="M110" s="122"/>
      <c r="N110" s="123">
        <v>40661</v>
      </c>
      <c r="O110" s="261">
        <v>4</v>
      </c>
      <c r="P110" s="261">
        <v>27</v>
      </c>
      <c r="Q110" s="105"/>
      <c r="R110" s="105"/>
      <c r="S110" s="47"/>
      <c r="T110" s="47">
        <f ca="1"/>
        <v>85</v>
      </c>
      <c r="U110" s="47">
        <f ca="1"/>
        <v>0</v>
      </c>
    </row>
    <row r="111" spans="1:21" x14ac:dyDescent="0.25">
      <c r="A111" s="63" t="s">
        <v>105</v>
      </c>
      <c r="B111" s="63" t="s">
        <v>352</v>
      </c>
      <c r="F111" s="50"/>
      <c r="G111" s="50"/>
      <c r="H111" s="50"/>
      <c r="I111" s="50"/>
      <c r="J111" s="119">
        <v>40634</v>
      </c>
      <c r="K111" s="120"/>
      <c r="L111" s="121"/>
      <c r="M111" s="122"/>
      <c r="N111" s="123">
        <v>40661</v>
      </c>
      <c r="O111" s="261">
        <v>4</v>
      </c>
      <c r="P111" s="261">
        <v>27</v>
      </c>
      <c r="Q111" s="105"/>
      <c r="R111" s="105"/>
      <c r="S111" s="47"/>
      <c r="T111" s="47">
        <f ca="1"/>
        <v>86</v>
      </c>
      <c r="U111" s="47">
        <f ca="1"/>
        <v>0</v>
      </c>
    </row>
    <row r="112" spans="1:21" x14ac:dyDescent="0.25">
      <c r="A112" s="63" t="s">
        <v>106</v>
      </c>
      <c r="B112" s="63" t="s">
        <v>353</v>
      </c>
      <c r="F112" s="50"/>
      <c r="G112" s="50"/>
      <c r="H112" s="50"/>
      <c r="I112" s="50"/>
      <c r="J112" s="119">
        <v>40634</v>
      </c>
      <c r="K112" s="120"/>
      <c r="L112" s="121"/>
      <c r="M112" s="122"/>
      <c r="N112" s="123">
        <v>40656</v>
      </c>
      <c r="O112" s="261">
        <v>4</v>
      </c>
      <c r="P112" s="261">
        <v>22</v>
      </c>
      <c r="Q112" s="105"/>
      <c r="R112" s="105"/>
      <c r="S112" s="47"/>
      <c r="T112" s="47">
        <f ca="1"/>
        <v>87</v>
      </c>
      <c r="U112" s="47">
        <f ca="1"/>
        <v>0</v>
      </c>
    </row>
    <row r="113" spans="1:21" x14ac:dyDescent="0.25">
      <c r="A113" s="63" t="s">
        <v>107</v>
      </c>
      <c r="B113" s="63" t="s">
        <v>354</v>
      </c>
      <c r="F113" s="50"/>
      <c r="G113" s="50"/>
      <c r="H113" s="50"/>
      <c r="I113" s="50"/>
      <c r="J113" s="119">
        <v>40634</v>
      </c>
      <c r="K113" s="120"/>
      <c r="L113" s="121"/>
      <c r="M113" s="122"/>
      <c r="N113" s="123">
        <v>40652</v>
      </c>
      <c r="O113" s="261">
        <v>3</v>
      </c>
      <c r="P113" s="261">
        <v>18</v>
      </c>
      <c r="Q113" s="105"/>
      <c r="R113" s="105"/>
      <c r="S113" s="47"/>
      <c r="T113" s="47">
        <f ca="1"/>
        <v>88</v>
      </c>
      <c r="U113" s="47">
        <f ca="1"/>
        <v>0</v>
      </c>
    </row>
    <row r="114" spans="1:21" x14ac:dyDescent="0.25">
      <c r="A114" s="63" t="s">
        <v>108</v>
      </c>
      <c r="B114" s="63" t="s">
        <v>355</v>
      </c>
      <c r="F114" s="50"/>
      <c r="G114" s="50"/>
      <c r="H114" s="50"/>
      <c r="I114" s="50"/>
      <c r="J114" s="119">
        <v>40632</v>
      </c>
      <c r="K114" s="120"/>
      <c r="L114" s="121"/>
      <c r="M114" s="122"/>
      <c r="N114" s="123">
        <v>40677</v>
      </c>
      <c r="O114" s="261">
        <v>7</v>
      </c>
      <c r="P114" s="261">
        <v>45</v>
      </c>
      <c r="Q114" s="105"/>
      <c r="R114" s="105"/>
      <c r="S114" s="47"/>
      <c r="T114" s="47">
        <f ca="1"/>
        <v>89</v>
      </c>
      <c r="U114" s="47">
        <f ca="1"/>
        <v>0</v>
      </c>
    </row>
    <row r="115" spans="1:21" x14ac:dyDescent="0.25">
      <c r="A115" s="63" t="s">
        <v>109</v>
      </c>
      <c r="B115" s="63" t="s">
        <v>356</v>
      </c>
      <c r="F115" s="50"/>
      <c r="G115" s="50"/>
      <c r="H115" s="50"/>
      <c r="I115" s="50"/>
      <c r="J115" s="119">
        <v>40634</v>
      </c>
      <c r="K115" s="120"/>
      <c r="L115" s="121"/>
      <c r="M115" s="122"/>
      <c r="N115" s="123">
        <v>40656</v>
      </c>
      <c r="O115" s="261">
        <v>4</v>
      </c>
      <c r="P115" s="261">
        <v>22</v>
      </c>
      <c r="Q115" s="105"/>
      <c r="R115" s="105"/>
      <c r="S115" s="47"/>
      <c r="T115" s="47">
        <f ca="1"/>
        <v>90</v>
      </c>
      <c r="U115" s="47">
        <f ca="1"/>
        <v>0</v>
      </c>
    </row>
    <row r="116" spans="1:21" x14ac:dyDescent="0.25">
      <c r="A116" s="63" t="s">
        <v>110</v>
      </c>
      <c r="B116" s="63" t="s">
        <v>357</v>
      </c>
      <c r="F116" s="50"/>
      <c r="G116" s="50"/>
      <c r="H116" s="50"/>
      <c r="I116" s="50"/>
      <c r="J116" s="119">
        <v>40634</v>
      </c>
      <c r="K116" s="120"/>
      <c r="L116" s="121"/>
      <c r="M116" s="122"/>
      <c r="N116" s="123">
        <v>40656</v>
      </c>
      <c r="O116" s="261">
        <v>4</v>
      </c>
      <c r="P116" s="261">
        <v>22</v>
      </c>
      <c r="Q116" s="105"/>
      <c r="R116" s="105"/>
      <c r="S116" s="47"/>
      <c r="T116" s="47">
        <f ca="1"/>
        <v>91</v>
      </c>
      <c r="U116" s="47">
        <f ca="1"/>
        <v>0</v>
      </c>
    </row>
    <row r="117" spans="1:21" x14ac:dyDescent="0.25">
      <c r="A117" s="63" t="s">
        <v>111</v>
      </c>
      <c r="B117" s="63" t="s">
        <v>358</v>
      </c>
      <c r="F117" s="50"/>
      <c r="G117" s="50"/>
      <c r="H117" s="50"/>
      <c r="I117" s="50"/>
      <c r="J117" s="119">
        <v>40631</v>
      </c>
      <c r="K117" s="120"/>
      <c r="L117" s="121"/>
      <c r="M117" s="122"/>
      <c r="N117" s="123">
        <v>40671</v>
      </c>
      <c r="O117" s="261">
        <v>6</v>
      </c>
      <c r="P117" s="261">
        <v>40</v>
      </c>
      <c r="Q117" s="105"/>
      <c r="R117" s="105"/>
      <c r="S117" s="47"/>
      <c r="T117" s="47">
        <f ca="1"/>
        <v>92</v>
      </c>
      <c r="U117" s="47">
        <f ca="1"/>
        <v>0</v>
      </c>
    </row>
    <row r="118" spans="1:21" x14ac:dyDescent="0.25">
      <c r="A118" s="63" t="s">
        <v>112</v>
      </c>
      <c r="B118" s="63" t="s">
        <v>359</v>
      </c>
      <c r="F118" s="50"/>
      <c r="G118" s="50"/>
      <c r="H118" s="50"/>
      <c r="I118" s="50"/>
      <c r="J118" s="119">
        <v>40631</v>
      </c>
      <c r="K118" s="120"/>
      <c r="L118" s="121"/>
      <c r="M118" s="122"/>
      <c r="N118" s="123">
        <v>40671</v>
      </c>
      <c r="O118" s="261">
        <v>6</v>
      </c>
      <c r="P118" s="261">
        <v>40</v>
      </c>
      <c r="Q118" s="105"/>
      <c r="R118" s="105"/>
      <c r="S118" s="47"/>
      <c r="T118" s="47">
        <f ca="1"/>
        <v>93</v>
      </c>
      <c r="U118" s="47">
        <f ca="1"/>
        <v>0</v>
      </c>
    </row>
    <row r="119" spans="1:21" x14ac:dyDescent="0.25">
      <c r="A119" s="63" t="s">
        <v>113</v>
      </c>
      <c r="B119" s="63" t="s">
        <v>287</v>
      </c>
      <c r="F119" s="50"/>
      <c r="G119" s="50"/>
      <c r="H119" s="50"/>
      <c r="I119" s="50"/>
      <c r="J119" s="119">
        <v>40631</v>
      </c>
      <c r="K119" s="120"/>
      <c r="L119" s="121"/>
      <c r="M119" s="122"/>
      <c r="N119" s="123">
        <v>40671</v>
      </c>
      <c r="O119" s="261">
        <v>6</v>
      </c>
      <c r="P119" s="261">
        <v>40</v>
      </c>
      <c r="Q119" s="105"/>
      <c r="R119" s="105"/>
      <c r="S119" s="47"/>
      <c r="T119" s="47">
        <f ca="1"/>
        <v>94</v>
      </c>
      <c r="U119" s="47">
        <f ca="1"/>
        <v>0</v>
      </c>
    </row>
    <row r="120" spans="1:21" x14ac:dyDescent="0.25">
      <c r="A120" s="63" t="s">
        <v>504</v>
      </c>
      <c r="B120" s="63" t="s">
        <v>286</v>
      </c>
      <c r="F120" s="50"/>
      <c r="G120" s="50"/>
      <c r="H120" s="50"/>
      <c r="I120" s="50"/>
      <c r="J120" s="119">
        <v>40631</v>
      </c>
      <c r="K120" s="120"/>
      <c r="L120" s="121"/>
      <c r="M120" s="122"/>
      <c r="N120" s="123">
        <v>40671</v>
      </c>
      <c r="O120" s="261">
        <v>6</v>
      </c>
      <c r="P120" s="261">
        <v>40</v>
      </c>
      <c r="Q120" s="105"/>
      <c r="R120" s="105"/>
      <c r="S120" s="47"/>
      <c r="T120" s="47">
        <f ca="1"/>
        <v>95</v>
      </c>
      <c r="U120" s="47">
        <f ca="1"/>
        <v>0</v>
      </c>
    </row>
    <row r="121" spans="1:21" x14ac:dyDescent="0.25">
      <c r="A121" s="63" t="s">
        <v>505</v>
      </c>
      <c r="B121" s="63" t="s">
        <v>360</v>
      </c>
      <c r="F121" s="50"/>
      <c r="G121" s="50"/>
      <c r="H121" s="50"/>
      <c r="I121" s="50"/>
      <c r="J121" s="119">
        <v>40632</v>
      </c>
      <c r="K121" s="120"/>
      <c r="L121" s="121"/>
      <c r="M121" s="122"/>
      <c r="N121" s="123">
        <v>40663</v>
      </c>
      <c r="O121" s="261">
        <v>5</v>
      </c>
      <c r="P121" s="261">
        <v>31</v>
      </c>
      <c r="Q121" s="105"/>
      <c r="R121" s="105"/>
      <c r="S121" s="47"/>
      <c r="T121" s="47">
        <f ca="1"/>
        <v>96</v>
      </c>
      <c r="U121" s="47">
        <f ca="1"/>
        <v>0</v>
      </c>
    </row>
    <row r="122" spans="1:21" x14ac:dyDescent="0.25">
      <c r="A122" s="63" t="s">
        <v>114</v>
      </c>
      <c r="B122" s="63" t="s">
        <v>361</v>
      </c>
      <c r="F122" s="50"/>
      <c r="G122" s="50"/>
      <c r="H122" s="50"/>
      <c r="I122" s="50"/>
      <c r="J122" s="119">
        <v>40631</v>
      </c>
      <c r="K122" s="120"/>
      <c r="L122" s="121"/>
      <c r="M122" s="122"/>
      <c r="N122" s="123">
        <v>40680</v>
      </c>
      <c r="O122" s="261">
        <v>7</v>
      </c>
      <c r="P122" s="261">
        <v>49</v>
      </c>
      <c r="Q122" s="105"/>
      <c r="R122" s="105"/>
      <c r="S122" s="47"/>
      <c r="T122" s="47">
        <f ca="1"/>
        <v>97</v>
      </c>
      <c r="U122" s="47">
        <f ca="1"/>
        <v>0</v>
      </c>
    </row>
    <row r="123" spans="1:21" x14ac:dyDescent="0.25">
      <c r="A123" s="63" t="s">
        <v>115</v>
      </c>
      <c r="B123" s="63" t="s">
        <v>362</v>
      </c>
      <c r="F123" s="50"/>
      <c r="G123" s="50"/>
      <c r="H123" s="50"/>
      <c r="I123" s="50"/>
      <c r="J123" s="119">
        <v>40631</v>
      </c>
      <c r="K123" s="120"/>
      <c r="L123" s="121"/>
      <c r="M123" s="122"/>
      <c r="N123" s="123">
        <v>40671</v>
      </c>
      <c r="O123" s="261">
        <v>6</v>
      </c>
      <c r="P123" s="261">
        <v>40</v>
      </c>
      <c r="Q123" s="105"/>
      <c r="R123" s="105"/>
      <c r="S123" s="47"/>
      <c r="T123" s="47">
        <f ca="1"/>
        <v>98</v>
      </c>
      <c r="U123" s="47">
        <f ca="1"/>
        <v>0</v>
      </c>
    </row>
    <row r="124" spans="1:21" x14ac:dyDescent="0.25">
      <c r="A124" s="63" t="s">
        <v>116</v>
      </c>
      <c r="B124" s="63" t="s">
        <v>363</v>
      </c>
      <c r="F124" s="50"/>
      <c r="G124" s="50"/>
      <c r="H124" s="50"/>
      <c r="I124" s="50"/>
      <c r="J124" s="119">
        <v>40631</v>
      </c>
      <c r="K124" s="120"/>
      <c r="L124" s="121"/>
      <c r="M124" s="122"/>
      <c r="N124" s="123">
        <v>40671</v>
      </c>
      <c r="O124" s="261">
        <v>6</v>
      </c>
      <c r="P124" s="261">
        <v>40</v>
      </c>
      <c r="Q124" s="105"/>
      <c r="R124" s="105"/>
      <c r="S124" s="47"/>
      <c r="T124" s="47">
        <f ca="1"/>
        <v>99</v>
      </c>
      <c r="U124" s="47">
        <f ca="1"/>
        <v>0</v>
      </c>
    </row>
    <row r="125" spans="1:21" x14ac:dyDescent="0.25">
      <c r="A125" s="63" t="s">
        <v>117</v>
      </c>
      <c r="B125" s="63" t="s">
        <v>364</v>
      </c>
      <c r="F125" s="50"/>
      <c r="G125" s="50"/>
      <c r="H125" s="50"/>
      <c r="I125" s="50"/>
      <c r="J125" s="119">
        <v>40631</v>
      </c>
      <c r="K125" s="120"/>
      <c r="L125" s="121"/>
      <c r="M125" s="122"/>
      <c r="N125" s="123">
        <v>40671</v>
      </c>
      <c r="O125" s="261">
        <v>6</v>
      </c>
      <c r="P125" s="261">
        <v>40</v>
      </c>
      <c r="Q125" s="105"/>
      <c r="R125" s="105"/>
      <c r="S125" s="47"/>
      <c r="T125" s="47">
        <f ca="1"/>
        <v>100</v>
      </c>
      <c r="U125" s="47">
        <f ca="1"/>
        <v>0</v>
      </c>
    </row>
    <row r="126" spans="1:21" x14ac:dyDescent="0.25">
      <c r="A126" s="63" t="s">
        <v>735</v>
      </c>
      <c r="B126" s="63" t="s">
        <v>365</v>
      </c>
      <c r="F126" s="50"/>
      <c r="G126" s="50"/>
      <c r="H126" s="50"/>
      <c r="I126" s="50"/>
      <c r="J126" s="119">
        <v>40632</v>
      </c>
      <c r="K126" s="120"/>
      <c r="L126" s="121"/>
      <c r="M126" s="122"/>
      <c r="N126" s="123">
        <v>40663</v>
      </c>
      <c r="O126" s="261">
        <v>5</v>
      </c>
      <c r="P126" s="261">
        <v>31</v>
      </c>
      <c r="Q126" s="105"/>
      <c r="R126" s="105"/>
      <c r="S126" s="47"/>
      <c r="T126" s="47">
        <f ca="1"/>
        <v>101</v>
      </c>
      <c r="U126" s="47">
        <f ca="1"/>
        <v>0</v>
      </c>
    </row>
    <row r="127" spans="1:21" x14ac:dyDescent="0.25">
      <c r="A127" s="63" t="s">
        <v>118</v>
      </c>
      <c r="B127" s="63" t="s">
        <v>366</v>
      </c>
      <c r="F127" s="50"/>
      <c r="G127" s="50"/>
      <c r="H127" s="50"/>
      <c r="I127" s="50"/>
      <c r="J127" s="119">
        <v>40630</v>
      </c>
      <c r="K127" s="120"/>
      <c r="L127" s="121"/>
      <c r="M127" s="122"/>
      <c r="N127" s="123">
        <v>40675</v>
      </c>
      <c r="O127" s="261">
        <v>7</v>
      </c>
      <c r="P127" s="261">
        <v>45</v>
      </c>
      <c r="Q127" s="105"/>
      <c r="R127" s="105"/>
      <c r="S127" s="47"/>
      <c r="T127" s="47">
        <f ca="1"/>
        <v>102</v>
      </c>
      <c r="U127" s="47">
        <f ca="1"/>
        <v>0</v>
      </c>
    </row>
    <row r="128" spans="1:21" x14ac:dyDescent="0.25">
      <c r="A128" s="63" t="s">
        <v>119</v>
      </c>
      <c r="B128" s="63" t="s">
        <v>367</v>
      </c>
      <c r="F128" s="50"/>
      <c r="G128" s="50"/>
      <c r="H128" s="50"/>
      <c r="I128" s="50"/>
      <c r="J128" s="119">
        <v>40633</v>
      </c>
      <c r="K128" s="120"/>
      <c r="L128" s="121"/>
      <c r="M128" s="122"/>
      <c r="N128" s="123">
        <v>40651</v>
      </c>
      <c r="O128" s="261">
        <v>3</v>
      </c>
      <c r="P128" s="261">
        <v>18</v>
      </c>
      <c r="Q128" s="105"/>
      <c r="R128" s="105"/>
      <c r="S128" s="47"/>
      <c r="T128" s="47">
        <f ca="1"/>
        <v>103</v>
      </c>
      <c r="U128" s="47">
        <f ca="1"/>
        <v>0</v>
      </c>
    </row>
    <row r="129" spans="1:21" x14ac:dyDescent="0.25">
      <c r="A129" s="63" t="s">
        <v>120</v>
      </c>
      <c r="B129" s="63" t="s">
        <v>368</v>
      </c>
      <c r="F129" s="50"/>
      <c r="G129" s="50"/>
      <c r="H129" s="50"/>
      <c r="I129" s="50"/>
      <c r="J129" s="119">
        <v>40632</v>
      </c>
      <c r="K129" s="120"/>
      <c r="L129" s="121"/>
      <c r="M129" s="122"/>
      <c r="N129" s="123">
        <v>40663</v>
      </c>
      <c r="O129" s="261">
        <v>5</v>
      </c>
      <c r="P129" s="261">
        <v>31</v>
      </c>
      <c r="Q129" s="105"/>
      <c r="R129" s="105"/>
      <c r="S129" s="47"/>
      <c r="T129" s="47">
        <f ca="1"/>
        <v>104</v>
      </c>
      <c r="U129" s="47">
        <f ca="1"/>
        <v>0</v>
      </c>
    </row>
    <row r="130" spans="1:21" x14ac:dyDescent="0.25">
      <c r="A130" s="63" t="s">
        <v>121</v>
      </c>
      <c r="B130" s="63" t="s">
        <v>369</v>
      </c>
      <c r="F130" s="50"/>
      <c r="G130" s="50"/>
      <c r="H130" s="50"/>
      <c r="I130" s="50"/>
      <c r="J130" s="119">
        <v>40630</v>
      </c>
      <c r="K130" s="120"/>
      <c r="L130" s="121"/>
      <c r="M130" s="122"/>
      <c r="N130" s="123">
        <v>40666</v>
      </c>
      <c r="O130" s="261">
        <v>6</v>
      </c>
      <c r="P130" s="261">
        <v>36</v>
      </c>
      <c r="Q130" s="105"/>
      <c r="R130" s="105"/>
      <c r="S130" s="47"/>
      <c r="T130" s="47">
        <f ca="1"/>
        <v>105</v>
      </c>
      <c r="U130" s="47">
        <f ca="1"/>
        <v>0</v>
      </c>
    </row>
    <row r="131" spans="1:21" x14ac:dyDescent="0.25">
      <c r="A131" s="63" t="s">
        <v>122</v>
      </c>
      <c r="B131" s="63" t="s">
        <v>370</v>
      </c>
      <c r="F131" s="50"/>
      <c r="G131" s="50"/>
      <c r="H131" s="50"/>
      <c r="I131" s="50"/>
      <c r="J131" s="119">
        <v>40630</v>
      </c>
      <c r="K131" s="120"/>
      <c r="L131" s="121"/>
      <c r="M131" s="122"/>
      <c r="N131" s="123">
        <v>40675</v>
      </c>
      <c r="O131" s="261">
        <v>7</v>
      </c>
      <c r="P131" s="261">
        <v>45</v>
      </c>
      <c r="Q131" s="105"/>
      <c r="R131" s="105"/>
      <c r="S131" s="47"/>
      <c r="T131" s="47">
        <f ca="1"/>
        <v>106</v>
      </c>
      <c r="U131" s="47">
        <f ca="1"/>
        <v>0</v>
      </c>
    </row>
    <row r="132" spans="1:21" x14ac:dyDescent="0.25">
      <c r="A132" s="63" t="s">
        <v>123</v>
      </c>
      <c r="B132" s="63" t="s">
        <v>371</v>
      </c>
      <c r="F132" s="50"/>
      <c r="G132" s="50"/>
      <c r="H132" s="50"/>
      <c r="I132" s="50"/>
      <c r="J132" s="119">
        <v>40632</v>
      </c>
      <c r="K132" s="120"/>
      <c r="L132" s="121"/>
      <c r="M132" s="122"/>
      <c r="N132" s="123">
        <v>40659</v>
      </c>
      <c r="O132" s="261">
        <v>4</v>
      </c>
      <c r="P132" s="261">
        <v>27</v>
      </c>
      <c r="Q132" s="105"/>
      <c r="R132" s="105"/>
      <c r="S132" s="47"/>
      <c r="T132" s="47">
        <f ca="1"/>
        <v>107</v>
      </c>
      <c r="U132" s="47">
        <f ca="1"/>
        <v>0</v>
      </c>
    </row>
    <row r="133" spans="1:21" x14ac:dyDescent="0.25">
      <c r="A133" s="63" t="s">
        <v>124</v>
      </c>
      <c r="B133" s="63" t="s">
        <v>372</v>
      </c>
      <c r="F133" s="50"/>
      <c r="G133" s="50"/>
      <c r="H133" s="50"/>
      <c r="I133" s="50"/>
      <c r="J133" s="119">
        <v>40627</v>
      </c>
      <c r="K133" s="120"/>
      <c r="L133" s="121"/>
      <c r="M133" s="122"/>
      <c r="N133" s="123">
        <v>40630</v>
      </c>
      <c r="O133" s="261">
        <v>1</v>
      </c>
      <c r="P133" s="261">
        <v>3</v>
      </c>
      <c r="Q133" s="105"/>
      <c r="R133" s="105"/>
      <c r="S133" s="47"/>
      <c r="T133" s="47">
        <f ca="1"/>
        <v>108</v>
      </c>
      <c r="U133" s="47">
        <f ca="1"/>
        <v>0</v>
      </c>
    </row>
    <row r="134" spans="1:21" x14ac:dyDescent="0.25">
      <c r="A134" s="63" t="s">
        <v>125</v>
      </c>
      <c r="B134" s="63" t="s">
        <v>373</v>
      </c>
      <c r="F134" s="50"/>
      <c r="G134" s="50"/>
      <c r="H134" s="50"/>
      <c r="I134" s="50"/>
      <c r="J134" s="119">
        <v>40632</v>
      </c>
      <c r="K134" s="120"/>
      <c r="L134" s="121"/>
      <c r="M134" s="122"/>
      <c r="N134" s="123">
        <v>40659</v>
      </c>
      <c r="O134" s="261">
        <v>4</v>
      </c>
      <c r="P134" s="261">
        <v>27</v>
      </c>
      <c r="Q134" s="105"/>
      <c r="R134" s="105"/>
      <c r="S134" s="47"/>
      <c r="T134" s="47">
        <f ca="1"/>
        <v>109</v>
      </c>
      <c r="U134" s="47">
        <f ca="1"/>
        <v>0</v>
      </c>
    </row>
    <row r="135" spans="1:21" x14ac:dyDescent="0.25">
      <c r="A135" s="63" t="s">
        <v>126</v>
      </c>
      <c r="B135" s="63" t="s">
        <v>374</v>
      </c>
      <c r="F135" s="50"/>
      <c r="G135" s="50"/>
      <c r="H135" s="50"/>
      <c r="I135" s="50"/>
      <c r="J135" s="119">
        <v>40630</v>
      </c>
      <c r="K135" s="120"/>
      <c r="L135" s="121"/>
      <c r="M135" s="122"/>
      <c r="N135" s="123">
        <v>40675</v>
      </c>
      <c r="O135" s="261">
        <v>7</v>
      </c>
      <c r="P135" s="261">
        <v>45</v>
      </c>
      <c r="Q135" s="105"/>
      <c r="R135" s="105"/>
      <c r="S135" s="47"/>
      <c r="T135" s="47">
        <f ca="1"/>
        <v>110</v>
      </c>
      <c r="U135" s="47">
        <f ca="1"/>
        <v>0</v>
      </c>
    </row>
    <row r="136" spans="1:21" x14ac:dyDescent="0.25">
      <c r="A136" s="63" t="s">
        <v>127</v>
      </c>
      <c r="B136" s="63" t="s">
        <v>375</v>
      </c>
      <c r="F136" s="50"/>
      <c r="G136" s="50"/>
      <c r="H136" s="50"/>
      <c r="I136" s="50"/>
      <c r="J136" s="119">
        <v>40632</v>
      </c>
      <c r="K136" s="120"/>
      <c r="L136" s="121"/>
      <c r="M136" s="122"/>
      <c r="N136" s="123">
        <v>40654</v>
      </c>
      <c r="O136" s="261">
        <v>4</v>
      </c>
      <c r="P136" s="261">
        <v>22</v>
      </c>
      <c r="Q136" s="105"/>
      <c r="R136" s="105"/>
      <c r="S136" s="47"/>
      <c r="T136" s="47">
        <f ca="1"/>
        <v>111</v>
      </c>
      <c r="U136" s="47">
        <f ca="1"/>
        <v>0</v>
      </c>
    </row>
    <row r="137" spans="1:21" x14ac:dyDescent="0.25">
      <c r="A137" s="63" t="s">
        <v>128</v>
      </c>
      <c r="B137" s="63" t="s">
        <v>376</v>
      </c>
      <c r="F137" s="50"/>
      <c r="G137" s="50"/>
      <c r="H137" s="50"/>
      <c r="I137" s="50"/>
      <c r="J137" s="119">
        <v>40632</v>
      </c>
      <c r="K137" s="120"/>
      <c r="L137" s="121"/>
      <c r="M137" s="122"/>
      <c r="N137" s="123">
        <v>40663</v>
      </c>
      <c r="O137" s="261">
        <v>5</v>
      </c>
      <c r="P137" s="261">
        <v>31</v>
      </c>
      <c r="Q137" s="105"/>
      <c r="R137" s="105"/>
      <c r="S137" s="47"/>
      <c r="T137" s="47">
        <f ca="1"/>
        <v>112</v>
      </c>
      <c r="U137" s="47">
        <f ca="1"/>
        <v>0</v>
      </c>
    </row>
    <row r="138" spans="1:21" x14ac:dyDescent="0.25">
      <c r="A138" s="63" t="s">
        <v>506</v>
      </c>
      <c r="B138" s="63" t="s">
        <v>377</v>
      </c>
      <c r="F138" s="50"/>
      <c r="G138" s="50"/>
      <c r="H138" s="50"/>
      <c r="I138" s="50"/>
      <c r="J138" s="119">
        <v>40627</v>
      </c>
      <c r="K138" s="120"/>
      <c r="L138" s="121"/>
      <c r="M138" s="122"/>
      <c r="N138" s="123">
        <v>40639</v>
      </c>
      <c r="O138" s="261">
        <v>2</v>
      </c>
      <c r="P138" s="261">
        <v>12</v>
      </c>
      <c r="Q138" s="105"/>
      <c r="R138" s="105"/>
      <c r="S138" s="47"/>
      <c r="T138" s="47">
        <f ca="1"/>
        <v>113</v>
      </c>
      <c r="U138" s="47">
        <f ca="1"/>
        <v>0</v>
      </c>
    </row>
    <row r="139" spans="1:21" x14ac:dyDescent="0.25">
      <c r="A139" s="63" t="s">
        <v>129</v>
      </c>
      <c r="B139" s="63" t="s">
        <v>378</v>
      </c>
      <c r="F139" s="50"/>
      <c r="G139" s="50"/>
      <c r="H139" s="50"/>
      <c r="I139" s="50"/>
      <c r="J139" s="119">
        <v>40632</v>
      </c>
      <c r="K139" s="120"/>
      <c r="L139" s="121"/>
      <c r="M139" s="122"/>
      <c r="N139" s="123">
        <v>40654</v>
      </c>
      <c r="O139" s="261">
        <v>4</v>
      </c>
      <c r="P139" s="261">
        <v>22</v>
      </c>
      <c r="Q139" s="105"/>
      <c r="R139" s="105"/>
      <c r="S139" s="47"/>
      <c r="T139" s="47">
        <f ca="1"/>
        <v>114</v>
      </c>
      <c r="U139" s="47">
        <f ca="1"/>
        <v>0</v>
      </c>
    </row>
    <row r="140" spans="1:21" x14ac:dyDescent="0.25">
      <c r="A140" s="63" t="s">
        <v>476</v>
      </c>
      <c r="B140" s="63" t="s">
        <v>379</v>
      </c>
      <c r="F140" s="50"/>
      <c r="G140" s="50"/>
      <c r="H140" s="50"/>
      <c r="I140" s="50"/>
      <c r="J140" s="119">
        <v>40630</v>
      </c>
      <c r="K140" s="120"/>
      <c r="L140" s="121"/>
      <c r="M140" s="122"/>
      <c r="N140" s="123">
        <v>40670</v>
      </c>
      <c r="O140" s="261">
        <v>6</v>
      </c>
      <c r="P140" s="261">
        <v>40</v>
      </c>
      <c r="Q140" s="105"/>
      <c r="R140" s="105"/>
      <c r="S140" s="47"/>
      <c r="T140" s="47">
        <f ca="1"/>
        <v>115</v>
      </c>
      <c r="U140" s="47">
        <f ca="1"/>
        <v>0</v>
      </c>
    </row>
    <row r="141" spans="1:21" x14ac:dyDescent="0.25">
      <c r="A141" s="63" t="s">
        <v>130</v>
      </c>
      <c r="B141" s="63" t="s">
        <v>380</v>
      </c>
      <c r="F141" s="50"/>
      <c r="G141" s="50"/>
      <c r="H141" s="50"/>
      <c r="I141" s="50"/>
      <c r="J141" s="119">
        <v>40634</v>
      </c>
      <c r="K141" s="120"/>
      <c r="L141" s="121"/>
      <c r="M141" s="122"/>
      <c r="N141" s="123">
        <v>40638</v>
      </c>
      <c r="O141" s="261">
        <v>1</v>
      </c>
      <c r="P141" s="261">
        <v>4</v>
      </c>
      <c r="Q141" s="105"/>
      <c r="R141" s="105"/>
      <c r="S141" s="47"/>
      <c r="T141" s="47">
        <f ca="1"/>
        <v>116</v>
      </c>
      <c r="U141" s="47">
        <f ca="1"/>
        <v>0</v>
      </c>
    </row>
    <row r="142" spans="1:21" x14ac:dyDescent="0.25">
      <c r="A142" s="63" t="s">
        <v>131</v>
      </c>
      <c r="B142" s="63" t="s">
        <v>381</v>
      </c>
      <c r="F142" s="50"/>
      <c r="G142" s="50"/>
      <c r="H142" s="50"/>
      <c r="I142" s="50"/>
      <c r="J142" s="119">
        <v>40630</v>
      </c>
      <c r="K142" s="120"/>
      <c r="L142" s="121"/>
      <c r="M142" s="122"/>
      <c r="N142" s="123">
        <v>40666</v>
      </c>
      <c r="O142" s="261">
        <v>6</v>
      </c>
      <c r="P142" s="261">
        <v>36</v>
      </c>
      <c r="Q142" s="105"/>
      <c r="R142" s="105"/>
      <c r="S142" s="47"/>
      <c r="T142" s="47">
        <f ca="1"/>
        <v>117</v>
      </c>
      <c r="U142" s="47">
        <f ca="1"/>
        <v>0</v>
      </c>
    </row>
    <row r="143" spans="1:21" x14ac:dyDescent="0.25">
      <c r="A143" s="63" t="s">
        <v>132</v>
      </c>
      <c r="B143" s="63" t="s">
        <v>382</v>
      </c>
      <c r="F143" s="50"/>
      <c r="G143" s="50"/>
      <c r="H143" s="50"/>
      <c r="I143" s="50"/>
      <c r="J143" s="119">
        <v>40630</v>
      </c>
      <c r="K143" s="120"/>
      <c r="L143" s="121"/>
      <c r="M143" s="122"/>
      <c r="N143" s="123">
        <v>40666</v>
      </c>
      <c r="O143" s="261">
        <v>6</v>
      </c>
      <c r="P143" s="261">
        <v>36</v>
      </c>
      <c r="Q143" s="105"/>
      <c r="R143" s="105"/>
      <c r="S143" s="47"/>
      <c r="T143" s="47">
        <f ca="1"/>
        <v>118</v>
      </c>
      <c r="U143" s="47">
        <f ca="1"/>
        <v>0</v>
      </c>
    </row>
    <row r="144" spans="1:21" x14ac:dyDescent="0.25">
      <c r="A144" s="63" t="s">
        <v>133</v>
      </c>
      <c r="B144" s="63" t="s">
        <v>383</v>
      </c>
      <c r="F144" s="50"/>
      <c r="G144" s="50"/>
      <c r="H144" s="50"/>
      <c r="I144" s="50"/>
      <c r="J144" s="119">
        <v>40633</v>
      </c>
      <c r="K144" s="120"/>
      <c r="L144" s="121"/>
      <c r="M144" s="122"/>
      <c r="N144" s="123">
        <v>40646</v>
      </c>
      <c r="O144" s="261">
        <v>2</v>
      </c>
      <c r="P144" s="261">
        <v>13</v>
      </c>
      <c r="Q144" s="105"/>
      <c r="R144" s="105"/>
      <c r="S144" s="47"/>
      <c r="T144" s="47">
        <f ca="1"/>
        <v>119</v>
      </c>
      <c r="U144" s="47">
        <f ca="1"/>
        <v>0</v>
      </c>
    </row>
    <row r="145" spans="1:21" x14ac:dyDescent="0.25">
      <c r="A145" s="63" t="s">
        <v>134</v>
      </c>
      <c r="B145" s="63" t="s">
        <v>384</v>
      </c>
      <c r="F145" s="50"/>
      <c r="G145" s="50"/>
      <c r="H145" s="50"/>
      <c r="I145" s="50"/>
      <c r="J145" s="119">
        <v>40630</v>
      </c>
      <c r="K145" s="120"/>
      <c r="L145" s="121"/>
      <c r="M145" s="122"/>
      <c r="N145" s="123">
        <v>40679</v>
      </c>
      <c r="O145" s="261">
        <v>7</v>
      </c>
      <c r="P145" s="261">
        <v>49</v>
      </c>
      <c r="Q145" s="105"/>
      <c r="R145" s="105"/>
      <c r="S145" s="47"/>
      <c r="T145" s="47">
        <f ca="1"/>
        <v>120</v>
      </c>
      <c r="U145" s="47">
        <f ca="1"/>
        <v>0</v>
      </c>
    </row>
    <row r="146" spans="1:21" x14ac:dyDescent="0.25">
      <c r="A146" s="63" t="s">
        <v>135</v>
      </c>
      <c r="B146" s="63" t="s">
        <v>385</v>
      </c>
      <c r="F146" s="50"/>
      <c r="G146" s="50"/>
      <c r="H146" s="50"/>
      <c r="I146" s="50"/>
      <c r="J146" s="119">
        <v>40632</v>
      </c>
      <c r="K146" s="120"/>
      <c r="L146" s="121"/>
      <c r="M146" s="122"/>
      <c r="N146" s="123">
        <v>40650</v>
      </c>
      <c r="O146" s="261">
        <v>3</v>
      </c>
      <c r="P146" s="261">
        <v>18</v>
      </c>
      <c r="Q146" s="105"/>
      <c r="R146" s="105"/>
      <c r="S146" s="47"/>
      <c r="T146" s="47">
        <f ca="1"/>
        <v>121</v>
      </c>
      <c r="U146" s="47">
        <f ca="1"/>
        <v>0</v>
      </c>
    </row>
    <row r="147" spans="1:21" x14ac:dyDescent="0.25">
      <c r="A147" s="63" t="s">
        <v>136</v>
      </c>
      <c r="B147" s="63" t="s">
        <v>386</v>
      </c>
      <c r="F147" s="50"/>
      <c r="G147" s="50"/>
      <c r="H147" s="50"/>
      <c r="I147" s="50"/>
      <c r="J147" s="119">
        <v>40630</v>
      </c>
      <c r="K147" s="120"/>
      <c r="L147" s="121"/>
      <c r="M147" s="122"/>
      <c r="N147" s="123">
        <v>40670</v>
      </c>
      <c r="O147" s="261">
        <v>6</v>
      </c>
      <c r="P147" s="261">
        <v>40</v>
      </c>
      <c r="Q147" s="105"/>
      <c r="R147" s="105"/>
      <c r="S147" s="47"/>
      <c r="T147" s="47">
        <f ca="1"/>
        <v>122</v>
      </c>
      <c r="U147" s="47">
        <f ca="1"/>
        <v>0</v>
      </c>
    </row>
    <row r="148" spans="1:21" x14ac:dyDescent="0.25">
      <c r="A148" s="63" t="s">
        <v>137</v>
      </c>
      <c r="B148" s="63" t="s">
        <v>387</v>
      </c>
      <c r="F148" s="50"/>
      <c r="G148" s="50"/>
      <c r="H148" s="50"/>
      <c r="I148" s="50"/>
      <c r="J148" s="119">
        <v>40630</v>
      </c>
      <c r="K148" s="120"/>
      <c r="L148" s="121"/>
      <c r="M148" s="122"/>
      <c r="N148" s="123">
        <v>40670</v>
      </c>
      <c r="O148" s="261">
        <v>6</v>
      </c>
      <c r="P148" s="261">
        <v>40</v>
      </c>
      <c r="Q148" s="105"/>
      <c r="R148" s="105"/>
      <c r="S148" s="47"/>
      <c r="T148" s="47">
        <f ca="1"/>
        <v>123</v>
      </c>
      <c r="U148" s="47">
        <f ca="1"/>
        <v>0</v>
      </c>
    </row>
    <row r="149" spans="1:21" x14ac:dyDescent="0.25">
      <c r="A149" s="63" t="s">
        <v>138</v>
      </c>
      <c r="B149" s="63" t="s">
        <v>388</v>
      </c>
      <c r="F149" s="50"/>
      <c r="G149" s="50"/>
      <c r="H149" s="50"/>
      <c r="I149" s="50"/>
      <c r="J149" s="119">
        <v>40632</v>
      </c>
      <c r="K149" s="120"/>
      <c r="L149" s="121"/>
      <c r="M149" s="122"/>
      <c r="N149" s="123">
        <v>40654</v>
      </c>
      <c r="O149" s="261">
        <v>4</v>
      </c>
      <c r="P149" s="261">
        <v>22</v>
      </c>
      <c r="Q149" s="105"/>
      <c r="R149" s="105"/>
      <c r="S149" s="47"/>
      <c r="T149" s="47">
        <f ca="1"/>
        <v>124</v>
      </c>
      <c r="U149" s="47">
        <f ca="1"/>
        <v>0</v>
      </c>
    </row>
    <row r="150" spans="1:21" x14ac:dyDescent="0.25">
      <c r="A150" s="63" t="s">
        <v>507</v>
      </c>
      <c r="B150" s="63" t="s">
        <v>389</v>
      </c>
      <c r="F150" s="50"/>
      <c r="G150" s="50"/>
      <c r="H150" s="50"/>
      <c r="I150" s="50"/>
      <c r="J150" s="119">
        <v>40630</v>
      </c>
      <c r="K150" s="120"/>
      <c r="L150" s="121"/>
      <c r="M150" s="122"/>
      <c r="N150" s="123">
        <v>40675</v>
      </c>
      <c r="O150" s="261">
        <v>7</v>
      </c>
      <c r="P150" s="261">
        <v>45</v>
      </c>
      <c r="Q150" s="105"/>
      <c r="R150" s="105"/>
      <c r="S150" s="47"/>
      <c r="T150" s="47">
        <f ca="1"/>
        <v>125</v>
      </c>
      <c r="U150" s="47">
        <f ca="1"/>
        <v>0</v>
      </c>
    </row>
    <row r="151" spans="1:21" x14ac:dyDescent="0.25">
      <c r="A151" s="63" t="s">
        <v>139</v>
      </c>
      <c r="B151" s="63" t="s">
        <v>390</v>
      </c>
      <c r="F151" s="50"/>
      <c r="G151" s="50"/>
      <c r="H151" s="50"/>
      <c r="I151" s="50"/>
      <c r="J151" s="119">
        <v>40632</v>
      </c>
      <c r="K151" s="120"/>
      <c r="L151" s="121"/>
      <c r="M151" s="122"/>
      <c r="N151" s="123">
        <v>40650</v>
      </c>
      <c r="O151" s="261">
        <v>3</v>
      </c>
      <c r="P151" s="261">
        <v>18</v>
      </c>
      <c r="Q151" s="105"/>
      <c r="R151" s="105"/>
      <c r="S151" s="47"/>
      <c r="T151" s="47">
        <f ca="1"/>
        <v>126</v>
      </c>
      <c r="U151" s="47">
        <f ca="1"/>
        <v>0</v>
      </c>
    </row>
    <row r="152" spans="1:21" x14ac:dyDescent="0.25">
      <c r="A152" s="63" t="s">
        <v>140</v>
      </c>
      <c r="B152" s="63" t="s">
        <v>391</v>
      </c>
      <c r="F152" s="50"/>
      <c r="G152" s="50"/>
      <c r="H152" s="50"/>
      <c r="I152" s="50"/>
      <c r="J152" s="119">
        <v>40630</v>
      </c>
      <c r="K152" s="120"/>
      <c r="L152" s="121"/>
      <c r="M152" s="122"/>
      <c r="N152" s="123">
        <v>40666</v>
      </c>
      <c r="O152" s="261">
        <v>6</v>
      </c>
      <c r="P152" s="261">
        <v>36</v>
      </c>
      <c r="Q152" s="105"/>
      <c r="R152" s="105"/>
      <c r="S152" s="47"/>
      <c r="T152" s="47">
        <f ca="1"/>
        <v>127</v>
      </c>
      <c r="U152" s="47">
        <f ca="1"/>
        <v>0</v>
      </c>
    </row>
    <row r="153" spans="1:21" x14ac:dyDescent="0.25">
      <c r="A153" s="63" t="s">
        <v>141</v>
      </c>
      <c r="B153" s="63" t="s">
        <v>392</v>
      </c>
      <c r="F153" s="50"/>
      <c r="G153" s="50"/>
      <c r="H153" s="50"/>
      <c r="I153" s="50"/>
      <c r="J153" s="119">
        <v>40630</v>
      </c>
      <c r="K153" s="120"/>
      <c r="L153" s="121"/>
      <c r="M153" s="122"/>
      <c r="N153" s="123">
        <v>40670</v>
      </c>
      <c r="O153" s="261">
        <v>6</v>
      </c>
      <c r="P153" s="261">
        <v>40</v>
      </c>
      <c r="Q153" s="105"/>
      <c r="R153" s="105"/>
      <c r="S153" s="47"/>
      <c r="T153" s="47">
        <f ca="1"/>
        <v>128</v>
      </c>
      <c r="U153" s="47">
        <f ca="1"/>
        <v>0</v>
      </c>
    </row>
    <row r="154" spans="1:21" x14ac:dyDescent="0.25">
      <c r="A154" s="63" t="s">
        <v>142</v>
      </c>
      <c r="B154" s="63" t="s">
        <v>393</v>
      </c>
      <c r="F154" s="50"/>
      <c r="G154" s="50"/>
      <c r="H154" s="50"/>
      <c r="I154" s="50"/>
      <c r="J154" s="119">
        <v>40627</v>
      </c>
      <c r="K154" s="120"/>
      <c r="L154" s="121"/>
      <c r="M154" s="122"/>
      <c r="N154" s="123">
        <v>40628</v>
      </c>
      <c r="O154" s="261">
        <v>1</v>
      </c>
      <c r="P154" s="261">
        <v>1</v>
      </c>
      <c r="Q154" s="105"/>
      <c r="R154" s="105"/>
      <c r="S154" s="47"/>
      <c r="T154" s="47">
        <f ca="1"/>
        <v>129</v>
      </c>
      <c r="U154" s="47">
        <f ca="1"/>
        <v>0</v>
      </c>
    </row>
    <row r="155" spans="1:21" x14ac:dyDescent="0.25">
      <c r="A155" s="63" t="s">
        <v>143</v>
      </c>
      <c r="B155" s="63" t="s">
        <v>394</v>
      </c>
      <c r="F155" s="50"/>
      <c r="G155" s="50"/>
      <c r="H155" s="50"/>
      <c r="I155" s="50"/>
      <c r="J155" s="119">
        <v>40626</v>
      </c>
      <c r="K155" s="120"/>
      <c r="L155" s="121"/>
      <c r="M155" s="122"/>
      <c r="N155" s="123">
        <v>40666</v>
      </c>
      <c r="O155" s="261">
        <v>6</v>
      </c>
      <c r="P155" s="261">
        <v>40</v>
      </c>
      <c r="Q155" s="105"/>
      <c r="R155" s="105"/>
      <c r="S155" s="47"/>
      <c r="T155" s="47">
        <f ca="1"/>
        <v>130</v>
      </c>
      <c r="U155" s="47">
        <f ca="1"/>
        <v>0</v>
      </c>
    </row>
    <row r="156" spans="1:21" x14ac:dyDescent="0.25">
      <c r="A156" s="63" t="s">
        <v>407</v>
      </c>
      <c r="B156" s="63" t="s">
        <v>395</v>
      </c>
      <c r="F156" s="50"/>
      <c r="G156" s="50"/>
      <c r="H156" s="50"/>
      <c r="I156" s="50"/>
      <c r="J156" s="119">
        <v>40626</v>
      </c>
      <c r="K156" s="120"/>
      <c r="L156" s="121"/>
      <c r="M156" s="122"/>
      <c r="N156" s="123">
        <v>40666</v>
      </c>
      <c r="O156" s="261">
        <v>6</v>
      </c>
      <c r="P156" s="261">
        <v>40</v>
      </c>
      <c r="Q156" s="105"/>
      <c r="R156" s="105"/>
      <c r="S156" s="47"/>
      <c r="T156" s="47">
        <f ca="1"/>
        <v>131</v>
      </c>
      <c r="U156" s="47">
        <f ca="1"/>
        <v>0</v>
      </c>
    </row>
    <row r="157" spans="1:21" x14ac:dyDescent="0.25">
      <c r="A157" s="63" t="s">
        <v>508</v>
      </c>
      <c r="B157" s="63" t="s">
        <v>396</v>
      </c>
      <c r="F157" s="50"/>
      <c r="G157" s="50"/>
      <c r="H157" s="50"/>
      <c r="I157" s="50"/>
      <c r="J157" s="119">
        <v>40627</v>
      </c>
      <c r="K157" s="120"/>
      <c r="L157" s="121"/>
      <c r="M157" s="122"/>
      <c r="N157" s="123">
        <v>40654</v>
      </c>
      <c r="O157" s="261">
        <v>4</v>
      </c>
      <c r="P157" s="261">
        <v>27</v>
      </c>
      <c r="Q157" s="105"/>
      <c r="R157" s="105"/>
      <c r="S157" s="47"/>
      <c r="T157" s="47">
        <f ca="1"/>
        <v>132</v>
      </c>
      <c r="U157" s="47">
        <f ca="1"/>
        <v>0</v>
      </c>
    </row>
    <row r="158" spans="1:21" x14ac:dyDescent="0.25">
      <c r="A158" s="63" t="s">
        <v>144</v>
      </c>
      <c r="B158" s="63" t="s">
        <v>397</v>
      </c>
      <c r="F158" s="50"/>
      <c r="G158" s="50"/>
      <c r="H158" s="50"/>
      <c r="I158" s="50"/>
      <c r="J158" s="119">
        <v>40631</v>
      </c>
      <c r="K158" s="120"/>
      <c r="L158" s="121"/>
      <c r="M158" s="122"/>
      <c r="N158" s="123">
        <v>40662</v>
      </c>
      <c r="O158" s="261">
        <v>5</v>
      </c>
      <c r="P158" s="261">
        <v>31</v>
      </c>
      <c r="Q158" s="105"/>
      <c r="R158" s="105"/>
      <c r="S158" s="47"/>
      <c r="T158" s="47">
        <f ca="1"/>
        <v>133</v>
      </c>
      <c r="U158" s="47">
        <f ca="1"/>
        <v>0</v>
      </c>
    </row>
    <row r="159" spans="1:21" x14ac:dyDescent="0.25">
      <c r="A159" s="63" t="s">
        <v>509</v>
      </c>
      <c r="B159" s="63" t="s">
        <v>398</v>
      </c>
      <c r="F159" s="50"/>
      <c r="G159" s="50"/>
      <c r="H159" s="50"/>
      <c r="I159" s="50"/>
      <c r="J159" s="119">
        <v>40632</v>
      </c>
      <c r="K159" s="120"/>
      <c r="L159" s="121"/>
      <c r="M159" s="122"/>
      <c r="N159" s="123">
        <v>40659</v>
      </c>
      <c r="O159" s="261">
        <v>4</v>
      </c>
      <c r="P159" s="261">
        <v>27</v>
      </c>
      <c r="Q159" s="105"/>
      <c r="R159" s="105"/>
      <c r="S159" s="47"/>
      <c r="T159" s="47">
        <f ca="1"/>
        <v>134</v>
      </c>
      <c r="U159" s="47">
        <f ca="1"/>
        <v>0</v>
      </c>
    </row>
    <row r="160" spans="1:21" x14ac:dyDescent="0.25">
      <c r="A160" s="63" t="s">
        <v>510</v>
      </c>
      <c r="B160" s="63" t="s">
        <v>399</v>
      </c>
      <c r="F160" s="50"/>
      <c r="G160" s="50"/>
      <c r="H160" s="50"/>
      <c r="I160" s="50"/>
      <c r="J160" s="119">
        <v>40627</v>
      </c>
      <c r="K160" s="120"/>
      <c r="L160" s="121"/>
      <c r="M160" s="122"/>
      <c r="N160" s="123">
        <v>40654</v>
      </c>
      <c r="O160" s="261">
        <v>4</v>
      </c>
      <c r="P160" s="261">
        <v>27</v>
      </c>
      <c r="Q160" s="105"/>
      <c r="R160" s="105"/>
      <c r="S160" s="47"/>
      <c r="T160" s="47">
        <f ca="1"/>
        <v>135</v>
      </c>
      <c r="U160" s="47">
        <f ca="1"/>
        <v>0</v>
      </c>
    </row>
    <row r="161" spans="1:21" x14ac:dyDescent="0.25">
      <c r="A161" s="63" t="s">
        <v>145</v>
      </c>
      <c r="B161" s="63" t="s">
        <v>400</v>
      </c>
      <c r="F161" s="50"/>
      <c r="G161" s="50"/>
      <c r="H161" s="50"/>
      <c r="I161" s="50"/>
      <c r="J161" s="119">
        <v>40627</v>
      </c>
      <c r="K161" s="120"/>
      <c r="L161" s="121"/>
      <c r="M161" s="122"/>
      <c r="N161" s="123">
        <v>40658</v>
      </c>
      <c r="O161" s="261">
        <v>5</v>
      </c>
      <c r="P161" s="261">
        <v>31</v>
      </c>
      <c r="Q161" s="105"/>
      <c r="R161" s="105"/>
      <c r="S161" s="47"/>
      <c r="T161" s="47">
        <f ca="1"/>
        <v>136</v>
      </c>
      <c r="U161" s="47">
        <f ca="1"/>
        <v>0</v>
      </c>
    </row>
    <row r="162" spans="1:21" x14ac:dyDescent="0.25">
      <c r="A162" s="63" t="s">
        <v>146</v>
      </c>
      <c r="B162" s="63" t="s">
        <v>401</v>
      </c>
      <c r="F162" s="50"/>
      <c r="G162" s="50"/>
      <c r="H162" s="50"/>
      <c r="I162" s="50"/>
      <c r="J162" s="119">
        <v>40626</v>
      </c>
      <c r="K162" s="120"/>
      <c r="L162" s="121"/>
      <c r="M162" s="122"/>
      <c r="N162" s="123">
        <v>40653</v>
      </c>
      <c r="O162" s="261">
        <v>4</v>
      </c>
      <c r="P162" s="261">
        <v>27</v>
      </c>
      <c r="Q162" s="105"/>
      <c r="R162" s="105"/>
      <c r="S162" s="47"/>
      <c r="T162" s="47">
        <f ca="1"/>
        <v>137</v>
      </c>
      <c r="U162" s="47">
        <f ca="1"/>
        <v>0</v>
      </c>
    </row>
    <row r="163" spans="1:21" x14ac:dyDescent="0.25">
      <c r="A163" s="63" t="s">
        <v>147</v>
      </c>
      <c r="B163" s="63" t="s">
        <v>402</v>
      </c>
      <c r="F163" s="50"/>
      <c r="G163" s="50"/>
      <c r="H163" s="50"/>
      <c r="I163" s="50"/>
      <c r="J163" s="119">
        <v>40627</v>
      </c>
      <c r="K163" s="120"/>
      <c r="L163" s="121"/>
      <c r="M163" s="122"/>
      <c r="N163" s="123">
        <v>40636</v>
      </c>
      <c r="O163" s="261">
        <v>2</v>
      </c>
      <c r="P163" s="261">
        <v>9</v>
      </c>
      <c r="Q163" s="105"/>
      <c r="R163" s="105"/>
      <c r="S163" s="47"/>
      <c r="T163" s="47">
        <f ca="1"/>
        <v>138</v>
      </c>
      <c r="U163" s="47">
        <f ca="1"/>
        <v>0</v>
      </c>
    </row>
    <row r="164" spans="1:21" x14ac:dyDescent="0.25">
      <c r="A164" s="63" t="s">
        <v>736</v>
      </c>
      <c r="B164" s="63" t="s">
        <v>403</v>
      </c>
      <c r="F164" s="50"/>
      <c r="G164" s="50"/>
      <c r="H164" s="50"/>
      <c r="I164" s="50"/>
      <c r="J164" s="119">
        <v>40632</v>
      </c>
      <c r="K164" s="120"/>
      <c r="L164" s="121"/>
      <c r="M164" s="122"/>
      <c r="N164" s="123">
        <v>40659</v>
      </c>
      <c r="O164" s="261">
        <v>4</v>
      </c>
      <c r="P164" s="261">
        <v>27</v>
      </c>
      <c r="Q164" s="105"/>
      <c r="R164" s="105"/>
      <c r="S164" s="47"/>
      <c r="T164" s="47">
        <f ca="1"/>
        <v>139</v>
      </c>
      <c r="U164" s="47">
        <f ca="1"/>
        <v>0</v>
      </c>
    </row>
    <row r="165" spans="1:21" x14ac:dyDescent="0.25">
      <c r="A165" s="63" t="s">
        <v>148</v>
      </c>
      <c r="B165" s="63" t="s">
        <v>404</v>
      </c>
      <c r="F165" s="50"/>
      <c r="G165" s="50"/>
      <c r="H165" s="50"/>
      <c r="I165" s="50"/>
      <c r="J165" s="119">
        <v>40627</v>
      </c>
      <c r="K165" s="120"/>
      <c r="L165" s="121"/>
      <c r="M165" s="122"/>
      <c r="N165" s="123">
        <v>40640</v>
      </c>
      <c r="O165" s="261">
        <v>2</v>
      </c>
      <c r="P165" s="261">
        <v>13</v>
      </c>
      <c r="Q165" s="105"/>
      <c r="R165" s="105"/>
      <c r="S165" s="47"/>
      <c r="T165" s="47">
        <f ca="1"/>
        <v>140</v>
      </c>
      <c r="U165" s="47">
        <f ca="1"/>
        <v>0</v>
      </c>
    </row>
    <row r="166" spans="1:21" x14ac:dyDescent="0.25">
      <c r="A166" s="63" t="s">
        <v>511</v>
      </c>
      <c r="B166" s="63" t="s">
        <v>285</v>
      </c>
      <c r="F166" s="50"/>
      <c r="G166" s="50"/>
      <c r="H166" s="50"/>
      <c r="I166" s="50"/>
      <c r="J166" s="119">
        <v>40620</v>
      </c>
      <c r="K166" s="120"/>
      <c r="L166" s="121"/>
      <c r="M166" s="122"/>
      <c r="N166" s="123">
        <v>40665</v>
      </c>
      <c r="O166" s="261">
        <v>7</v>
      </c>
      <c r="P166" s="261">
        <v>45</v>
      </c>
      <c r="Q166" s="105"/>
      <c r="R166" s="105"/>
      <c r="S166" s="47"/>
      <c r="T166" s="47">
        <f ca="1"/>
        <v>141</v>
      </c>
      <c r="U166" s="47">
        <f ca="1"/>
        <v>0</v>
      </c>
    </row>
    <row r="167" spans="1:21" x14ac:dyDescent="0.25">
      <c r="A167" s="63" t="s">
        <v>149</v>
      </c>
      <c r="B167" s="63" t="s">
        <v>458</v>
      </c>
      <c r="F167" s="50"/>
      <c r="G167" s="50"/>
      <c r="H167" s="50"/>
      <c r="I167" s="50"/>
      <c r="J167" s="119">
        <v>40626</v>
      </c>
      <c r="K167" s="120"/>
      <c r="L167" s="121"/>
      <c r="M167" s="122"/>
      <c r="N167" s="123">
        <v>40644</v>
      </c>
      <c r="O167" s="261">
        <v>3</v>
      </c>
      <c r="P167" s="261">
        <v>18</v>
      </c>
      <c r="Q167" s="105"/>
      <c r="R167" s="105"/>
      <c r="S167" s="47"/>
      <c r="T167" s="47">
        <f ca="1"/>
        <v>142</v>
      </c>
      <c r="U167" s="47">
        <f ca="1"/>
        <v>0</v>
      </c>
    </row>
    <row r="168" spans="1:21" x14ac:dyDescent="0.25">
      <c r="A168" s="63" t="s">
        <v>150</v>
      </c>
      <c r="B168" s="63"/>
      <c r="F168" s="50"/>
      <c r="G168" s="50"/>
      <c r="H168" s="50"/>
      <c r="I168" s="50"/>
      <c r="J168" s="119">
        <v>40623</v>
      </c>
      <c r="K168" s="120"/>
      <c r="L168" s="121"/>
      <c r="M168" s="122"/>
      <c r="N168" s="123">
        <v>40668</v>
      </c>
      <c r="O168" s="261">
        <v>7</v>
      </c>
      <c r="P168" s="261">
        <v>45</v>
      </c>
      <c r="Q168" s="105"/>
      <c r="R168" s="105"/>
      <c r="S168" s="47"/>
      <c r="T168" s="47">
        <f ca="1"/>
        <v>143</v>
      </c>
      <c r="U168" s="47">
        <f ca="1"/>
        <v>0</v>
      </c>
    </row>
    <row r="169" spans="1:21" x14ac:dyDescent="0.25">
      <c r="A169" s="63" t="s">
        <v>493</v>
      </c>
      <c r="B169" s="63"/>
      <c r="F169" s="50"/>
      <c r="G169" s="50"/>
      <c r="H169" s="50"/>
      <c r="I169" s="50"/>
      <c r="J169" s="119">
        <v>40623</v>
      </c>
      <c r="K169" s="120"/>
      <c r="L169" s="121"/>
      <c r="M169" s="122"/>
      <c r="N169" s="123">
        <v>40659</v>
      </c>
      <c r="O169" s="261">
        <v>6</v>
      </c>
      <c r="P169" s="261">
        <v>36</v>
      </c>
      <c r="Q169" s="105"/>
      <c r="R169" s="105"/>
      <c r="S169" s="47"/>
      <c r="T169" s="47">
        <f ca="1"/>
        <v>144</v>
      </c>
      <c r="U169" s="47">
        <f ca="1"/>
        <v>0</v>
      </c>
    </row>
    <row r="170" spans="1:21" x14ac:dyDescent="0.25">
      <c r="A170" s="63" t="s">
        <v>512</v>
      </c>
      <c r="B170" s="63"/>
      <c r="F170" s="50"/>
      <c r="G170" s="50"/>
      <c r="H170" s="50"/>
      <c r="I170" s="50"/>
      <c r="J170" s="119">
        <v>40623</v>
      </c>
      <c r="K170" s="120"/>
      <c r="L170" s="121"/>
      <c r="M170" s="122"/>
      <c r="N170" s="123">
        <v>40663</v>
      </c>
      <c r="O170" s="261">
        <v>6</v>
      </c>
      <c r="P170" s="261">
        <v>40</v>
      </c>
      <c r="Q170" s="105"/>
      <c r="R170" s="105"/>
      <c r="S170" s="47"/>
      <c r="T170" s="47">
        <f ca="1"/>
        <v>145</v>
      </c>
      <c r="U170" s="47">
        <f ca="1"/>
        <v>0</v>
      </c>
    </row>
    <row r="171" spans="1:21" x14ac:dyDescent="0.25">
      <c r="A171" s="63" t="s">
        <v>151</v>
      </c>
      <c r="B171" s="63"/>
      <c r="F171" s="50"/>
      <c r="G171" s="50"/>
      <c r="H171" s="50"/>
      <c r="I171" s="50"/>
      <c r="J171" s="119">
        <v>40623</v>
      </c>
      <c r="K171" s="120"/>
      <c r="L171" s="121"/>
      <c r="M171" s="122"/>
      <c r="N171" s="123">
        <v>40668</v>
      </c>
      <c r="O171" s="261">
        <v>7</v>
      </c>
      <c r="P171" s="261">
        <v>45</v>
      </c>
      <c r="Q171" s="105"/>
      <c r="R171" s="105"/>
      <c r="S171" s="47"/>
      <c r="T171" s="47">
        <f ca="1"/>
        <v>146</v>
      </c>
      <c r="U171" s="47">
        <f ca="1"/>
        <v>0</v>
      </c>
    </row>
    <row r="172" spans="1:21" x14ac:dyDescent="0.25">
      <c r="A172" s="63" t="s">
        <v>513</v>
      </c>
      <c r="B172" s="63"/>
      <c r="F172" s="50"/>
      <c r="G172" s="50"/>
      <c r="H172" s="50"/>
      <c r="I172" s="50"/>
      <c r="J172" s="119">
        <v>40625</v>
      </c>
      <c r="K172" s="120"/>
      <c r="L172" s="121"/>
      <c r="M172" s="122"/>
      <c r="N172" s="123">
        <v>40656</v>
      </c>
      <c r="O172" s="261">
        <v>5</v>
      </c>
      <c r="P172" s="261">
        <v>31</v>
      </c>
      <c r="Q172" s="105"/>
      <c r="R172" s="105"/>
      <c r="S172" s="47"/>
      <c r="T172" s="47">
        <f ca="1"/>
        <v>147</v>
      </c>
      <c r="U172" s="47">
        <f ca="1"/>
        <v>0</v>
      </c>
    </row>
    <row r="173" spans="1:21" x14ac:dyDescent="0.25">
      <c r="A173" s="63" t="s">
        <v>152</v>
      </c>
      <c r="B173" s="63"/>
      <c r="F173" s="50"/>
      <c r="G173" s="50"/>
      <c r="H173" s="50"/>
      <c r="I173" s="50"/>
      <c r="J173" s="119">
        <v>40633</v>
      </c>
      <c r="K173" s="120"/>
      <c r="L173" s="121"/>
      <c r="M173" s="122"/>
      <c r="N173" s="123">
        <v>40655</v>
      </c>
      <c r="O173" s="261">
        <v>4</v>
      </c>
      <c r="P173" s="261">
        <v>22</v>
      </c>
      <c r="Q173" s="105"/>
      <c r="R173" s="105"/>
      <c r="S173" s="47"/>
      <c r="T173" s="47">
        <f ca="1"/>
        <v>148</v>
      </c>
      <c r="U173" s="47">
        <f ca="1"/>
        <v>0</v>
      </c>
    </row>
    <row r="174" spans="1:21" x14ac:dyDescent="0.25">
      <c r="A174" s="63" t="s">
        <v>153</v>
      </c>
      <c r="B174" s="63"/>
      <c r="F174" s="50"/>
      <c r="G174" s="50"/>
      <c r="H174" s="50"/>
      <c r="I174" s="50"/>
      <c r="J174" s="119">
        <v>40624</v>
      </c>
      <c r="K174" s="120"/>
      <c r="L174" s="121"/>
      <c r="M174" s="122"/>
      <c r="N174" s="123">
        <v>40655</v>
      </c>
      <c r="O174" s="261">
        <v>5</v>
      </c>
      <c r="P174" s="261">
        <v>31</v>
      </c>
      <c r="Q174" s="105"/>
      <c r="R174" s="105"/>
      <c r="S174" s="47"/>
      <c r="T174" s="47">
        <f ca="1"/>
        <v>149</v>
      </c>
      <c r="U174" s="47">
        <f ca="1"/>
        <v>0</v>
      </c>
    </row>
    <row r="175" spans="1:21" x14ac:dyDescent="0.25">
      <c r="A175" s="63" t="s">
        <v>154</v>
      </c>
      <c r="B175" s="63"/>
      <c r="F175" s="50"/>
      <c r="G175" s="50"/>
      <c r="H175" s="50"/>
      <c r="I175" s="50"/>
      <c r="J175" s="119">
        <v>40623</v>
      </c>
      <c r="K175" s="120"/>
      <c r="L175" s="121"/>
      <c r="M175" s="122"/>
      <c r="N175" s="123">
        <v>40663</v>
      </c>
      <c r="O175" s="261">
        <v>6</v>
      </c>
      <c r="P175" s="261">
        <v>40</v>
      </c>
      <c r="Q175" s="105"/>
      <c r="R175" s="105"/>
      <c r="S175" s="47"/>
      <c r="T175" s="47">
        <f ca="1"/>
        <v>150</v>
      </c>
      <c r="U175" s="47">
        <f ca="1"/>
        <v>0</v>
      </c>
    </row>
    <row r="176" spans="1:21" x14ac:dyDescent="0.25">
      <c r="A176" s="63" t="s">
        <v>155</v>
      </c>
      <c r="B176" s="63"/>
      <c r="F176" s="50"/>
      <c r="G176" s="50"/>
      <c r="H176" s="50"/>
      <c r="I176" s="50"/>
      <c r="J176" s="119">
        <v>40625</v>
      </c>
      <c r="K176" s="120"/>
      <c r="L176" s="121"/>
      <c r="M176" s="122"/>
      <c r="N176" s="123">
        <v>40652</v>
      </c>
      <c r="O176" s="261">
        <v>4</v>
      </c>
      <c r="P176" s="261">
        <v>27</v>
      </c>
      <c r="Q176" s="105"/>
      <c r="R176" s="105"/>
      <c r="S176" s="47"/>
      <c r="T176" s="47">
        <f ca="1"/>
        <v>151</v>
      </c>
      <c r="U176" s="47">
        <f ca="1"/>
        <v>0</v>
      </c>
    </row>
    <row r="177" spans="1:21" x14ac:dyDescent="0.25">
      <c r="A177" s="63" t="s">
        <v>514</v>
      </c>
      <c r="B177" s="63"/>
      <c r="F177" s="50"/>
      <c r="G177" s="50"/>
      <c r="H177" s="50"/>
      <c r="I177" s="50"/>
      <c r="J177" s="119">
        <v>40625</v>
      </c>
      <c r="K177" s="120"/>
      <c r="L177" s="121"/>
      <c r="M177" s="122"/>
      <c r="N177" s="123">
        <v>40652</v>
      </c>
      <c r="O177" s="261">
        <v>4</v>
      </c>
      <c r="P177" s="261">
        <v>27</v>
      </c>
      <c r="Q177" s="105"/>
      <c r="R177" s="105"/>
      <c r="S177" s="47"/>
      <c r="T177" s="47">
        <f ca="1"/>
        <v>152</v>
      </c>
      <c r="U177" s="47">
        <f ca="1"/>
        <v>0</v>
      </c>
    </row>
    <row r="178" spans="1:21" x14ac:dyDescent="0.25">
      <c r="A178" s="63" t="s">
        <v>515</v>
      </c>
      <c r="B178" s="63"/>
      <c r="J178" s="119">
        <v>40625</v>
      </c>
      <c r="K178" s="120"/>
      <c r="L178" s="121"/>
      <c r="M178" s="122"/>
      <c r="N178" s="123">
        <v>40656</v>
      </c>
      <c r="O178" s="261">
        <v>5</v>
      </c>
      <c r="P178" s="261">
        <v>31</v>
      </c>
      <c r="Q178" s="105"/>
      <c r="R178" s="105"/>
      <c r="S178" s="47"/>
      <c r="T178" s="47">
        <f ca="1"/>
        <v>153</v>
      </c>
      <c r="U178" s="47">
        <f ca="1"/>
        <v>0</v>
      </c>
    </row>
    <row r="179" spans="1:21" x14ac:dyDescent="0.25">
      <c r="A179" s="63" t="s">
        <v>156</v>
      </c>
      <c r="B179" s="63"/>
      <c r="J179" s="119">
        <v>40625</v>
      </c>
      <c r="K179" s="120"/>
      <c r="L179" s="121"/>
      <c r="M179" s="122"/>
      <c r="N179" s="123">
        <v>40652</v>
      </c>
      <c r="O179" s="261">
        <v>4</v>
      </c>
      <c r="P179" s="261">
        <v>27</v>
      </c>
      <c r="Q179" s="105"/>
      <c r="R179" s="105"/>
      <c r="S179" s="47"/>
      <c r="T179" s="47">
        <f ca="1"/>
        <v>154</v>
      </c>
      <c r="U179" s="47">
        <f ca="1"/>
        <v>0</v>
      </c>
    </row>
    <row r="180" spans="1:21" x14ac:dyDescent="0.25">
      <c r="A180" s="63" t="s">
        <v>157</v>
      </c>
      <c r="B180" s="63"/>
      <c r="J180" s="119">
        <v>40625</v>
      </c>
      <c r="K180" s="120"/>
      <c r="L180" s="121"/>
      <c r="M180" s="122"/>
      <c r="N180" s="123">
        <v>40656</v>
      </c>
      <c r="O180" s="261">
        <v>5</v>
      </c>
      <c r="P180" s="261">
        <v>31</v>
      </c>
      <c r="Q180" s="105"/>
      <c r="R180" s="105"/>
      <c r="S180" s="47"/>
      <c r="T180" s="47">
        <f ca="1"/>
        <v>155</v>
      </c>
      <c r="U180" s="47">
        <f ca="1"/>
        <v>0</v>
      </c>
    </row>
    <row r="181" spans="1:21" x14ac:dyDescent="0.25">
      <c r="A181" s="63" t="s">
        <v>477</v>
      </c>
      <c r="B181" s="63"/>
      <c r="J181" s="119">
        <v>40625</v>
      </c>
      <c r="K181" s="120"/>
      <c r="L181" s="121"/>
      <c r="M181" s="122"/>
      <c r="N181" s="123">
        <v>40652</v>
      </c>
      <c r="O181" s="261">
        <v>4</v>
      </c>
      <c r="P181" s="261">
        <v>27</v>
      </c>
      <c r="Q181" s="105"/>
      <c r="R181" s="105"/>
      <c r="S181" s="47"/>
      <c r="T181" s="47">
        <f ca="1"/>
        <v>156</v>
      </c>
      <c r="U181" s="47">
        <f ca="1"/>
        <v>0</v>
      </c>
    </row>
    <row r="182" spans="1:21" x14ac:dyDescent="0.25">
      <c r="A182" s="63" t="s">
        <v>158</v>
      </c>
      <c r="B182" s="63"/>
      <c r="J182" s="119">
        <v>40626</v>
      </c>
      <c r="K182" s="120"/>
      <c r="L182" s="121"/>
      <c r="M182" s="122"/>
      <c r="N182" s="123">
        <v>40648</v>
      </c>
      <c r="O182" s="261">
        <v>4</v>
      </c>
      <c r="P182" s="261">
        <v>22</v>
      </c>
      <c r="Q182" s="105"/>
      <c r="R182" s="105"/>
      <c r="S182" s="47"/>
      <c r="T182" s="47">
        <f ca="1"/>
        <v>157</v>
      </c>
      <c r="U182" s="47">
        <f ca="1"/>
        <v>0</v>
      </c>
    </row>
    <row r="183" spans="1:21" x14ac:dyDescent="0.25">
      <c r="A183" s="63" t="s">
        <v>159</v>
      </c>
      <c r="B183" s="63"/>
      <c r="J183" s="119">
        <v>40625</v>
      </c>
      <c r="K183" s="120"/>
      <c r="L183" s="121"/>
      <c r="M183" s="122"/>
      <c r="N183" s="123">
        <v>40647</v>
      </c>
      <c r="O183" s="261">
        <v>4</v>
      </c>
      <c r="P183" s="261">
        <v>22</v>
      </c>
      <c r="Q183" s="105"/>
      <c r="R183" s="105"/>
      <c r="S183" s="47"/>
      <c r="T183" s="47">
        <f ca="1"/>
        <v>158</v>
      </c>
      <c r="U183" s="47">
        <f ca="1"/>
        <v>0</v>
      </c>
    </row>
    <row r="184" spans="1:21" x14ac:dyDescent="0.25">
      <c r="A184" s="63" t="s">
        <v>160</v>
      </c>
      <c r="B184" s="63"/>
      <c r="J184" s="119">
        <v>40623</v>
      </c>
      <c r="K184" s="120"/>
      <c r="L184" s="121"/>
      <c r="M184" s="122"/>
      <c r="N184" s="123">
        <v>40668</v>
      </c>
      <c r="O184" s="261">
        <v>7</v>
      </c>
      <c r="P184" s="261">
        <v>45</v>
      </c>
      <c r="Q184" s="105"/>
      <c r="R184" s="105"/>
      <c r="S184" s="47"/>
      <c r="T184" s="47">
        <f ca="1"/>
        <v>159</v>
      </c>
      <c r="U184" s="47">
        <f ca="1"/>
        <v>0</v>
      </c>
    </row>
    <row r="185" spans="1:21" x14ac:dyDescent="0.25">
      <c r="A185" s="63" t="s">
        <v>161</v>
      </c>
      <c r="B185" s="63"/>
      <c r="J185" s="119">
        <v>40624</v>
      </c>
      <c r="K185" s="120"/>
      <c r="L185" s="121"/>
      <c r="M185" s="122"/>
      <c r="N185" s="123">
        <v>40655</v>
      </c>
      <c r="O185" s="261">
        <v>5</v>
      </c>
      <c r="P185" s="261">
        <v>31</v>
      </c>
      <c r="Q185" s="105"/>
      <c r="R185" s="105"/>
      <c r="S185" s="47"/>
      <c r="T185" s="47">
        <f ca="1"/>
        <v>160</v>
      </c>
      <c r="U185" s="47">
        <f ca="1"/>
        <v>0</v>
      </c>
    </row>
    <row r="186" spans="1:21" x14ac:dyDescent="0.25">
      <c r="A186" s="63" t="s">
        <v>516</v>
      </c>
      <c r="B186" s="63"/>
      <c r="J186" s="119">
        <v>40624</v>
      </c>
      <c r="K186" s="120"/>
      <c r="L186" s="121"/>
      <c r="M186" s="122"/>
      <c r="N186" s="123">
        <v>40655</v>
      </c>
      <c r="O186" s="261">
        <v>5</v>
      </c>
      <c r="P186" s="261">
        <v>31</v>
      </c>
      <c r="Q186" s="105"/>
      <c r="R186" s="105"/>
      <c r="S186" s="47"/>
      <c r="T186" s="47">
        <f ca="1"/>
        <v>161</v>
      </c>
      <c r="U186" s="47">
        <f ca="1"/>
        <v>0</v>
      </c>
    </row>
    <row r="187" spans="1:21" x14ac:dyDescent="0.25">
      <c r="A187" s="63" t="s">
        <v>162</v>
      </c>
      <c r="B187" s="63"/>
      <c r="J187" s="119">
        <v>40626</v>
      </c>
      <c r="K187" s="120"/>
      <c r="L187" s="121"/>
      <c r="M187" s="122"/>
      <c r="N187" s="123">
        <v>40639</v>
      </c>
      <c r="O187" s="261">
        <v>2</v>
      </c>
      <c r="P187" s="261">
        <v>13</v>
      </c>
      <c r="Q187" s="105"/>
      <c r="R187" s="105"/>
      <c r="S187" s="47"/>
      <c r="T187" s="47">
        <f ca="1"/>
        <v>162</v>
      </c>
      <c r="U187" s="47">
        <f ca="1"/>
        <v>0</v>
      </c>
    </row>
    <row r="188" spans="1:21" x14ac:dyDescent="0.25">
      <c r="A188" s="63" t="s">
        <v>163</v>
      </c>
      <c r="B188" s="63"/>
      <c r="J188" s="119">
        <v>40626</v>
      </c>
      <c r="K188" s="120"/>
      <c r="L188" s="121"/>
      <c r="M188" s="122"/>
      <c r="N188" s="123">
        <v>40639</v>
      </c>
      <c r="O188" s="261">
        <v>2</v>
      </c>
      <c r="P188" s="261">
        <v>13</v>
      </c>
      <c r="Q188" s="105"/>
      <c r="R188" s="105"/>
      <c r="S188" s="47"/>
      <c r="T188" s="47">
        <f ca="1"/>
        <v>163</v>
      </c>
      <c r="U188" s="47">
        <f ca="1"/>
        <v>0</v>
      </c>
    </row>
    <row r="189" spans="1:21" x14ac:dyDescent="0.25">
      <c r="A189" s="63" t="s">
        <v>478</v>
      </c>
      <c r="B189" s="63"/>
      <c r="J189" s="119">
        <v>40623</v>
      </c>
      <c r="K189" s="120"/>
      <c r="L189" s="121"/>
      <c r="M189" s="122"/>
      <c r="N189" s="123">
        <v>40668</v>
      </c>
      <c r="O189" s="261">
        <v>7</v>
      </c>
      <c r="P189" s="261">
        <v>45</v>
      </c>
      <c r="Q189" s="105"/>
      <c r="R189" s="105"/>
      <c r="S189" s="47"/>
      <c r="T189" s="47">
        <f ca="1"/>
        <v>164</v>
      </c>
      <c r="U189" s="47">
        <f ca="1"/>
        <v>0</v>
      </c>
    </row>
    <row r="190" spans="1:21" x14ac:dyDescent="0.25">
      <c r="A190" s="63" t="s">
        <v>164</v>
      </c>
      <c r="B190" s="63"/>
      <c r="J190" s="119">
        <v>40626</v>
      </c>
      <c r="K190" s="120"/>
      <c r="L190" s="121"/>
      <c r="M190" s="122"/>
      <c r="N190" s="123">
        <v>40639</v>
      </c>
      <c r="O190" s="261">
        <v>2</v>
      </c>
      <c r="P190" s="261">
        <v>13</v>
      </c>
      <c r="Q190" s="105"/>
      <c r="R190" s="105"/>
      <c r="S190" s="47"/>
      <c r="T190" s="47">
        <f ca="1"/>
        <v>165</v>
      </c>
      <c r="U190" s="47">
        <f ca="1"/>
        <v>0</v>
      </c>
    </row>
    <row r="191" spans="1:21" x14ac:dyDescent="0.25">
      <c r="A191" s="63" t="s">
        <v>165</v>
      </c>
      <c r="B191" s="63"/>
      <c r="J191" s="119">
        <v>40623</v>
      </c>
      <c r="K191" s="120"/>
      <c r="L191" s="121"/>
      <c r="M191" s="122"/>
      <c r="N191" s="123">
        <v>40663</v>
      </c>
      <c r="O191" s="261">
        <v>6</v>
      </c>
      <c r="P191" s="261">
        <v>40</v>
      </c>
      <c r="Q191" s="105"/>
      <c r="R191" s="105"/>
      <c r="S191" s="47"/>
      <c r="T191" s="47">
        <f ca="1"/>
        <v>166</v>
      </c>
      <c r="U191" s="47">
        <f ca="1"/>
        <v>0</v>
      </c>
    </row>
    <row r="192" spans="1:21" x14ac:dyDescent="0.25">
      <c r="A192" s="63" t="s">
        <v>737</v>
      </c>
      <c r="B192" s="63"/>
      <c r="J192" s="119">
        <v>40626</v>
      </c>
      <c r="K192" s="120"/>
      <c r="L192" s="121"/>
      <c r="M192" s="122"/>
      <c r="N192" s="123">
        <v>40644</v>
      </c>
      <c r="O192" s="261">
        <v>3</v>
      </c>
      <c r="P192" s="261">
        <v>18</v>
      </c>
      <c r="Q192" s="105"/>
      <c r="R192" s="105"/>
      <c r="S192" s="47"/>
      <c r="T192" s="47">
        <f ca="1"/>
        <v>167</v>
      </c>
      <c r="U192" s="47">
        <f ca="1"/>
        <v>0</v>
      </c>
    </row>
    <row r="193" spans="1:21" x14ac:dyDescent="0.25">
      <c r="A193" s="63" t="s">
        <v>166</v>
      </c>
      <c r="B193" s="63"/>
      <c r="J193" s="119">
        <v>40633</v>
      </c>
      <c r="K193" s="120"/>
      <c r="L193" s="121"/>
      <c r="M193" s="122"/>
      <c r="N193" s="123">
        <v>40655</v>
      </c>
      <c r="O193" s="261">
        <v>4</v>
      </c>
      <c r="P193" s="261">
        <v>22</v>
      </c>
      <c r="Q193" s="105"/>
      <c r="R193" s="105"/>
      <c r="S193" s="47"/>
      <c r="T193" s="47">
        <f ca="1"/>
        <v>168</v>
      </c>
      <c r="U193" s="47">
        <f ca="1"/>
        <v>0</v>
      </c>
    </row>
    <row r="194" spans="1:21" x14ac:dyDescent="0.25">
      <c r="A194" s="63" t="s">
        <v>167</v>
      </c>
      <c r="B194" s="63"/>
      <c r="J194" s="119">
        <v>40619</v>
      </c>
      <c r="K194" s="120"/>
      <c r="L194" s="121"/>
      <c r="M194" s="122"/>
      <c r="N194" s="123">
        <v>40659</v>
      </c>
      <c r="O194" s="261">
        <v>6</v>
      </c>
      <c r="P194" s="261">
        <v>40</v>
      </c>
      <c r="Q194" s="105"/>
      <c r="R194" s="105"/>
      <c r="S194" s="47"/>
      <c r="T194" s="47">
        <f ca="1"/>
        <v>169</v>
      </c>
      <c r="U194" s="47">
        <f ca="1"/>
        <v>0</v>
      </c>
    </row>
    <row r="195" spans="1:21" x14ac:dyDescent="0.25">
      <c r="A195" s="63" t="s">
        <v>517</v>
      </c>
      <c r="B195" s="63"/>
      <c r="J195" s="119">
        <v>40620</v>
      </c>
      <c r="K195" s="120"/>
      <c r="L195" s="121"/>
      <c r="M195" s="122"/>
      <c r="N195" s="123">
        <v>40651</v>
      </c>
      <c r="O195" s="261">
        <v>5</v>
      </c>
      <c r="P195" s="261">
        <v>31</v>
      </c>
      <c r="Q195" s="105"/>
      <c r="R195" s="105"/>
      <c r="S195" s="47"/>
      <c r="T195" s="47">
        <f ca="1"/>
        <v>170</v>
      </c>
      <c r="U195" s="47">
        <f ca="1"/>
        <v>0</v>
      </c>
    </row>
    <row r="196" spans="1:21" x14ac:dyDescent="0.25">
      <c r="A196" s="63" t="s">
        <v>479</v>
      </c>
      <c r="B196" s="63"/>
      <c r="J196" s="119">
        <v>40619</v>
      </c>
      <c r="K196" s="120"/>
      <c r="L196" s="121"/>
      <c r="M196" s="122"/>
      <c r="N196" s="123">
        <v>40650</v>
      </c>
      <c r="O196" s="261">
        <v>5</v>
      </c>
      <c r="P196" s="261">
        <v>31</v>
      </c>
      <c r="Q196" s="105"/>
      <c r="R196" s="105"/>
      <c r="S196" s="47"/>
      <c r="T196" s="47">
        <f ca="1"/>
        <v>171</v>
      </c>
      <c r="U196" s="47">
        <f ca="1"/>
        <v>0</v>
      </c>
    </row>
    <row r="197" spans="1:21" x14ac:dyDescent="0.25">
      <c r="A197" s="63" t="s">
        <v>168</v>
      </c>
      <c r="B197" s="63"/>
      <c r="J197" s="119">
        <v>40619</v>
      </c>
      <c r="K197" s="120"/>
      <c r="L197" s="121"/>
      <c r="M197" s="122"/>
      <c r="N197" s="123">
        <v>40646</v>
      </c>
      <c r="O197" s="261">
        <v>4</v>
      </c>
      <c r="P197" s="261">
        <v>27</v>
      </c>
      <c r="Q197" s="105"/>
      <c r="R197" s="105"/>
      <c r="S197" s="47"/>
      <c r="T197" s="47">
        <f ca="1"/>
        <v>172</v>
      </c>
      <c r="U197" s="47">
        <f ca="1"/>
        <v>0</v>
      </c>
    </row>
    <row r="198" spans="1:21" x14ac:dyDescent="0.25">
      <c r="A198" s="63" t="s">
        <v>169</v>
      </c>
      <c r="B198" s="63"/>
      <c r="J198" s="119">
        <v>40618</v>
      </c>
      <c r="K198" s="120"/>
      <c r="L198" s="121"/>
      <c r="M198" s="122"/>
      <c r="N198" s="123">
        <v>40654</v>
      </c>
      <c r="O198" s="261">
        <v>6</v>
      </c>
      <c r="P198" s="261">
        <v>36</v>
      </c>
      <c r="Q198" s="105"/>
      <c r="R198" s="105"/>
      <c r="S198" s="47"/>
      <c r="T198" s="47">
        <f ca="1"/>
        <v>173</v>
      </c>
      <c r="U198" s="47">
        <f ca="1"/>
        <v>0</v>
      </c>
    </row>
    <row r="199" spans="1:21" x14ac:dyDescent="0.25">
      <c r="A199" s="63" t="s">
        <v>518</v>
      </c>
      <c r="B199" s="63"/>
      <c r="J199" s="119">
        <v>40623</v>
      </c>
      <c r="K199" s="120"/>
      <c r="L199" s="121"/>
      <c r="M199" s="122"/>
      <c r="N199" s="123">
        <v>40672</v>
      </c>
      <c r="O199" s="261">
        <v>7</v>
      </c>
      <c r="P199" s="261">
        <v>49</v>
      </c>
      <c r="Q199" s="105"/>
      <c r="R199" s="105"/>
      <c r="S199" s="47"/>
      <c r="T199" s="47">
        <f ca="1"/>
        <v>174</v>
      </c>
      <c r="U199" s="47">
        <f ca="1"/>
        <v>0</v>
      </c>
    </row>
    <row r="200" spans="1:21" x14ac:dyDescent="0.25">
      <c r="A200" s="63" t="s">
        <v>170</v>
      </c>
      <c r="B200" s="63"/>
      <c r="J200" s="119">
        <v>40617</v>
      </c>
      <c r="K200" s="120"/>
      <c r="L200" s="121"/>
      <c r="M200" s="122"/>
      <c r="N200" s="123">
        <v>40657</v>
      </c>
      <c r="O200" s="261">
        <v>6</v>
      </c>
      <c r="P200" s="261">
        <v>40</v>
      </c>
      <c r="Q200" s="105"/>
      <c r="R200" s="105"/>
      <c r="S200" s="47"/>
      <c r="T200" s="47">
        <f ca="1"/>
        <v>175</v>
      </c>
      <c r="U200" s="47">
        <f ca="1"/>
        <v>0</v>
      </c>
    </row>
    <row r="201" spans="1:21" x14ac:dyDescent="0.25">
      <c r="A201" s="63" t="s">
        <v>480</v>
      </c>
      <c r="B201" s="63"/>
      <c r="J201" s="119">
        <v>40616</v>
      </c>
      <c r="K201" s="120"/>
      <c r="L201" s="121"/>
      <c r="M201" s="122"/>
      <c r="N201" s="123">
        <v>40656</v>
      </c>
      <c r="O201" s="261">
        <v>6</v>
      </c>
      <c r="P201" s="261">
        <v>40</v>
      </c>
      <c r="Q201" s="105"/>
      <c r="R201" s="105"/>
      <c r="S201" s="47"/>
      <c r="T201" s="47"/>
    </row>
    <row r="202" spans="1:21" x14ac:dyDescent="0.25">
      <c r="A202" s="63" t="s">
        <v>171</v>
      </c>
      <c r="B202" s="63"/>
      <c r="J202" s="119">
        <v>40617</v>
      </c>
      <c r="K202" s="120"/>
      <c r="L202" s="121"/>
      <c r="M202" s="122"/>
      <c r="N202" s="123">
        <v>40648</v>
      </c>
      <c r="O202" s="261">
        <v>5</v>
      </c>
      <c r="P202" s="261">
        <v>31</v>
      </c>
      <c r="Q202" s="105"/>
      <c r="R202" s="105"/>
      <c r="S202" s="47"/>
      <c r="T202" s="47"/>
    </row>
    <row r="203" spans="1:21" x14ac:dyDescent="0.25">
      <c r="A203" s="63" t="s">
        <v>519</v>
      </c>
      <c r="B203" s="63"/>
      <c r="J203" s="119">
        <v>40618</v>
      </c>
      <c r="K203" s="120"/>
      <c r="L203" s="121"/>
      <c r="M203" s="122"/>
      <c r="N203" s="123">
        <v>40640</v>
      </c>
      <c r="O203" s="261">
        <v>4</v>
      </c>
      <c r="P203" s="261">
        <v>22</v>
      </c>
      <c r="Q203" s="105"/>
      <c r="R203" s="105"/>
      <c r="S203" s="47"/>
      <c r="T203" s="47"/>
    </row>
    <row r="204" spans="1:21" x14ac:dyDescent="0.25">
      <c r="A204" s="63" t="s">
        <v>172</v>
      </c>
      <c r="B204" s="63"/>
      <c r="J204" s="119">
        <v>40624</v>
      </c>
      <c r="K204" s="120"/>
      <c r="L204" s="121"/>
      <c r="M204" s="122"/>
      <c r="N204" s="123">
        <v>40655</v>
      </c>
      <c r="O204" s="261">
        <v>5</v>
      </c>
      <c r="P204" s="261">
        <v>31</v>
      </c>
      <c r="Q204" s="105"/>
      <c r="R204" s="105"/>
      <c r="S204" s="47"/>
      <c r="T204" s="47"/>
    </row>
    <row r="205" spans="1:21" x14ac:dyDescent="0.25">
      <c r="A205" s="63" t="s">
        <v>173</v>
      </c>
      <c r="B205" s="63"/>
      <c r="J205" s="119">
        <v>40617</v>
      </c>
      <c r="K205" s="120"/>
      <c r="L205" s="121"/>
      <c r="M205" s="122"/>
      <c r="N205" s="123">
        <v>40653</v>
      </c>
      <c r="O205" s="261">
        <v>6</v>
      </c>
      <c r="P205" s="261">
        <v>36</v>
      </c>
      <c r="Q205" s="105"/>
      <c r="R205" s="105"/>
      <c r="S205" s="47"/>
      <c r="T205" s="47"/>
    </row>
    <row r="206" spans="1:21" x14ac:dyDescent="0.25">
      <c r="A206" s="63" t="s">
        <v>174</v>
      </c>
      <c r="B206" s="63"/>
      <c r="J206" s="119">
        <v>40624</v>
      </c>
      <c r="K206" s="120"/>
      <c r="L206" s="121"/>
      <c r="M206" s="122"/>
      <c r="N206" s="123">
        <v>40655</v>
      </c>
      <c r="O206" s="261">
        <v>5</v>
      </c>
      <c r="P206" s="261">
        <v>31</v>
      </c>
      <c r="Q206" s="105"/>
      <c r="R206" s="105"/>
      <c r="S206" s="47"/>
      <c r="T206" s="47"/>
    </row>
    <row r="207" spans="1:21" x14ac:dyDescent="0.25">
      <c r="A207" s="63" t="s">
        <v>175</v>
      </c>
      <c r="B207" s="63"/>
      <c r="J207" s="119">
        <v>40617</v>
      </c>
      <c r="K207" s="120"/>
      <c r="L207" s="121"/>
      <c r="M207" s="122"/>
      <c r="N207" s="123">
        <v>40648</v>
      </c>
      <c r="O207" s="261">
        <v>5</v>
      </c>
      <c r="P207" s="261">
        <v>31</v>
      </c>
      <c r="Q207" s="105"/>
      <c r="R207" s="105"/>
      <c r="S207" s="47"/>
      <c r="T207" s="47"/>
    </row>
    <row r="208" spans="1:21" x14ac:dyDescent="0.25">
      <c r="A208" s="63" t="s">
        <v>176</v>
      </c>
      <c r="B208" s="63"/>
      <c r="J208" s="119">
        <v>40617</v>
      </c>
      <c r="K208" s="120"/>
      <c r="L208" s="121"/>
      <c r="M208" s="122"/>
      <c r="N208" s="123">
        <v>40644</v>
      </c>
      <c r="O208" s="261">
        <v>4</v>
      </c>
      <c r="P208" s="261">
        <v>27</v>
      </c>
      <c r="Q208" s="105"/>
      <c r="R208" s="105"/>
      <c r="S208" s="47"/>
      <c r="T208" s="47"/>
    </row>
    <row r="209" spans="1:20" x14ac:dyDescent="0.25">
      <c r="A209" s="63" t="s">
        <v>520</v>
      </c>
      <c r="B209" s="63"/>
      <c r="J209" s="119">
        <v>40620</v>
      </c>
      <c r="K209" s="120"/>
      <c r="L209" s="121"/>
      <c r="M209" s="122"/>
      <c r="N209" s="123">
        <v>40624</v>
      </c>
      <c r="O209" s="261">
        <v>1</v>
      </c>
      <c r="P209" s="261">
        <v>4</v>
      </c>
      <c r="Q209" s="105"/>
      <c r="R209" s="105"/>
      <c r="S209" s="47"/>
      <c r="T209" s="47"/>
    </row>
    <row r="210" spans="1:20" x14ac:dyDescent="0.25">
      <c r="A210" s="63" t="s">
        <v>177</v>
      </c>
      <c r="B210" s="63"/>
      <c r="J210" s="119">
        <v>40620</v>
      </c>
      <c r="K210" s="120"/>
      <c r="L210" s="121"/>
      <c r="M210" s="122"/>
      <c r="N210" s="123">
        <v>40629</v>
      </c>
      <c r="O210" s="261">
        <v>2</v>
      </c>
      <c r="P210" s="261">
        <v>9</v>
      </c>
      <c r="Q210" s="105"/>
      <c r="R210" s="105"/>
      <c r="S210" s="47"/>
      <c r="T210" s="47"/>
    </row>
    <row r="211" spans="1:20" x14ac:dyDescent="0.25">
      <c r="A211" s="63" t="s">
        <v>521</v>
      </c>
      <c r="B211" s="63"/>
      <c r="J211" s="119">
        <v>40618</v>
      </c>
      <c r="K211" s="120"/>
      <c r="L211" s="121"/>
      <c r="M211" s="122"/>
      <c r="N211" s="123">
        <v>40640</v>
      </c>
      <c r="O211" s="261">
        <v>4</v>
      </c>
      <c r="P211" s="261">
        <v>22</v>
      </c>
      <c r="Q211" s="105"/>
      <c r="R211" s="105"/>
      <c r="S211" s="47"/>
      <c r="T211" s="47"/>
    </row>
    <row r="212" spans="1:20" x14ac:dyDescent="0.25">
      <c r="A212" s="63" t="s">
        <v>522</v>
      </c>
      <c r="B212" s="63"/>
      <c r="J212" s="119">
        <v>40605</v>
      </c>
      <c r="K212" s="120"/>
      <c r="L212" s="121"/>
      <c r="M212" s="122"/>
      <c r="N212" s="123">
        <v>40618</v>
      </c>
      <c r="O212" s="261">
        <v>2</v>
      </c>
      <c r="P212" s="261">
        <v>13</v>
      </c>
      <c r="Q212" s="105"/>
      <c r="R212" s="105"/>
      <c r="S212" s="47"/>
      <c r="T212" s="47"/>
    </row>
    <row r="213" spans="1:20" x14ac:dyDescent="0.25">
      <c r="A213" s="63" t="s">
        <v>178</v>
      </c>
      <c r="B213" s="63"/>
      <c r="J213" s="119">
        <v>40620</v>
      </c>
      <c r="K213" s="120"/>
      <c r="L213" s="121"/>
      <c r="M213" s="122"/>
      <c r="N213" s="123">
        <v>40629</v>
      </c>
      <c r="O213" s="261">
        <v>2</v>
      </c>
      <c r="P213" s="261">
        <v>9</v>
      </c>
      <c r="Q213" s="105"/>
      <c r="R213" s="105"/>
      <c r="S213" s="47"/>
      <c r="T213" s="47"/>
    </row>
    <row r="214" spans="1:20" x14ac:dyDescent="0.25">
      <c r="A214" s="63" t="s">
        <v>179</v>
      </c>
      <c r="B214" s="63"/>
      <c r="J214" s="119">
        <v>40617</v>
      </c>
      <c r="K214" s="120"/>
      <c r="L214" s="121"/>
      <c r="M214" s="122"/>
      <c r="N214" s="123">
        <v>40653</v>
      </c>
      <c r="O214" s="261">
        <v>6</v>
      </c>
      <c r="P214" s="261">
        <v>36</v>
      </c>
      <c r="Q214" s="105"/>
      <c r="R214" s="105"/>
      <c r="S214" s="47"/>
      <c r="T214" s="47"/>
    </row>
    <row r="215" spans="1:20" x14ac:dyDescent="0.25">
      <c r="A215" s="63" t="s">
        <v>180</v>
      </c>
      <c r="B215" s="63"/>
      <c r="J215" s="119">
        <v>40616</v>
      </c>
      <c r="K215" s="120"/>
      <c r="L215" s="121"/>
      <c r="M215" s="122"/>
      <c r="N215" s="123">
        <v>40656</v>
      </c>
      <c r="O215" s="261">
        <v>6</v>
      </c>
      <c r="P215" s="261">
        <v>40</v>
      </c>
      <c r="Q215" s="105"/>
      <c r="R215" s="105"/>
      <c r="S215" s="47"/>
      <c r="T215" s="47"/>
    </row>
    <row r="216" spans="1:20" x14ac:dyDescent="0.25">
      <c r="A216" s="63" t="s">
        <v>523</v>
      </c>
      <c r="B216" s="63"/>
      <c r="J216" s="119">
        <v>40617</v>
      </c>
      <c r="K216" s="120"/>
      <c r="L216" s="121"/>
      <c r="M216" s="122"/>
      <c r="N216" s="123">
        <v>40648</v>
      </c>
      <c r="O216" s="261">
        <v>5</v>
      </c>
      <c r="P216" s="261">
        <v>31</v>
      </c>
      <c r="Q216" s="105"/>
      <c r="R216" s="105"/>
      <c r="S216" s="47"/>
      <c r="T216" s="47"/>
    </row>
    <row r="217" spans="1:20" x14ac:dyDescent="0.25">
      <c r="A217" s="63" t="s">
        <v>181</v>
      </c>
      <c r="B217" s="63"/>
      <c r="J217" s="119">
        <v>40616</v>
      </c>
      <c r="K217" s="120"/>
      <c r="L217" s="121"/>
      <c r="M217" s="122"/>
      <c r="N217" s="123">
        <v>40656</v>
      </c>
      <c r="O217" s="261">
        <v>6</v>
      </c>
      <c r="P217" s="261">
        <v>40</v>
      </c>
      <c r="Q217" s="105"/>
      <c r="R217" s="105"/>
      <c r="S217" s="47"/>
      <c r="T217" s="47"/>
    </row>
    <row r="218" spans="1:20" x14ac:dyDescent="0.25">
      <c r="A218" s="63" t="s">
        <v>524</v>
      </c>
      <c r="B218" s="63"/>
      <c r="J218" s="119">
        <v>40620</v>
      </c>
      <c r="K218" s="120"/>
      <c r="L218" s="121"/>
      <c r="M218" s="122"/>
      <c r="N218" s="123">
        <v>40624</v>
      </c>
      <c r="O218" s="261">
        <v>1</v>
      </c>
      <c r="P218" s="261">
        <v>4</v>
      </c>
      <c r="Q218" s="105"/>
      <c r="R218" s="105"/>
      <c r="S218" s="47"/>
      <c r="T218" s="47"/>
    </row>
    <row r="219" spans="1:20" x14ac:dyDescent="0.25">
      <c r="A219" s="63" t="s">
        <v>182</v>
      </c>
      <c r="B219" s="63"/>
      <c r="J219" s="119">
        <v>40617</v>
      </c>
      <c r="K219" s="120"/>
      <c r="L219" s="121"/>
      <c r="M219" s="122"/>
      <c r="N219" s="123">
        <v>40653</v>
      </c>
      <c r="O219" s="261">
        <v>6</v>
      </c>
      <c r="P219" s="261">
        <v>36</v>
      </c>
      <c r="Q219" s="105"/>
      <c r="R219" s="105"/>
      <c r="S219" s="47"/>
      <c r="T219" s="47"/>
    </row>
    <row r="220" spans="1:20" x14ac:dyDescent="0.25">
      <c r="A220" s="63" t="s">
        <v>183</v>
      </c>
      <c r="B220" s="63"/>
      <c r="J220" s="119">
        <v>40620</v>
      </c>
      <c r="K220" s="120"/>
      <c r="L220" s="121"/>
      <c r="M220" s="122"/>
      <c r="N220" s="123">
        <v>40624</v>
      </c>
      <c r="O220" s="261">
        <v>1</v>
      </c>
      <c r="P220" s="261">
        <v>4</v>
      </c>
      <c r="Q220" s="105"/>
      <c r="R220" s="105"/>
      <c r="S220" s="47"/>
      <c r="T220" s="47"/>
    </row>
    <row r="221" spans="1:20" x14ac:dyDescent="0.25">
      <c r="A221" s="63" t="s">
        <v>184</v>
      </c>
      <c r="B221" s="63"/>
      <c r="J221" s="119">
        <v>40616</v>
      </c>
      <c r="K221" s="120"/>
      <c r="L221" s="121"/>
      <c r="M221" s="122"/>
      <c r="N221" s="123">
        <v>40661</v>
      </c>
      <c r="O221" s="261">
        <v>7</v>
      </c>
      <c r="P221" s="261">
        <v>45</v>
      </c>
      <c r="Q221" s="105"/>
      <c r="R221" s="105"/>
      <c r="S221" s="47"/>
      <c r="T221" s="47"/>
    </row>
    <row r="222" spans="1:20" x14ac:dyDescent="0.25">
      <c r="A222" s="63" t="s">
        <v>185</v>
      </c>
      <c r="B222" s="63"/>
      <c r="J222" s="119">
        <v>40616</v>
      </c>
      <c r="K222" s="120"/>
      <c r="L222" s="121"/>
      <c r="M222" s="122"/>
      <c r="N222" s="123">
        <v>40652</v>
      </c>
      <c r="O222" s="261">
        <v>6</v>
      </c>
      <c r="P222" s="261">
        <v>36</v>
      </c>
      <c r="Q222" s="105"/>
      <c r="R222" s="105"/>
      <c r="S222" s="47"/>
      <c r="T222" s="47"/>
    </row>
    <row r="223" spans="1:20" x14ac:dyDescent="0.25">
      <c r="A223" s="63" t="s">
        <v>525</v>
      </c>
      <c r="B223" s="63"/>
      <c r="J223" s="119">
        <v>40620</v>
      </c>
      <c r="K223" s="120"/>
      <c r="L223" s="121"/>
      <c r="M223" s="122"/>
      <c r="N223" s="123">
        <v>40629</v>
      </c>
      <c r="O223" s="261">
        <v>2</v>
      </c>
      <c r="P223" s="261">
        <v>9</v>
      </c>
      <c r="Q223" s="105"/>
      <c r="R223" s="105"/>
      <c r="S223" s="47"/>
      <c r="T223" s="47"/>
    </row>
    <row r="224" spans="1:20" x14ac:dyDescent="0.25">
      <c r="A224" s="63" t="s">
        <v>526</v>
      </c>
      <c r="B224" s="63"/>
      <c r="J224" s="119">
        <v>40617</v>
      </c>
      <c r="K224" s="120"/>
      <c r="L224" s="121"/>
      <c r="M224" s="122"/>
      <c r="N224" s="123">
        <v>40648</v>
      </c>
      <c r="O224" s="261">
        <v>5</v>
      </c>
      <c r="P224" s="261">
        <v>31</v>
      </c>
      <c r="Q224" s="105"/>
      <c r="R224" s="105"/>
      <c r="S224" s="47"/>
      <c r="T224" s="47"/>
    </row>
    <row r="225" spans="1:20" x14ac:dyDescent="0.25">
      <c r="A225" s="63" t="s">
        <v>527</v>
      </c>
      <c r="B225" s="63"/>
      <c r="J225" s="119">
        <v>40617</v>
      </c>
      <c r="K225" s="120"/>
      <c r="L225" s="121"/>
      <c r="M225" s="122"/>
      <c r="N225" s="123">
        <v>40648</v>
      </c>
      <c r="O225" s="261">
        <v>5</v>
      </c>
      <c r="P225" s="261">
        <v>31</v>
      </c>
      <c r="Q225" s="105"/>
      <c r="R225" s="105"/>
      <c r="S225" s="47"/>
      <c r="T225" s="47"/>
    </row>
    <row r="226" spans="1:20" x14ac:dyDescent="0.25">
      <c r="A226" s="63" t="s">
        <v>528</v>
      </c>
      <c r="B226" s="63"/>
      <c r="J226" s="119">
        <v>40623</v>
      </c>
      <c r="K226" s="120"/>
      <c r="L226" s="121"/>
      <c r="M226" s="122"/>
      <c r="N226" s="123">
        <v>40641</v>
      </c>
      <c r="O226" s="261">
        <v>3</v>
      </c>
      <c r="P226" s="261">
        <v>18</v>
      </c>
      <c r="Q226" s="105"/>
      <c r="R226" s="105"/>
      <c r="S226" s="47"/>
      <c r="T226" s="47"/>
    </row>
    <row r="227" spans="1:20" x14ac:dyDescent="0.25">
      <c r="A227" s="63" t="s">
        <v>738</v>
      </c>
      <c r="B227" s="63"/>
      <c r="J227" s="119">
        <v>40616</v>
      </c>
      <c r="K227" s="120"/>
      <c r="L227" s="121"/>
      <c r="M227" s="122"/>
      <c r="N227" s="123">
        <v>40656</v>
      </c>
      <c r="O227" s="261">
        <v>6</v>
      </c>
      <c r="P227" s="261">
        <v>40</v>
      </c>
      <c r="Q227" s="105"/>
      <c r="R227" s="105"/>
      <c r="S227" s="47"/>
      <c r="T227" s="47"/>
    </row>
    <row r="228" spans="1:20" x14ac:dyDescent="0.25">
      <c r="A228" s="63" t="s">
        <v>529</v>
      </c>
      <c r="B228" s="63"/>
      <c r="J228" s="119">
        <v>40620</v>
      </c>
      <c r="K228" s="120"/>
      <c r="L228" s="121"/>
      <c r="M228" s="122"/>
      <c r="N228" s="123">
        <v>40624</v>
      </c>
      <c r="O228" s="261">
        <v>1</v>
      </c>
      <c r="P228" s="261">
        <v>4</v>
      </c>
      <c r="Q228" s="105"/>
      <c r="R228" s="105"/>
      <c r="S228" s="47"/>
      <c r="T228" s="47"/>
    </row>
    <row r="229" spans="1:20" x14ac:dyDescent="0.25">
      <c r="A229" s="63" t="s">
        <v>530</v>
      </c>
      <c r="B229" s="63"/>
      <c r="J229" s="119">
        <v>40618</v>
      </c>
      <c r="K229" s="120"/>
      <c r="L229" s="121"/>
      <c r="M229" s="122"/>
      <c r="N229" s="123">
        <v>40640</v>
      </c>
      <c r="O229" s="261">
        <v>4</v>
      </c>
      <c r="P229" s="261">
        <v>22</v>
      </c>
      <c r="Q229" s="105"/>
      <c r="R229" s="105"/>
      <c r="S229" s="47"/>
      <c r="T229" s="47"/>
    </row>
    <row r="230" spans="1:20" x14ac:dyDescent="0.25">
      <c r="A230" s="63" t="s">
        <v>739</v>
      </c>
      <c r="B230" s="63"/>
      <c r="J230" s="119">
        <v>40617</v>
      </c>
      <c r="K230" s="120"/>
      <c r="L230" s="121"/>
      <c r="M230" s="122"/>
      <c r="N230" s="123">
        <v>40648</v>
      </c>
      <c r="O230" s="261">
        <v>5</v>
      </c>
      <c r="P230" s="261">
        <v>31</v>
      </c>
      <c r="Q230" s="105"/>
      <c r="R230" s="105"/>
      <c r="S230" s="47"/>
      <c r="T230" s="47"/>
    </row>
    <row r="231" spans="1:20" x14ac:dyDescent="0.25">
      <c r="A231" s="63" t="s">
        <v>531</v>
      </c>
      <c r="B231" s="63"/>
      <c r="J231" s="119">
        <v>40616</v>
      </c>
      <c r="K231" s="120"/>
      <c r="L231" s="121"/>
      <c r="M231" s="122"/>
      <c r="N231" s="123">
        <v>40656</v>
      </c>
      <c r="O231" s="261">
        <v>6</v>
      </c>
      <c r="P231" s="261">
        <v>40</v>
      </c>
      <c r="Q231" s="105"/>
      <c r="R231" s="105"/>
      <c r="S231" s="47"/>
      <c r="T231" s="47"/>
    </row>
    <row r="232" spans="1:20" x14ac:dyDescent="0.25">
      <c r="A232" s="63" t="s">
        <v>740</v>
      </c>
      <c r="B232" s="63"/>
      <c r="J232" s="119">
        <v>40624</v>
      </c>
      <c r="K232" s="120"/>
      <c r="L232" s="121"/>
      <c r="M232" s="122"/>
      <c r="N232" s="123">
        <v>40624</v>
      </c>
      <c r="O232" s="261">
        <v>1</v>
      </c>
      <c r="P232" s="261">
        <v>0</v>
      </c>
      <c r="Q232" s="105"/>
      <c r="R232" s="105"/>
      <c r="S232" s="47"/>
      <c r="T232" s="47"/>
    </row>
    <row r="233" spans="1:20" x14ac:dyDescent="0.25">
      <c r="A233" s="63" t="s">
        <v>532</v>
      </c>
      <c r="B233" s="63"/>
      <c r="J233" s="119">
        <v>40618</v>
      </c>
      <c r="K233" s="120"/>
      <c r="L233" s="121"/>
      <c r="M233" s="122"/>
      <c r="N233" s="123">
        <v>40645</v>
      </c>
      <c r="O233" s="261">
        <v>4</v>
      </c>
      <c r="P233" s="261">
        <v>27</v>
      </c>
      <c r="Q233" s="105"/>
      <c r="R233" s="105"/>
      <c r="S233" s="47"/>
      <c r="T233" s="47"/>
    </row>
    <row r="234" spans="1:20" x14ac:dyDescent="0.25">
      <c r="A234" s="63" t="s">
        <v>533</v>
      </c>
      <c r="B234" s="63"/>
      <c r="J234" s="119">
        <v>40617</v>
      </c>
      <c r="K234" s="120"/>
      <c r="L234" s="121"/>
      <c r="M234" s="122"/>
      <c r="N234" s="123">
        <v>40644</v>
      </c>
      <c r="O234" s="261">
        <v>4</v>
      </c>
      <c r="P234" s="261">
        <v>27</v>
      </c>
      <c r="Q234" s="105"/>
      <c r="R234" s="105"/>
      <c r="S234" s="47"/>
      <c r="T234" s="47"/>
    </row>
    <row r="235" spans="1:20" x14ac:dyDescent="0.25">
      <c r="A235" s="63" t="s">
        <v>534</v>
      </c>
      <c r="B235" s="63"/>
      <c r="J235" s="119">
        <v>40617</v>
      </c>
      <c r="K235" s="120"/>
      <c r="L235" s="121"/>
      <c r="M235" s="122"/>
      <c r="N235" s="123">
        <v>40653</v>
      </c>
      <c r="O235" s="261">
        <v>6</v>
      </c>
      <c r="P235" s="261">
        <v>36</v>
      </c>
      <c r="Q235" s="105"/>
      <c r="R235" s="105"/>
      <c r="S235" s="47"/>
      <c r="T235" s="47"/>
    </row>
    <row r="236" spans="1:20" x14ac:dyDescent="0.25">
      <c r="A236" s="63" t="s">
        <v>535</v>
      </c>
      <c r="B236" s="63"/>
      <c r="J236" s="119">
        <v>40620</v>
      </c>
      <c r="K236" s="120"/>
      <c r="L236" s="121"/>
      <c r="M236" s="122"/>
      <c r="N236" s="123">
        <v>40624</v>
      </c>
      <c r="O236" s="261">
        <v>1</v>
      </c>
      <c r="P236" s="261">
        <v>4</v>
      </c>
      <c r="Q236" s="105"/>
      <c r="R236" s="105"/>
      <c r="S236" s="47"/>
      <c r="T236" s="47"/>
    </row>
    <row r="237" spans="1:20" x14ac:dyDescent="0.25">
      <c r="A237" s="63" t="s">
        <v>536</v>
      </c>
      <c r="B237" s="63"/>
      <c r="J237" s="119">
        <v>40616</v>
      </c>
      <c r="K237" s="120"/>
      <c r="L237" s="121"/>
      <c r="M237" s="122"/>
      <c r="N237" s="123">
        <v>40656</v>
      </c>
      <c r="O237" s="261">
        <v>6</v>
      </c>
      <c r="P237" s="261">
        <v>40</v>
      </c>
      <c r="Q237" s="105"/>
      <c r="R237" s="105"/>
      <c r="S237" s="47"/>
      <c r="T237" s="47"/>
    </row>
    <row r="238" spans="1:20" x14ac:dyDescent="0.25">
      <c r="A238" s="63" t="s">
        <v>741</v>
      </c>
      <c r="B238" s="63"/>
      <c r="J238" s="119">
        <v>40624</v>
      </c>
      <c r="K238" s="120"/>
      <c r="L238" s="121"/>
      <c r="M238" s="122"/>
      <c r="N238" s="123">
        <v>40637</v>
      </c>
      <c r="O238" s="261">
        <v>2</v>
      </c>
      <c r="P238" s="261">
        <v>13</v>
      </c>
      <c r="Q238" s="105"/>
      <c r="R238" s="105"/>
      <c r="S238" s="47"/>
      <c r="T238" s="47"/>
    </row>
    <row r="239" spans="1:20" x14ac:dyDescent="0.25">
      <c r="A239" s="63" t="s">
        <v>537</v>
      </c>
      <c r="B239" s="63"/>
      <c r="J239" s="119">
        <v>40620</v>
      </c>
      <c r="K239" s="120"/>
      <c r="L239" s="121"/>
      <c r="M239" s="122"/>
      <c r="N239" s="123">
        <v>40624</v>
      </c>
      <c r="O239" s="261">
        <v>1</v>
      </c>
      <c r="P239" s="261">
        <v>4</v>
      </c>
      <c r="Q239" s="105"/>
      <c r="R239" s="105"/>
      <c r="S239" s="47"/>
      <c r="T239" s="47"/>
    </row>
    <row r="240" spans="1:20" x14ac:dyDescent="0.25">
      <c r="A240" s="63" t="s">
        <v>538</v>
      </c>
      <c r="B240" s="63"/>
      <c r="J240" s="119">
        <v>40616</v>
      </c>
      <c r="K240" s="120"/>
      <c r="L240" s="121"/>
      <c r="M240" s="122"/>
      <c r="N240" s="123">
        <v>40652</v>
      </c>
      <c r="O240" s="261">
        <v>6</v>
      </c>
      <c r="P240" s="261">
        <v>36</v>
      </c>
      <c r="Q240" s="105"/>
      <c r="R240" s="105"/>
      <c r="S240" s="47"/>
      <c r="T240" s="47"/>
    </row>
    <row r="241" spans="1:20" x14ac:dyDescent="0.25">
      <c r="A241" s="63" t="s">
        <v>539</v>
      </c>
      <c r="B241" s="63"/>
      <c r="J241" s="119">
        <v>40617</v>
      </c>
      <c r="K241" s="120"/>
      <c r="L241" s="121"/>
      <c r="M241" s="122"/>
      <c r="N241" s="123">
        <v>40648</v>
      </c>
      <c r="O241" s="261">
        <v>5</v>
      </c>
      <c r="P241" s="261">
        <v>31</v>
      </c>
      <c r="Q241" s="105"/>
      <c r="R241" s="105"/>
      <c r="S241" s="47"/>
      <c r="T241" s="47"/>
    </row>
    <row r="242" spans="1:20" x14ac:dyDescent="0.25">
      <c r="A242" s="63" t="s">
        <v>742</v>
      </c>
      <c r="B242" s="63"/>
      <c r="J242" s="119">
        <v>40618</v>
      </c>
      <c r="K242" s="120"/>
      <c r="L242" s="121"/>
      <c r="M242" s="122"/>
      <c r="N242" s="123">
        <v>40640</v>
      </c>
      <c r="O242" s="261">
        <v>4</v>
      </c>
      <c r="P242" s="261">
        <v>22</v>
      </c>
      <c r="Q242" s="105"/>
      <c r="R242" s="105"/>
      <c r="S242" s="47"/>
      <c r="T242" s="47"/>
    </row>
    <row r="243" spans="1:20" x14ac:dyDescent="0.25">
      <c r="A243" s="63" t="s">
        <v>540</v>
      </c>
      <c r="B243" s="63"/>
      <c r="J243" s="119">
        <v>40624</v>
      </c>
      <c r="K243" s="120"/>
      <c r="L243" s="121"/>
      <c r="M243" s="122"/>
      <c r="N243" s="123">
        <v>40629</v>
      </c>
      <c r="O243" s="261">
        <v>1</v>
      </c>
      <c r="P243" s="261">
        <v>5</v>
      </c>
      <c r="Q243" s="105"/>
      <c r="R243" s="105"/>
      <c r="S243" s="47"/>
      <c r="T243" s="47"/>
    </row>
    <row r="244" spans="1:20" x14ac:dyDescent="0.25">
      <c r="A244" s="63" t="s">
        <v>541</v>
      </c>
      <c r="B244" s="63"/>
      <c r="J244" s="119">
        <v>40617</v>
      </c>
      <c r="K244" s="120"/>
      <c r="L244" s="121"/>
      <c r="M244" s="122"/>
      <c r="N244" s="123">
        <v>40653</v>
      </c>
      <c r="O244" s="261">
        <v>6</v>
      </c>
      <c r="P244" s="261">
        <v>36</v>
      </c>
      <c r="Q244" s="105"/>
      <c r="R244" s="105"/>
      <c r="S244" s="47"/>
      <c r="T244" s="47"/>
    </row>
    <row r="245" spans="1:20" x14ac:dyDescent="0.25">
      <c r="A245" s="63" t="s">
        <v>542</v>
      </c>
      <c r="B245" s="63"/>
      <c r="J245" s="119">
        <v>40620</v>
      </c>
      <c r="K245" s="120"/>
      <c r="L245" s="121"/>
      <c r="M245" s="122"/>
      <c r="N245" s="123">
        <v>40624</v>
      </c>
      <c r="O245" s="261">
        <v>1</v>
      </c>
      <c r="P245" s="261">
        <v>4</v>
      </c>
      <c r="Q245" s="105"/>
      <c r="R245" s="105"/>
      <c r="S245" s="47"/>
      <c r="T245" s="47"/>
    </row>
    <row r="246" spans="1:20" x14ac:dyDescent="0.25">
      <c r="A246" s="63" t="s">
        <v>743</v>
      </c>
      <c r="B246" s="63"/>
      <c r="J246" s="119">
        <v>40617</v>
      </c>
      <c r="K246" s="120"/>
      <c r="L246" s="121"/>
      <c r="M246" s="122"/>
      <c r="N246" s="123">
        <v>40648</v>
      </c>
      <c r="O246" s="261">
        <v>5</v>
      </c>
      <c r="P246" s="261">
        <v>31</v>
      </c>
      <c r="Q246" s="105"/>
      <c r="R246" s="105"/>
      <c r="S246" s="47"/>
      <c r="T246" s="47"/>
    </row>
    <row r="247" spans="1:20" x14ac:dyDescent="0.25">
      <c r="A247" s="63" t="s">
        <v>543</v>
      </c>
      <c r="B247" s="63"/>
      <c r="J247" s="119">
        <v>40623</v>
      </c>
      <c r="K247" s="120"/>
      <c r="L247" s="121"/>
      <c r="M247" s="122"/>
      <c r="N247" s="123">
        <v>40626</v>
      </c>
      <c r="O247" s="261">
        <v>1</v>
      </c>
      <c r="P247" s="261">
        <v>3</v>
      </c>
      <c r="Q247" s="105"/>
      <c r="R247" s="105"/>
      <c r="S247" s="47"/>
      <c r="T247" s="47"/>
    </row>
    <row r="248" spans="1:20" x14ac:dyDescent="0.25">
      <c r="A248" s="63" t="s">
        <v>544</v>
      </c>
      <c r="B248" s="63"/>
      <c r="J248" s="119">
        <v>40620</v>
      </c>
      <c r="K248" s="120"/>
      <c r="L248" s="121"/>
      <c r="M248" s="122"/>
      <c r="N248" s="123">
        <v>40629</v>
      </c>
      <c r="O248" s="261">
        <v>2</v>
      </c>
      <c r="P248" s="261">
        <v>9</v>
      </c>
      <c r="Q248" s="105"/>
      <c r="R248" s="105"/>
      <c r="S248" s="47"/>
      <c r="T248" s="47"/>
    </row>
    <row r="249" spans="1:20" x14ac:dyDescent="0.25">
      <c r="A249" s="63" t="s">
        <v>545</v>
      </c>
      <c r="B249" s="63"/>
      <c r="J249" s="119">
        <v>40623</v>
      </c>
      <c r="K249" s="120"/>
      <c r="L249" s="121"/>
      <c r="M249" s="122"/>
      <c r="N249" s="123">
        <v>40627</v>
      </c>
      <c r="O249" s="261">
        <v>1</v>
      </c>
      <c r="P249" s="261">
        <v>4</v>
      </c>
      <c r="Q249" s="105"/>
      <c r="R249" s="105"/>
      <c r="S249" s="47"/>
      <c r="T249" s="47"/>
    </row>
    <row r="250" spans="1:20" x14ac:dyDescent="0.25">
      <c r="A250" s="63" t="s">
        <v>546</v>
      </c>
      <c r="B250" s="63"/>
      <c r="J250" s="119">
        <v>40619</v>
      </c>
      <c r="K250" s="120"/>
      <c r="L250" s="121"/>
      <c r="M250" s="122"/>
      <c r="N250" s="123">
        <v>40623</v>
      </c>
      <c r="O250" s="261">
        <v>1</v>
      </c>
      <c r="P250" s="261">
        <v>4</v>
      </c>
      <c r="Q250" s="105"/>
      <c r="R250" s="105"/>
      <c r="S250" s="47"/>
      <c r="T250" s="47"/>
    </row>
    <row r="251" spans="1:20" x14ac:dyDescent="0.25">
      <c r="A251" s="63" t="s">
        <v>744</v>
      </c>
      <c r="B251" s="63"/>
      <c r="J251" s="119">
        <v>40619</v>
      </c>
      <c r="K251" s="120"/>
      <c r="L251" s="121"/>
      <c r="M251" s="122"/>
      <c r="N251" s="123">
        <v>40623</v>
      </c>
      <c r="O251" s="261">
        <v>1</v>
      </c>
      <c r="P251" s="261">
        <v>4</v>
      </c>
      <c r="Q251" s="105"/>
      <c r="R251" s="105"/>
      <c r="S251" s="47"/>
      <c r="T251" s="47"/>
    </row>
    <row r="252" spans="1:20" x14ac:dyDescent="0.25">
      <c r="A252" s="63" t="s">
        <v>547</v>
      </c>
      <c r="B252" s="63"/>
      <c r="J252" s="119">
        <v>40613</v>
      </c>
      <c r="K252" s="120"/>
      <c r="L252" s="121"/>
      <c r="M252" s="122"/>
      <c r="N252" s="123">
        <v>40649</v>
      </c>
      <c r="O252" s="261">
        <v>6</v>
      </c>
      <c r="P252" s="261">
        <v>36</v>
      </c>
      <c r="Q252" s="105"/>
      <c r="R252" s="105"/>
      <c r="S252" s="47"/>
      <c r="T252" s="47"/>
    </row>
    <row r="253" spans="1:20" x14ac:dyDescent="0.25">
      <c r="A253" s="63" t="s">
        <v>548</v>
      </c>
      <c r="B253" s="63"/>
      <c r="J253" s="119">
        <v>40620</v>
      </c>
      <c r="K253" s="120"/>
      <c r="L253" s="121"/>
      <c r="M253" s="122"/>
      <c r="N253" s="123">
        <v>40625</v>
      </c>
      <c r="O253" s="261">
        <v>1</v>
      </c>
      <c r="P253" s="261">
        <v>5</v>
      </c>
      <c r="Q253" s="105"/>
      <c r="R253" s="105"/>
      <c r="S253" s="47"/>
      <c r="T253" s="47"/>
    </row>
    <row r="254" spans="1:20" x14ac:dyDescent="0.25">
      <c r="A254" s="63" t="s">
        <v>745</v>
      </c>
      <c r="B254" s="63"/>
      <c r="J254" s="119">
        <v>40613</v>
      </c>
      <c r="K254" s="120"/>
      <c r="L254" s="121"/>
      <c r="M254" s="122"/>
      <c r="N254" s="123">
        <v>40653</v>
      </c>
      <c r="O254" s="261">
        <v>6</v>
      </c>
      <c r="P254" s="261">
        <v>40</v>
      </c>
      <c r="Q254" s="105"/>
      <c r="R254" s="105"/>
      <c r="S254" s="47"/>
      <c r="T254" s="47"/>
    </row>
    <row r="255" spans="1:20" x14ac:dyDescent="0.25">
      <c r="A255" s="63" t="s">
        <v>746</v>
      </c>
      <c r="B255" s="63"/>
      <c r="J255" s="119">
        <v>40620</v>
      </c>
      <c r="K255" s="120"/>
      <c r="L255" s="121"/>
      <c r="M255" s="122"/>
      <c r="N255" s="123">
        <v>40624</v>
      </c>
      <c r="O255" s="261">
        <v>1</v>
      </c>
      <c r="P255" s="261">
        <v>4</v>
      </c>
      <c r="Q255" s="105"/>
      <c r="R255" s="105"/>
      <c r="S255" s="47"/>
      <c r="T255" s="47"/>
    </row>
    <row r="256" spans="1:20" x14ac:dyDescent="0.25">
      <c r="A256" s="63" t="s">
        <v>747</v>
      </c>
      <c r="B256" s="63"/>
      <c r="J256" s="119">
        <v>40620</v>
      </c>
      <c r="K256" s="120"/>
      <c r="L256" s="121"/>
      <c r="M256" s="122"/>
      <c r="N256" s="123">
        <v>40626</v>
      </c>
      <c r="O256" s="261">
        <v>1</v>
      </c>
      <c r="P256" s="261">
        <v>6</v>
      </c>
      <c r="Q256" s="105"/>
      <c r="R256" s="105"/>
      <c r="S256" s="47"/>
      <c r="T256" s="47"/>
    </row>
    <row r="257" spans="1:20" x14ac:dyDescent="0.25">
      <c r="A257" s="63" t="s">
        <v>549</v>
      </c>
      <c r="B257" s="63"/>
      <c r="J257" s="119">
        <v>40619</v>
      </c>
      <c r="K257" s="120"/>
      <c r="L257" s="121"/>
      <c r="M257" s="122"/>
      <c r="N257" s="123">
        <v>40622</v>
      </c>
      <c r="O257" s="261">
        <v>1</v>
      </c>
      <c r="P257" s="261">
        <v>3</v>
      </c>
      <c r="Q257" s="105"/>
      <c r="R257" s="105"/>
      <c r="S257" s="47"/>
      <c r="T257" s="47"/>
    </row>
    <row r="258" spans="1:20" x14ac:dyDescent="0.25">
      <c r="A258" s="63" t="s">
        <v>550</v>
      </c>
      <c r="B258" s="63"/>
      <c r="J258" s="119">
        <v>40613</v>
      </c>
      <c r="K258" s="120"/>
      <c r="L258" s="121"/>
      <c r="M258" s="122"/>
      <c r="N258" s="123">
        <v>40649</v>
      </c>
      <c r="O258" s="261">
        <v>6</v>
      </c>
      <c r="P258" s="261">
        <v>36</v>
      </c>
      <c r="Q258" s="105"/>
      <c r="R258" s="105"/>
      <c r="S258" s="47"/>
      <c r="T258" s="47"/>
    </row>
    <row r="259" spans="1:20" x14ac:dyDescent="0.25">
      <c r="A259" s="63" t="s">
        <v>551</v>
      </c>
      <c r="B259" s="63"/>
      <c r="J259" s="119">
        <v>40619</v>
      </c>
      <c r="K259" s="120"/>
      <c r="L259" s="121"/>
      <c r="M259" s="122"/>
      <c r="N259" s="123">
        <v>40622</v>
      </c>
      <c r="O259" s="261">
        <v>1</v>
      </c>
      <c r="P259" s="261">
        <v>3</v>
      </c>
      <c r="Q259" s="105"/>
      <c r="R259" s="105"/>
      <c r="S259" s="47"/>
      <c r="T259" s="47"/>
    </row>
    <row r="260" spans="1:20" x14ac:dyDescent="0.25">
      <c r="A260" s="63" t="s">
        <v>748</v>
      </c>
      <c r="B260" s="63"/>
      <c r="J260" s="119">
        <v>40619</v>
      </c>
      <c r="K260" s="120"/>
      <c r="L260" s="121"/>
      <c r="M260" s="122"/>
      <c r="N260" s="123">
        <v>40623</v>
      </c>
      <c r="O260" s="261">
        <v>1</v>
      </c>
      <c r="P260" s="261">
        <v>4</v>
      </c>
      <c r="Q260" s="105"/>
      <c r="R260" s="105"/>
      <c r="S260" s="47"/>
      <c r="T260" s="47"/>
    </row>
    <row r="261" spans="1:20" x14ac:dyDescent="0.25">
      <c r="A261" s="63" t="s">
        <v>749</v>
      </c>
      <c r="B261" s="63"/>
      <c r="J261" s="119">
        <v>40613</v>
      </c>
      <c r="K261" s="120"/>
      <c r="L261" s="121"/>
      <c r="M261" s="122"/>
      <c r="N261" s="123">
        <v>40653</v>
      </c>
      <c r="O261" s="261">
        <v>6</v>
      </c>
      <c r="P261" s="261">
        <v>40</v>
      </c>
      <c r="Q261" s="105"/>
      <c r="R261" s="105"/>
      <c r="S261" s="47"/>
      <c r="T261" s="47"/>
    </row>
    <row r="262" spans="1:20" x14ac:dyDescent="0.25">
      <c r="A262" s="63" t="s">
        <v>552</v>
      </c>
      <c r="B262" s="63"/>
      <c r="J262" s="119">
        <v>40612</v>
      </c>
      <c r="K262" s="120"/>
      <c r="L262" s="121"/>
      <c r="M262" s="122"/>
      <c r="N262" s="123">
        <v>40652</v>
      </c>
      <c r="O262" s="261">
        <v>6</v>
      </c>
      <c r="P262" s="261">
        <v>40</v>
      </c>
      <c r="Q262" s="105"/>
      <c r="R262" s="105"/>
      <c r="S262" s="47"/>
      <c r="T262" s="47"/>
    </row>
    <row r="263" spans="1:20" x14ac:dyDescent="0.25">
      <c r="A263" s="63" t="s">
        <v>553</v>
      </c>
      <c r="B263" s="63"/>
      <c r="J263" s="119">
        <v>40620</v>
      </c>
      <c r="K263" s="120"/>
      <c r="L263" s="121"/>
      <c r="M263" s="122"/>
      <c r="N263" s="123">
        <v>40624</v>
      </c>
      <c r="O263" s="261">
        <v>1</v>
      </c>
      <c r="P263" s="261">
        <v>4</v>
      </c>
      <c r="Q263" s="105"/>
      <c r="R263" s="105"/>
      <c r="S263" s="47"/>
      <c r="T263" s="47"/>
    </row>
    <row r="264" spans="1:20" x14ac:dyDescent="0.25">
      <c r="A264" s="63" t="s">
        <v>750</v>
      </c>
      <c r="B264" s="63"/>
      <c r="J264" s="119">
        <v>40613</v>
      </c>
      <c r="K264" s="120"/>
      <c r="L264" s="121"/>
      <c r="M264" s="122"/>
      <c r="N264" s="123">
        <v>40644</v>
      </c>
      <c r="O264" s="261">
        <v>5</v>
      </c>
      <c r="P264" s="261">
        <v>31</v>
      </c>
      <c r="Q264" s="105"/>
      <c r="R264" s="105"/>
      <c r="S264" s="47"/>
      <c r="T264" s="47"/>
    </row>
    <row r="265" spans="1:20" x14ac:dyDescent="0.25">
      <c r="A265" s="63" t="s">
        <v>554</v>
      </c>
      <c r="B265" s="63"/>
      <c r="J265" s="119">
        <v>40619</v>
      </c>
      <c r="K265" s="120"/>
      <c r="L265" s="121"/>
      <c r="M265" s="122"/>
      <c r="N265" s="123">
        <v>40623</v>
      </c>
      <c r="O265" s="261">
        <v>1</v>
      </c>
      <c r="P265" s="261">
        <v>4</v>
      </c>
      <c r="Q265" s="105"/>
      <c r="R265" s="105"/>
      <c r="S265" s="47"/>
      <c r="T265" s="47"/>
    </row>
    <row r="266" spans="1:20" x14ac:dyDescent="0.25">
      <c r="A266" s="63" t="s">
        <v>555</v>
      </c>
      <c r="B266" s="63"/>
      <c r="J266" s="119">
        <v>40619</v>
      </c>
      <c r="K266" s="120"/>
      <c r="L266" s="121"/>
      <c r="M266" s="122"/>
      <c r="N266" s="123">
        <v>40623</v>
      </c>
      <c r="O266" s="261">
        <v>1</v>
      </c>
      <c r="P266" s="261">
        <v>4</v>
      </c>
      <c r="Q266" s="105"/>
      <c r="R266" s="105"/>
      <c r="S266" s="47"/>
      <c r="T266" s="47"/>
    </row>
    <row r="267" spans="1:20" x14ac:dyDescent="0.25">
      <c r="A267" s="63" t="s">
        <v>556</v>
      </c>
      <c r="B267" s="63"/>
      <c r="J267" s="119">
        <v>40613</v>
      </c>
      <c r="K267" s="120"/>
      <c r="L267" s="121"/>
      <c r="M267" s="122"/>
      <c r="N267" s="123">
        <v>40644</v>
      </c>
      <c r="O267" s="261">
        <v>5</v>
      </c>
      <c r="P267" s="261">
        <v>31</v>
      </c>
      <c r="Q267" s="105"/>
      <c r="R267" s="105"/>
      <c r="S267" s="47"/>
      <c r="T267" s="47"/>
    </row>
    <row r="268" spans="1:20" x14ac:dyDescent="0.25">
      <c r="A268" s="63" t="s">
        <v>557</v>
      </c>
      <c r="B268" s="63"/>
      <c r="J268" s="119">
        <v>40619</v>
      </c>
      <c r="K268" s="120"/>
      <c r="L268" s="121"/>
      <c r="M268" s="122"/>
      <c r="N268" s="123">
        <v>40622</v>
      </c>
      <c r="O268" s="261">
        <v>1</v>
      </c>
      <c r="P268" s="261">
        <v>3</v>
      </c>
      <c r="Q268" s="105"/>
      <c r="R268" s="105"/>
      <c r="S268" s="47"/>
      <c r="T268" s="47"/>
    </row>
    <row r="269" spans="1:20" x14ac:dyDescent="0.25">
      <c r="A269" s="63" t="s">
        <v>751</v>
      </c>
      <c r="B269" s="63"/>
      <c r="J269" s="119">
        <v>40613</v>
      </c>
      <c r="K269" s="120"/>
      <c r="L269" s="121"/>
      <c r="M269" s="122"/>
      <c r="N269" s="123">
        <v>40649</v>
      </c>
      <c r="O269" s="261">
        <v>6</v>
      </c>
      <c r="P269" s="261">
        <v>36</v>
      </c>
      <c r="Q269" s="105"/>
      <c r="R269" s="105"/>
      <c r="S269" s="47"/>
      <c r="T269" s="47"/>
    </row>
    <row r="270" spans="1:20" x14ac:dyDescent="0.25">
      <c r="A270" s="63" t="s">
        <v>558</v>
      </c>
      <c r="B270" s="63"/>
      <c r="J270" s="119">
        <v>40618</v>
      </c>
      <c r="K270" s="120"/>
      <c r="L270" s="121"/>
      <c r="M270" s="122"/>
      <c r="N270" s="123">
        <v>40621</v>
      </c>
      <c r="O270" s="261">
        <v>1</v>
      </c>
      <c r="P270" s="261">
        <v>3</v>
      </c>
      <c r="Q270" s="105"/>
      <c r="R270" s="105"/>
      <c r="S270" s="47"/>
      <c r="T270" s="47"/>
    </row>
    <row r="271" spans="1:20" x14ac:dyDescent="0.25">
      <c r="A271" s="63" t="s">
        <v>559</v>
      </c>
      <c r="B271" s="63"/>
      <c r="J271" s="119">
        <v>40623</v>
      </c>
      <c r="K271" s="120"/>
      <c r="L271" s="121"/>
      <c r="M271" s="122"/>
      <c r="N271" s="123">
        <v>40631</v>
      </c>
      <c r="O271" s="261">
        <v>2</v>
      </c>
      <c r="P271" s="261">
        <v>8</v>
      </c>
      <c r="Q271" s="105"/>
      <c r="R271" s="105"/>
      <c r="S271" s="47"/>
      <c r="T271" s="47"/>
    </row>
    <row r="272" spans="1:20" x14ac:dyDescent="0.25">
      <c r="A272" s="63" t="s">
        <v>560</v>
      </c>
      <c r="B272" s="63"/>
      <c r="J272" s="119">
        <v>40619</v>
      </c>
      <c r="K272" s="120"/>
      <c r="L272" s="121"/>
      <c r="M272" s="122"/>
      <c r="N272" s="123">
        <v>40623</v>
      </c>
      <c r="O272" s="261">
        <v>1</v>
      </c>
      <c r="P272" s="261">
        <v>4</v>
      </c>
      <c r="Q272" s="105"/>
      <c r="R272" s="105"/>
      <c r="S272" s="47"/>
      <c r="T272" s="47"/>
    </row>
    <row r="273" spans="1:20" x14ac:dyDescent="0.25">
      <c r="A273" s="63" t="s">
        <v>561</v>
      </c>
      <c r="B273" s="63"/>
      <c r="J273" s="119">
        <v>40612</v>
      </c>
      <c r="K273" s="120"/>
      <c r="L273" s="121"/>
      <c r="M273" s="122"/>
      <c r="N273" s="123">
        <v>40643</v>
      </c>
      <c r="O273" s="261">
        <v>5</v>
      </c>
      <c r="P273" s="261">
        <v>31</v>
      </c>
      <c r="Q273" s="105"/>
      <c r="R273" s="105"/>
      <c r="S273" s="47"/>
      <c r="T273" s="47"/>
    </row>
    <row r="274" spans="1:20" x14ac:dyDescent="0.25">
      <c r="A274" s="63" t="s">
        <v>752</v>
      </c>
      <c r="B274" s="63"/>
      <c r="J274" s="119">
        <v>40613</v>
      </c>
      <c r="K274" s="120"/>
      <c r="L274" s="121"/>
      <c r="M274" s="122"/>
      <c r="N274" s="123">
        <v>40635</v>
      </c>
      <c r="O274" s="261">
        <v>4</v>
      </c>
      <c r="P274" s="261">
        <v>22</v>
      </c>
      <c r="Q274" s="105"/>
      <c r="R274" s="105"/>
      <c r="S274" s="47"/>
      <c r="T274" s="47"/>
    </row>
    <row r="275" spans="1:20" x14ac:dyDescent="0.25">
      <c r="A275" s="63" t="s">
        <v>562</v>
      </c>
      <c r="B275" s="63"/>
      <c r="J275" s="119">
        <v>40612</v>
      </c>
      <c r="K275" s="120"/>
      <c r="L275" s="121"/>
      <c r="M275" s="122"/>
      <c r="N275" s="123">
        <v>40634</v>
      </c>
      <c r="O275" s="261">
        <v>4</v>
      </c>
      <c r="P275" s="261">
        <v>22</v>
      </c>
      <c r="Q275" s="105"/>
      <c r="R275" s="105"/>
      <c r="S275" s="47"/>
      <c r="T275" s="47"/>
    </row>
    <row r="276" spans="1:20" x14ac:dyDescent="0.25">
      <c r="A276" s="63" t="s">
        <v>753</v>
      </c>
      <c r="B276" s="63"/>
      <c r="J276" s="119">
        <v>40612</v>
      </c>
      <c r="K276" s="120"/>
      <c r="L276" s="121"/>
      <c r="M276" s="122"/>
      <c r="N276" s="123">
        <v>40639</v>
      </c>
      <c r="O276" s="261">
        <v>4</v>
      </c>
      <c r="P276" s="261">
        <v>27</v>
      </c>
      <c r="Q276" s="105"/>
      <c r="R276" s="105"/>
      <c r="S276" s="47"/>
      <c r="T276" s="47"/>
    </row>
    <row r="277" spans="1:20" x14ac:dyDescent="0.25">
      <c r="A277" s="63" t="s">
        <v>563</v>
      </c>
      <c r="B277" s="63"/>
      <c r="J277" s="119">
        <v>40616</v>
      </c>
      <c r="K277" s="120"/>
      <c r="L277" s="121"/>
      <c r="M277" s="122"/>
      <c r="N277" s="123">
        <v>40620</v>
      </c>
      <c r="O277" s="261">
        <v>1</v>
      </c>
      <c r="P277" s="261">
        <v>4</v>
      </c>
      <c r="Q277" s="105"/>
      <c r="R277" s="105"/>
      <c r="S277" s="47"/>
      <c r="T277" s="47"/>
    </row>
    <row r="278" spans="1:20" x14ac:dyDescent="0.25">
      <c r="A278" s="63" t="s">
        <v>754</v>
      </c>
      <c r="B278" s="63"/>
      <c r="J278" s="119">
        <v>40609</v>
      </c>
      <c r="K278" s="120"/>
      <c r="L278" s="121"/>
      <c r="M278" s="122"/>
      <c r="N278" s="123">
        <v>40645</v>
      </c>
      <c r="O278" s="261">
        <v>6</v>
      </c>
      <c r="P278" s="261">
        <v>36</v>
      </c>
      <c r="Q278" s="105"/>
      <c r="R278" s="105"/>
      <c r="S278" s="47"/>
      <c r="T278" s="47"/>
    </row>
    <row r="279" spans="1:20" x14ac:dyDescent="0.25">
      <c r="A279" s="63" t="s">
        <v>755</v>
      </c>
      <c r="B279" s="63"/>
      <c r="J279" s="119">
        <v>40613</v>
      </c>
      <c r="K279" s="120"/>
      <c r="L279" s="121"/>
      <c r="M279" s="122"/>
      <c r="N279" s="123">
        <v>40622</v>
      </c>
      <c r="O279" s="261">
        <v>2</v>
      </c>
      <c r="P279" s="261">
        <v>9</v>
      </c>
      <c r="Q279" s="105"/>
      <c r="R279" s="105"/>
      <c r="S279" s="47"/>
      <c r="T279" s="47"/>
    </row>
    <row r="280" spans="1:20" x14ac:dyDescent="0.25">
      <c r="A280" s="63" t="s">
        <v>564</v>
      </c>
      <c r="B280" s="63"/>
      <c r="J280" s="119">
        <v>40609</v>
      </c>
      <c r="K280" s="120"/>
      <c r="L280" s="121"/>
      <c r="M280" s="122"/>
      <c r="N280" s="123">
        <v>40654</v>
      </c>
      <c r="O280" s="261">
        <v>7</v>
      </c>
      <c r="P280" s="261">
        <v>45</v>
      </c>
      <c r="Q280" s="105"/>
      <c r="R280" s="105"/>
      <c r="S280" s="47"/>
      <c r="T280" s="47"/>
    </row>
    <row r="281" spans="1:20" x14ac:dyDescent="0.25">
      <c r="A281" s="63" t="s">
        <v>565</v>
      </c>
      <c r="B281" s="63"/>
      <c r="J281" s="119">
        <v>40609</v>
      </c>
      <c r="K281" s="120"/>
      <c r="L281" s="121"/>
      <c r="M281" s="122"/>
      <c r="N281" s="123">
        <v>40649</v>
      </c>
      <c r="O281" s="261">
        <v>6</v>
      </c>
      <c r="P281" s="261">
        <v>40</v>
      </c>
      <c r="Q281" s="105"/>
      <c r="R281" s="105"/>
      <c r="S281" s="47"/>
      <c r="T281" s="47"/>
    </row>
    <row r="282" spans="1:20" x14ac:dyDescent="0.25">
      <c r="A282" s="63" t="s">
        <v>756</v>
      </c>
      <c r="B282" s="63"/>
      <c r="J282" s="119">
        <v>40613</v>
      </c>
      <c r="K282" s="120"/>
      <c r="L282" s="121"/>
      <c r="M282" s="122"/>
      <c r="N282" s="123">
        <v>40626</v>
      </c>
      <c r="O282" s="261">
        <v>2</v>
      </c>
      <c r="P282" s="261">
        <v>13</v>
      </c>
      <c r="Q282" s="105"/>
      <c r="R282" s="105"/>
      <c r="S282" s="47"/>
      <c r="T282" s="47"/>
    </row>
    <row r="283" spans="1:20" x14ac:dyDescent="0.25">
      <c r="A283" s="63" t="s">
        <v>566</v>
      </c>
      <c r="B283" s="63"/>
      <c r="J283" s="119">
        <v>40618</v>
      </c>
      <c r="K283" s="120"/>
      <c r="L283" s="121"/>
      <c r="M283" s="122"/>
      <c r="N283" s="123">
        <v>40624</v>
      </c>
      <c r="O283" s="261">
        <v>1</v>
      </c>
      <c r="P283" s="261">
        <v>6</v>
      </c>
      <c r="Q283" s="105"/>
      <c r="R283" s="105"/>
      <c r="S283" s="47"/>
      <c r="T283" s="47"/>
    </row>
    <row r="284" spans="1:20" x14ac:dyDescent="0.25">
      <c r="A284" s="63" t="s">
        <v>567</v>
      </c>
      <c r="B284" s="63"/>
      <c r="J284" s="119">
        <v>40611</v>
      </c>
      <c r="K284" s="120"/>
      <c r="L284" s="121"/>
      <c r="M284" s="122"/>
      <c r="N284" s="123">
        <v>40642</v>
      </c>
      <c r="O284" s="261">
        <v>5</v>
      </c>
      <c r="P284" s="261">
        <v>31</v>
      </c>
      <c r="Q284" s="105"/>
      <c r="R284" s="105"/>
      <c r="S284" s="47"/>
      <c r="T284" s="47"/>
    </row>
    <row r="285" spans="1:20" x14ac:dyDescent="0.25">
      <c r="A285" s="63" t="s">
        <v>568</v>
      </c>
      <c r="B285" s="63"/>
      <c r="J285" s="119">
        <v>40612</v>
      </c>
      <c r="K285" s="120"/>
      <c r="L285" s="121"/>
      <c r="M285" s="122"/>
      <c r="N285" s="123">
        <v>40621</v>
      </c>
      <c r="O285" s="261">
        <v>2</v>
      </c>
      <c r="P285" s="261">
        <v>9</v>
      </c>
      <c r="Q285" s="105"/>
      <c r="R285" s="105"/>
      <c r="S285" s="47"/>
      <c r="T285" s="47"/>
    </row>
    <row r="286" spans="1:20" x14ac:dyDescent="0.25">
      <c r="A286" s="63" t="s">
        <v>569</v>
      </c>
      <c r="B286" s="63"/>
      <c r="J286" s="119">
        <v>40612</v>
      </c>
      <c r="K286" s="120"/>
      <c r="L286" s="121"/>
      <c r="M286" s="122"/>
      <c r="N286" s="123">
        <v>40621</v>
      </c>
      <c r="O286" s="261">
        <v>2</v>
      </c>
      <c r="P286" s="261">
        <v>9</v>
      </c>
      <c r="Q286" s="105"/>
      <c r="R286" s="105"/>
      <c r="S286" s="47"/>
      <c r="T286" s="47"/>
    </row>
    <row r="287" spans="1:20" x14ac:dyDescent="0.25">
      <c r="A287" s="63" t="s">
        <v>757</v>
      </c>
      <c r="B287" s="63"/>
      <c r="J287" s="119">
        <v>40611</v>
      </c>
      <c r="K287" s="120"/>
      <c r="L287" s="121"/>
      <c r="M287" s="122"/>
      <c r="N287" s="123">
        <v>40633</v>
      </c>
      <c r="O287" s="261">
        <v>4</v>
      </c>
      <c r="P287" s="261">
        <v>22</v>
      </c>
      <c r="Q287" s="105"/>
      <c r="R287" s="105"/>
      <c r="S287" s="47"/>
      <c r="T287" s="47"/>
    </row>
    <row r="288" spans="1:20" x14ac:dyDescent="0.25">
      <c r="A288" s="63" t="s">
        <v>570</v>
      </c>
      <c r="B288" s="63"/>
      <c r="J288" s="119">
        <v>40609</v>
      </c>
      <c r="K288" s="120"/>
      <c r="L288" s="121"/>
      <c r="M288" s="122"/>
      <c r="N288" s="123">
        <v>40649</v>
      </c>
      <c r="O288" s="261">
        <v>6</v>
      </c>
      <c r="P288" s="261">
        <v>40</v>
      </c>
      <c r="Q288" s="105"/>
      <c r="R288" s="105"/>
      <c r="S288" s="47"/>
      <c r="T288" s="47"/>
    </row>
    <row r="289" spans="1:20" x14ac:dyDescent="0.25">
      <c r="A289" s="63" t="s">
        <v>571</v>
      </c>
      <c r="B289" s="63"/>
      <c r="J289" s="119">
        <v>40612</v>
      </c>
      <c r="K289" s="120"/>
      <c r="L289" s="121"/>
      <c r="M289" s="122"/>
      <c r="N289" s="123">
        <v>40630</v>
      </c>
      <c r="O289" s="261">
        <v>3</v>
      </c>
      <c r="P289" s="261">
        <v>18</v>
      </c>
      <c r="Q289" s="105"/>
      <c r="R289" s="105"/>
      <c r="S289" s="47"/>
      <c r="T289" s="47"/>
    </row>
    <row r="290" spans="1:20" x14ac:dyDescent="0.25">
      <c r="A290" s="63" t="s">
        <v>572</v>
      </c>
      <c r="B290" s="63"/>
      <c r="J290" s="119">
        <v>40612</v>
      </c>
      <c r="K290" s="120"/>
      <c r="L290" s="121"/>
      <c r="M290" s="122"/>
      <c r="N290" s="123">
        <v>40630</v>
      </c>
      <c r="O290" s="261">
        <v>3</v>
      </c>
      <c r="P290" s="261">
        <v>18</v>
      </c>
      <c r="Q290" s="105"/>
      <c r="R290" s="105"/>
      <c r="S290" s="47"/>
      <c r="T290" s="47"/>
    </row>
    <row r="291" spans="1:20" x14ac:dyDescent="0.25">
      <c r="A291" s="63" t="s">
        <v>758</v>
      </c>
      <c r="B291" s="63"/>
      <c r="J291" s="119">
        <v>40611</v>
      </c>
      <c r="K291" s="120"/>
      <c r="L291" s="121"/>
      <c r="M291" s="122"/>
      <c r="N291" s="123">
        <v>40633</v>
      </c>
      <c r="O291" s="261">
        <v>4</v>
      </c>
      <c r="P291" s="261">
        <v>22</v>
      </c>
      <c r="Q291" s="105"/>
      <c r="R291" s="105"/>
      <c r="S291" s="47"/>
      <c r="T291" s="47"/>
    </row>
    <row r="292" spans="1:20" x14ac:dyDescent="0.25">
      <c r="A292" s="63" t="s">
        <v>573</v>
      </c>
      <c r="B292" s="63"/>
      <c r="J292" s="119">
        <v>40609</v>
      </c>
      <c r="K292" s="120"/>
      <c r="L292" s="121"/>
      <c r="M292" s="122"/>
      <c r="N292" s="123">
        <v>40649</v>
      </c>
      <c r="O292" s="261">
        <v>6</v>
      </c>
      <c r="P292" s="261">
        <v>40</v>
      </c>
      <c r="Q292" s="105"/>
      <c r="R292" s="105"/>
      <c r="S292" s="47"/>
      <c r="T292" s="47"/>
    </row>
    <row r="293" spans="1:20" x14ac:dyDescent="0.25">
      <c r="A293" s="63" t="s">
        <v>574</v>
      </c>
      <c r="B293" s="63"/>
      <c r="J293" s="119">
        <v>40612</v>
      </c>
      <c r="K293" s="120"/>
      <c r="L293" s="121"/>
      <c r="M293" s="122"/>
      <c r="N293" s="123">
        <v>40625</v>
      </c>
      <c r="O293" s="261">
        <v>2</v>
      </c>
      <c r="P293" s="261">
        <v>13</v>
      </c>
      <c r="Q293" s="105"/>
      <c r="R293" s="105"/>
      <c r="S293" s="47"/>
      <c r="T293" s="47"/>
    </row>
    <row r="294" spans="1:20" x14ac:dyDescent="0.25">
      <c r="A294" s="63" t="s">
        <v>575</v>
      </c>
      <c r="B294" s="63"/>
      <c r="J294" s="119">
        <v>40611</v>
      </c>
      <c r="K294" s="120"/>
      <c r="L294" s="121"/>
      <c r="M294" s="122"/>
      <c r="N294" s="123">
        <v>40638</v>
      </c>
      <c r="O294" s="261">
        <v>4</v>
      </c>
      <c r="P294" s="261">
        <v>27</v>
      </c>
      <c r="Q294" s="105"/>
      <c r="R294" s="105"/>
      <c r="S294" s="47"/>
      <c r="T294" s="47"/>
    </row>
    <row r="295" spans="1:20" x14ac:dyDescent="0.25">
      <c r="A295" s="63" t="s">
        <v>576</v>
      </c>
      <c r="B295" s="63"/>
      <c r="J295" s="119">
        <v>40609</v>
      </c>
      <c r="K295" s="120"/>
      <c r="L295" s="121"/>
      <c r="M295" s="122"/>
      <c r="N295" s="123">
        <v>40654</v>
      </c>
      <c r="O295" s="261">
        <v>7</v>
      </c>
      <c r="P295" s="261">
        <v>45</v>
      </c>
      <c r="Q295" s="105"/>
      <c r="R295" s="105"/>
      <c r="S295" s="47"/>
      <c r="T295" s="47"/>
    </row>
    <row r="296" spans="1:20" x14ac:dyDescent="0.25">
      <c r="A296" s="63" t="s">
        <v>577</v>
      </c>
      <c r="B296" s="63"/>
      <c r="J296" s="119">
        <v>40609</v>
      </c>
      <c r="K296" s="120"/>
      <c r="L296" s="121"/>
      <c r="M296" s="122"/>
      <c r="N296" s="123">
        <v>40654</v>
      </c>
      <c r="O296" s="261">
        <v>7</v>
      </c>
      <c r="P296" s="261">
        <v>45</v>
      </c>
      <c r="Q296" s="105"/>
      <c r="R296" s="105"/>
      <c r="S296" s="47"/>
      <c r="T296" s="47"/>
    </row>
    <row r="297" spans="1:20" x14ac:dyDescent="0.25">
      <c r="A297" s="63" t="s">
        <v>759</v>
      </c>
      <c r="B297" s="63"/>
      <c r="J297" s="119">
        <v>40612</v>
      </c>
      <c r="K297" s="120"/>
      <c r="L297" s="121"/>
      <c r="M297" s="122"/>
      <c r="N297" s="123">
        <v>40625</v>
      </c>
      <c r="O297" s="261">
        <v>2</v>
      </c>
      <c r="P297" s="261">
        <v>13</v>
      </c>
      <c r="Q297" s="105"/>
      <c r="R297" s="105"/>
      <c r="S297" s="47"/>
      <c r="T297" s="47"/>
    </row>
    <row r="298" spans="1:20" x14ac:dyDescent="0.25">
      <c r="A298" s="63" t="s">
        <v>578</v>
      </c>
      <c r="B298" s="63"/>
      <c r="J298" s="119">
        <v>40611</v>
      </c>
      <c r="K298" s="120"/>
      <c r="L298" s="121"/>
      <c r="M298" s="122"/>
      <c r="N298" s="123">
        <v>40633</v>
      </c>
      <c r="O298" s="261">
        <v>4</v>
      </c>
      <c r="P298" s="261">
        <v>22</v>
      </c>
      <c r="Q298" s="105"/>
      <c r="R298" s="105"/>
      <c r="S298" s="47"/>
      <c r="T298" s="47"/>
    </row>
    <row r="299" spans="1:20" x14ac:dyDescent="0.25">
      <c r="A299" s="63" t="s">
        <v>760</v>
      </c>
      <c r="B299" s="63"/>
      <c r="J299" s="119">
        <v>40610</v>
      </c>
      <c r="K299" s="120"/>
      <c r="L299" s="121"/>
      <c r="M299" s="122"/>
      <c r="N299" s="123">
        <v>40646</v>
      </c>
      <c r="O299" s="261">
        <v>6</v>
      </c>
      <c r="P299" s="261">
        <v>36</v>
      </c>
      <c r="Q299" s="105"/>
      <c r="R299" s="105"/>
      <c r="S299" s="47"/>
      <c r="T299" s="47"/>
    </row>
    <row r="300" spans="1:20" x14ac:dyDescent="0.25">
      <c r="A300" s="63" t="s">
        <v>761</v>
      </c>
      <c r="B300" s="63"/>
      <c r="J300" s="119">
        <v>40611</v>
      </c>
      <c r="K300" s="120"/>
      <c r="L300" s="121"/>
      <c r="M300" s="122"/>
      <c r="N300" s="123">
        <v>40638</v>
      </c>
      <c r="O300" s="261">
        <v>4</v>
      </c>
      <c r="P300" s="261">
        <v>27</v>
      </c>
      <c r="Q300" s="105"/>
      <c r="R300" s="105"/>
      <c r="S300" s="47"/>
      <c r="T300" s="47"/>
    </row>
    <row r="301" spans="1:20" x14ac:dyDescent="0.25">
      <c r="A301" s="63" t="s">
        <v>579</v>
      </c>
      <c r="B301" s="63"/>
      <c r="J301" s="119">
        <v>40610</v>
      </c>
      <c r="K301" s="120"/>
      <c r="L301" s="121"/>
      <c r="M301" s="122"/>
      <c r="N301" s="123">
        <v>40646</v>
      </c>
      <c r="O301" s="261">
        <v>6</v>
      </c>
      <c r="P301" s="261">
        <v>36</v>
      </c>
      <c r="Q301" s="105"/>
      <c r="R301" s="105"/>
      <c r="S301" s="47"/>
      <c r="T301" s="47"/>
    </row>
    <row r="302" spans="1:20" x14ac:dyDescent="0.25">
      <c r="A302" s="63" t="s">
        <v>580</v>
      </c>
      <c r="B302" s="63"/>
      <c r="J302" s="119">
        <v>40604</v>
      </c>
      <c r="K302" s="120"/>
      <c r="L302" s="121"/>
      <c r="M302" s="122"/>
      <c r="N302" s="123">
        <v>40626</v>
      </c>
      <c r="O302" s="261">
        <v>4</v>
      </c>
      <c r="P302" s="261">
        <v>22</v>
      </c>
      <c r="Q302" s="105"/>
      <c r="R302" s="105"/>
      <c r="S302" s="47"/>
      <c r="T302" s="47"/>
    </row>
    <row r="303" spans="1:20" x14ac:dyDescent="0.25">
      <c r="A303" s="63" t="s">
        <v>762</v>
      </c>
      <c r="B303" s="63"/>
      <c r="J303" s="119">
        <v>40612</v>
      </c>
      <c r="K303" s="120"/>
      <c r="L303" s="121"/>
      <c r="M303" s="122"/>
      <c r="N303" s="123">
        <v>40625</v>
      </c>
      <c r="O303" s="261">
        <v>2</v>
      </c>
      <c r="P303" s="261">
        <v>13</v>
      </c>
      <c r="Q303" s="105"/>
      <c r="R303" s="105"/>
      <c r="S303" s="47"/>
      <c r="T303" s="47"/>
    </row>
    <row r="304" spans="1:20" x14ac:dyDescent="0.25">
      <c r="A304" s="63" t="s">
        <v>581</v>
      </c>
      <c r="B304" s="63"/>
      <c r="J304" s="119">
        <v>40612</v>
      </c>
      <c r="K304" s="120"/>
      <c r="L304" s="121"/>
      <c r="M304" s="122"/>
      <c r="N304" s="123">
        <v>40630</v>
      </c>
      <c r="O304" s="261">
        <v>3</v>
      </c>
      <c r="P304" s="261">
        <v>18</v>
      </c>
      <c r="Q304" s="105"/>
      <c r="R304" s="105"/>
      <c r="S304" s="47"/>
      <c r="T304" s="47"/>
    </row>
    <row r="305" spans="1:20" x14ac:dyDescent="0.25">
      <c r="A305" s="63" t="s">
        <v>763</v>
      </c>
      <c r="B305" s="63"/>
      <c r="J305" s="119">
        <v>40610</v>
      </c>
      <c r="K305" s="120"/>
      <c r="L305" s="121"/>
      <c r="M305" s="122"/>
      <c r="N305" s="123">
        <v>40646</v>
      </c>
      <c r="O305" s="261">
        <v>6</v>
      </c>
      <c r="P305" s="261">
        <v>36</v>
      </c>
      <c r="Q305" s="105"/>
      <c r="R305" s="105"/>
      <c r="S305" s="47"/>
      <c r="T305" s="47"/>
    </row>
    <row r="306" spans="1:20" x14ac:dyDescent="0.25">
      <c r="A306" s="63" t="s">
        <v>764</v>
      </c>
      <c r="B306" s="63"/>
      <c r="J306" s="119">
        <v>40595</v>
      </c>
      <c r="K306" s="120"/>
      <c r="L306" s="121"/>
      <c r="M306" s="122"/>
      <c r="N306" s="123">
        <v>40635</v>
      </c>
      <c r="O306" s="261">
        <v>6</v>
      </c>
      <c r="P306" s="261">
        <v>40</v>
      </c>
      <c r="Q306" s="105"/>
      <c r="R306" s="105"/>
      <c r="S306" s="47"/>
      <c r="T306" s="47"/>
    </row>
    <row r="307" spans="1:20" x14ac:dyDescent="0.25">
      <c r="A307" s="63" t="s">
        <v>582</v>
      </c>
      <c r="B307" s="63"/>
      <c r="J307" s="119">
        <v>40599</v>
      </c>
      <c r="K307" s="120"/>
      <c r="L307" s="121"/>
      <c r="M307" s="122"/>
      <c r="N307" s="123">
        <v>40644</v>
      </c>
      <c r="O307" s="261">
        <v>7</v>
      </c>
      <c r="P307" s="261">
        <v>45</v>
      </c>
      <c r="Q307" s="105"/>
      <c r="R307" s="105"/>
      <c r="S307" s="47"/>
      <c r="T307" s="47"/>
    </row>
    <row r="308" spans="1:20" x14ac:dyDescent="0.25">
      <c r="A308" s="63" t="s">
        <v>583</v>
      </c>
      <c r="B308" s="63"/>
      <c r="J308" s="119">
        <v>40606</v>
      </c>
      <c r="K308" s="120"/>
      <c r="L308" s="121"/>
      <c r="M308" s="122"/>
      <c r="N308" s="123">
        <v>40651</v>
      </c>
      <c r="O308" s="261">
        <v>7</v>
      </c>
      <c r="P308" s="261">
        <v>45</v>
      </c>
      <c r="Q308" s="105"/>
      <c r="R308" s="105"/>
      <c r="S308" s="47"/>
      <c r="T308" s="47"/>
    </row>
    <row r="309" spans="1:20" x14ac:dyDescent="0.25">
      <c r="A309" s="63" t="s">
        <v>584</v>
      </c>
      <c r="B309" s="63"/>
      <c r="J309" s="119">
        <v>40612</v>
      </c>
      <c r="K309" s="120"/>
      <c r="L309" s="121"/>
      <c r="M309" s="122"/>
      <c r="N309" s="123">
        <v>40614</v>
      </c>
      <c r="O309" s="261">
        <v>1</v>
      </c>
      <c r="P309" s="261">
        <v>2</v>
      </c>
      <c r="Q309" s="105"/>
      <c r="R309" s="105"/>
      <c r="S309" s="47"/>
      <c r="T309" s="47"/>
    </row>
    <row r="310" spans="1:20" x14ac:dyDescent="0.25">
      <c r="A310" s="63" t="s">
        <v>585</v>
      </c>
      <c r="B310" s="63"/>
      <c r="J310" s="119">
        <v>40604</v>
      </c>
      <c r="K310" s="120"/>
      <c r="L310" s="121"/>
      <c r="M310" s="122"/>
      <c r="N310" s="123">
        <v>40644</v>
      </c>
      <c r="O310" s="261">
        <v>6</v>
      </c>
      <c r="P310" s="261">
        <v>40</v>
      </c>
      <c r="Q310" s="105"/>
      <c r="R310" s="105"/>
      <c r="S310" s="47"/>
      <c r="T310" s="47"/>
    </row>
    <row r="311" spans="1:20" x14ac:dyDescent="0.25">
      <c r="A311" s="63" t="s">
        <v>765</v>
      </c>
      <c r="B311" s="63"/>
      <c r="J311" s="119">
        <v>40603</v>
      </c>
      <c r="K311" s="120"/>
      <c r="L311" s="121"/>
      <c r="M311" s="122"/>
      <c r="N311" s="123">
        <v>40648</v>
      </c>
      <c r="O311" s="261">
        <v>7</v>
      </c>
      <c r="P311" s="261">
        <v>45</v>
      </c>
      <c r="Q311" s="105"/>
      <c r="R311" s="105"/>
      <c r="S311" s="47"/>
      <c r="T311" s="47"/>
    </row>
    <row r="312" spans="1:20" x14ac:dyDescent="0.25">
      <c r="A312" s="63" t="s">
        <v>586</v>
      </c>
      <c r="B312" s="63"/>
      <c r="J312" s="119">
        <v>40606</v>
      </c>
      <c r="K312" s="120"/>
      <c r="L312" s="121"/>
      <c r="M312" s="122"/>
      <c r="N312" s="123">
        <v>40624</v>
      </c>
      <c r="O312" s="261">
        <v>3</v>
      </c>
      <c r="P312" s="261">
        <v>18</v>
      </c>
      <c r="Q312" s="105"/>
      <c r="R312" s="105"/>
      <c r="S312" s="47"/>
      <c r="T312" s="47"/>
    </row>
    <row r="313" spans="1:20" x14ac:dyDescent="0.25">
      <c r="A313" s="63" t="s">
        <v>587</v>
      </c>
      <c r="B313" s="63"/>
      <c r="J313" s="119">
        <v>40605</v>
      </c>
      <c r="K313" s="120"/>
      <c r="L313" s="121"/>
      <c r="M313" s="122"/>
      <c r="N313" s="123">
        <v>40636</v>
      </c>
      <c r="O313" s="261">
        <v>5</v>
      </c>
      <c r="P313" s="261">
        <v>31</v>
      </c>
      <c r="Q313" s="105"/>
      <c r="R313" s="105"/>
      <c r="S313" s="47"/>
      <c r="T313" s="47"/>
    </row>
    <row r="314" spans="1:20" x14ac:dyDescent="0.25">
      <c r="A314" s="63" t="s">
        <v>766</v>
      </c>
      <c r="B314" s="63"/>
      <c r="J314" s="119">
        <v>40611</v>
      </c>
      <c r="K314" s="120"/>
      <c r="L314" s="121"/>
      <c r="M314" s="122"/>
      <c r="N314" s="123">
        <v>40616</v>
      </c>
      <c r="O314" s="261">
        <v>1</v>
      </c>
      <c r="P314" s="261">
        <v>5</v>
      </c>
      <c r="Q314" s="105"/>
      <c r="R314" s="105"/>
      <c r="S314" s="47"/>
      <c r="T314" s="47"/>
    </row>
    <row r="315" spans="1:20" x14ac:dyDescent="0.25">
      <c r="A315" s="63" t="s">
        <v>588</v>
      </c>
      <c r="B315" s="63"/>
      <c r="J315" s="119">
        <v>40606</v>
      </c>
      <c r="K315" s="120"/>
      <c r="L315" s="121"/>
      <c r="M315" s="122"/>
      <c r="N315" s="123">
        <v>40615</v>
      </c>
      <c r="O315" s="261">
        <v>2</v>
      </c>
      <c r="P315" s="261">
        <v>9</v>
      </c>
      <c r="Q315" s="105"/>
      <c r="R315" s="105"/>
      <c r="S315" s="47"/>
      <c r="T315" s="47"/>
    </row>
    <row r="316" spans="1:20" x14ac:dyDescent="0.25">
      <c r="A316" s="63" t="s">
        <v>589</v>
      </c>
      <c r="B316" s="63"/>
      <c r="J316" s="119">
        <v>40604</v>
      </c>
      <c r="K316" s="120"/>
      <c r="L316" s="121"/>
      <c r="M316" s="122"/>
      <c r="N316" s="123">
        <v>40640</v>
      </c>
      <c r="O316" s="261">
        <v>6</v>
      </c>
      <c r="P316" s="261">
        <v>36</v>
      </c>
      <c r="Q316" s="105"/>
      <c r="R316" s="105"/>
      <c r="S316" s="47"/>
      <c r="T316" s="47"/>
    </row>
    <row r="317" spans="1:20" x14ac:dyDescent="0.25">
      <c r="A317" s="63" t="s">
        <v>767</v>
      </c>
      <c r="B317" s="63"/>
      <c r="J317" s="119">
        <v>40605</v>
      </c>
      <c r="K317" s="120"/>
      <c r="L317" s="121"/>
      <c r="M317" s="122"/>
      <c r="N317" s="123">
        <v>40632</v>
      </c>
      <c r="O317" s="261">
        <v>4</v>
      </c>
      <c r="P317" s="261">
        <v>27</v>
      </c>
      <c r="Q317" s="105"/>
      <c r="R317" s="105"/>
      <c r="S317" s="47"/>
      <c r="T317" s="47"/>
    </row>
    <row r="318" spans="1:20" x14ac:dyDescent="0.25">
      <c r="A318" s="63" t="s">
        <v>768</v>
      </c>
      <c r="B318" s="63"/>
      <c r="J318" s="119">
        <v>40611</v>
      </c>
      <c r="K318" s="120"/>
      <c r="L318" s="121"/>
      <c r="M318" s="122"/>
      <c r="N318" s="123">
        <v>40615</v>
      </c>
      <c r="O318" s="261">
        <v>1</v>
      </c>
      <c r="P318" s="261">
        <v>4</v>
      </c>
      <c r="Q318" s="105"/>
      <c r="R318" s="105"/>
      <c r="S318" s="47"/>
      <c r="T318" s="47"/>
    </row>
    <row r="319" spans="1:20" x14ac:dyDescent="0.25">
      <c r="A319" s="63" t="s">
        <v>590</v>
      </c>
      <c r="B319" s="63"/>
      <c r="J319" s="119">
        <v>40610</v>
      </c>
      <c r="K319" s="120"/>
      <c r="L319" s="121"/>
      <c r="M319" s="122"/>
      <c r="N319" s="123">
        <v>40614</v>
      </c>
      <c r="O319" s="261">
        <v>1</v>
      </c>
      <c r="P319" s="261">
        <v>4</v>
      </c>
      <c r="Q319" s="105"/>
      <c r="R319" s="105"/>
      <c r="S319" s="47"/>
      <c r="T319" s="47"/>
    </row>
    <row r="320" spans="1:20" x14ac:dyDescent="0.25">
      <c r="A320" s="63" t="s">
        <v>769</v>
      </c>
      <c r="B320" s="63"/>
      <c r="J320" s="119">
        <v>40611</v>
      </c>
      <c r="K320" s="120"/>
      <c r="L320" s="121"/>
      <c r="M320" s="122"/>
      <c r="N320" s="123">
        <v>40616</v>
      </c>
      <c r="O320" s="261">
        <v>1</v>
      </c>
      <c r="P320" s="261">
        <v>5</v>
      </c>
      <c r="Q320" s="105"/>
      <c r="R320" s="105"/>
      <c r="S320" s="47"/>
      <c r="T320" s="47"/>
    </row>
    <row r="321" spans="1:20" x14ac:dyDescent="0.25">
      <c r="A321" s="63" t="s">
        <v>591</v>
      </c>
      <c r="B321" s="63"/>
      <c r="J321" s="119">
        <v>40603</v>
      </c>
      <c r="K321" s="120"/>
      <c r="L321" s="121"/>
      <c r="M321" s="122"/>
      <c r="N321" s="123">
        <v>40648</v>
      </c>
      <c r="O321" s="261">
        <v>7</v>
      </c>
      <c r="P321" s="261">
        <v>45</v>
      </c>
      <c r="Q321" s="105"/>
      <c r="R321" s="105"/>
      <c r="S321" s="47"/>
      <c r="T321" s="47"/>
    </row>
    <row r="322" spans="1:20" x14ac:dyDescent="0.25">
      <c r="A322" s="63" t="s">
        <v>592</v>
      </c>
      <c r="B322" s="63"/>
      <c r="J322" s="119">
        <v>40605</v>
      </c>
      <c r="K322" s="120"/>
      <c r="L322" s="121"/>
      <c r="M322" s="122"/>
      <c r="N322" s="123">
        <v>40632</v>
      </c>
      <c r="O322" s="261">
        <v>4</v>
      </c>
      <c r="P322" s="261">
        <v>27</v>
      </c>
      <c r="Q322" s="105"/>
      <c r="R322" s="105"/>
      <c r="S322" s="47"/>
      <c r="T322" s="47"/>
    </row>
    <row r="323" spans="1:20" x14ac:dyDescent="0.25">
      <c r="A323" s="63" t="s">
        <v>593</v>
      </c>
      <c r="B323" s="63"/>
      <c r="J323" s="119">
        <v>40604</v>
      </c>
      <c r="K323" s="120"/>
      <c r="L323" s="121"/>
      <c r="M323" s="122"/>
      <c r="N323" s="123">
        <v>40644</v>
      </c>
      <c r="O323" s="261">
        <v>6</v>
      </c>
      <c r="P323" s="261">
        <v>40</v>
      </c>
      <c r="Q323" s="105"/>
      <c r="R323" s="105"/>
      <c r="S323" s="47"/>
      <c r="T323" s="47"/>
    </row>
    <row r="324" spans="1:20" x14ac:dyDescent="0.25">
      <c r="A324" s="63" t="s">
        <v>594</v>
      </c>
      <c r="B324" s="63"/>
      <c r="J324" s="119">
        <v>40610</v>
      </c>
      <c r="K324" s="120"/>
      <c r="L324" s="121"/>
      <c r="M324" s="122"/>
      <c r="N324" s="123">
        <v>40614</v>
      </c>
      <c r="O324" s="261">
        <v>1</v>
      </c>
      <c r="P324" s="261">
        <v>4</v>
      </c>
      <c r="Q324" s="105"/>
      <c r="R324" s="105"/>
      <c r="S324" s="47"/>
      <c r="T324" s="47"/>
    </row>
    <row r="325" spans="1:20" x14ac:dyDescent="0.25">
      <c r="A325" s="63" t="s">
        <v>595</v>
      </c>
      <c r="B325" s="63"/>
      <c r="J325" s="119">
        <v>40605</v>
      </c>
      <c r="K325" s="120"/>
      <c r="L325" s="121"/>
      <c r="M325" s="122"/>
      <c r="N325" s="123">
        <v>40632</v>
      </c>
      <c r="O325" s="261">
        <v>4</v>
      </c>
      <c r="P325" s="261">
        <v>27</v>
      </c>
      <c r="Q325" s="105"/>
      <c r="R325" s="105"/>
      <c r="S325" s="47"/>
      <c r="T325" s="47"/>
    </row>
    <row r="326" spans="1:20" x14ac:dyDescent="0.25">
      <c r="A326" s="63" t="s">
        <v>596</v>
      </c>
      <c r="B326" s="63"/>
      <c r="J326" s="119">
        <v>40605</v>
      </c>
      <c r="K326" s="120"/>
      <c r="L326" s="121"/>
      <c r="M326" s="122"/>
      <c r="N326" s="123">
        <v>40636</v>
      </c>
      <c r="O326" s="261">
        <v>5</v>
      </c>
      <c r="P326" s="261">
        <v>31</v>
      </c>
      <c r="Q326" s="105"/>
      <c r="R326" s="105"/>
      <c r="S326" s="47"/>
      <c r="T326" s="47"/>
    </row>
    <row r="327" spans="1:20" x14ac:dyDescent="0.25">
      <c r="A327" s="63" t="s">
        <v>597</v>
      </c>
      <c r="B327" s="63"/>
      <c r="J327" s="119">
        <v>40606</v>
      </c>
      <c r="K327" s="120"/>
      <c r="L327" s="121"/>
      <c r="M327" s="122"/>
      <c r="N327" s="123">
        <v>40628</v>
      </c>
      <c r="O327" s="261">
        <v>4</v>
      </c>
      <c r="P327" s="261">
        <v>22</v>
      </c>
      <c r="Q327" s="105"/>
      <c r="R327" s="105"/>
      <c r="S327" s="47"/>
      <c r="T327" s="47"/>
    </row>
    <row r="328" spans="1:20" x14ac:dyDescent="0.25">
      <c r="A328" s="63" t="s">
        <v>770</v>
      </c>
      <c r="B328" s="63"/>
      <c r="J328" s="119">
        <v>40604</v>
      </c>
      <c r="K328" s="120"/>
      <c r="L328" s="121"/>
      <c r="M328" s="122"/>
      <c r="N328" s="123">
        <v>40640</v>
      </c>
      <c r="O328" s="261">
        <v>6</v>
      </c>
      <c r="P328" s="261">
        <v>36</v>
      </c>
      <c r="Q328" s="105"/>
      <c r="R328" s="105"/>
      <c r="S328" s="47"/>
      <c r="T328" s="47"/>
    </row>
    <row r="329" spans="1:20" x14ac:dyDescent="0.25">
      <c r="A329" s="63" t="s">
        <v>598</v>
      </c>
      <c r="B329" s="63"/>
      <c r="J329" s="119">
        <v>40603</v>
      </c>
      <c r="K329" s="120"/>
      <c r="L329" s="121"/>
      <c r="M329" s="122"/>
      <c r="N329" s="123">
        <v>40639</v>
      </c>
      <c r="O329" s="261">
        <v>6</v>
      </c>
      <c r="P329" s="261">
        <v>36</v>
      </c>
      <c r="Q329" s="105"/>
      <c r="R329" s="105"/>
      <c r="S329" s="47"/>
      <c r="T329" s="47"/>
    </row>
    <row r="330" spans="1:20" x14ac:dyDescent="0.25">
      <c r="A330" s="63" t="s">
        <v>599</v>
      </c>
      <c r="B330" s="63"/>
      <c r="J330" s="119">
        <v>40610</v>
      </c>
      <c r="K330" s="120"/>
      <c r="L330" s="121"/>
      <c r="M330" s="122"/>
      <c r="N330" s="123">
        <v>40614</v>
      </c>
      <c r="O330" s="261">
        <v>1</v>
      </c>
      <c r="P330" s="261">
        <v>4</v>
      </c>
      <c r="Q330" s="105"/>
      <c r="R330" s="105"/>
      <c r="S330" s="47"/>
      <c r="T330" s="47"/>
    </row>
    <row r="331" spans="1:20" x14ac:dyDescent="0.25">
      <c r="A331" s="63" t="s">
        <v>600</v>
      </c>
      <c r="B331" s="63"/>
      <c r="J331" s="119">
        <v>40611</v>
      </c>
      <c r="K331" s="120"/>
      <c r="L331" s="121"/>
      <c r="M331" s="122"/>
      <c r="N331" s="123">
        <v>40616</v>
      </c>
      <c r="O331" s="261">
        <v>1</v>
      </c>
      <c r="P331" s="261">
        <v>5</v>
      </c>
      <c r="Q331" s="105"/>
      <c r="R331" s="105"/>
      <c r="S331" s="47"/>
      <c r="T331" s="47"/>
    </row>
    <row r="332" spans="1:20" x14ac:dyDescent="0.25">
      <c r="A332" s="63" t="s">
        <v>601</v>
      </c>
      <c r="B332" s="63"/>
      <c r="J332" s="119">
        <v>40604</v>
      </c>
      <c r="K332" s="120"/>
      <c r="L332" s="121"/>
      <c r="M332" s="122"/>
      <c r="N332" s="123">
        <v>40635</v>
      </c>
      <c r="O332" s="261">
        <v>5</v>
      </c>
      <c r="P332" s="261">
        <v>31</v>
      </c>
      <c r="Q332" s="105"/>
      <c r="R332" s="105"/>
      <c r="S332" s="47"/>
      <c r="T332" s="47"/>
    </row>
    <row r="333" spans="1:20" x14ac:dyDescent="0.25">
      <c r="A333" s="63" t="s">
        <v>602</v>
      </c>
      <c r="B333" s="63"/>
      <c r="J333" s="119">
        <v>40609</v>
      </c>
      <c r="K333" s="120"/>
      <c r="L333" s="121"/>
      <c r="M333" s="122"/>
      <c r="N333" s="123">
        <v>40612</v>
      </c>
      <c r="O333" s="261">
        <v>1</v>
      </c>
      <c r="P333" s="261">
        <v>3</v>
      </c>
      <c r="Q333" s="105"/>
      <c r="R333" s="105"/>
      <c r="S333" s="47"/>
      <c r="T333" s="47"/>
    </row>
    <row r="334" spans="1:20" x14ac:dyDescent="0.25">
      <c r="A334" s="63" t="s">
        <v>603</v>
      </c>
      <c r="B334" s="63"/>
      <c r="J334" s="119">
        <v>40611</v>
      </c>
      <c r="K334" s="120"/>
      <c r="L334" s="121"/>
      <c r="M334" s="122"/>
      <c r="N334" s="123">
        <v>40615</v>
      </c>
      <c r="O334" s="261">
        <v>1</v>
      </c>
      <c r="P334" s="261">
        <v>4</v>
      </c>
      <c r="Q334" s="105"/>
      <c r="R334" s="105"/>
      <c r="S334" s="47"/>
      <c r="T334" s="47"/>
    </row>
    <row r="335" spans="1:20" x14ac:dyDescent="0.25">
      <c r="A335" s="63" t="s">
        <v>604</v>
      </c>
      <c r="B335" s="63"/>
      <c r="J335" s="119">
        <v>40605</v>
      </c>
      <c r="K335" s="120"/>
      <c r="L335" s="121"/>
      <c r="M335" s="122"/>
      <c r="N335" s="123">
        <v>40632</v>
      </c>
      <c r="O335" s="261">
        <v>4</v>
      </c>
      <c r="P335" s="261">
        <v>27</v>
      </c>
      <c r="Q335" s="105"/>
      <c r="R335" s="105"/>
      <c r="S335" s="47"/>
      <c r="T335" s="47"/>
    </row>
    <row r="336" spans="1:20" x14ac:dyDescent="0.25">
      <c r="A336" s="63" t="s">
        <v>771</v>
      </c>
      <c r="B336" s="63"/>
      <c r="J336" s="119">
        <v>40605</v>
      </c>
      <c r="K336" s="120"/>
      <c r="L336" s="121"/>
      <c r="M336" s="122"/>
      <c r="N336" s="123">
        <v>40632</v>
      </c>
      <c r="O336" s="261">
        <v>4</v>
      </c>
      <c r="P336" s="261">
        <v>27</v>
      </c>
      <c r="Q336" s="105"/>
      <c r="R336" s="105"/>
      <c r="S336" s="47"/>
      <c r="T336" s="47"/>
    </row>
    <row r="337" spans="1:20" x14ac:dyDescent="0.25">
      <c r="A337" s="63" t="s">
        <v>605</v>
      </c>
      <c r="B337" s="63"/>
      <c r="J337" s="119">
        <v>40602</v>
      </c>
      <c r="K337" s="120"/>
      <c r="L337" s="121"/>
      <c r="M337" s="122"/>
      <c r="N337" s="123">
        <v>40647</v>
      </c>
      <c r="O337" s="261">
        <v>7</v>
      </c>
      <c r="P337" s="261">
        <v>45</v>
      </c>
      <c r="Q337" s="105"/>
      <c r="R337" s="105"/>
      <c r="S337" s="47"/>
      <c r="T337" s="47"/>
    </row>
    <row r="338" spans="1:20" x14ac:dyDescent="0.25">
      <c r="A338" s="63" t="s">
        <v>606</v>
      </c>
      <c r="B338" s="63"/>
      <c r="J338" s="119">
        <v>40604</v>
      </c>
      <c r="K338" s="120"/>
      <c r="L338" s="121"/>
      <c r="M338" s="122"/>
      <c r="N338" s="123">
        <v>40622</v>
      </c>
      <c r="O338" s="261">
        <v>3</v>
      </c>
      <c r="P338" s="261">
        <v>18</v>
      </c>
      <c r="Q338" s="105"/>
      <c r="R338" s="105"/>
      <c r="S338" s="47"/>
      <c r="T338" s="47"/>
    </row>
    <row r="339" spans="1:20" x14ac:dyDescent="0.25">
      <c r="A339" s="63" t="s">
        <v>607</v>
      </c>
      <c r="B339" s="63"/>
      <c r="J339" s="119">
        <v>40604</v>
      </c>
      <c r="K339" s="120"/>
      <c r="L339" s="121"/>
      <c r="M339" s="122"/>
      <c r="N339" s="123">
        <v>40626</v>
      </c>
      <c r="O339" s="261">
        <v>4</v>
      </c>
      <c r="P339" s="261">
        <v>22</v>
      </c>
      <c r="Q339" s="105"/>
      <c r="R339" s="105"/>
      <c r="S339" s="47"/>
      <c r="T339" s="47"/>
    </row>
    <row r="340" spans="1:20" x14ac:dyDescent="0.25">
      <c r="A340" s="63" t="s">
        <v>608</v>
      </c>
      <c r="B340" s="63"/>
      <c r="J340" s="119">
        <v>40604</v>
      </c>
      <c r="K340" s="120"/>
      <c r="L340" s="121"/>
      <c r="M340" s="122"/>
      <c r="N340" s="123">
        <v>40626</v>
      </c>
      <c r="O340" s="261">
        <v>4</v>
      </c>
      <c r="P340" s="261">
        <v>22</v>
      </c>
      <c r="Q340" s="105"/>
      <c r="R340" s="105"/>
      <c r="S340" s="47"/>
      <c r="T340" s="47"/>
    </row>
    <row r="341" spans="1:20" x14ac:dyDescent="0.25">
      <c r="A341" s="63" t="s">
        <v>609</v>
      </c>
      <c r="B341" s="63"/>
      <c r="J341" s="119">
        <v>40603</v>
      </c>
      <c r="K341" s="120"/>
      <c r="L341" s="121"/>
      <c r="M341" s="122"/>
      <c r="N341" s="123">
        <v>40639</v>
      </c>
      <c r="O341" s="261">
        <v>6</v>
      </c>
      <c r="P341" s="261">
        <v>36</v>
      </c>
      <c r="Q341" s="105"/>
      <c r="R341" s="105"/>
      <c r="S341" s="47"/>
      <c r="T341" s="47"/>
    </row>
    <row r="342" spans="1:20" x14ac:dyDescent="0.25">
      <c r="A342" s="63" t="s">
        <v>610</v>
      </c>
      <c r="B342" s="63"/>
      <c r="J342" s="119">
        <v>40602</v>
      </c>
      <c r="K342" s="120"/>
      <c r="L342" s="121"/>
      <c r="M342" s="122"/>
      <c r="N342" s="123">
        <v>40647</v>
      </c>
      <c r="O342" s="261">
        <v>7</v>
      </c>
      <c r="P342" s="261">
        <v>45</v>
      </c>
      <c r="Q342" s="105"/>
      <c r="R342" s="105"/>
      <c r="S342" s="47"/>
      <c r="T342" s="47"/>
    </row>
    <row r="343" spans="1:20" x14ac:dyDescent="0.25">
      <c r="A343" s="63" t="s">
        <v>772</v>
      </c>
      <c r="B343" s="63"/>
      <c r="J343" s="119">
        <v>40611</v>
      </c>
      <c r="K343" s="120"/>
      <c r="L343" s="121"/>
      <c r="M343" s="122"/>
      <c r="N343" s="123">
        <v>40617</v>
      </c>
      <c r="O343" s="261">
        <v>1</v>
      </c>
      <c r="P343" s="261">
        <v>6</v>
      </c>
      <c r="Q343" s="105"/>
      <c r="R343" s="105"/>
      <c r="S343" s="47"/>
      <c r="T343" s="47"/>
    </row>
    <row r="344" spans="1:20" x14ac:dyDescent="0.25">
      <c r="A344" s="63" t="s">
        <v>773</v>
      </c>
      <c r="B344" s="63"/>
      <c r="J344" s="119">
        <v>40604</v>
      </c>
      <c r="K344" s="120"/>
      <c r="L344" s="121"/>
      <c r="M344" s="122"/>
      <c r="N344" s="123">
        <v>40626</v>
      </c>
      <c r="O344" s="261">
        <v>4</v>
      </c>
      <c r="P344" s="261">
        <v>22</v>
      </c>
      <c r="Q344" s="105"/>
      <c r="R344" s="105"/>
      <c r="S344" s="47"/>
      <c r="T344" s="47"/>
    </row>
    <row r="345" spans="1:20" x14ac:dyDescent="0.25">
      <c r="A345" s="63" t="s">
        <v>611</v>
      </c>
      <c r="B345" s="63"/>
      <c r="J345" s="119">
        <v>40603</v>
      </c>
      <c r="K345" s="120"/>
      <c r="L345" s="121"/>
      <c r="M345" s="122"/>
      <c r="N345" s="123">
        <v>40634</v>
      </c>
      <c r="O345" s="261">
        <v>5</v>
      </c>
      <c r="P345" s="261">
        <v>31</v>
      </c>
      <c r="Q345" s="105"/>
      <c r="R345" s="105"/>
      <c r="S345" s="47"/>
      <c r="T345" s="47"/>
    </row>
    <row r="346" spans="1:20" x14ac:dyDescent="0.25">
      <c r="A346" s="63" t="s">
        <v>612</v>
      </c>
      <c r="B346" s="63"/>
      <c r="J346" s="119">
        <v>40604</v>
      </c>
      <c r="K346" s="120"/>
      <c r="L346" s="121"/>
      <c r="M346" s="122"/>
      <c r="N346" s="123">
        <v>40631</v>
      </c>
      <c r="O346" s="261">
        <v>4</v>
      </c>
      <c r="P346" s="261">
        <v>27</v>
      </c>
      <c r="Q346" s="105"/>
      <c r="R346" s="105"/>
      <c r="S346" s="47"/>
      <c r="T346" s="47"/>
    </row>
    <row r="347" spans="1:20" x14ac:dyDescent="0.25">
      <c r="A347" s="63" t="s">
        <v>774</v>
      </c>
      <c r="B347" s="63"/>
      <c r="J347" s="119">
        <v>40603</v>
      </c>
      <c r="K347" s="120"/>
      <c r="L347" s="121"/>
      <c r="M347" s="122"/>
      <c r="N347" s="123">
        <v>40634</v>
      </c>
      <c r="O347" s="261">
        <v>5</v>
      </c>
      <c r="P347" s="261">
        <v>31</v>
      </c>
      <c r="Q347" s="105"/>
      <c r="R347" s="105"/>
      <c r="S347" s="47"/>
      <c r="T347" s="47"/>
    </row>
    <row r="348" spans="1:20" x14ac:dyDescent="0.25">
      <c r="A348" s="63" t="s">
        <v>613</v>
      </c>
      <c r="B348" s="63"/>
      <c r="J348" s="119">
        <v>40604</v>
      </c>
      <c r="K348" s="120"/>
      <c r="L348" s="121"/>
      <c r="M348" s="122"/>
      <c r="N348" s="123">
        <v>40631</v>
      </c>
      <c r="O348" s="261">
        <v>4</v>
      </c>
      <c r="P348" s="261">
        <v>27</v>
      </c>
      <c r="Q348" s="105"/>
      <c r="R348" s="105"/>
      <c r="S348" s="47"/>
      <c r="T348" s="47"/>
    </row>
    <row r="349" spans="1:20" x14ac:dyDescent="0.25">
      <c r="A349" s="63" t="s">
        <v>775</v>
      </c>
      <c r="B349" s="63"/>
      <c r="J349" s="119">
        <v>40602</v>
      </c>
      <c r="K349" s="120"/>
      <c r="L349" s="121"/>
      <c r="M349" s="122"/>
      <c r="N349" s="123">
        <v>40642</v>
      </c>
      <c r="O349" s="261">
        <v>6</v>
      </c>
      <c r="P349" s="261">
        <v>40</v>
      </c>
      <c r="Q349" s="105"/>
      <c r="R349" s="105"/>
      <c r="S349" s="47"/>
      <c r="T349" s="47"/>
    </row>
    <row r="350" spans="1:20" x14ac:dyDescent="0.25">
      <c r="A350" s="63" t="s">
        <v>614</v>
      </c>
      <c r="B350" s="63"/>
      <c r="J350" s="119">
        <v>40602</v>
      </c>
      <c r="K350" s="120"/>
      <c r="L350" s="121"/>
      <c r="M350" s="122"/>
      <c r="N350" s="123">
        <v>40642</v>
      </c>
      <c r="O350" s="261">
        <v>6</v>
      </c>
      <c r="P350" s="261">
        <v>40</v>
      </c>
      <c r="Q350" s="105"/>
      <c r="R350" s="105"/>
      <c r="S350" s="47"/>
      <c r="T350" s="47"/>
    </row>
    <row r="351" spans="1:20" x14ac:dyDescent="0.25">
      <c r="A351" s="63" t="s">
        <v>615</v>
      </c>
      <c r="B351" s="63"/>
      <c r="J351" s="119">
        <v>40604</v>
      </c>
      <c r="K351" s="120"/>
      <c r="L351" s="121"/>
      <c r="M351" s="122"/>
      <c r="N351" s="123">
        <v>40631</v>
      </c>
      <c r="O351" s="261">
        <v>4</v>
      </c>
      <c r="P351" s="261">
        <v>27</v>
      </c>
      <c r="Q351" s="105"/>
      <c r="R351" s="105"/>
      <c r="S351" s="47"/>
      <c r="T351" s="47"/>
    </row>
    <row r="352" spans="1:20" x14ac:dyDescent="0.25">
      <c r="A352" s="63" t="s">
        <v>616</v>
      </c>
      <c r="B352" s="63"/>
      <c r="J352" s="119">
        <v>40602</v>
      </c>
      <c r="K352" s="120"/>
      <c r="L352" s="121"/>
      <c r="M352" s="122"/>
      <c r="N352" s="123">
        <v>40642</v>
      </c>
      <c r="O352" s="261">
        <v>6</v>
      </c>
      <c r="P352" s="261">
        <v>40</v>
      </c>
      <c r="Q352" s="105"/>
      <c r="R352" s="105"/>
      <c r="S352" s="47"/>
      <c r="T352" s="47"/>
    </row>
    <row r="353" spans="1:20" x14ac:dyDescent="0.25">
      <c r="A353" s="63" t="s">
        <v>776</v>
      </c>
      <c r="B353" s="63"/>
      <c r="J353" s="119">
        <v>40588</v>
      </c>
      <c r="K353" s="120"/>
      <c r="L353" s="121"/>
      <c r="M353" s="122"/>
      <c r="N353" s="123">
        <v>40606</v>
      </c>
      <c r="O353" s="261">
        <v>3</v>
      </c>
      <c r="P353" s="261">
        <v>18</v>
      </c>
      <c r="Q353" s="105"/>
      <c r="R353" s="105"/>
      <c r="S353" s="47"/>
      <c r="T353" s="47"/>
    </row>
    <row r="354" spans="1:20" x14ac:dyDescent="0.25">
      <c r="A354" s="63" t="s">
        <v>617</v>
      </c>
      <c r="B354" s="63"/>
      <c r="J354" s="119">
        <v>40604</v>
      </c>
      <c r="K354" s="120"/>
      <c r="L354" s="121"/>
      <c r="M354" s="122"/>
      <c r="N354" s="123">
        <v>40622</v>
      </c>
      <c r="O354" s="261">
        <v>3</v>
      </c>
      <c r="P354" s="261">
        <v>18</v>
      </c>
      <c r="Q354" s="105"/>
      <c r="R354" s="105"/>
      <c r="S354" s="47"/>
      <c r="T354" s="47"/>
    </row>
    <row r="355" spans="1:20" x14ac:dyDescent="0.25">
      <c r="A355" s="63" t="s">
        <v>618</v>
      </c>
      <c r="B355" s="63"/>
      <c r="J355" s="119">
        <v>40602</v>
      </c>
      <c r="K355" s="120"/>
      <c r="L355" s="121"/>
      <c r="M355" s="122"/>
      <c r="N355" s="123">
        <v>40647</v>
      </c>
      <c r="O355" s="261">
        <v>7</v>
      </c>
      <c r="P355" s="261">
        <v>45</v>
      </c>
      <c r="Q355" s="105"/>
      <c r="R355" s="105"/>
      <c r="S355" s="47"/>
      <c r="T355" s="47"/>
    </row>
    <row r="356" spans="1:20" x14ac:dyDescent="0.25">
      <c r="A356" s="63" t="s">
        <v>619</v>
      </c>
      <c r="B356" s="63"/>
      <c r="J356" s="119">
        <v>40609</v>
      </c>
      <c r="K356" s="120"/>
      <c r="L356" s="121"/>
      <c r="M356" s="122"/>
      <c r="N356" s="123">
        <v>40612</v>
      </c>
      <c r="O356" s="261">
        <v>1</v>
      </c>
      <c r="P356" s="261">
        <v>3</v>
      </c>
      <c r="Q356" s="105"/>
      <c r="R356" s="105"/>
      <c r="S356" s="47"/>
      <c r="T356" s="47"/>
    </row>
    <row r="357" spans="1:20" x14ac:dyDescent="0.25">
      <c r="A357" s="63" t="s">
        <v>620</v>
      </c>
      <c r="B357" s="63"/>
      <c r="J357" s="119">
        <v>40602</v>
      </c>
      <c r="K357" s="120"/>
      <c r="L357" s="121"/>
      <c r="M357" s="122"/>
      <c r="N357" s="123">
        <v>40642</v>
      </c>
      <c r="O357" s="261">
        <v>6</v>
      </c>
      <c r="P357" s="261">
        <v>40</v>
      </c>
      <c r="Q357" s="105"/>
      <c r="R357" s="105"/>
      <c r="S357" s="47"/>
      <c r="T357" s="47"/>
    </row>
    <row r="358" spans="1:20" x14ac:dyDescent="0.25">
      <c r="A358" s="63" t="s">
        <v>621</v>
      </c>
      <c r="B358" s="63"/>
      <c r="J358" s="119">
        <v>40604</v>
      </c>
      <c r="K358" s="120"/>
      <c r="L358" s="121"/>
      <c r="M358" s="122"/>
      <c r="N358" s="123">
        <v>40631</v>
      </c>
      <c r="O358" s="261">
        <v>4</v>
      </c>
      <c r="P358" s="261">
        <v>27</v>
      </c>
      <c r="Q358" s="105"/>
      <c r="R358" s="105"/>
      <c r="S358" s="47"/>
      <c r="T358" s="47"/>
    </row>
    <row r="359" spans="1:20" x14ac:dyDescent="0.25">
      <c r="A359" s="63" t="s">
        <v>622</v>
      </c>
      <c r="B359" s="63"/>
      <c r="J359" s="119">
        <v>40602</v>
      </c>
      <c r="K359" s="120"/>
      <c r="L359" s="121"/>
      <c r="M359" s="122"/>
      <c r="N359" s="123">
        <v>40642</v>
      </c>
      <c r="O359" s="261">
        <v>6</v>
      </c>
      <c r="P359" s="261">
        <v>40</v>
      </c>
      <c r="Q359" s="105"/>
      <c r="R359" s="105"/>
      <c r="S359" s="47"/>
      <c r="T359" s="47"/>
    </row>
    <row r="360" spans="1:20" x14ac:dyDescent="0.25">
      <c r="A360" s="63" t="s">
        <v>777</v>
      </c>
      <c r="B360" s="63"/>
      <c r="J360" s="119">
        <v>40603</v>
      </c>
      <c r="K360" s="120"/>
      <c r="L360" s="121"/>
      <c r="M360" s="122"/>
      <c r="N360" s="123">
        <v>40634</v>
      </c>
      <c r="O360" s="261">
        <v>5</v>
      </c>
      <c r="P360" s="261">
        <v>31</v>
      </c>
      <c r="Q360" s="105"/>
      <c r="R360" s="105"/>
      <c r="S360" s="47"/>
      <c r="T360" s="47"/>
    </row>
    <row r="361" spans="1:20" x14ac:dyDescent="0.25">
      <c r="A361" s="63" t="s">
        <v>623</v>
      </c>
      <c r="B361" s="63"/>
      <c r="J361" s="119">
        <v>40610</v>
      </c>
      <c r="K361" s="120"/>
      <c r="L361" s="121"/>
      <c r="M361" s="122"/>
      <c r="N361" s="123">
        <v>40615</v>
      </c>
      <c r="O361" s="261">
        <v>1</v>
      </c>
      <c r="P361" s="261">
        <v>5</v>
      </c>
      <c r="Q361" s="105"/>
      <c r="R361" s="105"/>
      <c r="S361" s="47"/>
      <c r="T361" s="47"/>
    </row>
    <row r="362" spans="1:20" x14ac:dyDescent="0.25">
      <c r="A362" s="63" t="s">
        <v>624</v>
      </c>
      <c r="B362" s="63"/>
      <c r="J362" s="119">
        <v>40597</v>
      </c>
      <c r="K362" s="120"/>
      <c r="L362" s="121"/>
      <c r="M362" s="122"/>
      <c r="N362" s="123">
        <v>40642</v>
      </c>
      <c r="O362" s="261">
        <v>7</v>
      </c>
      <c r="P362" s="261">
        <v>45</v>
      </c>
      <c r="Q362" s="105"/>
      <c r="R362" s="105"/>
      <c r="S362" s="47"/>
      <c r="T362" s="47"/>
    </row>
    <row r="363" spans="1:20" x14ac:dyDescent="0.25">
      <c r="A363" s="63" t="s">
        <v>625</v>
      </c>
      <c r="B363" s="63"/>
      <c r="J363" s="119">
        <v>40599</v>
      </c>
      <c r="K363" s="120"/>
      <c r="L363" s="121"/>
      <c r="M363" s="122"/>
      <c r="N363" s="123">
        <v>40648</v>
      </c>
      <c r="O363" s="261">
        <v>7</v>
      </c>
      <c r="P363" s="261">
        <v>49</v>
      </c>
      <c r="Q363" s="105"/>
      <c r="R363" s="105"/>
      <c r="S363" s="47"/>
      <c r="T363" s="47"/>
    </row>
    <row r="364" spans="1:20" x14ac:dyDescent="0.25">
      <c r="A364" s="63" t="s">
        <v>626</v>
      </c>
      <c r="B364" s="63"/>
      <c r="J364" s="119">
        <v>40599</v>
      </c>
      <c r="K364" s="120"/>
      <c r="L364" s="121"/>
      <c r="M364" s="122"/>
      <c r="N364" s="123">
        <v>40639</v>
      </c>
      <c r="O364" s="261">
        <v>6</v>
      </c>
      <c r="P364" s="261">
        <v>40</v>
      </c>
      <c r="Q364" s="105"/>
      <c r="R364" s="105"/>
      <c r="S364" s="47"/>
      <c r="T364" s="47"/>
    </row>
    <row r="365" spans="1:20" x14ac:dyDescent="0.25">
      <c r="A365" s="63" t="s">
        <v>627</v>
      </c>
      <c r="B365" s="63"/>
      <c r="J365" s="119">
        <v>40599</v>
      </c>
      <c r="K365" s="120"/>
      <c r="L365" s="121"/>
      <c r="M365" s="122"/>
      <c r="N365" s="123">
        <v>40644</v>
      </c>
      <c r="O365" s="261">
        <v>7</v>
      </c>
      <c r="P365" s="261">
        <v>45</v>
      </c>
      <c r="Q365" s="105"/>
      <c r="R365" s="105"/>
      <c r="S365" s="47"/>
      <c r="T365" s="47"/>
    </row>
    <row r="366" spans="1:20" x14ac:dyDescent="0.25">
      <c r="A366" s="63" t="s">
        <v>778</v>
      </c>
      <c r="B366" s="63"/>
      <c r="J366" s="119">
        <v>40599</v>
      </c>
      <c r="K366" s="120"/>
      <c r="L366" s="121"/>
      <c r="M366" s="122"/>
      <c r="N366" s="123">
        <v>40639</v>
      </c>
      <c r="O366" s="261">
        <v>6</v>
      </c>
      <c r="P366" s="261">
        <v>40</v>
      </c>
      <c r="Q366" s="105"/>
      <c r="R366" s="105"/>
      <c r="S366" s="47"/>
      <c r="T366" s="47"/>
    </row>
    <row r="367" spans="1:20" x14ac:dyDescent="0.25">
      <c r="A367" s="63" t="s">
        <v>628</v>
      </c>
      <c r="B367" s="63"/>
      <c r="J367" s="119">
        <v>40598</v>
      </c>
      <c r="K367" s="120"/>
      <c r="L367" s="121"/>
      <c r="M367" s="122"/>
      <c r="N367" s="123">
        <v>40638</v>
      </c>
      <c r="O367" s="261">
        <v>6</v>
      </c>
      <c r="P367" s="261">
        <v>40</v>
      </c>
      <c r="Q367" s="105"/>
      <c r="R367" s="105"/>
      <c r="S367" s="47"/>
      <c r="T367" s="47"/>
    </row>
    <row r="368" spans="1:20" x14ac:dyDescent="0.25">
      <c r="A368" s="63" t="s">
        <v>629</v>
      </c>
      <c r="B368" s="63"/>
      <c r="J368" s="119">
        <v>40606</v>
      </c>
      <c r="K368" s="120"/>
      <c r="L368" s="121"/>
      <c r="M368" s="122"/>
      <c r="N368" s="123">
        <v>40612</v>
      </c>
      <c r="O368" s="261">
        <v>1</v>
      </c>
      <c r="P368" s="261">
        <v>6</v>
      </c>
      <c r="Q368" s="105"/>
      <c r="R368" s="105"/>
      <c r="S368" s="47"/>
      <c r="T368" s="47"/>
    </row>
    <row r="369" spans="1:20" x14ac:dyDescent="0.25">
      <c r="A369" s="63" t="s">
        <v>630</v>
      </c>
      <c r="B369" s="63"/>
      <c r="J369" s="119">
        <v>40603</v>
      </c>
      <c r="K369" s="120"/>
      <c r="L369" s="121"/>
      <c r="M369" s="122"/>
      <c r="N369" s="123">
        <v>40607</v>
      </c>
      <c r="O369" s="261">
        <v>1</v>
      </c>
      <c r="P369" s="261">
        <v>4</v>
      </c>
      <c r="Q369" s="105"/>
      <c r="R369" s="105"/>
      <c r="S369" s="47"/>
      <c r="T369" s="47"/>
    </row>
    <row r="370" spans="1:20" x14ac:dyDescent="0.25">
      <c r="A370" s="63" t="s">
        <v>631</v>
      </c>
      <c r="B370" s="63"/>
      <c r="J370" s="119">
        <v>40609</v>
      </c>
      <c r="K370" s="120"/>
      <c r="L370" s="121"/>
      <c r="M370" s="122"/>
      <c r="N370" s="123">
        <v>40618</v>
      </c>
      <c r="O370" s="261">
        <v>2</v>
      </c>
      <c r="P370" s="261">
        <v>9</v>
      </c>
      <c r="Q370" s="105"/>
      <c r="R370" s="105"/>
      <c r="S370" s="47"/>
      <c r="T370" s="47"/>
    </row>
    <row r="371" spans="1:20" x14ac:dyDescent="0.25">
      <c r="A371" s="63" t="s">
        <v>779</v>
      </c>
      <c r="B371" s="63"/>
      <c r="J371" s="119">
        <v>40603</v>
      </c>
      <c r="K371" s="120"/>
      <c r="L371" s="121"/>
      <c r="M371" s="122"/>
      <c r="N371" s="123">
        <v>40607</v>
      </c>
      <c r="O371" s="261">
        <v>1</v>
      </c>
      <c r="P371" s="261">
        <v>4</v>
      </c>
      <c r="Q371" s="105"/>
      <c r="R371" s="105"/>
      <c r="S371" s="47"/>
      <c r="T371" s="47"/>
    </row>
    <row r="372" spans="1:20" x14ac:dyDescent="0.25">
      <c r="A372" s="63" t="s">
        <v>632</v>
      </c>
      <c r="B372" s="63"/>
      <c r="J372" s="119">
        <v>40603</v>
      </c>
      <c r="K372" s="120"/>
      <c r="L372" s="121"/>
      <c r="M372" s="122"/>
      <c r="N372" s="123">
        <v>40603</v>
      </c>
      <c r="O372" s="261">
        <v>1</v>
      </c>
      <c r="P372" s="261">
        <v>0</v>
      </c>
      <c r="Q372" s="105"/>
      <c r="R372" s="105"/>
      <c r="S372" s="47"/>
      <c r="T372" s="47"/>
    </row>
    <row r="373" spans="1:20" x14ac:dyDescent="0.25">
      <c r="A373" s="63" t="s">
        <v>633</v>
      </c>
      <c r="B373" s="63"/>
      <c r="J373" s="119">
        <v>40605</v>
      </c>
      <c r="K373" s="120"/>
      <c r="L373" s="121"/>
      <c r="M373" s="122"/>
      <c r="N373" s="123">
        <v>40607</v>
      </c>
      <c r="O373" s="261">
        <v>1</v>
      </c>
      <c r="P373" s="261">
        <v>2</v>
      </c>
      <c r="Q373" s="105"/>
      <c r="R373" s="105"/>
      <c r="S373" s="47"/>
      <c r="T373" s="47"/>
    </row>
    <row r="374" spans="1:20" x14ac:dyDescent="0.25">
      <c r="A374" s="63" t="s">
        <v>634</v>
      </c>
      <c r="B374" s="63"/>
      <c r="J374" s="119">
        <v>40606</v>
      </c>
      <c r="K374" s="120"/>
      <c r="L374" s="121"/>
      <c r="M374" s="122"/>
      <c r="N374" s="123">
        <v>40612</v>
      </c>
      <c r="O374" s="261">
        <v>1</v>
      </c>
      <c r="P374" s="261">
        <v>6</v>
      </c>
      <c r="Q374" s="105"/>
      <c r="R374" s="105"/>
      <c r="S374" s="47"/>
      <c r="T374" s="47"/>
    </row>
    <row r="375" spans="1:20" x14ac:dyDescent="0.25">
      <c r="A375" s="63" t="s">
        <v>635</v>
      </c>
      <c r="B375" s="63"/>
      <c r="J375" s="119">
        <v>40604</v>
      </c>
      <c r="K375" s="120"/>
      <c r="L375" s="121"/>
      <c r="M375" s="122"/>
      <c r="N375" s="123">
        <v>40605</v>
      </c>
      <c r="O375" s="261">
        <v>1</v>
      </c>
      <c r="P375" s="261">
        <v>1</v>
      </c>
      <c r="Q375" s="105"/>
      <c r="R375" s="105"/>
      <c r="S375" s="47"/>
      <c r="T375" s="47"/>
    </row>
    <row r="376" spans="1:20" x14ac:dyDescent="0.25">
      <c r="A376" s="63" t="s">
        <v>636</v>
      </c>
      <c r="B376" s="63"/>
      <c r="J376" s="119">
        <v>40606</v>
      </c>
      <c r="K376" s="120"/>
      <c r="L376" s="121"/>
      <c r="M376" s="122"/>
      <c r="N376" s="123">
        <v>40611</v>
      </c>
      <c r="O376" s="261">
        <v>1</v>
      </c>
      <c r="P376" s="261">
        <v>5</v>
      </c>
      <c r="Q376" s="105"/>
      <c r="R376" s="105"/>
      <c r="S376" s="47"/>
      <c r="T376" s="47"/>
    </row>
    <row r="377" spans="1:20" x14ac:dyDescent="0.25">
      <c r="A377" s="63" t="s">
        <v>780</v>
      </c>
      <c r="B377" s="63"/>
      <c r="J377" s="119">
        <v>40597</v>
      </c>
      <c r="K377" s="120"/>
      <c r="L377" s="121"/>
      <c r="M377" s="122"/>
      <c r="N377" s="123">
        <v>40628</v>
      </c>
      <c r="O377" s="261">
        <v>5</v>
      </c>
      <c r="P377" s="261">
        <v>31</v>
      </c>
      <c r="Q377" s="105"/>
      <c r="R377" s="105"/>
      <c r="S377" s="47"/>
      <c r="T377" s="47"/>
    </row>
    <row r="378" spans="1:20" x14ac:dyDescent="0.25">
      <c r="A378" s="63" t="s">
        <v>637</v>
      </c>
      <c r="B378" s="63"/>
      <c r="J378" s="119">
        <v>40597</v>
      </c>
      <c r="K378" s="120"/>
      <c r="L378" s="121"/>
      <c r="M378" s="122"/>
      <c r="N378" s="123">
        <v>40637</v>
      </c>
      <c r="O378" s="261">
        <v>6</v>
      </c>
      <c r="P378" s="261">
        <v>40</v>
      </c>
      <c r="Q378" s="105"/>
      <c r="R378" s="105"/>
      <c r="S378" s="47"/>
      <c r="T378" s="47"/>
    </row>
    <row r="379" spans="1:20" x14ac:dyDescent="0.25">
      <c r="A379" s="63" t="s">
        <v>638</v>
      </c>
      <c r="B379" s="63"/>
      <c r="J379" s="119">
        <v>40597</v>
      </c>
      <c r="K379" s="120"/>
      <c r="L379" s="121"/>
      <c r="M379" s="122"/>
      <c r="N379" s="123">
        <v>40628</v>
      </c>
      <c r="O379" s="261">
        <v>5</v>
      </c>
      <c r="P379" s="261">
        <v>31</v>
      </c>
      <c r="Q379" s="105"/>
      <c r="R379" s="105"/>
      <c r="S379" s="47"/>
      <c r="T379" s="47"/>
    </row>
    <row r="380" spans="1:20" x14ac:dyDescent="0.25">
      <c r="A380" s="63" t="s">
        <v>639</v>
      </c>
      <c r="B380" s="63"/>
      <c r="J380" s="119">
        <v>40599</v>
      </c>
      <c r="K380" s="120"/>
      <c r="L380" s="121"/>
      <c r="M380" s="122"/>
      <c r="N380" s="123">
        <v>40617</v>
      </c>
      <c r="O380" s="261">
        <v>3</v>
      </c>
      <c r="P380" s="261">
        <v>18</v>
      </c>
      <c r="Q380" s="105"/>
      <c r="R380" s="105"/>
      <c r="S380" s="47"/>
      <c r="T380" s="47"/>
    </row>
    <row r="381" spans="1:20" x14ac:dyDescent="0.25">
      <c r="A381" s="63" t="s">
        <v>640</v>
      </c>
      <c r="B381" s="63"/>
      <c r="J381" s="119">
        <v>40599</v>
      </c>
      <c r="K381" s="120"/>
      <c r="L381" s="121"/>
      <c r="M381" s="122"/>
      <c r="N381" s="123">
        <v>40612</v>
      </c>
      <c r="O381" s="261">
        <v>2</v>
      </c>
      <c r="P381" s="261">
        <v>13</v>
      </c>
      <c r="Q381" s="105"/>
      <c r="R381" s="105"/>
      <c r="S381" s="47"/>
      <c r="T381" s="47"/>
    </row>
    <row r="382" spans="1:20" x14ac:dyDescent="0.25">
      <c r="A382" s="63" t="s">
        <v>781</v>
      </c>
      <c r="B382" s="63"/>
      <c r="J382" s="119">
        <v>40598</v>
      </c>
      <c r="K382" s="120"/>
      <c r="L382" s="121"/>
      <c r="M382" s="122"/>
      <c r="N382" s="123">
        <v>40625</v>
      </c>
      <c r="O382" s="261">
        <v>4</v>
      </c>
      <c r="P382" s="261">
        <v>27</v>
      </c>
      <c r="Q382" s="105"/>
      <c r="R382" s="105"/>
      <c r="S382" s="47"/>
      <c r="T382" s="47"/>
    </row>
    <row r="383" spans="1:20" x14ac:dyDescent="0.25">
      <c r="A383" s="63" t="s">
        <v>782</v>
      </c>
      <c r="B383" s="63"/>
      <c r="J383" s="119">
        <v>40598</v>
      </c>
      <c r="K383" s="120"/>
      <c r="L383" s="121"/>
      <c r="M383" s="122"/>
      <c r="N383" s="123">
        <v>40620</v>
      </c>
      <c r="O383" s="261">
        <v>4</v>
      </c>
      <c r="P383" s="261">
        <v>22</v>
      </c>
      <c r="Q383" s="105"/>
      <c r="R383" s="105"/>
      <c r="S383" s="47"/>
      <c r="T383" s="47"/>
    </row>
    <row r="384" spans="1:20" x14ac:dyDescent="0.25">
      <c r="A384" s="63" t="s">
        <v>641</v>
      </c>
      <c r="B384" s="63"/>
      <c r="J384" s="119">
        <v>40597</v>
      </c>
      <c r="K384" s="120"/>
      <c r="L384" s="121"/>
      <c r="M384" s="122"/>
      <c r="N384" s="123">
        <v>40633</v>
      </c>
      <c r="O384" s="261">
        <v>6</v>
      </c>
      <c r="P384" s="261">
        <v>36</v>
      </c>
      <c r="Q384" s="105"/>
      <c r="R384" s="105"/>
      <c r="S384" s="47"/>
      <c r="T384" s="47"/>
    </row>
    <row r="385" spans="1:20" x14ac:dyDescent="0.25">
      <c r="A385" s="63" t="s">
        <v>642</v>
      </c>
      <c r="B385" s="63"/>
      <c r="J385" s="119">
        <v>40598</v>
      </c>
      <c r="K385" s="120"/>
      <c r="L385" s="121"/>
      <c r="M385" s="122"/>
      <c r="N385" s="123">
        <v>40629</v>
      </c>
      <c r="O385" s="261">
        <v>5</v>
      </c>
      <c r="P385" s="261">
        <v>31</v>
      </c>
      <c r="Q385" s="105"/>
      <c r="R385" s="105"/>
      <c r="S385" s="47"/>
      <c r="T385" s="47"/>
    </row>
    <row r="386" spans="1:20" x14ac:dyDescent="0.25">
      <c r="A386" s="63" t="s">
        <v>643</v>
      </c>
      <c r="B386" s="63"/>
      <c r="J386" s="119">
        <v>40599</v>
      </c>
      <c r="K386" s="120"/>
      <c r="L386" s="121"/>
      <c r="M386" s="122"/>
      <c r="N386" s="123">
        <v>40612</v>
      </c>
      <c r="O386" s="261">
        <v>2</v>
      </c>
      <c r="P386" s="261">
        <v>13</v>
      </c>
      <c r="Q386" s="105"/>
      <c r="R386" s="105"/>
      <c r="S386" s="47"/>
      <c r="T386" s="47"/>
    </row>
    <row r="387" spans="1:20" x14ac:dyDescent="0.25">
      <c r="A387" s="63" t="s">
        <v>644</v>
      </c>
      <c r="B387" s="63"/>
      <c r="J387" s="119">
        <v>40596</v>
      </c>
      <c r="K387" s="120"/>
      <c r="L387" s="121"/>
      <c r="M387" s="122"/>
      <c r="N387" s="123">
        <v>40636</v>
      </c>
      <c r="O387" s="261">
        <v>6</v>
      </c>
      <c r="P387" s="261">
        <v>40</v>
      </c>
      <c r="Q387" s="105"/>
      <c r="R387" s="105"/>
      <c r="S387" s="47"/>
      <c r="T387" s="47"/>
    </row>
    <row r="388" spans="1:20" x14ac:dyDescent="0.25">
      <c r="A388" s="63" t="s">
        <v>645</v>
      </c>
      <c r="B388" s="63"/>
      <c r="J388" s="119">
        <v>40597</v>
      </c>
      <c r="K388" s="120"/>
      <c r="L388" s="121"/>
      <c r="M388" s="122"/>
      <c r="N388" s="123">
        <v>40624</v>
      </c>
      <c r="O388" s="261">
        <v>4</v>
      </c>
      <c r="P388" s="261">
        <v>27</v>
      </c>
      <c r="Q388" s="105"/>
      <c r="R388" s="105"/>
      <c r="S388" s="47"/>
      <c r="T388" s="47"/>
    </row>
    <row r="389" spans="1:20" x14ac:dyDescent="0.25">
      <c r="A389" s="63" t="s">
        <v>646</v>
      </c>
      <c r="B389" s="63"/>
      <c r="J389" s="119">
        <v>40595</v>
      </c>
      <c r="K389" s="120"/>
      <c r="L389" s="121"/>
      <c r="M389" s="122"/>
      <c r="N389" s="123">
        <v>40635</v>
      </c>
      <c r="O389" s="261">
        <v>6</v>
      </c>
      <c r="P389" s="261">
        <v>40</v>
      </c>
      <c r="Q389" s="105"/>
      <c r="R389" s="105"/>
      <c r="S389" s="47"/>
      <c r="T389" s="47"/>
    </row>
    <row r="390" spans="1:20" x14ac:dyDescent="0.25">
      <c r="A390" s="63" t="s">
        <v>647</v>
      </c>
      <c r="B390" s="63"/>
      <c r="J390" s="119">
        <v>40596</v>
      </c>
      <c r="K390" s="120"/>
      <c r="L390" s="121"/>
      <c r="M390" s="122"/>
      <c r="N390" s="123">
        <v>40627</v>
      </c>
      <c r="O390" s="261">
        <v>5</v>
      </c>
      <c r="P390" s="261">
        <v>31</v>
      </c>
      <c r="Q390" s="105"/>
      <c r="R390" s="105"/>
      <c r="S390" s="47"/>
      <c r="T390" s="47"/>
    </row>
    <row r="391" spans="1:20" x14ac:dyDescent="0.25">
      <c r="A391" s="63" t="s">
        <v>783</v>
      </c>
      <c r="B391" s="63"/>
      <c r="J391" s="119">
        <v>40596</v>
      </c>
      <c r="K391" s="120"/>
      <c r="L391" s="121"/>
      <c r="M391" s="122"/>
      <c r="N391" s="123">
        <v>40627</v>
      </c>
      <c r="O391" s="261">
        <v>5</v>
      </c>
      <c r="P391" s="261">
        <v>31</v>
      </c>
      <c r="Q391" s="105"/>
      <c r="R391" s="105"/>
      <c r="S391" s="47"/>
      <c r="T391" s="47"/>
    </row>
    <row r="392" spans="1:20" x14ac:dyDescent="0.25">
      <c r="A392" s="63" t="s">
        <v>784</v>
      </c>
      <c r="B392" s="63"/>
      <c r="J392" s="119">
        <v>40603</v>
      </c>
      <c r="K392" s="120"/>
      <c r="L392" s="121"/>
      <c r="M392" s="122"/>
      <c r="N392" s="123">
        <v>40607</v>
      </c>
      <c r="O392" s="261">
        <v>1</v>
      </c>
      <c r="P392" s="261">
        <v>4</v>
      </c>
      <c r="Q392" s="105"/>
      <c r="R392" s="105"/>
      <c r="S392" s="47"/>
      <c r="T392" s="47"/>
    </row>
    <row r="393" spans="1:20" x14ac:dyDescent="0.25">
      <c r="A393" s="63" t="s">
        <v>648</v>
      </c>
      <c r="B393" s="63"/>
      <c r="J393" s="119">
        <v>40581</v>
      </c>
      <c r="K393" s="120"/>
      <c r="L393" s="121"/>
      <c r="M393" s="122"/>
      <c r="N393" s="123">
        <v>40605</v>
      </c>
      <c r="O393" s="261">
        <v>4</v>
      </c>
      <c r="P393" s="261">
        <v>24</v>
      </c>
      <c r="Q393" s="105"/>
      <c r="R393" s="105"/>
      <c r="S393" s="47"/>
      <c r="T393" s="47"/>
    </row>
    <row r="394" spans="1:20" x14ac:dyDescent="0.25">
      <c r="A394" s="63" t="s">
        <v>649</v>
      </c>
      <c r="B394" s="63"/>
      <c r="J394" s="119">
        <v>40595</v>
      </c>
      <c r="K394" s="120"/>
      <c r="L394" s="121"/>
      <c r="M394" s="122"/>
      <c r="N394" s="123">
        <v>40635</v>
      </c>
      <c r="O394" s="261">
        <v>6</v>
      </c>
      <c r="P394" s="261">
        <v>40</v>
      </c>
      <c r="Q394" s="105"/>
      <c r="R394" s="105"/>
      <c r="S394" s="47"/>
      <c r="T394" s="47"/>
    </row>
    <row r="395" spans="1:20" x14ac:dyDescent="0.25">
      <c r="A395" s="63" t="s">
        <v>650</v>
      </c>
      <c r="B395" s="63"/>
      <c r="J395" s="119">
        <v>40588</v>
      </c>
      <c r="K395" s="120"/>
      <c r="L395" s="121"/>
      <c r="M395" s="122"/>
      <c r="N395" s="123">
        <v>40622</v>
      </c>
      <c r="O395" s="261">
        <v>5</v>
      </c>
      <c r="P395" s="261">
        <v>34</v>
      </c>
      <c r="Q395" s="105"/>
      <c r="R395" s="105"/>
      <c r="S395" s="47"/>
      <c r="T395" s="47"/>
    </row>
    <row r="396" spans="1:20" x14ac:dyDescent="0.25">
      <c r="A396" s="63" t="s">
        <v>651</v>
      </c>
      <c r="B396" s="63"/>
      <c r="J396" s="119">
        <v>40598</v>
      </c>
      <c r="K396" s="120"/>
      <c r="L396" s="121"/>
      <c r="M396" s="122"/>
      <c r="N396" s="123">
        <v>40611</v>
      </c>
      <c r="O396" s="261">
        <v>2</v>
      </c>
      <c r="P396" s="261">
        <v>13</v>
      </c>
      <c r="Q396" s="105"/>
      <c r="R396" s="105"/>
      <c r="S396" s="47"/>
      <c r="T396" s="47"/>
    </row>
    <row r="397" spans="1:20" x14ac:dyDescent="0.25">
      <c r="A397" s="63" t="s">
        <v>652</v>
      </c>
      <c r="B397" s="63"/>
      <c r="J397" s="119">
        <v>40598</v>
      </c>
      <c r="K397" s="120"/>
      <c r="L397" s="121"/>
      <c r="M397" s="122"/>
      <c r="N397" s="123">
        <v>40611</v>
      </c>
      <c r="O397" s="261">
        <v>2</v>
      </c>
      <c r="P397" s="261">
        <v>13</v>
      </c>
      <c r="Q397" s="105"/>
      <c r="R397" s="105"/>
      <c r="S397" s="47"/>
      <c r="T397" s="47"/>
    </row>
    <row r="398" spans="1:20" x14ac:dyDescent="0.25">
      <c r="A398" s="63" t="s">
        <v>653</v>
      </c>
      <c r="B398" s="63"/>
      <c r="J398" s="119">
        <v>40597</v>
      </c>
      <c r="K398" s="120"/>
      <c r="L398" s="121"/>
      <c r="M398" s="122"/>
      <c r="N398" s="123">
        <v>40619</v>
      </c>
      <c r="O398" s="261">
        <v>4</v>
      </c>
      <c r="P398" s="261">
        <v>22</v>
      </c>
      <c r="Q398" s="105"/>
      <c r="R398" s="105"/>
      <c r="S398" s="47"/>
      <c r="T398" s="47"/>
    </row>
    <row r="399" spans="1:20" x14ac:dyDescent="0.25">
      <c r="A399" s="63" t="s">
        <v>654</v>
      </c>
      <c r="B399" s="63"/>
      <c r="J399" s="119">
        <v>40596</v>
      </c>
      <c r="K399" s="120"/>
      <c r="L399" s="121"/>
      <c r="M399" s="122"/>
      <c r="N399" s="123">
        <v>40627</v>
      </c>
      <c r="O399" s="261">
        <v>5</v>
      </c>
      <c r="P399" s="261">
        <v>31</v>
      </c>
      <c r="Q399" s="105"/>
      <c r="R399" s="105"/>
      <c r="S399" s="47"/>
      <c r="T399" s="47"/>
    </row>
    <row r="400" spans="1:20" x14ac:dyDescent="0.25">
      <c r="A400" s="63" t="s">
        <v>655</v>
      </c>
      <c r="B400" s="63"/>
      <c r="J400" s="119">
        <v>40602</v>
      </c>
      <c r="K400" s="120"/>
      <c r="L400" s="121"/>
      <c r="M400" s="122"/>
      <c r="N400" s="123">
        <v>40605</v>
      </c>
      <c r="O400" s="261">
        <v>1</v>
      </c>
      <c r="P400" s="261">
        <v>3</v>
      </c>
      <c r="Q400" s="105"/>
      <c r="R400" s="105"/>
      <c r="S400" s="47"/>
      <c r="T400" s="47"/>
    </row>
    <row r="401" spans="1:20" x14ac:dyDescent="0.25">
      <c r="A401" s="63" t="s">
        <v>656</v>
      </c>
      <c r="B401" s="63"/>
      <c r="J401" s="119">
        <v>40597</v>
      </c>
      <c r="K401" s="120"/>
      <c r="L401" s="121"/>
      <c r="M401" s="122"/>
      <c r="N401" s="123">
        <v>40615</v>
      </c>
      <c r="O401" s="261">
        <v>3</v>
      </c>
      <c r="P401" s="261">
        <v>18</v>
      </c>
      <c r="Q401" s="105"/>
      <c r="R401" s="105"/>
      <c r="S401" s="47"/>
      <c r="T401" s="47"/>
    </row>
    <row r="402" spans="1:20" x14ac:dyDescent="0.25">
      <c r="A402" s="63" t="s">
        <v>657</v>
      </c>
      <c r="B402" s="63"/>
      <c r="J402" s="119">
        <v>40599</v>
      </c>
      <c r="K402" s="120"/>
      <c r="L402" s="121"/>
      <c r="M402" s="122"/>
      <c r="N402" s="123">
        <v>40603</v>
      </c>
      <c r="O402" s="261">
        <v>1</v>
      </c>
      <c r="P402" s="261">
        <v>4</v>
      </c>
      <c r="Q402" s="105"/>
      <c r="R402" s="105"/>
      <c r="S402" s="47"/>
      <c r="T402" s="47"/>
    </row>
    <row r="403" spans="1:20" x14ac:dyDescent="0.25">
      <c r="A403" s="63" t="s">
        <v>658</v>
      </c>
      <c r="B403" s="63"/>
      <c r="J403" s="119">
        <v>40599</v>
      </c>
      <c r="K403" s="120"/>
      <c r="L403" s="121"/>
      <c r="M403" s="122"/>
      <c r="N403" s="123">
        <v>40603</v>
      </c>
      <c r="O403" s="261">
        <v>1</v>
      </c>
      <c r="P403" s="261">
        <v>4</v>
      </c>
      <c r="Q403" s="105"/>
      <c r="R403" s="105"/>
      <c r="S403" s="47"/>
      <c r="T403" s="47"/>
    </row>
    <row r="404" spans="1:20" x14ac:dyDescent="0.25">
      <c r="A404" s="63" t="s">
        <v>659</v>
      </c>
      <c r="B404" s="63"/>
      <c r="J404" s="119">
        <v>40595</v>
      </c>
      <c r="K404" s="120"/>
      <c r="L404" s="121"/>
      <c r="M404" s="122"/>
      <c r="N404" s="123">
        <v>40644</v>
      </c>
      <c r="O404" s="261">
        <v>7</v>
      </c>
      <c r="P404" s="261">
        <v>49</v>
      </c>
      <c r="Q404" s="105"/>
      <c r="R404" s="105"/>
      <c r="S404" s="47"/>
      <c r="T404" s="47"/>
    </row>
    <row r="405" spans="1:20" x14ac:dyDescent="0.25">
      <c r="A405" s="63" t="s">
        <v>660</v>
      </c>
      <c r="B405" s="63"/>
      <c r="J405" s="119">
        <v>40595</v>
      </c>
      <c r="K405" s="120"/>
      <c r="L405" s="121"/>
      <c r="M405" s="122"/>
      <c r="N405" s="123">
        <v>40635</v>
      </c>
      <c r="O405" s="261">
        <v>6</v>
      </c>
      <c r="P405" s="261">
        <v>40</v>
      </c>
      <c r="Q405" s="105"/>
      <c r="R405" s="105"/>
      <c r="S405" s="47"/>
      <c r="T405" s="47"/>
    </row>
    <row r="406" spans="1:20" x14ac:dyDescent="0.25">
      <c r="A406" s="63" t="s">
        <v>661</v>
      </c>
      <c r="B406" s="63"/>
      <c r="J406" s="119">
        <v>40597</v>
      </c>
      <c r="K406" s="120"/>
      <c r="L406" s="121"/>
      <c r="M406" s="122"/>
      <c r="N406" s="123">
        <v>40615</v>
      </c>
      <c r="O406" s="261">
        <v>3</v>
      </c>
      <c r="P406" s="261">
        <v>18</v>
      </c>
      <c r="Q406" s="105"/>
      <c r="R406" s="105"/>
      <c r="S406" s="47"/>
      <c r="T406" s="47"/>
    </row>
    <row r="407" spans="1:20" x14ac:dyDescent="0.25">
      <c r="A407" s="63" t="s">
        <v>785</v>
      </c>
      <c r="B407" s="63"/>
      <c r="J407" s="119">
        <v>40603</v>
      </c>
      <c r="K407" s="120"/>
      <c r="L407" s="121"/>
      <c r="M407" s="122"/>
      <c r="N407" s="123">
        <v>40607</v>
      </c>
      <c r="O407" s="261">
        <v>1</v>
      </c>
      <c r="P407" s="261">
        <v>4</v>
      </c>
      <c r="Q407" s="105"/>
      <c r="R407" s="105"/>
      <c r="S407" s="47"/>
      <c r="T407" s="47"/>
    </row>
    <row r="408" spans="1:20" x14ac:dyDescent="0.25">
      <c r="A408" s="63" t="s">
        <v>662</v>
      </c>
      <c r="B408" s="63"/>
      <c r="J408" s="119">
        <v>40595</v>
      </c>
      <c r="K408" s="120"/>
      <c r="L408" s="121"/>
      <c r="M408" s="122"/>
      <c r="N408" s="123">
        <v>40631</v>
      </c>
      <c r="O408" s="261">
        <v>6</v>
      </c>
      <c r="P408" s="261">
        <v>36</v>
      </c>
      <c r="Q408" s="105"/>
      <c r="R408" s="105"/>
      <c r="S408" s="47"/>
      <c r="T408" s="47"/>
    </row>
    <row r="409" spans="1:20" x14ac:dyDescent="0.25">
      <c r="A409" s="63" t="s">
        <v>663</v>
      </c>
      <c r="B409" s="63"/>
      <c r="J409" s="119">
        <v>40595</v>
      </c>
      <c r="K409" s="120"/>
      <c r="L409" s="121"/>
      <c r="M409" s="122"/>
      <c r="N409" s="123">
        <v>40640</v>
      </c>
      <c r="O409" s="261">
        <v>7</v>
      </c>
      <c r="P409" s="261">
        <v>45</v>
      </c>
      <c r="Q409" s="105"/>
      <c r="R409" s="105"/>
      <c r="S409" s="47"/>
      <c r="T409" s="47"/>
    </row>
    <row r="410" spans="1:20" x14ac:dyDescent="0.25">
      <c r="A410" s="63" t="s">
        <v>664</v>
      </c>
      <c r="B410" s="63"/>
      <c r="J410" s="119">
        <v>40603</v>
      </c>
      <c r="K410" s="120"/>
      <c r="L410" s="121"/>
      <c r="M410" s="122"/>
      <c r="N410" s="123">
        <v>40608</v>
      </c>
      <c r="O410" s="261">
        <v>1</v>
      </c>
      <c r="P410" s="261">
        <v>5</v>
      </c>
      <c r="Q410" s="105"/>
      <c r="R410" s="105"/>
      <c r="S410" s="47"/>
      <c r="T410" s="47"/>
    </row>
    <row r="411" spans="1:20" x14ac:dyDescent="0.25">
      <c r="A411" s="63" t="s">
        <v>786</v>
      </c>
      <c r="B411" s="63"/>
      <c r="J411" s="119">
        <v>40595</v>
      </c>
      <c r="K411" s="120"/>
      <c r="L411" s="121"/>
      <c r="M411" s="122"/>
      <c r="N411" s="123">
        <v>40644</v>
      </c>
      <c r="O411" s="261">
        <v>7</v>
      </c>
      <c r="P411" s="261">
        <v>49</v>
      </c>
      <c r="Q411" s="105"/>
      <c r="R411" s="105"/>
      <c r="S411" s="47"/>
      <c r="T411" s="47"/>
    </row>
    <row r="412" spans="1:20" x14ac:dyDescent="0.25">
      <c r="A412" s="63" t="s">
        <v>665</v>
      </c>
      <c r="B412" s="63"/>
      <c r="J412" s="119">
        <v>40595</v>
      </c>
      <c r="K412" s="120"/>
      <c r="L412" s="121"/>
      <c r="M412" s="122"/>
      <c r="N412" s="123">
        <v>40635</v>
      </c>
      <c r="O412" s="261">
        <v>6</v>
      </c>
      <c r="P412" s="261">
        <v>40</v>
      </c>
      <c r="Q412" s="105"/>
      <c r="R412" s="105"/>
      <c r="S412" s="47"/>
      <c r="T412" s="47"/>
    </row>
    <row r="413" spans="1:20" x14ac:dyDescent="0.25">
      <c r="A413" s="63" t="s">
        <v>666</v>
      </c>
      <c r="B413" s="63"/>
      <c r="J413" s="119">
        <v>40598</v>
      </c>
      <c r="K413" s="120"/>
      <c r="L413" s="121"/>
      <c r="M413" s="122"/>
      <c r="N413" s="123">
        <v>40620</v>
      </c>
      <c r="O413" s="261">
        <v>4</v>
      </c>
      <c r="P413" s="261">
        <v>22</v>
      </c>
      <c r="Q413" s="105"/>
      <c r="R413" s="105"/>
      <c r="S413" s="47"/>
      <c r="T413" s="47"/>
    </row>
    <row r="414" spans="1:20" x14ac:dyDescent="0.25">
      <c r="A414" s="63" t="s">
        <v>787</v>
      </c>
      <c r="B414" s="63"/>
      <c r="J414" s="119">
        <v>40596</v>
      </c>
      <c r="K414" s="120"/>
      <c r="L414" s="121"/>
      <c r="M414" s="122"/>
      <c r="N414" s="123">
        <v>40636</v>
      </c>
      <c r="O414" s="261">
        <v>6</v>
      </c>
      <c r="P414" s="261">
        <v>40</v>
      </c>
      <c r="Q414" s="105"/>
      <c r="R414" s="105"/>
      <c r="S414" s="47"/>
      <c r="T414" s="47"/>
    </row>
    <row r="415" spans="1:20" x14ac:dyDescent="0.25">
      <c r="A415" s="63" t="s">
        <v>667</v>
      </c>
      <c r="B415" s="63"/>
      <c r="J415" s="119">
        <v>40602</v>
      </c>
      <c r="K415" s="120"/>
      <c r="L415" s="121"/>
      <c r="M415" s="122"/>
      <c r="N415" s="123">
        <v>40604</v>
      </c>
      <c r="O415" s="261">
        <v>1</v>
      </c>
      <c r="P415" s="261">
        <v>2</v>
      </c>
      <c r="Q415" s="105"/>
      <c r="R415" s="105"/>
      <c r="S415" s="47"/>
      <c r="T415" s="47"/>
    </row>
    <row r="416" spans="1:20" x14ac:dyDescent="0.25">
      <c r="A416" s="63" t="s">
        <v>668</v>
      </c>
      <c r="B416" s="63"/>
      <c r="J416" s="119">
        <v>40598</v>
      </c>
      <c r="K416" s="120"/>
      <c r="L416" s="121"/>
      <c r="M416" s="122"/>
      <c r="N416" s="123">
        <v>40616</v>
      </c>
      <c r="O416" s="261">
        <v>3</v>
      </c>
      <c r="P416" s="261">
        <v>18</v>
      </c>
      <c r="Q416" s="105"/>
      <c r="R416" s="105"/>
      <c r="S416" s="47"/>
      <c r="T416" s="47"/>
    </row>
    <row r="417" spans="1:20" x14ac:dyDescent="0.25">
      <c r="A417" s="63" t="s">
        <v>669</v>
      </c>
      <c r="B417" s="63"/>
      <c r="J417" s="119">
        <v>40599</v>
      </c>
      <c r="K417" s="120"/>
      <c r="L417" s="121"/>
      <c r="M417" s="122"/>
      <c r="N417" s="123">
        <v>40603</v>
      </c>
      <c r="O417" s="261">
        <v>1</v>
      </c>
      <c r="P417" s="261">
        <v>4</v>
      </c>
      <c r="Q417" s="105"/>
      <c r="R417" s="105"/>
      <c r="S417" s="47"/>
      <c r="T417" s="47"/>
    </row>
    <row r="418" spans="1:20" x14ac:dyDescent="0.25">
      <c r="A418" s="63" t="s">
        <v>670</v>
      </c>
      <c r="B418" s="63"/>
      <c r="J418" s="119">
        <v>40603</v>
      </c>
      <c r="K418" s="120"/>
      <c r="L418" s="121"/>
      <c r="M418" s="122"/>
      <c r="N418" s="123">
        <v>40607</v>
      </c>
      <c r="O418" s="261">
        <v>1</v>
      </c>
      <c r="P418" s="261">
        <v>4</v>
      </c>
      <c r="Q418" s="105"/>
      <c r="R418" s="105"/>
      <c r="S418" s="47"/>
      <c r="T418" s="47"/>
    </row>
    <row r="419" spans="1:20" x14ac:dyDescent="0.25">
      <c r="A419" s="63" t="s">
        <v>788</v>
      </c>
      <c r="B419" s="63"/>
      <c r="J419" s="119">
        <v>40597</v>
      </c>
      <c r="K419" s="120"/>
      <c r="L419" s="121"/>
      <c r="M419" s="122"/>
      <c r="N419" s="123">
        <v>40619</v>
      </c>
      <c r="O419" s="261">
        <v>4</v>
      </c>
      <c r="P419" s="261">
        <v>22</v>
      </c>
      <c r="Q419" s="105"/>
      <c r="R419" s="105"/>
      <c r="S419" s="47"/>
      <c r="T419" s="47"/>
    </row>
    <row r="420" spans="1:20" x14ac:dyDescent="0.25">
      <c r="A420" s="63" t="s">
        <v>671</v>
      </c>
      <c r="B420" s="63"/>
      <c r="J420" s="119">
        <v>40598</v>
      </c>
      <c r="K420" s="120"/>
      <c r="L420" s="121"/>
      <c r="M420" s="122"/>
      <c r="N420" s="123">
        <v>40611</v>
      </c>
      <c r="O420" s="261">
        <v>2</v>
      </c>
      <c r="P420" s="261">
        <v>13</v>
      </c>
      <c r="Q420" s="105"/>
      <c r="R420" s="105"/>
      <c r="S420" s="47"/>
      <c r="T420" s="47"/>
    </row>
    <row r="421" spans="1:20" x14ac:dyDescent="0.25">
      <c r="A421" s="63" t="s">
        <v>789</v>
      </c>
      <c r="B421" s="63"/>
      <c r="J421" s="119">
        <v>40602</v>
      </c>
      <c r="K421" s="120"/>
      <c r="L421" s="121"/>
      <c r="M421" s="122"/>
      <c r="N421" s="123">
        <v>40605</v>
      </c>
      <c r="O421" s="261">
        <v>1</v>
      </c>
      <c r="P421" s="261">
        <v>3</v>
      </c>
      <c r="Q421" s="105"/>
      <c r="R421" s="105"/>
      <c r="S421" s="47"/>
      <c r="T421" s="47"/>
    </row>
    <row r="422" spans="1:20" x14ac:dyDescent="0.25">
      <c r="A422" s="63" t="s">
        <v>672</v>
      </c>
      <c r="B422" s="63"/>
      <c r="J422" s="119">
        <v>40599</v>
      </c>
      <c r="K422" s="120"/>
      <c r="L422" s="121"/>
      <c r="M422" s="122"/>
      <c r="N422" s="123">
        <v>40608</v>
      </c>
      <c r="O422" s="261">
        <v>2</v>
      </c>
      <c r="P422" s="261">
        <v>9</v>
      </c>
      <c r="Q422" s="105"/>
      <c r="R422" s="105"/>
      <c r="S422" s="47"/>
      <c r="T422" s="47"/>
    </row>
    <row r="423" spans="1:20" x14ac:dyDescent="0.25">
      <c r="A423" s="63" t="s">
        <v>673</v>
      </c>
      <c r="B423" s="63"/>
      <c r="J423" s="119">
        <v>40598</v>
      </c>
      <c r="K423" s="120"/>
      <c r="L423" s="121"/>
      <c r="M423" s="122"/>
      <c r="N423" s="123">
        <v>40616</v>
      </c>
      <c r="O423" s="261">
        <v>3</v>
      </c>
      <c r="P423" s="261">
        <v>18</v>
      </c>
      <c r="Q423" s="105"/>
      <c r="R423" s="105"/>
      <c r="S423" s="47"/>
      <c r="T423" s="47"/>
    </row>
    <row r="424" spans="1:20" x14ac:dyDescent="0.25">
      <c r="A424" s="63" t="s">
        <v>674</v>
      </c>
      <c r="B424" s="63"/>
      <c r="J424" s="119">
        <v>40598</v>
      </c>
      <c r="K424" s="120"/>
      <c r="L424" s="121"/>
      <c r="M424" s="122"/>
      <c r="N424" s="123">
        <v>40607</v>
      </c>
      <c r="O424" s="261">
        <v>2</v>
      </c>
      <c r="P424" s="261">
        <v>9</v>
      </c>
      <c r="Q424" s="105"/>
      <c r="R424" s="105"/>
      <c r="S424" s="47"/>
      <c r="T424" s="47"/>
    </row>
    <row r="425" spans="1:20" x14ac:dyDescent="0.25">
      <c r="A425" s="63" t="s">
        <v>790</v>
      </c>
      <c r="B425" s="63"/>
      <c r="J425" s="119">
        <v>40602</v>
      </c>
      <c r="K425" s="120"/>
      <c r="L425" s="121"/>
      <c r="M425" s="122"/>
      <c r="N425" s="123">
        <v>40604</v>
      </c>
      <c r="O425" s="261">
        <v>1</v>
      </c>
      <c r="P425" s="261">
        <v>2</v>
      </c>
      <c r="Q425" s="105"/>
      <c r="R425" s="105"/>
      <c r="S425" s="47"/>
      <c r="T425" s="47"/>
    </row>
    <row r="426" spans="1:20" x14ac:dyDescent="0.25">
      <c r="A426" s="63" t="s">
        <v>791</v>
      </c>
      <c r="B426" s="63"/>
      <c r="J426" s="119">
        <v>40599</v>
      </c>
      <c r="K426" s="120"/>
      <c r="L426" s="121"/>
      <c r="M426" s="122"/>
      <c r="N426" s="123">
        <v>40608</v>
      </c>
      <c r="O426" s="261">
        <v>2</v>
      </c>
      <c r="P426" s="261">
        <v>9</v>
      </c>
      <c r="Q426" s="105"/>
      <c r="R426" s="105"/>
      <c r="S426" s="47"/>
      <c r="T426" s="47"/>
    </row>
    <row r="427" spans="1:20" x14ac:dyDescent="0.25">
      <c r="A427" s="63" t="s">
        <v>675</v>
      </c>
      <c r="B427" s="63"/>
      <c r="J427" s="119">
        <v>40596</v>
      </c>
      <c r="K427" s="120"/>
      <c r="L427" s="121"/>
      <c r="M427" s="122"/>
      <c r="N427" s="123">
        <v>40632</v>
      </c>
      <c r="O427" s="261">
        <v>6</v>
      </c>
      <c r="P427" s="261">
        <v>36</v>
      </c>
      <c r="Q427" s="105"/>
      <c r="R427" s="105"/>
      <c r="S427" s="47"/>
      <c r="T427" s="47"/>
    </row>
    <row r="428" spans="1:20" x14ac:dyDescent="0.25">
      <c r="A428" s="63" t="s">
        <v>676</v>
      </c>
      <c r="B428" s="63"/>
      <c r="J428" s="119">
        <v>40592</v>
      </c>
      <c r="K428" s="120"/>
      <c r="L428" s="121"/>
      <c r="M428" s="122"/>
      <c r="N428" s="123">
        <v>40637</v>
      </c>
      <c r="O428" s="261">
        <v>7</v>
      </c>
      <c r="P428" s="261">
        <v>45</v>
      </c>
      <c r="Q428" s="105"/>
      <c r="R428" s="105"/>
      <c r="S428" s="47"/>
      <c r="T428" s="47"/>
    </row>
    <row r="429" spans="1:20" x14ac:dyDescent="0.25">
      <c r="A429" s="63" t="s">
        <v>677</v>
      </c>
      <c r="B429" s="63"/>
      <c r="J429" s="119">
        <v>40592</v>
      </c>
      <c r="K429" s="120"/>
      <c r="L429" s="121"/>
      <c r="M429" s="122"/>
      <c r="N429" s="123">
        <v>40637</v>
      </c>
      <c r="O429" s="261">
        <v>7</v>
      </c>
      <c r="P429" s="261">
        <v>45</v>
      </c>
      <c r="Q429" s="105"/>
      <c r="R429" s="105"/>
      <c r="S429" s="47"/>
      <c r="T429" s="47"/>
    </row>
    <row r="430" spans="1:20" x14ac:dyDescent="0.25">
      <c r="A430" s="63" t="s">
        <v>678</v>
      </c>
      <c r="B430" s="63"/>
      <c r="J430" s="119">
        <v>40597</v>
      </c>
      <c r="K430" s="120"/>
      <c r="L430" s="121"/>
      <c r="M430" s="122"/>
      <c r="N430" s="123">
        <v>40600</v>
      </c>
      <c r="O430" s="261">
        <v>1</v>
      </c>
      <c r="P430" s="261">
        <v>3</v>
      </c>
      <c r="Q430" s="105"/>
      <c r="R430" s="105"/>
      <c r="S430" s="47"/>
      <c r="T430" s="47"/>
    </row>
    <row r="431" spans="1:20" x14ac:dyDescent="0.25">
      <c r="A431" s="63" t="s">
        <v>792</v>
      </c>
      <c r="B431" s="63"/>
      <c r="J431" s="119">
        <v>40599</v>
      </c>
      <c r="K431" s="120"/>
      <c r="L431" s="121"/>
      <c r="M431" s="122"/>
      <c r="N431" s="123">
        <v>40603</v>
      </c>
      <c r="O431" s="261">
        <v>1</v>
      </c>
      <c r="P431" s="261">
        <v>4</v>
      </c>
      <c r="Q431" s="105"/>
      <c r="R431" s="105"/>
      <c r="S431" s="47"/>
      <c r="T431" s="47"/>
    </row>
    <row r="432" spans="1:20" x14ac:dyDescent="0.25">
      <c r="A432" s="63" t="s">
        <v>679</v>
      </c>
      <c r="B432" s="63"/>
      <c r="J432" s="119">
        <v>40591</v>
      </c>
      <c r="K432" s="120"/>
      <c r="L432" s="121"/>
      <c r="M432" s="122"/>
      <c r="N432" s="123">
        <v>40622</v>
      </c>
      <c r="O432" s="261">
        <v>5</v>
      </c>
      <c r="P432" s="261">
        <v>31</v>
      </c>
      <c r="Q432" s="105"/>
      <c r="R432" s="105"/>
      <c r="S432" s="47"/>
      <c r="T432" s="47"/>
    </row>
    <row r="433" spans="1:20" x14ac:dyDescent="0.25">
      <c r="A433" s="63" t="s">
        <v>680</v>
      </c>
      <c r="B433" s="63"/>
      <c r="J433" s="119">
        <v>40590</v>
      </c>
      <c r="K433" s="120"/>
      <c r="L433" s="121"/>
      <c r="M433" s="122"/>
      <c r="N433" s="123">
        <v>40635</v>
      </c>
      <c r="O433" s="261">
        <v>7</v>
      </c>
      <c r="P433" s="261">
        <v>45</v>
      </c>
      <c r="Q433" s="105"/>
      <c r="R433" s="105"/>
      <c r="S433" s="47"/>
      <c r="T433" s="47"/>
    </row>
    <row r="434" spans="1:20" x14ac:dyDescent="0.25">
      <c r="A434" s="63" t="s">
        <v>681</v>
      </c>
      <c r="B434" s="63"/>
      <c r="J434" s="119">
        <v>40590</v>
      </c>
      <c r="K434" s="120"/>
      <c r="L434" s="121"/>
      <c r="M434" s="122"/>
      <c r="N434" s="123">
        <v>40630</v>
      </c>
      <c r="O434" s="261">
        <v>6</v>
      </c>
      <c r="P434" s="261">
        <v>40</v>
      </c>
      <c r="Q434" s="105"/>
      <c r="R434" s="105"/>
      <c r="S434" s="47"/>
      <c r="T434" s="47"/>
    </row>
    <row r="435" spans="1:20" x14ac:dyDescent="0.25">
      <c r="A435" s="63" t="s">
        <v>682</v>
      </c>
      <c r="B435" s="63"/>
      <c r="J435" s="119">
        <v>40591</v>
      </c>
      <c r="K435" s="120"/>
      <c r="L435" s="121"/>
      <c r="M435" s="122"/>
      <c r="N435" s="123">
        <v>40627</v>
      </c>
      <c r="O435" s="261">
        <v>6</v>
      </c>
      <c r="P435" s="261">
        <v>36</v>
      </c>
      <c r="Q435" s="105"/>
      <c r="R435" s="105"/>
      <c r="S435" s="47"/>
      <c r="T435" s="47"/>
    </row>
    <row r="436" spans="1:20" x14ac:dyDescent="0.25">
      <c r="A436" s="63" t="s">
        <v>683</v>
      </c>
      <c r="B436" s="63"/>
      <c r="J436" s="119">
        <v>40591</v>
      </c>
      <c r="K436" s="120"/>
      <c r="L436" s="121"/>
      <c r="M436" s="122"/>
      <c r="N436" s="123">
        <v>40622</v>
      </c>
      <c r="O436" s="261">
        <v>5</v>
      </c>
      <c r="P436" s="261">
        <v>31</v>
      </c>
      <c r="Q436" s="105"/>
      <c r="R436" s="105"/>
      <c r="S436" s="47"/>
      <c r="T436" s="47"/>
    </row>
    <row r="437" spans="1:20" x14ac:dyDescent="0.25">
      <c r="A437" s="63" t="s">
        <v>684</v>
      </c>
      <c r="B437" s="63"/>
      <c r="J437" s="119">
        <v>40589</v>
      </c>
      <c r="K437" s="120"/>
      <c r="L437" s="121"/>
      <c r="M437" s="122"/>
      <c r="N437" s="123">
        <v>40638</v>
      </c>
      <c r="O437" s="261">
        <v>7</v>
      </c>
      <c r="P437" s="261">
        <v>49</v>
      </c>
      <c r="Q437" s="105"/>
      <c r="R437" s="105"/>
      <c r="S437" s="47"/>
      <c r="T437" s="47"/>
    </row>
    <row r="438" spans="1:20" x14ac:dyDescent="0.25">
      <c r="A438" s="63" t="s">
        <v>685</v>
      </c>
      <c r="B438" s="63"/>
      <c r="J438" s="119">
        <v>40595</v>
      </c>
      <c r="K438" s="120"/>
      <c r="L438" s="121"/>
      <c r="M438" s="122"/>
      <c r="N438" s="123">
        <v>40597</v>
      </c>
      <c r="O438" s="261">
        <v>1</v>
      </c>
      <c r="P438" s="261">
        <v>2</v>
      </c>
      <c r="Q438" s="105"/>
      <c r="R438" s="105"/>
      <c r="S438" s="47"/>
      <c r="T438" s="47"/>
    </row>
    <row r="439" spans="1:20" x14ac:dyDescent="0.25">
      <c r="A439" s="63" t="s">
        <v>686</v>
      </c>
      <c r="B439" s="63"/>
      <c r="J439" s="119">
        <v>40592</v>
      </c>
      <c r="K439" s="120"/>
      <c r="L439" s="121"/>
      <c r="M439" s="122"/>
      <c r="N439" s="123">
        <v>40610</v>
      </c>
      <c r="O439" s="261">
        <v>3</v>
      </c>
      <c r="P439" s="261">
        <v>18</v>
      </c>
      <c r="Q439" s="105"/>
      <c r="R439" s="105"/>
      <c r="S439" s="47"/>
      <c r="T439" s="47"/>
    </row>
    <row r="440" spans="1:20" x14ac:dyDescent="0.25">
      <c r="A440" s="63" t="s">
        <v>687</v>
      </c>
      <c r="B440" s="63"/>
      <c r="J440" s="119">
        <v>40596</v>
      </c>
      <c r="K440" s="120"/>
      <c r="L440" s="121"/>
      <c r="M440" s="122"/>
      <c r="N440" s="123">
        <v>40600</v>
      </c>
      <c r="O440" s="261">
        <v>1</v>
      </c>
      <c r="P440" s="261">
        <v>4</v>
      </c>
      <c r="Q440" s="105"/>
      <c r="R440" s="105"/>
      <c r="S440" s="47"/>
      <c r="T440" s="47"/>
    </row>
    <row r="441" spans="1:20" x14ac:dyDescent="0.25">
      <c r="A441" s="63" t="s">
        <v>688</v>
      </c>
      <c r="B441" s="63"/>
      <c r="J441" s="119">
        <v>40590</v>
      </c>
      <c r="K441" s="120"/>
      <c r="L441" s="121"/>
      <c r="M441" s="122"/>
      <c r="N441" s="123">
        <v>40621</v>
      </c>
      <c r="O441" s="261">
        <v>5</v>
      </c>
      <c r="P441" s="261">
        <v>31</v>
      </c>
      <c r="Q441" s="105"/>
      <c r="R441" s="105"/>
      <c r="S441" s="47"/>
      <c r="T441" s="47"/>
    </row>
    <row r="442" spans="1:20" x14ac:dyDescent="0.25">
      <c r="A442" s="63" t="s">
        <v>689</v>
      </c>
      <c r="B442" s="63"/>
      <c r="J442" s="119">
        <v>40589</v>
      </c>
      <c r="K442" s="120"/>
      <c r="L442" s="121"/>
      <c r="M442" s="122"/>
      <c r="N442" s="123">
        <v>40629</v>
      </c>
      <c r="O442" s="261">
        <v>6</v>
      </c>
      <c r="P442" s="261">
        <v>40</v>
      </c>
      <c r="Q442" s="105"/>
      <c r="R442" s="105"/>
      <c r="S442" s="47"/>
      <c r="T442" s="47"/>
    </row>
    <row r="443" spans="1:20" x14ac:dyDescent="0.25">
      <c r="A443" s="63" t="s">
        <v>690</v>
      </c>
      <c r="B443" s="63"/>
      <c r="J443" s="119">
        <v>40595</v>
      </c>
      <c r="K443" s="120"/>
      <c r="L443" s="121"/>
      <c r="M443" s="122"/>
      <c r="N443" s="123">
        <v>40597</v>
      </c>
      <c r="O443" s="261">
        <v>1</v>
      </c>
      <c r="P443" s="261">
        <v>2</v>
      </c>
      <c r="Q443" s="105"/>
      <c r="R443" s="105"/>
      <c r="S443" s="47"/>
      <c r="T443" s="47"/>
    </row>
    <row r="444" spans="1:20" x14ac:dyDescent="0.25">
      <c r="A444" s="63" t="s">
        <v>691</v>
      </c>
      <c r="B444" s="63"/>
      <c r="J444" s="119">
        <v>40596</v>
      </c>
      <c r="K444" s="120"/>
      <c r="L444" s="121"/>
      <c r="M444" s="122"/>
      <c r="N444" s="123">
        <v>40600</v>
      </c>
      <c r="O444" s="261">
        <v>1</v>
      </c>
      <c r="P444" s="261">
        <v>4</v>
      </c>
      <c r="Q444" s="105"/>
      <c r="R444" s="105"/>
      <c r="S444" s="47"/>
      <c r="T444" s="47"/>
    </row>
    <row r="445" spans="1:20" x14ac:dyDescent="0.25">
      <c r="A445" s="63" t="s">
        <v>692</v>
      </c>
      <c r="B445" s="63"/>
      <c r="J445" s="119">
        <v>40589</v>
      </c>
      <c r="K445" s="120"/>
      <c r="L445" s="121"/>
      <c r="M445" s="122"/>
      <c r="N445" s="123">
        <v>40638</v>
      </c>
      <c r="O445" s="261">
        <v>7</v>
      </c>
      <c r="P445" s="261">
        <v>49</v>
      </c>
      <c r="Q445" s="105"/>
      <c r="R445" s="105"/>
      <c r="S445" s="47"/>
      <c r="T445" s="47"/>
    </row>
    <row r="446" spans="1:20" x14ac:dyDescent="0.25">
      <c r="A446" s="63" t="s">
        <v>693</v>
      </c>
      <c r="B446" s="63"/>
      <c r="J446" s="119">
        <v>40591</v>
      </c>
      <c r="K446" s="120"/>
      <c r="L446" s="121"/>
      <c r="M446" s="122"/>
      <c r="N446" s="123">
        <v>40604</v>
      </c>
      <c r="O446" s="261">
        <v>2</v>
      </c>
      <c r="P446" s="261">
        <v>13</v>
      </c>
      <c r="Q446" s="105"/>
      <c r="R446" s="105"/>
      <c r="S446" s="47"/>
      <c r="T446" s="47"/>
    </row>
    <row r="447" spans="1:20" x14ac:dyDescent="0.25">
      <c r="A447" s="63" t="s">
        <v>694</v>
      </c>
      <c r="B447" s="63"/>
      <c r="J447" s="119">
        <v>40591</v>
      </c>
      <c r="K447" s="120"/>
      <c r="L447" s="121"/>
      <c r="M447" s="122"/>
      <c r="N447" s="123">
        <v>40604</v>
      </c>
      <c r="O447" s="261">
        <v>2</v>
      </c>
      <c r="P447" s="261">
        <v>13</v>
      </c>
      <c r="Q447" s="105"/>
      <c r="R447" s="105"/>
      <c r="S447" s="47"/>
      <c r="T447" s="47"/>
    </row>
    <row r="448" spans="1:20" x14ac:dyDescent="0.25">
      <c r="A448" s="63" t="s">
        <v>695</v>
      </c>
      <c r="B448" s="63"/>
      <c r="J448" s="119">
        <v>40589</v>
      </c>
      <c r="K448" s="120"/>
      <c r="L448" s="121"/>
      <c r="M448" s="122"/>
      <c r="N448" s="123">
        <v>40620</v>
      </c>
      <c r="O448" s="261">
        <v>5</v>
      </c>
      <c r="P448" s="261">
        <v>31</v>
      </c>
      <c r="Q448" s="105"/>
      <c r="R448" s="105"/>
      <c r="S448" s="47"/>
      <c r="T448" s="47"/>
    </row>
    <row r="449" spans="1:20" x14ac:dyDescent="0.25">
      <c r="A449" s="63" t="s">
        <v>696</v>
      </c>
      <c r="B449" s="63"/>
      <c r="J449" s="119">
        <v>40592</v>
      </c>
      <c r="K449" s="120"/>
      <c r="L449" s="121"/>
      <c r="M449" s="122"/>
      <c r="N449" s="123">
        <v>40601</v>
      </c>
      <c r="O449" s="261">
        <v>2</v>
      </c>
      <c r="P449" s="261">
        <v>9</v>
      </c>
      <c r="Q449" s="105"/>
      <c r="R449" s="105"/>
      <c r="S449" s="47"/>
      <c r="T449" s="47"/>
    </row>
    <row r="450" spans="1:20" x14ac:dyDescent="0.25">
      <c r="A450" s="63" t="s">
        <v>697</v>
      </c>
      <c r="B450" s="63"/>
      <c r="J450" s="119">
        <v>40588</v>
      </c>
      <c r="K450" s="120"/>
      <c r="L450" s="121"/>
      <c r="M450" s="122"/>
      <c r="N450" s="123">
        <v>40633</v>
      </c>
      <c r="O450" s="261">
        <v>7</v>
      </c>
      <c r="P450" s="261">
        <v>45</v>
      </c>
      <c r="Q450" s="105"/>
      <c r="R450" s="105"/>
      <c r="S450" s="47"/>
      <c r="T450" s="47"/>
    </row>
    <row r="451" spans="1:20" x14ac:dyDescent="0.25">
      <c r="A451" s="63" t="s">
        <v>793</v>
      </c>
      <c r="B451" s="63"/>
      <c r="J451" s="119">
        <v>40589</v>
      </c>
      <c r="K451" s="120"/>
      <c r="L451" s="121"/>
      <c r="M451" s="122"/>
      <c r="N451" s="123">
        <v>40625</v>
      </c>
      <c r="O451" s="261">
        <v>6</v>
      </c>
      <c r="P451" s="261">
        <v>36</v>
      </c>
      <c r="Q451" s="105"/>
      <c r="R451" s="105"/>
      <c r="S451" s="47"/>
      <c r="T451" s="47"/>
    </row>
    <row r="452" spans="1:20" x14ac:dyDescent="0.25">
      <c r="A452" s="63" t="s">
        <v>698</v>
      </c>
      <c r="B452" s="63"/>
      <c r="J452" s="119">
        <v>40590</v>
      </c>
      <c r="K452" s="120"/>
      <c r="L452" s="121"/>
      <c r="M452" s="122"/>
      <c r="N452" s="123">
        <v>40612</v>
      </c>
      <c r="O452" s="261">
        <v>4</v>
      </c>
      <c r="P452" s="261">
        <v>22</v>
      </c>
      <c r="Q452" s="105"/>
      <c r="R452" s="105"/>
      <c r="S452" s="47"/>
      <c r="T452" s="47"/>
    </row>
    <row r="453" spans="1:20" x14ac:dyDescent="0.25">
      <c r="A453" s="63" t="s">
        <v>699</v>
      </c>
      <c r="B453" s="63"/>
      <c r="J453" s="119">
        <v>40588</v>
      </c>
      <c r="K453" s="120"/>
      <c r="L453" s="121"/>
      <c r="M453" s="122"/>
      <c r="N453" s="123">
        <v>40633</v>
      </c>
      <c r="O453" s="261">
        <v>7</v>
      </c>
      <c r="P453" s="261">
        <v>45</v>
      </c>
      <c r="Q453" s="105"/>
      <c r="R453" s="105"/>
      <c r="S453" s="47"/>
      <c r="T453" s="47"/>
    </row>
    <row r="454" spans="1:20" x14ac:dyDescent="0.25">
      <c r="A454" s="63" t="s">
        <v>700</v>
      </c>
      <c r="B454" s="63"/>
      <c r="J454" s="119">
        <v>40592</v>
      </c>
      <c r="K454" s="120"/>
      <c r="L454" s="121"/>
      <c r="M454" s="122"/>
      <c r="N454" s="123">
        <v>40596</v>
      </c>
      <c r="O454" s="261">
        <v>1</v>
      </c>
      <c r="P454" s="261">
        <v>4</v>
      </c>
      <c r="Q454" s="105"/>
      <c r="R454" s="105"/>
      <c r="S454" s="47"/>
      <c r="T454" s="47"/>
    </row>
    <row r="455" spans="1:20" x14ac:dyDescent="0.25">
      <c r="A455" s="63" t="s">
        <v>701</v>
      </c>
      <c r="B455" s="63"/>
      <c r="J455" s="119">
        <v>40589</v>
      </c>
      <c r="K455" s="120"/>
      <c r="L455" s="121"/>
      <c r="M455" s="122"/>
      <c r="N455" s="123">
        <v>40625</v>
      </c>
      <c r="O455" s="261">
        <v>6</v>
      </c>
      <c r="P455" s="261">
        <v>36</v>
      </c>
      <c r="Q455" s="105"/>
      <c r="R455" s="105"/>
      <c r="S455" s="47"/>
      <c r="T455" s="47"/>
    </row>
    <row r="456" spans="1:20" x14ac:dyDescent="0.25">
      <c r="A456" s="63" t="s">
        <v>794</v>
      </c>
      <c r="B456" s="63"/>
      <c r="J456" s="119">
        <v>40590</v>
      </c>
      <c r="K456" s="120"/>
      <c r="L456" s="121"/>
      <c r="M456" s="122"/>
      <c r="N456" s="123">
        <v>40612</v>
      </c>
      <c r="O456" s="261">
        <v>4</v>
      </c>
      <c r="P456" s="261">
        <v>22</v>
      </c>
      <c r="Q456" s="105"/>
      <c r="R456" s="105"/>
      <c r="S456" s="47"/>
      <c r="T456" s="47"/>
    </row>
    <row r="457" spans="1:20" x14ac:dyDescent="0.25">
      <c r="A457" s="63" t="s">
        <v>795</v>
      </c>
      <c r="B457" s="63"/>
      <c r="J457" s="119">
        <v>40589</v>
      </c>
      <c r="K457" s="120"/>
      <c r="L457" s="121"/>
      <c r="M457" s="122"/>
      <c r="N457" s="123">
        <v>40625</v>
      </c>
      <c r="O457" s="261">
        <v>6</v>
      </c>
      <c r="P457" s="261">
        <v>36</v>
      </c>
      <c r="Q457" s="105"/>
      <c r="R457" s="105"/>
      <c r="S457" s="47"/>
      <c r="T457" s="47"/>
    </row>
    <row r="458" spans="1:20" x14ac:dyDescent="0.25">
      <c r="A458" s="63" t="s">
        <v>796</v>
      </c>
      <c r="B458" s="63"/>
      <c r="J458" s="119">
        <v>40588</v>
      </c>
      <c r="K458" s="120"/>
      <c r="L458" s="121"/>
      <c r="M458" s="122"/>
      <c r="N458" s="123">
        <v>40624</v>
      </c>
      <c r="O458" s="261">
        <v>6</v>
      </c>
      <c r="P458" s="261">
        <v>36</v>
      </c>
      <c r="Q458" s="105"/>
      <c r="R458" s="105"/>
      <c r="S458" s="47"/>
      <c r="T458" s="47"/>
    </row>
    <row r="459" spans="1:20" x14ac:dyDescent="0.25">
      <c r="A459" s="63" t="s">
        <v>797</v>
      </c>
      <c r="B459" s="63"/>
      <c r="J459" s="119">
        <v>40589</v>
      </c>
      <c r="K459" s="120"/>
      <c r="L459" s="121"/>
      <c r="M459" s="122"/>
      <c r="N459" s="123">
        <v>40625</v>
      </c>
      <c r="O459" s="261">
        <v>6</v>
      </c>
      <c r="P459" s="261">
        <v>36</v>
      </c>
      <c r="Q459" s="105"/>
      <c r="R459" s="105"/>
      <c r="S459" s="47"/>
      <c r="T459" s="47"/>
    </row>
    <row r="460" spans="1:20" x14ac:dyDescent="0.25">
      <c r="A460" s="63" t="s">
        <v>186</v>
      </c>
      <c r="B460" s="63"/>
      <c r="J460" s="119">
        <v>40590</v>
      </c>
      <c r="K460" s="120"/>
      <c r="L460" s="121"/>
      <c r="M460" s="122"/>
      <c r="N460" s="123">
        <v>40612</v>
      </c>
      <c r="O460" s="261">
        <v>4</v>
      </c>
      <c r="P460" s="261">
        <v>22</v>
      </c>
      <c r="Q460" s="105"/>
      <c r="R460" s="105"/>
      <c r="S460" s="47"/>
      <c r="T460" s="47"/>
    </row>
    <row r="461" spans="1:20" x14ac:dyDescent="0.25">
      <c r="A461" s="63" t="s">
        <v>187</v>
      </c>
      <c r="B461" s="63"/>
      <c r="J461" s="119">
        <v>40588</v>
      </c>
      <c r="K461" s="120"/>
      <c r="L461" s="121"/>
      <c r="M461" s="122"/>
      <c r="N461" s="123">
        <v>40628</v>
      </c>
      <c r="O461" s="261">
        <v>6</v>
      </c>
      <c r="P461" s="261">
        <v>40</v>
      </c>
      <c r="Q461" s="105"/>
      <c r="R461" s="105"/>
      <c r="S461" s="47"/>
      <c r="T461" s="47"/>
    </row>
    <row r="462" spans="1:20" x14ac:dyDescent="0.25">
      <c r="A462" s="63" t="s">
        <v>702</v>
      </c>
      <c r="B462" s="63"/>
      <c r="J462" s="119">
        <v>40588</v>
      </c>
      <c r="K462" s="120"/>
      <c r="L462" s="121"/>
      <c r="M462" s="122"/>
      <c r="N462" s="123">
        <v>40628</v>
      </c>
      <c r="O462" s="261">
        <v>6</v>
      </c>
      <c r="P462" s="261">
        <v>40</v>
      </c>
      <c r="Q462" s="105"/>
      <c r="R462" s="105"/>
      <c r="S462" s="47"/>
      <c r="T462" s="47"/>
    </row>
    <row r="463" spans="1:20" x14ac:dyDescent="0.25">
      <c r="A463" s="63" t="s">
        <v>494</v>
      </c>
      <c r="B463" s="63"/>
      <c r="J463" s="119">
        <v>40590</v>
      </c>
      <c r="K463" s="120"/>
      <c r="L463" s="121"/>
      <c r="M463" s="122"/>
      <c r="N463" s="123">
        <v>40621</v>
      </c>
      <c r="O463" s="261">
        <v>5</v>
      </c>
      <c r="P463" s="261">
        <v>31</v>
      </c>
      <c r="Q463" s="105"/>
      <c r="R463" s="105"/>
      <c r="S463" s="47"/>
      <c r="T463" s="47"/>
    </row>
    <row r="464" spans="1:20" x14ac:dyDescent="0.25">
      <c r="A464" s="63" t="s">
        <v>703</v>
      </c>
      <c r="B464" s="63"/>
      <c r="J464" s="119">
        <v>40588</v>
      </c>
      <c r="K464" s="120"/>
      <c r="L464" s="121"/>
      <c r="M464" s="122"/>
      <c r="N464" s="123">
        <v>40637</v>
      </c>
      <c r="O464" s="261">
        <v>7</v>
      </c>
      <c r="P464" s="261">
        <v>49</v>
      </c>
      <c r="Q464" s="105"/>
      <c r="R464" s="105"/>
      <c r="S464" s="47"/>
      <c r="T464" s="47"/>
    </row>
    <row r="465" spans="1:20" x14ac:dyDescent="0.25">
      <c r="A465" s="63" t="s">
        <v>188</v>
      </c>
      <c r="B465" s="63"/>
      <c r="J465" s="119">
        <v>40589</v>
      </c>
      <c r="K465" s="120"/>
      <c r="L465" s="121"/>
      <c r="M465" s="122"/>
      <c r="N465" s="123">
        <v>40625</v>
      </c>
      <c r="O465" s="261">
        <v>6</v>
      </c>
      <c r="P465" s="261">
        <v>36</v>
      </c>
      <c r="Q465" s="105"/>
      <c r="R465" s="105"/>
      <c r="S465" s="47"/>
      <c r="T465" s="47"/>
    </row>
    <row r="466" spans="1:20" x14ac:dyDescent="0.25">
      <c r="A466" s="63" t="s">
        <v>189</v>
      </c>
      <c r="B466" s="63"/>
      <c r="J466" s="119">
        <v>40590</v>
      </c>
      <c r="K466" s="120"/>
      <c r="L466" s="121"/>
      <c r="M466" s="122"/>
      <c r="N466" s="123">
        <v>40617</v>
      </c>
      <c r="O466" s="261">
        <v>4</v>
      </c>
      <c r="P466" s="261">
        <v>27</v>
      </c>
      <c r="Q466" s="105"/>
      <c r="R466" s="105"/>
      <c r="S466" s="47"/>
      <c r="T466" s="47"/>
    </row>
    <row r="467" spans="1:20" x14ac:dyDescent="0.25">
      <c r="A467" s="63" t="s">
        <v>704</v>
      </c>
      <c r="B467" s="63"/>
      <c r="J467" s="119">
        <v>40590</v>
      </c>
      <c r="K467" s="120"/>
      <c r="L467" s="121"/>
      <c r="M467" s="122"/>
      <c r="N467" s="123">
        <v>40617</v>
      </c>
      <c r="O467" s="261">
        <v>4</v>
      </c>
      <c r="P467" s="261">
        <v>27</v>
      </c>
      <c r="Q467" s="105"/>
      <c r="R467" s="105"/>
      <c r="S467" s="47"/>
      <c r="T467" s="47"/>
    </row>
    <row r="468" spans="1:20" x14ac:dyDescent="0.25">
      <c r="A468" s="63" t="s">
        <v>190</v>
      </c>
      <c r="B468" s="63"/>
      <c r="J468" s="119">
        <v>40582</v>
      </c>
      <c r="K468" s="120"/>
      <c r="L468" s="121"/>
      <c r="M468" s="122"/>
      <c r="N468" s="123">
        <v>40618</v>
      </c>
      <c r="O468" s="261">
        <v>6</v>
      </c>
      <c r="P468" s="261">
        <v>36</v>
      </c>
      <c r="Q468" s="105"/>
      <c r="R468" s="105"/>
      <c r="S468" s="47"/>
      <c r="T468" s="47"/>
    </row>
    <row r="469" spans="1:20" x14ac:dyDescent="0.25">
      <c r="A469" s="63" t="s">
        <v>191</v>
      </c>
      <c r="B469" s="63"/>
      <c r="J469" s="119">
        <v>40588</v>
      </c>
      <c r="K469" s="120"/>
      <c r="L469" s="121"/>
      <c r="M469" s="122"/>
      <c r="N469" s="123">
        <v>40628</v>
      </c>
      <c r="O469" s="261">
        <v>6</v>
      </c>
      <c r="P469" s="261">
        <v>40</v>
      </c>
      <c r="Q469" s="105"/>
      <c r="R469" s="105"/>
      <c r="S469" s="47"/>
      <c r="T469" s="47"/>
    </row>
    <row r="470" spans="1:20" x14ac:dyDescent="0.25">
      <c r="A470" s="63" t="s">
        <v>798</v>
      </c>
      <c r="B470" s="63"/>
      <c r="J470" s="119">
        <v>40590</v>
      </c>
      <c r="K470" s="120"/>
      <c r="L470" s="121"/>
      <c r="M470" s="122"/>
      <c r="N470" s="123">
        <v>40617</v>
      </c>
      <c r="O470" s="261">
        <v>4</v>
      </c>
      <c r="P470" s="261">
        <v>27</v>
      </c>
      <c r="Q470" s="105"/>
      <c r="R470" s="105"/>
      <c r="S470" s="47"/>
      <c r="T470" s="47"/>
    </row>
    <row r="471" spans="1:20" x14ac:dyDescent="0.25">
      <c r="A471" s="63" t="s">
        <v>192</v>
      </c>
      <c r="B471" s="63"/>
      <c r="J471" s="119">
        <v>40576</v>
      </c>
      <c r="K471" s="120"/>
      <c r="L471" s="121"/>
      <c r="M471" s="122"/>
      <c r="N471" s="123">
        <v>40598</v>
      </c>
      <c r="O471" s="261">
        <v>4</v>
      </c>
      <c r="P471" s="261">
        <v>22</v>
      </c>
      <c r="Q471" s="105"/>
      <c r="R471" s="105"/>
      <c r="S471" s="47"/>
      <c r="T471" s="47"/>
    </row>
    <row r="472" spans="1:20" x14ac:dyDescent="0.25">
      <c r="A472" s="63" t="s">
        <v>193</v>
      </c>
      <c r="B472" s="63"/>
      <c r="J472" s="119">
        <v>40588</v>
      </c>
      <c r="K472" s="125"/>
      <c r="L472" s="122"/>
      <c r="M472" s="122"/>
      <c r="N472" s="123">
        <v>40637</v>
      </c>
      <c r="O472" s="261">
        <v>7</v>
      </c>
      <c r="P472" s="261">
        <v>49</v>
      </c>
      <c r="Q472" s="105"/>
      <c r="R472" s="105"/>
      <c r="S472" s="47"/>
      <c r="T472" s="47"/>
    </row>
    <row r="473" spans="1:20" x14ac:dyDescent="0.25">
      <c r="A473" s="63" t="s">
        <v>194</v>
      </c>
      <c r="B473" s="63"/>
      <c r="J473" s="119">
        <v>40588</v>
      </c>
      <c r="K473" s="125"/>
      <c r="L473" s="122"/>
      <c r="M473" s="122"/>
      <c r="N473" s="123">
        <v>40628</v>
      </c>
      <c r="O473" s="261">
        <v>6</v>
      </c>
      <c r="P473" s="261">
        <v>40</v>
      </c>
      <c r="Q473" s="105"/>
      <c r="R473" s="105"/>
      <c r="S473" s="47"/>
      <c r="T473" s="47"/>
    </row>
    <row r="474" spans="1:20" x14ac:dyDescent="0.25">
      <c r="A474" s="63" t="s">
        <v>195</v>
      </c>
      <c r="B474" s="63"/>
      <c r="J474" s="119">
        <v>40574</v>
      </c>
      <c r="K474" s="125"/>
      <c r="L474" s="122"/>
      <c r="M474" s="122"/>
      <c r="N474" s="123">
        <v>40604</v>
      </c>
      <c r="O474" s="261">
        <v>5</v>
      </c>
      <c r="P474" s="261">
        <v>30</v>
      </c>
      <c r="Q474" s="105"/>
      <c r="R474" s="105"/>
      <c r="S474" s="47"/>
      <c r="T474" s="47"/>
    </row>
    <row r="475" spans="1:20" x14ac:dyDescent="0.25">
      <c r="A475" s="63" t="s">
        <v>196</v>
      </c>
      <c r="B475" s="63"/>
      <c r="J475" s="119">
        <v>40595</v>
      </c>
      <c r="K475" s="125"/>
      <c r="L475" s="122"/>
      <c r="M475" s="122"/>
      <c r="N475" s="123">
        <v>40603</v>
      </c>
      <c r="O475" s="261">
        <v>2</v>
      </c>
      <c r="P475" s="261">
        <v>8</v>
      </c>
      <c r="Q475" s="105"/>
      <c r="R475" s="105"/>
      <c r="S475" s="47"/>
      <c r="T475" s="47"/>
    </row>
    <row r="476" spans="1:20" x14ac:dyDescent="0.25">
      <c r="A476" s="63" t="s">
        <v>799</v>
      </c>
      <c r="B476" s="63"/>
      <c r="J476" s="119">
        <v>40590</v>
      </c>
      <c r="K476" s="125"/>
      <c r="L476" s="122"/>
      <c r="M476" s="122"/>
      <c r="N476" s="123">
        <v>40590</v>
      </c>
      <c r="O476" s="261">
        <v>1</v>
      </c>
      <c r="P476" s="261">
        <v>0</v>
      </c>
      <c r="Q476" s="105"/>
      <c r="R476" s="105"/>
      <c r="S476" s="47"/>
      <c r="T476" s="47"/>
    </row>
    <row r="477" spans="1:20" x14ac:dyDescent="0.25">
      <c r="A477" s="63" t="s">
        <v>800</v>
      </c>
      <c r="B477" s="63"/>
      <c r="J477" s="119">
        <v>40592</v>
      </c>
      <c r="K477" s="125"/>
      <c r="L477" s="122"/>
      <c r="M477" s="122"/>
      <c r="N477" s="123">
        <v>40595</v>
      </c>
      <c r="O477" s="261">
        <v>1</v>
      </c>
      <c r="P477" s="261">
        <v>3</v>
      </c>
      <c r="Q477" s="105"/>
      <c r="R477" s="105"/>
      <c r="S477" s="47"/>
      <c r="T477" s="47"/>
    </row>
    <row r="478" spans="1:20" x14ac:dyDescent="0.25">
      <c r="A478" s="63" t="s">
        <v>197</v>
      </c>
      <c r="B478" s="63"/>
      <c r="J478" s="119">
        <v>40591</v>
      </c>
      <c r="K478" s="125"/>
      <c r="L478" s="122"/>
      <c r="M478" s="122"/>
      <c r="N478" s="123">
        <v>40593</v>
      </c>
      <c r="O478" s="261">
        <v>1</v>
      </c>
      <c r="P478" s="261">
        <v>2</v>
      </c>
      <c r="Q478" s="105"/>
      <c r="R478" s="105"/>
      <c r="S478" s="47"/>
      <c r="T478" s="47"/>
    </row>
    <row r="479" spans="1:20" x14ac:dyDescent="0.25">
      <c r="A479" s="63" t="s">
        <v>198</v>
      </c>
      <c r="B479" s="63"/>
      <c r="J479" s="119">
        <v>40591</v>
      </c>
      <c r="K479" s="125"/>
      <c r="L479" s="122"/>
      <c r="M479" s="122"/>
      <c r="N479" s="123">
        <v>40594</v>
      </c>
      <c r="O479" s="261">
        <v>1</v>
      </c>
      <c r="P479" s="261">
        <v>3</v>
      </c>
      <c r="Q479" s="105"/>
      <c r="R479" s="105"/>
      <c r="S479" s="47"/>
      <c r="T479" s="47"/>
    </row>
    <row r="480" spans="1:20" x14ac:dyDescent="0.25">
      <c r="A480" s="63" t="s">
        <v>199</v>
      </c>
      <c r="B480" s="63"/>
      <c r="J480" s="119">
        <v>40591</v>
      </c>
      <c r="K480" s="125"/>
      <c r="L480" s="122"/>
      <c r="M480" s="122"/>
      <c r="N480" s="123">
        <v>40593</v>
      </c>
      <c r="O480" s="261">
        <v>1</v>
      </c>
      <c r="P480" s="261">
        <v>2</v>
      </c>
      <c r="Q480" s="105"/>
      <c r="R480" s="105"/>
      <c r="S480" s="47"/>
      <c r="T480" s="47"/>
    </row>
    <row r="481" spans="1:20" x14ac:dyDescent="0.25">
      <c r="A481" s="63" t="s">
        <v>481</v>
      </c>
      <c r="B481" s="63"/>
      <c r="J481" s="119">
        <v>40585</v>
      </c>
      <c r="K481" s="125"/>
      <c r="L481" s="122"/>
      <c r="M481" s="122"/>
      <c r="N481" s="123">
        <v>40634</v>
      </c>
      <c r="O481" s="261">
        <v>7</v>
      </c>
      <c r="P481" s="261">
        <v>49</v>
      </c>
      <c r="Q481" s="105"/>
      <c r="R481" s="105"/>
      <c r="S481" s="47"/>
      <c r="T481" s="47"/>
    </row>
    <row r="482" spans="1:20" x14ac:dyDescent="0.25">
      <c r="A482" s="63" t="s">
        <v>495</v>
      </c>
      <c r="B482" s="63"/>
      <c r="J482" s="119">
        <v>40584</v>
      </c>
      <c r="K482" s="125"/>
      <c r="L482" s="122"/>
      <c r="M482" s="122"/>
      <c r="N482" s="123">
        <v>40629</v>
      </c>
      <c r="O482" s="261">
        <v>7</v>
      </c>
      <c r="P482" s="261">
        <v>45</v>
      </c>
      <c r="Q482" s="105"/>
      <c r="R482" s="105"/>
      <c r="S482" s="47"/>
      <c r="T482" s="47"/>
    </row>
    <row r="483" spans="1:20" x14ac:dyDescent="0.25">
      <c r="A483" s="63" t="s">
        <v>200</v>
      </c>
      <c r="B483" s="63"/>
      <c r="J483" s="119">
        <v>40585</v>
      </c>
      <c r="K483" s="125"/>
      <c r="L483" s="122"/>
      <c r="M483" s="122"/>
      <c r="N483" s="123">
        <v>40616</v>
      </c>
      <c r="O483" s="261">
        <v>5</v>
      </c>
      <c r="P483" s="261">
        <v>31</v>
      </c>
      <c r="Q483" s="105"/>
      <c r="R483" s="105"/>
      <c r="S483" s="47"/>
      <c r="T483" s="47"/>
    </row>
    <row r="484" spans="1:20" x14ac:dyDescent="0.25">
      <c r="A484" s="63" t="s">
        <v>201</v>
      </c>
      <c r="B484" s="63"/>
      <c r="J484" s="119">
        <v>40584</v>
      </c>
      <c r="K484" s="125"/>
      <c r="L484" s="122"/>
      <c r="M484" s="122"/>
      <c r="N484" s="123">
        <v>40624</v>
      </c>
      <c r="O484" s="261">
        <v>6</v>
      </c>
      <c r="P484" s="261">
        <v>40</v>
      </c>
      <c r="Q484" s="105"/>
      <c r="R484" s="105"/>
      <c r="S484" s="47"/>
      <c r="T484" s="47"/>
    </row>
    <row r="485" spans="1:20" x14ac:dyDescent="0.25">
      <c r="A485" s="63" t="s">
        <v>202</v>
      </c>
      <c r="B485" s="63"/>
      <c r="J485" s="119">
        <v>40585</v>
      </c>
      <c r="K485" s="125"/>
      <c r="L485" s="122"/>
      <c r="M485" s="122"/>
      <c r="N485" s="123">
        <v>40616</v>
      </c>
      <c r="O485" s="261">
        <v>5</v>
      </c>
      <c r="P485" s="261">
        <v>31</v>
      </c>
      <c r="Q485" s="105"/>
      <c r="R485" s="105"/>
      <c r="S485" s="47"/>
      <c r="T485" s="47"/>
    </row>
    <row r="486" spans="1:20" x14ac:dyDescent="0.25">
      <c r="A486" s="63" t="s">
        <v>203</v>
      </c>
      <c r="B486" s="63"/>
      <c r="J486" s="119">
        <v>40585</v>
      </c>
      <c r="K486" s="125"/>
      <c r="L486" s="122"/>
      <c r="M486" s="122"/>
      <c r="N486" s="123">
        <v>40616</v>
      </c>
      <c r="O486" s="261">
        <v>5</v>
      </c>
      <c r="P486" s="261">
        <v>31</v>
      </c>
      <c r="Q486" s="105"/>
      <c r="R486" s="105"/>
      <c r="S486" s="47"/>
      <c r="T486" s="47"/>
    </row>
    <row r="487" spans="1:20" x14ac:dyDescent="0.25">
      <c r="A487" s="63" t="s">
        <v>204</v>
      </c>
      <c r="B487" s="63"/>
      <c r="J487" s="119">
        <v>40585</v>
      </c>
      <c r="K487" s="125"/>
      <c r="L487" s="122"/>
      <c r="M487" s="122"/>
      <c r="N487" s="123">
        <v>40616</v>
      </c>
      <c r="O487" s="261">
        <v>5</v>
      </c>
      <c r="P487" s="261">
        <v>31</v>
      </c>
      <c r="Q487" s="105"/>
      <c r="R487" s="105"/>
      <c r="S487" s="47"/>
      <c r="T487" s="47"/>
    </row>
    <row r="488" spans="1:20" x14ac:dyDescent="0.25">
      <c r="A488" s="63" t="s">
        <v>205</v>
      </c>
      <c r="B488" s="63"/>
      <c r="J488" s="119">
        <v>40585</v>
      </c>
      <c r="K488" s="125"/>
      <c r="L488" s="122"/>
      <c r="M488" s="122"/>
      <c r="N488" s="123">
        <v>40621</v>
      </c>
      <c r="O488" s="261">
        <v>6</v>
      </c>
      <c r="P488" s="261">
        <v>36</v>
      </c>
      <c r="Q488" s="105"/>
      <c r="R488" s="105"/>
      <c r="S488" s="47"/>
      <c r="T488" s="47"/>
    </row>
    <row r="489" spans="1:20" x14ac:dyDescent="0.25">
      <c r="A489" s="63" t="s">
        <v>206</v>
      </c>
      <c r="B489" s="63"/>
      <c r="J489" s="119">
        <v>40585</v>
      </c>
      <c r="K489" s="125"/>
      <c r="L489" s="122"/>
      <c r="M489" s="122"/>
      <c r="N489" s="123">
        <v>40616</v>
      </c>
      <c r="O489" s="261">
        <v>5</v>
      </c>
      <c r="P489" s="261">
        <v>31</v>
      </c>
      <c r="Q489" s="105"/>
      <c r="R489" s="105"/>
      <c r="S489" s="47"/>
      <c r="T489" s="47"/>
    </row>
    <row r="490" spans="1:20" x14ac:dyDescent="0.25">
      <c r="A490" s="63" t="s">
        <v>207</v>
      </c>
      <c r="B490" s="63"/>
      <c r="J490" s="119">
        <v>40584</v>
      </c>
      <c r="K490" s="125"/>
      <c r="L490" s="122"/>
      <c r="M490" s="122"/>
      <c r="N490" s="123">
        <v>40620</v>
      </c>
      <c r="O490" s="261">
        <v>6</v>
      </c>
      <c r="P490" s="261">
        <v>36</v>
      </c>
      <c r="Q490" s="105"/>
      <c r="R490" s="105"/>
      <c r="S490" s="47"/>
      <c r="T490" s="47"/>
    </row>
    <row r="491" spans="1:20" x14ac:dyDescent="0.25">
      <c r="A491" s="63" t="s">
        <v>208</v>
      </c>
      <c r="B491" s="63"/>
      <c r="J491" s="119">
        <v>40585</v>
      </c>
      <c r="K491" s="125"/>
      <c r="L491" s="122"/>
      <c r="M491" s="122"/>
      <c r="N491" s="123">
        <v>40621</v>
      </c>
      <c r="O491" s="261">
        <v>6</v>
      </c>
      <c r="P491" s="261">
        <v>36</v>
      </c>
      <c r="Q491" s="105"/>
      <c r="R491" s="105"/>
      <c r="S491" s="47"/>
      <c r="T491" s="47"/>
    </row>
    <row r="492" spans="1:20" x14ac:dyDescent="0.25">
      <c r="A492" s="63" t="s">
        <v>209</v>
      </c>
      <c r="B492" s="63"/>
      <c r="J492" s="119">
        <v>40585</v>
      </c>
      <c r="K492" s="125"/>
      <c r="L492" s="122"/>
      <c r="M492" s="122"/>
      <c r="N492" s="123">
        <v>40621</v>
      </c>
      <c r="O492" s="261">
        <v>6</v>
      </c>
      <c r="P492" s="261">
        <v>36</v>
      </c>
      <c r="Q492" s="105"/>
      <c r="R492" s="105"/>
      <c r="S492" s="47"/>
      <c r="T492" s="47"/>
    </row>
    <row r="493" spans="1:20" x14ac:dyDescent="0.25">
      <c r="A493" s="63" t="s">
        <v>705</v>
      </c>
      <c r="B493" s="63"/>
      <c r="J493" s="119">
        <v>40584</v>
      </c>
      <c r="K493" s="125"/>
      <c r="L493" s="122"/>
      <c r="M493" s="122"/>
      <c r="N493" s="123">
        <v>40624</v>
      </c>
      <c r="O493" s="261">
        <v>6</v>
      </c>
      <c r="P493" s="261">
        <v>40</v>
      </c>
      <c r="Q493" s="105"/>
      <c r="R493" s="105"/>
      <c r="S493" s="47"/>
      <c r="T493" s="47"/>
    </row>
    <row r="494" spans="1:20" x14ac:dyDescent="0.25">
      <c r="A494" s="63" t="s">
        <v>482</v>
      </c>
      <c r="B494" s="63"/>
      <c r="J494" s="119">
        <v>40585</v>
      </c>
      <c r="K494" s="125"/>
      <c r="L494" s="122"/>
      <c r="M494" s="122"/>
      <c r="N494" s="123">
        <v>40621</v>
      </c>
      <c r="O494" s="261">
        <v>6</v>
      </c>
      <c r="P494" s="261">
        <v>36</v>
      </c>
      <c r="Q494" s="105"/>
      <c r="R494" s="105"/>
      <c r="S494" s="47"/>
      <c r="T494" s="47"/>
    </row>
    <row r="495" spans="1:20" x14ac:dyDescent="0.25">
      <c r="A495" s="63" t="s">
        <v>210</v>
      </c>
      <c r="B495" s="63"/>
      <c r="J495" s="119">
        <v>40585</v>
      </c>
      <c r="K495" s="125"/>
      <c r="L495" s="122"/>
      <c r="M495" s="122"/>
      <c r="N495" s="123">
        <v>40616</v>
      </c>
      <c r="O495" s="261">
        <v>5</v>
      </c>
      <c r="P495" s="261">
        <v>31</v>
      </c>
      <c r="Q495" s="105"/>
      <c r="R495" s="105"/>
      <c r="S495" s="47"/>
      <c r="T495" s="47"/>
    </row>
    <row r="496" spans="1:20" x14ac:dyDescent="0.25">
      <c r="A496" s="63" t="s">
        <v>211</v>
      </c>
      <c r="B496" s="63"/>
      <c r="J496" s="119">
        <v>40585</v>
      </c>
      <c r="K496" s="125"/>
      <c r="L496" s="122"/>
      <c r="M496" s="122"/>
      <c r="N496" s="123">
        <v>40607</v>
      </c>
      <c r="O496" s="261">
        <v>4</v>
      </c>
      <c r="P496" s="261">
        <v>22</v>
      </c>
      <c r="Q496" s="105"/>
      <c r="R496" s="105"/>
      <c r="S496" s="47"/>
      <c r="T496" s="47"/>
    </row>
    <row r="497" spans="1:22" x14ac:dyDescent="0.25">
      <c r="A497" s="72" t="s">
        <v>212</v>
      </c>
      <c r="B497" s="63"/>
      <c r="J497" s="119">
        <v>40583</v>
      </c>
      <c r="K497" s="125"/>
      <c r="L497" s="122"/>
      <c r="M497" s="122"/>
      <c r="N497" s="123">
        <v>40623</v>
      </c>
      <c r="O497" s="261">
        <v>6</v>
      </c>
      <c r="P497" s="261">
        <v>40</v>
      </c>
      <c r="Q497" s="105"/>
      <c r="R497" s="105"/>
      <c r="S497" s="47"/>
      <c r="T497" s="47"/>
    </row>
    <row r="498" spans="1:22" x14ac:dyDescent="0.25">
      <c r="A498" s="72" t="s">
        <v>213</v>
      </c>
      <c r="B498" s="63"/>
      <c r="J498" s="119">
        <v>40585</v>
      </c>
      <c r="K498" s="125"/>
      <c r="L498" s="122"/>
      <c r="M498" s="122"/>
      <c r="N498" s="123">
        <v>40607</v>
      </c>
      <c r="O498" s="261">
        <v>4</v>
      </c>
      <c r="P498" s="261">
        <v>22</v>
      </c>
      <c r="Q498" s="105"/>
      <c r="R498" s="105"/>
      <c r="S498" s="47"/>
      <c r="T498" s="47"/>
    </row>
    <row r="499" spans="1:22" x14ac:dyDescent="0.25">
      <c r="A499" s="72" t="s">
        <v>706</v>
      </c>
      <c r="J499" s="119">
        <v>40583</v>
      </c>
      <c r="K499" s="125"/>
      <c r="L499" s="122"/>
      <c r="M499" s="122"/>
      <c r="N499" s="123">
        <v>40623</v>
      </c>
      <c r="O499" s="261">
        <v>6</v>
      </c>
      <c r="P499" s="261">
        <v>40</v>
      </c>
      <c r="Q499" s="105"/>
      <c r="R499" s="105"/>
      <c r="S499" s="47"/>
      <c r="T499" s="47"/>
    </row>
    <row r="500" spans="1:22" s="64" customFormat="1" x14ac:dyDescent="0.25">
      <c r="A500" s="72" t="s">
        <v>214</v>
      </c>
      <c r="J500" s="119">
        <v>40584</v>
      </c>
      <c r="K500" s="125"/>
      <c r="L500" s="122"/>
      <c r="M500" s="122"/>
      <c r="N500" s="123">
        <v>40620</v>
      </c>
      <c r="O500" s="261">
        <v>6</v>
      </c>
      <c r="P500" s="261">
        <v>36</v>
      </c>
      <c r="Q500" s="105"/>
      <c r="R500" s="105"/>
      <c r="S500" s="47"/>
      <c r="T500" s="47"/>
      <c r="U500" s="47"/>
      <c r="V500" s="50"/>
    </row>
    <row r="501" spans="1:22" s="64" customFormat="1" x14ac:dyDescent="0.25">
      <c r="A501" s="72" t="s">
        <v>215</v>
      </c>
      <c r="J501" s="119">
        <v>40585</v>
      </c>
      <c r="K501" s="125"/>
      <c r="L501" s="122"/>
      <c r="M501" s="122"/>
      <c r="N501" s="123">
        <v>40616</v>
      </c>
      <c r="O501" s="261">
        <v>5</v>
      </c>
      <c r="P501" s="261">
        <v>31</v>
      </c>
      <c r="Q501" s="105"/>
      <c r="R501" s="105"/>
      <c r="S501" s="47"/>
      <c r="T501" s="47"/>
      <c r="U501" s="47"/>
      <c r="V501" s="50"/>
    </row>
    <row r="502" spans="1:22" s="64" customFormat="1" x14ac:dyDescent="0.25">
      <c r="A502" s="72" t="s">
        <v>216</v>
      </c>
      <c r="J502" s="119">
        <v>40584</v>
      </c>
      <c r="K502" s="125"/>
      <c r="L502" s="122"/>
      <c r="M502" s="122"/>
      <c r="N502" s="123">
        <v>40615</v>
      </c>
      <c r="O502" s="261">
        <v>5</v>
      </c>
      <c r="P502" s="261">
        <v>31</v>
      </c>
      <c r="Q502" s="105"/>
      <c r="R502" s="105"/>
      <c r="S502" s="47"/>
      <c r="T502" s="47"/>
      <c r="U502" s="47"/>
      <c r="V502" s="50"/>
    </row>
    <row r="503" spans="1:22" s="64" customFormat="1" x14ac:dyDescent="0.25">
      <c r="A503" s="72" t="s">
        <v>217</v>
      </c>
      <c r="J503" s="119">
        <v>40585</v>
      </c>
      <c r="K503" s="125"/>
      <c r="L503" s="122"/>
      <c r="M503" s="122"/>
      <c r="N503" s="123">
        <v>40603</v>
      </c>
      <c r="O503" s="261">
        <v>3</v>
      </c>
      <c r="P503" s="261">
        <v>18</v>
      </c>
      <c r="Q503" s="105"/>
      <c r="R503" s="105"/>
      <c r="S503" s="47"/>
      <c r="T503" s="47"/>
      <c r="U503" s="47"/>
      <c r="V503" s="50"/>
    </row>
    <row r="504" spans="1:22" s="64" customFormat="1" x14ac:dyDescent="0.25">
      <c r="A504" s="72" t="s">
        <v>218</v>
      </c>
      <c r="J504" s="119">
        <v>40583</v>
      </c>
      <c r="K504" s="125"/>
      <c r="L504" s="122"/>
      <c r="M504" s="122"/>
      <c r="N504" s="123">
        <v>40623</v>
      </c>
      <c r="O504" s="261">
        <v>6</v>
      </c>
      <c r="P504" s="261">
        <v>40</v>
      </c>
      <c r="Q504" s="105"/>
      <c r="R504" s="105"/>
      <c r="S504" s="47"/>
      <c r="T504" s="47"/>
      <c r="U504" s="47"/>
      <c r="V504" s="50"/>
    </row>
    <row r="505" spans="1:22" s="64" customFormat="1" x14ac:dyDescent="0.25">
      <c r="A505" s="72" t="s">
        <v>707</v>
      </c>
      <c r="J505" s="119">
        <v>40582</v>
      </c>
      <c r="K505" s="125"/>
      <c r="L505" s="122"/>
      <c r="M505" s="122"/>
      <c r="N505" s="123">
        <v>40631</v>
      </c>
      <c r="O505" s="261">
        <v>7</v>
      </c>
      <c r="P505" s="261">
        <v>49</v>
      </c>
      <c r="Q505" s="105"/>
      <c r="R505" s="105"/>
      <c r="S505" s="47"/>
      <c r="T505" s="47"/>
      <c r="U505" s="47"/>
      <c r="V505" s="50"/>
    </row>
    <row r="506" spans="1:22" s="64" customFormat="1" x14ac:dyDescent="0.25">
      <c r="A506" s="72" t="s">
        <v>219</v>
      </c>
      <c r="J506" s="119">
        <v>40585</v>
      </c>
      <c r="K506" s="125"/>
      <c r="L506" s="122"/>
      <c r="M506" s="122"/>
      <c r="N506" s="123">
        <v>40607</v>
      </c>
      <c r="O506" s="261">
        <v>4</v>
      </c>
      <c r="P506" s="261">
        <v>22</v>
      </c>
      <c r="Q506" s="105"/>
      <c r="R506" s="105"/>
      <c r="S506" s="47"/>
      <c r="T506" s="47"/>
      <c r="U506" s="47"/>
      <c r="V506" s="50"/>
    </row>
    <row r="507" spans="1:22" s="64" customFormat="1" x14ac:dyDescent="0.25">
      <c r="A507" s="72" t="s">
        <v>220</v>
      </c>
      <c r="J507" s="119">
        <v>40583</v>
      </c>
      <c r="K507" s="125"/>
      <c r="L507" s="122"/>
      <c r="M507" s="122"/>
      <c r="N507" s="123">
        <v>40619</v>
      </c>
      <c r="O507" s="261">
        <v>6</v>
      </c>
      <c r="P507" s="261">
        <v>36</v>
      </c>
      <c r="Q507" s="105"/>
      <c r="R507" s="105"/>
      <c r="S507" s="47"/>
      <c r="T507" s="47"/>
      <c r="U507" s="47"/>
      <c r="V507" s="50"/>
    </row>
    <row r="508" spans="1:22" s="64" customFormat="1" x14ac:dyDescent="0.25">
      <c r="A508" s="72" t="s">
        <v>221</v>
      </c>
      <c r="J508" s="119">
        <v>40583</v>
      </c>
      <c r="K508" s="125"/>
      <c r="L508" s="122"/>
      <c r="M508" s="122"/>
      <c r="N508" s="123">
        <v>40619</v>
      </c>
      <c r="O508" s="261">
        <v>6</v>
      </c>
      <c r="P508" s="261">
        <v>36</v>
      </c>
      <c r="Q508" s="105"/>
      <c r="R508" s="105"/>
      <c r="S508" s="47"/>
      <c r="T508" s="47"/>
      <c r="U508" s="47"/>
      <c r="V508" s="50"/>
    </row>
    <row r="509" spans="1:22" s="64" customFormat="1" x14ac:dyDescent="0.25">
      <c r="A509" s="72" t="s">
        <v>708</v>
      </c>
      <c r="J509" s="119">
        <v>40582</v>
      </c>
      <c r="K509" s="125"/>
      <c r="L509" s="122"/>
      <c r="M509" s="122"/>
      <c r="N509" s="123">
        <v>40618</v>
      </c>
      <c r="O509" s="261">
        <v>6</v>
      </c>
      <c r="P509" s="261">
        <v>36</v>
      </c>
      <c r="Q509" s="105"/>
      <c r="R509" s="105"/>
      <c r="S509" s="47"/>
      <c r="T509" s="47"/>
      <c r="U509" s="47"/>
      <c r="V509" s="50"/>
    </row>
    <row r="510" spans="1:22" s="64" customFormat="1" x14ac:dyDescent="0.25">
      <c r="A510" s="72" t="s">
        <v>709</v>
      </c>
      <c r="J510" s="119">
        <v>40584</v>
      </c>
      <c r="K510" s="125"/>
      <c r="L510" s="122"/>
      <c r="M510" s="122"/>
      <c r="N510" s="123">
        <v>40615</v>
      </c>
      <c r="O510" s="261">
        <v>5</v>
      </c>
      <c r="P510" s="261">
        <v>31</v>
      </c>
      <c r="Q510" s="105"/>
      <c r="R510" s="105"/>
      <c r="S510" s="47"/>
      <c r="T510" s="47"/>
      <c r="U510" s="47"/>
      <c r="V510" s="50"/>
    </row>
    <row r="511" spans="1:22" s="64" customFormat="1" x14ac:dyDescent="0.25">
      <c r="A511" s="72" t="s">
        <v>710</v>
      </c>
      <c r="J511" s="119">
        <v>40584</v>
      </c>
      <c r="K511" s="125"/>
      <c r="L511" s="122"/>
      <c r="M511" s="122"/>
      <c r="N511" s="123">
        <v>40611</v>
      </c>
      <c r="O511" s="261">
        <v>4</v>
      </c>
      <c r="P511" s="261">
        <v>27</v>
      </c>
      <c r="Q511" s="105"/>
      <c r="R511" s="105"/>
      <c r="S511" s="47"/>
      <c r="T511" s="47"/>
      <c r="U511" s="47"/>
      <c r="V511" s="50"/>
    </row>
    <row r="512" spans="1:22" s="64" customFormat="1" x14ac:dyDescent="0.25">
      <c r="A512" s="72" t="s">
        <v>222</v>
      </c>
      <c r="J512" s="119">
        <v>40582</v>
      </c>
      <c r="K512" s="125"/>
      <c r="L512" s="122"/>
      <c r="M512" s="122"/>
      <c r="N512" s="123">
        <v>40618</v>
      </c>
      <c r="O512" s="261">
        <v>6</v>
      </c>
      <c r="P512" s="261">
        <v>36</v>
      </c>
      <c r="Q512" s="105"/>
      <c r="R512" s="105"/>
      <c r="S512" s="47"/>
      <c r="T512" s="47"/>
      <c r="U512" s="47"/>
      <c r="V512" s="50"/>
    </row>
    <row r="513" spans="1:22" s="64" customFormat="1" x14ac:dyDescent="0.25">
      <c r="A513" s="72" t="s">
        <v>223</v>
      </c>
      <c r="J513" s="119">
        <v>40585</v>
      </c>
      <c r="K513" s="125"/>
      <c r="L513" s="122"/>
      <c r="M513" s="122"/>
      <c r="N513" s="123">
        <v>40607</v>
      </c>
      <c r="O513" s="261">
        <v>4</v>
      </c>
      <c r="P513" s="261">
        <v>22</v>
      </c>
      <c r="Q513" s="105"/>
      <c r="R513" s="105"/>
      <c r="S513" s="47"/>
      <c r="T513" s="47"/>
      <c r="U513" s="47"/>
      <c r="V513" s="50"/>
    </row>
    <row r="514" spans="1:22" s="64" customFormat="1" x14ac:dyDescent="0.25">
      <c r="A514" s="72" t="s">
        <v>224</v>
      </c>
      <c r="J514" s="119">
        <v>40582</v>
      </c>
      <c r="K514" s="125"/>
      <c r="L514" s="122"/>
      <c r="M514" s="122"/>
      <c r="N514" s="123">
        <v>40622</v>
      </c>
      <c r="O514" s="261">
        <v>6</v>
      </c>
      <c r="P514" s="261">
        <v>40</v>
      </c>
      <c r="Q514" s="105"/>
      <c r="R514" s="105"/>
      <c r="S514" s="47"/>
      <c r="T514" s="47"/>
      <c r="U514" s="47"/>
      <c r="V514" s="50"/>
    </row>
    <row r="515" spans="1:22" s="64" customFormat="1" x14ac:dyDescent="0.25">
      <c r="A515" s="72" t="s">
        <v>225</v>
      </c>
      <c r="J515" s="119">
        <v>40582</v>
      </c>
      <c r="K515" s="125"/>
      <c r="L515" s="122"/>
      <c r="M515" s="122"/>
      <c r="N515" s="123">
        <v>40627</v>
      </c>
      <c r="O515" s="261">
        <v>7</v>
      </c>
      <c r="P515" s="261">
        <v>45</v>
      </c>
      <c r="Q515" s="105"/>
      <c r="R515" s="105"/>
      <c r="S515" s="47"/>
      <c r="T515" s="47"/>
      <c r="U515" s="47"/>
      <c r="V515" s="50"/>
    </row>
    <row r="516" spans="1:22" s="64" customFormat="1" x14ac:dyDescent="0.25">
      <c r="A516" s="72" t="s">
        <v>226</v>
      </c>
      <c r="J516" s="119">
        <v>40578</v>
      </c>
      <c r="K516" s="125"/>
      <c r="L516" s="122"/>
      <c r="M516" s="122"/>
      <c r="N516" s="123">
        <v>40632</v>
      </c>
      <c r="O516" s="261">
        <v>8</v>
      </c>
      <c r="P516" s="261">
        <v>54</v>
      </c>
      <c r="Q516" s="105"/>
      <c r="R516" s="105"/>
      <c r="S516" s="47"/>
      <c r="T516" s="47"/>
      <c r="U516" s="47"/>
      <c r="V516" s="50"/>
    </row>
    <row r="517" spans="1:22" s="64" customFormat="1" x14ac:dyDescent="0.25">
      <c r="A517" s="72" t="s">
        <v>483</v>
      </c>
      <c r="J517" s="119">
        <v>40577</v>
      </c>
      <c r="K517" s="125"/>
      <c r="L517" s="122"/>
      <c r="M517" s="122"/>
      <c r="N517" s="123">
        <v>40626</v>
      </c>
      <c r="O517" s="261">
        <v>7</v>
      </c>
      <c r="P517" s="261">
        <v>49</v>
      </c>
      <c r="Q517" s="105"/>
      <c r="R517" s="105"/>
      <c r="S517" s="47"/>
      <c r="T517" s="47"/>
      <c r="U517" s="47"/>
      <c r="V517" s="50"/>
    </row>
    <row r="518" spans="1:22" s="64" customFormat="1" x14ac:dyDescent="0.25">
      <c r="A518" s="72" t="s">
        <v>484</v>
      </c>
      <c r="J518" s="119">
        <v>40583</v>
      </c>
      <c r="K518" s="125"/>
      <c r="L518" s="122"/>
      <c r="M518" s="122"/>
      <c r="N518" s="123">
        <v>40605</v>
      </c>
      <c r="O518" s="261">
        <v>4</v>
      </c>
      <c r="P518" s="261">
        <v>22</v>
      </c>
      <c r="Q518" s="105"/>
      <c r="R518" s="105"/>
      <c r="S518" s="47"/>
      <c r="T518" s="47"/>
      <c r="U518" s="47"/>
      <c r="V518" s="50"/>
    </row>
    <row r="519" spans="1:22" s="64" customFormat="1" x14ac:dyDescent="0.25">
      <c r="A519" s="72" t="s">
        <v>227</v>
      </c>
      <c r="J519" s="119">
        <v>40584</v>
      </c>
      <c r="K519" s="125"/>
      <c r="L519" s="122"/>
      <c r="M519" s="122"/>
      <c r="N519" s="123">
        <v>40597</v>
      </c>
      <c r="O519" s="261">
        <v>2</v>
      </c>
      <c r="P519" s="261">
        <v>13</v>
      </c>
      <c r="Q519" s="105"/>
      <c r="R519" s="105"/>
      <c r="S519" s="47"/>
      <c r="T519" s="47"/>
      <c r="U519" s="47"/>
      <c r="V519" s="50"/>
    </row>
    <row r="520" spans="1:22" s="64" customFormat="1" x14ac:dyDescent="0.25">
      <c r="A520" s="72" t="s">
        <v>711</v>
      </c>
      <c r="J520" s="119">
        <v>40582</v>
      </c>
      <c r="K520" s="125"/>
      <c r="L520" s="122"/>
      <c r="M520" s="122"/>
      <c r="N520" s="123">
        <v>40609</v>
      </c>
      <c r="O520" s="261">
        <v>4</v>
      </c>
      <c r="P520" s="261">
        <v>27</v>
      </c>
      <c r="Q520" s="105"/>
      <c r="R520" s="105"/>
      <c r="S520" s="47"/>
      <c r="T520" s="47"/>
      <c r="U520" s="47"/>
      <c r="V520" s="50"/>
    </row>
    <row r="521" spans="1:22" s="64" customFormat="1" x14ac:dyDescent="0.25">
      <c r="A521" s="72" t="s">
        <v>712</v>
      </c>
      <c r="J521" s="119">
        <v>40582</v>
      </c>
      <c r="K521" s="125"/>
      <c r="L521" s="122"/>
      <c r="M521" s="122"/>
      <c r="N521" s="123">
        <v>40613</v>
      </c>
      <c r="O521" s="261">
        <v>5</v>
      </c>
      <c r="P521" s="261">
        <v>31</v>
      </c>
      <c r="Q521" s="105"/>
      <c r="R521" s="105"/>
      <c r="S521" s="47"/>
      <c r="T521" s="47"/>
      <c r="U521" s="47"/>
      <c r="V521" s="50"/>
    </row>
    <row r="522" spans="1:22" s="64" customFormat="1" x14ac:dyDescent="0.25">
      <c r="A522" s="72" t="s">
        <v>228</v>
      </c>
      <c r="J522" s="119">
        <v>40582</v>
      </c>
      <c r="K522" s="125"/>
      <c r="L522" s="122"/>
      <c r="M522" s="122"/>
      <c r="N522" s="123">
        <v>40618</v>
      </c>
      <c r="O522" s="261">
        <v>6</v>
      </c>
      <c r="P522" s="261">
        <v>36</v>
      </c>
      <c r="Q522" s="105"/>
      <c r="R522" s="105"/>
      <c r="S522" s="47"/>
      <c r="T522" s="47"/>
      <c r="U522" s="47"/>
      <c r="V522" s="50"/>
    </row>
    <row r="523" spans="1:22" s="64" customFormat="1" x14ac:dyDescent="0.25">
      <c r="A523" s="72" t="s">
        <v>229</v>
      </c>
      <c r="J523" s="119">
        <v>40582</v>
      </c>
      <c r="K523" s="125"/>
      <c r="L523" s="122"/>
      <c r="M523" s="122"/>
      <c r="N523" s="123">
        <v>40613</v>
      </c>
      <c r="O523" s="261">
        <v>5</v>
      </c>
      <c r="P523" s="261">
        <v>31</v>
      </c>
      <c r="Q523" s="105"/>
      <c r="R523" s="105"/>
      <c r="S523" s="47"/>
      <c r="T523" s="47"/>
      <c r="U523" s="47"/>
      <c r="V523" s="50"/>
    </row>
    <row r="524" spans="1:22" s="64" customFormat="1" x14ac:dyDescent="0.25">
      <c r="A524" s="72" t="s">
        <v>713</v>
      </c>
      <c r="J524" s="119">
        <v>40584</v>
      </c>
      <c r="K524" s="125"/>
      <c r="L524" s="122"/>
      <c r="M524" s="122"/>
      <c r="N524" s="123">
        <v>40602</v>
      </c>
      <c r="O524" s="261">
        <v>3</v>
      </c>
      <c r="P524" s="261">
        <v>18</v>
      </c>
      <c r="Q524" s="105"/>
      <c r="R524" s="105"/>
      <c r="S524" s="47"/>
      <c r="T524" s="47"/>
      <c r="U524" s="47"/>
      <c r="V524" s="50"/>
    </row>
    <row r="525" spans="1:22" s="64" customFormat="1" x14ac:dyDescent="0.25">
      <c r="A525" s="72" t="s">
        <v>230</v>
      </c>
      <c r="J525" s="119"/>
      <c r="K525" s="125"/>
      <c r="L525" s="122"/>
      <c r="M525" s="122"/>
      <c r="N525" s="123"/>
      <c r="O525" s="261">
        <v>1</v>
      </c>
      <c r="P525" s="261">
        <v>0</v>
      </c>
      <c r="Q525" s="105"/>
      <c r="R525" s="105"/>
      <c r="S525" s="47"/>
      <c r="T525" s="47"/>
      <c r="U525" s="47"/>
      <c r="V525" s="50"/>
    </row>
    <row r="526" spans="1:22" s="64" customFormat="1" x14ac:dyDescent="0.25">
      <c r="A526" s="72" t="s">
        <v>714</v>
      </c>
      <c r="J526" s="119"/>
      <c r="K526" s="125"/>
      <c r="L526" s="122"/>
      <c r="M526" s="122"/>
      <c r="N526" s="123"/>
      <c r="O526" s="261">
        <v>1</v>
      </c>
      <c r="P526" s="261">
        <v>0</v>
      </c>
      <c r="Q526" s="105"/>
      <c r="R526" s="105"/>
      <c r="S526" s="47"/>
      <c r="T526" s="47"/>
      <c r="U526" s="47"/>
      <c r="V526" s="50"/>
    </row>
    <row r="527" spans="1:22" s="64" customFormat="1" x14ac:dyDescent="0.25">
      <c r="A527" s="72" t="s">
        <v>715</v>
      </c>
      <c r="J527" s="119"/>
      <c r="K527" s="125"/>
      <c r="L527" s="122"/>
      <c r="M527" s="122"/>
      <c r="N527" s="123"/>
      <c r="O527" s="261">
        <v>1</v>
      </c>
      <c r="P527" s="261">
        <v>0</v>
      </c>
      <c r="Q527" s="105"/>
      <c r="R527" s="105"/>
      <c r="S527" s="47"/>
      <c r="T527" s="47"/>
      <c r="U527" s="47"/>
      <c r="V527" s="50"/>
    </row>
    <row r="528" spans="1:22" s="64" customFormat="1" x14ac:dyDescent="0.25">
      <c r="A528" s="72" t="s">
        <v>231</v>
      </c>
      <c r="J528" s="119"/>
      <c r="K528" s="125"/>
      <c r="L528" s="122"/>
      <c r="M528" s="122"/>
      <c r="N528" s="123"/>
      <c r="O528" s="261">
        <v>1</v>
      </c>
      <c r="P528" s="261">
        <v>0</v>
      </c>
      <c r="Q528" s="105"/>
      <c r="R528" s="105"/>
      <c r="S528" s="47"/>
      <c r="T528" s="47"/>
      <c r="U528" s="47"/>
      <c r="V528" s="50"/>
    </row>
    <row r="529" spans="1:22" s="64" customFormat="1" x14ac:dyDescent="0.25">
      <c r="A529" s="72" t="s">
        <v>232</v>
      </c>
      <c r="J529" s="119"/>
      <c r="K529" s="125"/>
      <c r="L529" s="122"/>
      <c r="M529" s="122"/>
      <c r="N529" s="123"/>
      <c r="O529" s="261">
        <v>1</v>
      </c>
      <c r="P529" s="261">
        <v>0</v>
      </c>
      <c r="Q529" s="105"/>
      <c r="R529" s="105"/>
      <c r="S529" s="47"/>
      <c r="T529" s="47"/>
      <c r="U529" s="47"/>
      <c r="V529" s="50"/>
    </row>
    <row r="530" spans="1:22" s="64" customFormat="1" x14ac:dyDescent="0.25">
      <c r="A530" s="72" t="s">
        <v>233</v>
      </c>
      <c r="J530" s="119"/>
      <c r="K530" s="125"/>
      <c r="L530" s="122"/>
      <c r="M530" s="122"/>
      <c r="N530" s="123"/>
      <c r="O530" s="261">
        <v>1</v>
      </c>
      <c r="P530" s="261">
        <v>0</v>
      </c>
      <c r="Q530" s="105"/>
      <c r="R530" s="105"/>
      <c r="S530" s="47"/>
      <c r="T530" s="47"/>
      <c r="U530" s="47"/>
      <c r="V530" s="50"/>
    </row>
    <row r="531" spans="1:22" s="64" customFormat="1" x14ac:dyDescent="0.25">
      <c r="A531" s="72" t="s">
        <v>234</v>
      </c>
      <c r="J531" s="119"/>
      <c r="K531" s="125"/>
      <c r="L531" s="122"/>
      <c r="M531" s="122"/>
      <c r="N531" s="123"/>
      <c r="O531" s="261">
        <v>1</v>
      </c>
      <c r="P531" s="261">
        <v>0</v>
      </c>
      <c r="Q531" s="105"/>
      <c r="R531" s="105"/>
      <c r="S531" s="47"/>
      <c r="T531" s="47"/>
      <c r="U531" s="47"/>
      <c r="V531" s="50"/>
    </row>
    <row r="532" spans="1:22" s="64" customFormat="1" x14ac:dyDescent="0.25">
      <c r="A532" s="72" t="s">
        <v>235</v>
      </c>
      <c r="J532" s="119"/>
      <c r="K532" s="125"/>
      <c r="L532" s="122"/>
      <c r="M532" s="122"/>
      <c r="N532" s="123"/>
      <c r="O532" s="261">
        <v>1</v>
      </c>
      <c r="P532" s="261">
        <v>0</v>
      </c>
      <c r="Q532" s="105"/>
      <c r="R532" s="105"/>
      <c r="S532" s="47"/>
      <c r="T532" s="47"/>
      <c r="U532" s="47"/>
      <c r="V532" s="50"/>
    </row>
    <row r="533" spans="1:22" s="64" customFormat="1" x14ac:dyDescent="0.25">
      <c r="A533" s="72" t="s">
        <v>236</v>
      </c>
      <c r="J533" s="119"/>
      <c r="K533" s="125"/>
      <c r="L533" s="122"/>
      <c r="M533" s="122"/>
      <c r="N533" s="123"/>
      <c r="O533" s="261">
        <v>1</v>
      </c>
      <c r="P533" s="261">
        <v>0</v>
      </c>
      <c r="Q533" s="105"/>
      <c r="R533" s="105"/>
      <c r="S533" s="47"/>
      <c r="T533" s="47"/>
      <c r="U533" s="47"/>
      <c r="V533" s="50"/>
    </row>
    <row r="534" spans="1:22" s="64" customFormat="1" x14ac:dyDescent="0.25">
      <c r="A534" s="72" t="s">
        <v>237</v>
      </c>
      <c r="J534" s="119"/>
      <c r="K534" s="125"/>
      <c r="L534" s="122"/>
      <c r="M534" s="122"/>
      <c r="N534" s="123"/>
      <c r="O534" s="261">
        <v>1</v>
      </c>
      <c r="P534" s="261">
        <v>0</v>
      </c>
      <c r="Q534" s="105"/>
      <c r="R534" s="105"/>
      <c r="S534" s="47"/>
      <c r="T534" s="47"/>
      <c r="U534" s="47"/>
      <c r="V534" s="50"/>
    </row>
    <row r="535" spans="1:22" s="64" customFormat="1" x14ac:dyDescent="0.25">
      <c r="A535" s="72" t="s">
        <v>238</v>
      </c>
      <c r="J535" s="119"/>
      <c r="K535" s="125"/>
      <c r="L535" s="122"/>
      <c r="M535" s="122"/>
      <c r="N535" s="123"/>
      <c r="O535" s="261">
        <v>1</v>
      </c>
      <c r="P535" s="261">
        <v>0</v>
      </c>
      <c r="Q535" s="105"/>
      <c r="R535" s="105"/>
      <c r="S535" s="47"/>
      <c r="T535" s="47"/>
      <c r="U535" s="47"/>
      <c r="V535" s="50"/>
    </row>
    <row r="536" spans="1:22" s="64" customFormat="1" x14ac:dyDescent="0.25">
      <c r="A536" s="72" t="s">
        <v>239</v>
      </c>
      <c r="J536" s="119"/>
      <c r="K536" s="125"/>
      <c r="L536" s="122"/>
      <c r="M536" s="122"/>
      <c r="N536" s="123"/>
      <c r="O536" s="261">
        <v>1</v>
      </c>
      <c r="P536" s="261">
        <v>0</v>
      </c>
      <c r="Q536" s="105"/>
      <c r="R536" s="105"/>
      <c r="S536" s="47"/>
      <c r="T536" s="47"/>
      <c r="U536" s="47"/>
      <c r="V536" s="50"/>
    </row>
    <row r="537" spans="1:22" s="64" customFormat="1" x14ac:dyDescent="0.25">
      <c r="A537" s="72" t="s">
        <v>716</v>
      </c>
      <c r="J537" s="119"/>
      <c r="K537" s="125"/>
      <c r="L537" s="122"/>
      <c r="M537" s="122"/>
      <c r="N537" s="123"/>
      <c r="O537" s="261">
        <v>1</v>
      </c>
      <c r="P537" s="261">
        <v>0</v>
      </c>
      <c r="Q537" s="105"/>
      <c r="R537" s="105"/>
      <c r="S537" s="47"/>
      <c r="T537" s="47"/>
      <c r="U537" s="47"/>
      <c r="V537" s="50"/>
    </row>
    <row r="538" spans="1:22" s="64" customFormat="1" x14ac:dyDescent="0.25">
      <c r="A538" s="72" t="s">
        <v>717</v>
      </c>
      <c r="J538" s="119"/>
      <c r="K538" s="125"/>
      <c r="L538" s="122"/>
      <c r="M538" s="122"/>
      <c r="N538" s="123"/>
      <c r="O538" s="261">
        <v>1</v>
      </c>
      <c r="P538" s="261">
        <v>0</v>
      </c>
      <c r="Q538" s="105"/>
      <c r="R538" s="105"/>
      <c r="S538" s="47"/>
      <c r="T538" s="47"/>
      <c r="U538" s="47"/>
      <c r="V538" s="50"/>
    </row>
    <row r="539" spans="1:22" s="64" customFormat="1" x14ac:dyDescent="0.25">
      <c r="A539" s="72" t="s">
        <v>240</v>
      </c>
      <c r="J539" s="119"/>
      <c r="K539" s="125"/>
      <c r="L539" s="122"/>
      <c r="M539" s="122"/>
      <c r="N539" s="123"/>
      <c r="O539" s="261">
        <v>1</v>
      </c>
      <c r="P539" s="261">
        <v>0</v>
      </c>
      <c r="Q539" s="105"/>
      <c r="R539" s="105"/>
      <c r="S539" s="47"/>
      <c r="T539" s="47"/>
      <c r="U539" s="47"/>
      <c r="V539" s="50"/>
    </row>
    <row r="540" spans="1:22" s="64" customFormat="1" x14ac:dyDescent="0.25">
      <c r="A540" s="72" t="s">
        <v>485</v>
      </c>
      <c r="J540" s="119"/>
      <c r="K540" s="125"/>
      <c r="L540" s="122"/>
      <c r="M540" s="122"/>
      <c r="N540" s="123"/>
      <c r="O540" s="261">
        <v>1</v>
      </c>
      <c r="P540" s="261">
        <v>0</v>
      </c>
      <c r="Q540" s="105"/>
      <c r="R540" s="105"/>
      <c r="S540" s="47"/>
      <c r="T540" s="47"/>
      <c r="U540" s="47"/>
      <c r="V540" s="50"/>
    </row>
    <row r="541" spans="1:22" s="64" customFormat="1" x14ac:dyDescent="0.25">
      <c r="A541" s="72" t="s">
        <v>241</v>
      </c>
      <c r="J541" s="119"/>
      <c r="K541" s="125"/>
      <c r="L541" s="122"/>
      <c r="M541" s="122"/>
      <c r="N541" s="123"/>
      <c r="O541" s="261">
        <v>1</v>
      </c>
      <c r="P541" s="261">
        <v>0</v>
      </c>
      <c r="Q541" s="105"/>
      <c r="R541" s="105"/>
      <c r="S541" s="47"/>
      <c r="T541" s="47"/>
      <c r="U541" s="47"/>
      <c r="V541" s="50"/>
    </row>
    <row r="542" spans="1:22" s="64" customFormat="1" x14ac:dyDescent="0.25">
      <c r="A542" s="72" t="s">
        <v>242</v>
      </c>
      <c r="J542" s="119"/>
      <c r="K542" s="125"/>
      <c r="L542" s="122"/>
      <c r="M542" s="122"/>
      <c r="N542" s="123"/>
      <c r="O542" s="261">
        <v>1</v>
      </c>
      <c r="P542" s="261">
        <v>0</v>
      </c>
      <c r="Q542" s="105"/>
      <c r="R542" s="105"/>
      <c r="S542" s="47"/>
      <c r="T542" s="47"/>
      <c r="U542" s="47"/>
      <c r="V542" s="50"/>
    </row>
    <row r="543" spans="1:22" s="64" customFormat="1" x14ac:dyDescent="0.25">
      <c r="A543" s="72" t="s">
        <v>243</v>
      </c>
      <c r="J543" s="119"/>
      <c r="K543" s="125"/>
      <c r="L543" s="122"/>
      <c r="M543" s="122"/>
      <c r="N543" s="123"/>
      <c r="O543" s="261">
        <v>1</v>
      </c>
      <c r="P543" s="261">
        <v>0</v>
      </c>
      <c r="Q543" s="105"/>
      <c r="R543" s="105"/>
      <c r="S543" s="47"/>
      <c r="T543" s="47"/>
      <c r="U543" s="47"/>
      <c r="V543" s="50"/>
    </row>
    <row r="544" spans="1:22" s="64" customFormat="1" x14ac:dyDescent="0.25">
      <c r="A544" s="72" t="s">
        <v>486</v>
      </c>
      <c r="J544" s="119"/>
      <c r="K544" s="125"/>
      <c r="L544" s="122"/>
      <c r="M544" s="122"/>
      <c r="N544" s="123"/>
      <c r="O544" s="261">
        <v>1</v>
      </c>
      <c r="P544" s="261">
        <v>0</v>
      </c>
      <c r="Q544" s="105"/>
      <c r="R544" s="105"/>
      <c r="S544" s="47"/>
      <c r="T544" s="47"/>
      <c r="U544" s="47"/>
      <c r="V544" s="50"/>
    </row>
    <row r="545" spans="1:22" s="64" customFormat="1" x14ac:dyDescent="0.25">
      <c r="A545" s="72" t="s">
        <v>244</v>
      </c>
      <c r="J545" s="119"/>
      <c r="K545" s="125"/>
      <c r="L545" s="122"/>
      <c r="M545" s="122"/>
      <c r="N545" s="123"/>
      <c r="O545" s="261">
        <v>1</v>
      </c>
      <c r="P545" s="261">
        <v>0</v>
      </c>
      <c r="Q545" s="105"/>
      <c r="R545" s="105"/>
      <c r="S545" s="47"/>
      <c r="T545" s="47"/>
      <c r="U545" s="47"/>
      <c r="V545" s="50"/>
    </row>
    <row r="546" spans="1:22" s="64" customFormat="1" x14ac:dyDescent="0.25">
      <c r="A546" s="72" t="s">
        <v>245</v>
      </c>
      <c r="J546" s="119"/>
      <c r="K546" s="125"/>
      <c r="L546" s="122"/>
      <c r="M546" s="122"/>
      <c r="N546" s="123"/>
      <c r="O546" s="261">
        <v>1</v>
      </c>
      <c r="P546" s="261">
        <v>0</v>
      </c>
      <c r="Q546" s="105"/>
      <c r="R546" s="105"/>
      <c r="S546" s="47"/>
      <c r="T546" s="47"/>
      <c r="U546" s="47"/>
      <c r="V546" s="50"/>
    </row>
    <row r="547" spans="1:22" s="64" customFormat="1" x14ac:dyDescent="0.25">
      <c r="A547" s="72" t="s">
        <v>246</v>
      </c>
      <c r="J547" s="119"/>
      <c r="K547" s="125"/>
      <c r="L547" s="122"/>
      <c r="M547" s="122"/>
      <c r="N547" s="123"/>
      <c r="O547" s="261">
        <v>1</v>
      </c>
      <c r="P547" s="261">
        <v>0</v>
      </c>
      <c r="Q547" s="105"/>
      <c r="R547" s="105"/>
      <c r="S547" s="47"/>
      <c r="T547" s="47"/>
      <c r="U547" s="47"/>
      <c r="V547" s="50"/>
    </row>
    <row r="548" spans="1:22" s="64" customFormat="1" x14ac:dyDescent="0.25">
      <c r="A548" s="72" t="s">
        <v>247</v>
      </c>
      <c r="J548" s="119"/>
      <c r="K548" s="125"/>
      <c r="L548" s="122"/>
      <c r="M548" s="122"/>
      <c r="N548" s="123"/>
      <c r="O548" s="261">
        <v>1</v>
      </c>
      <c r="P548" s="261">
        <v>0</v>
      </c>
      <c r="Q548" s="105"/>
      <c r="R548" s="105"/>
      <c r="S548" s="47"/>
      <c r="T548" s="47"/>
      <c r="U548" s="47"/>
      <c r="V548" s="50"/>
    </row>
    <row r="549" spans="1:22" s="64" customFormat="1" x14ac:dyDescent="0.25">
      <c r="A549" s="72" t="s">
        <v>248</v>
      </c>
      <c r="J549" s="119"/>
      <c r="K549" s="125"/>
      <c r="L549" s="122"/>
      <c r="M549" s="122"/>
      <c r="N549" s="123"/>
      <c r="O549" s="261">
        <v>1</v>
      </c>
      <c r="P549" s="261">
        <v>0</v>
      </c>
      <c r="Q549" s="105"/>
      <c r="R549" s="105"/>
      <c r="S549" s="47"/>
      <c r="T549" s="47"/>
      <c r="U549" s="47"/>
      <c r="V549" s="50"/>
    </row>
    <row r="550" spans="1:22" s="64" customFormat="1" x14ac:dyDescent="0.25">
      <c r="A550" s="72" t="s">
        <v>718</v>
      </c>
      <c r="J550" s="119"/>
      <c r="K550" s="125"/>
      <c r="L550" s="122"/>
      <c r="M550" s="122"/>
      <c r="N550" s="123"/>
      <c r="O550" s="261">
        <v>1</v>
      </c>
      <c r="P550" s="261">
        <v>0</v>
      </c>
      <c r="Q550" s="105"/>
      <c r="R550" s="105"/>
      <c r="S550" s="47"/>
      <c r="T550" s="47"/>
      <c r="U550" s="47"/>
      <c r="V550" s="50"/>
    </row>
    <row r="551" spans="1:22" s="64" customFormat="1" x14ac:dyDescent="0.25">
      <c r="A551" s="72" t="s">
        <v>249</v>
      </c>
      <c r="J551" s="119"/>
      <c r="K551" s="125"/>
      <c r="L551" s="122"/>
      <c r="M551" s="122"/>
      <c r="N551" s="123"/>
      <c r="O551" s="261">
        <v>1</v>
      </c>
      <c r="P551" s="261">
        <v>0</v>
      </c>
      <c r="Q551" s="105"/>
      <c r="R551" s="105"/>
      <c r="S551" s="47"/>
      <c r="T551" s="47"/>
      <c r="U551" s="47"/>
      <c r="V551" s="50"/>
    </row>
    <row r="552" spans="1:22" s="64" customFormat="1" x14ac:dyDescent="0.25">
      <c r="A552" s="72" t="s">
        <v>250</v>
      </c>
      <c r="J552" s="119"/>
      <c r="K552" s="125"/>
      <c r="L552" s="122"/>
      <c r="M552" s="122"/>
      <c r="N552" s="123"/>
      <c r="O552" s="261">
        <v>1</v>
      </c>
      <c r="P552" s="261">
        <v>0</v>
      </c>
      <c r="Q552" s="105"/>
      <c r="R552" s="105"/>
      <c r="S552" s="47"/>
      <c r="T552" s="47"/>
      <c r="U552" s="47"/>
      <c r="V552" s="50"/>
    </row>
    <row r="553" spans="1:22" s="64" customFormat="1" x14ac:dyDescent="0.25">
      <c r="A553" s="72" t="s">
        <v>251</v>
      </c>
      <c r="J553" s="119"/>
      <c r="K553" s="125"/>
      <c r="L553" s="122"/>
      <c r="M553" s="122"/>
      <c r="N553" s="123"/>
      <c r="O553" s="261">
        <v>1</v>
      </c>
      <c r="P553" s="261">
        <v>0</v>
      </c>
      <c r="Q553" s="105"/>
      <c r="R553" s="105"/>
      <c r="S553" s="47"/>
      <c r="T553" s="47"/>
      <c r="U553" s="47"/>
      <c r="V553" s="50"/>
    </row>
    <row r="554" spans="1:22" s="64" customFormat="1" x14ac:dyDescent="0.25">
      <c r="A554" s="72" t="s">
        <v>252</v>
      </c>
      <c r="J554" s="119"/>
      <c r="K554" s="125"/>
      <c r="L554" s="122"/>
      <c r="M554" s="122"/>
      <c r="N554" s="123"/>
      <c r="O554" s="261">
        <v>1</v>
      </c>
      <c r="P554" s="261">
        <v>0</v>
      </c>
      <c r="Q554" s="105"/>
      <c r="R554" s="105"/>
      <c r="S554" s="47"/>
      <c r="T554" s="47"/>
      <c r="U554" s="47"/>
      <c r="V554" s="50"/>
    </row>
    <row r="555" spans="1:22" s="64" customFormat="1" x14ac:dyDescent="0.25">
      <c r="A555" s="72" t="s">
        <v>253</v>
      </c>
      <c r="J555" s="119"/>
      <c r="K555" s="125"/>
      <c r="L555" s="122"/>
      <c r="M555" s="122"/>
      <c r="N555" s="123"/>
      <c r="O555" s="261">
        <v>1</v>
      </c>
      <c r="P555" s="261">
        <v>0</v>
      </c>
      <c r="Q555" s="105"/>
      <c r="R555" s="105"/>
      <c r="S555" s="47"/>
      <c r="T555" s="47"/>
      <c r="U555" s="47"/>
      <c r="V555" s="50"/>
    </row>
    <row r="556" spans="1:22" s="64" customFormat="1" x14ac:dyDescent="0.25">
      <c r="A556" s="72" t="s">
        <v>719</v>
      </c>
      <c r="J556" s="119"/>
      <c r="K556" s="125"/>
      <c r="L556" s="122"/>
      <c r="M556" s="122"/>
      <c r="N556" s="123"/>
      <c r="O556" s="261">
        <v>1</v>
      </c>
      <c r="P556" s="261">
        <v>0</v>
      </c>
      <c r="Q556" s="105"/>
      <c r="R556" s="105"/>
      <c r="S556" s="47"/>
      <c r="T556" s="47"/>
      <c r="U556" s="47"/>
      <c r="V556" s="50"/>
    </row>
    <row r="557" spans="1:22" s="64" customFormat="1" x14ac:dyDescent="0.25">
      <c r="A557" s="72" t="s">
        <v>720</v>
      </c>
      <c r="J557" s="119"/>
      <c r="K557" s="125"/>
      <c r="L557" s="122"/>
      <c r="M557" s="122"/>
      <c r="N557" s="123"/>
      <c r="O557" s="261">
        <v>1</v>
      </c>
      <c r="P557" s="261">
        <v>0</v>
      </c>
      <c r="Q557" s="105"/>
      <c r="R557" s="105"/>
      <c r="S557" s="47"/>
      <c r="T557" s="47"/>
      <c r="U557" s="47"/>
      <c r="V557" s="50"/>
    </row>
    <row r="558" spans="1:22" s="64" customFormat="1" x14ac:dyDescent="0.25">
      <c r="A558" s="72" t="s">
        <v>487</v>
      </c>
      <c r="J558" s="119"/>
      <c r="K558" s="125"/>
      <c r="L558" s="122"/>
      <c r="M558" s="122"/>
      <c r="N558" s="123"/>
      <c r="O558" s="261">
        <v>1</v>
      </c>
      <c r="P558" s="261">
        <v>0</v>
      </c>
      <c r="Q558" s="105"/>
      <c r="R558" s="105"/>
      <c r="S558" s="47"/>
      <c r="T558" s="47"/>
      <c r="U558" s="47"/>
      <c r="V558" s="50"/>
    </row>
    <row r="559" spans="1:22" s="64" customFormat="1" x14ac:dyDescent="0.25">
      <c r="A559" s="72" t="s">
        <v>721</v>
      </c>
      <c r="J559" s="119"/>
      <c r="K559" s="125"/>
      <c r="L559" s="122"/>
      <c r="M559" s="122"/>
      <c r="N559" s="123"/>
      <c r="O559" s="261">
        <v>1</v>
      </c>
      <c r="P559" s="261">
        <v>0</v>
      </c>
      <c r="Q559" s="105"/>
      <c r="R559" s="105"/>
      <c r="S559" s="47"/>
      <c r="T559" s="47"/>
      <c r="U559" s="47"/>
      <c r="V559" s="50"/>
    </row>
    <row r="560" spans="1:22" s="64" customFormat="1" x14ac:dyDescent="0.25">
      <c r="A560" s="72" t="s">
        <v>254</v>
      </c>
      <c r="J560" s="119"/>
      <c r="K560" s="125"/>
      <c r="L560" s="122"/>
      <c r="M560" s="122"/>
      <c r="N560" s="123"/>
      <c r="O560" s="261">
        <v>1</v>
      </c>
      <c r="P560" s="261">
        <v>0</v>
      </c>
      <c r="Q560" s="105"/>
      <c r="R560" s="105"/>
      <c r="S560" s="47"/>
      <c r="T560" s="47"/>
      <c r="U560" s="47"/>
      <c r="V560" s="50"/>
    </row>
    <row r="561" spans="1:22" s="64" customFormat="1" x14ac:dyDescent="0.25">
      <c r="A561" s="72" t="s">
        <v>255</v>
      </c>
      <c r="J561" s="119"/>
      <c r="K561" s="125"/>
      <c r="L561" s="122"/>
      <c r="M561" s="122"/>
      <c r="N561" s="123"/>
      <c r="O561" s="261">
        <v>1</v>
      </c>
      <c r="P561" s="261">
        <v>0</v>
      </c>
      <c r="Q561" s="105"/>
      <c r="R561" s="105"/>
      <c r="S561" s="47"/>
      <c r="T561" s="47"/>
      <c r="U561" s="47"/>
      <c r="V561" s="50"/>
    </row>
    <row r="562" spans="1:22" s="64" customFormat="1" x14ac:dyDescent="0.25">
      <c r="A562" s="72" t="s">
        <v>722</v>
      </c>
      <c r="J562" s="119"/>
      <c r="K562" s="125"/>
      <c r="L562" s="122"/>
      <c r="M562" s="122"/>
      <c r="N562" s="123"/>
      <c r="O562" s="261">
        <v>1</v>
      </c>
      <c r="P562" s="261">
        <v>0</v>
      </c>
      <c r="Q562" s="105"/>
      <c r="R562" s="105"/>
      <c r="S562" s="47"/>
      <c r="T562" s="47"/>
      <c r="U562" s="47"/>
      <c r="V562" s="50"/>
    </row>
    <row r="563" spans="1:22" s="64" customFormat="1" x14ac:dyDescent="0.25">
      <c r="A563" s="72" t="s">
        <v>723</v>
      </c>
      <c r="J563" s="119"/>
      <c r="K563" s="125"/>
      <c r="L563" s="122"/>
      <c r="M563" s="122"/>
      <c r="N563" s="123"/>
      <c r="O563" s="261">
        <v>1</v>
      </c>
      <c r="P563" s="261">
        <v>0</v>
      </c>
      <c r="Q563" s="105"/>
      <c r="R563" s="105"/>
      <c r="S563" s="47"/>
      <c r="T563" s="47"/>
      <c r="U563" s="47"/>
      <c r="V563" s="50"/>
    </row>
    <row r="564" spans="1:22" s="64" customFormat="1" x14ac:dyDescent="0.25">
      <c r="A564" s="72" t="s">
        <v>488</v>
      </c>
      <c r="J564" s="119"/>
      <c r="K564" s="125"/>
      <c r="L564" s="122"/>
      <c r="M564" s="122"/>
      <c r="N564" s="123"/>
      <c r="O564" s="261">
        <v>1</v>
      </c>
      <c r="P564" s="261">
        <v>0</v>
      </c>
      <c r="Q564" s="105"/>
      <c r="R564" s="105"/>
      <c r="S564" s="47"/>
      <c r="T564" s="47"/>
      <c r="U564" s="47"/>
      <c r="V564" s="50"/>
    </row>
    <row r="565" spans="1:22" s="64" customFormat="1" x14ac:dyDescent="0.25">
      <c r="A565" s="72" t="s">
        <v>256</v>
      </c>
      <c r="J565" s="119"/>
      <c r="K565" s="125"/>
      <c r="L565" s="122"/>
      <c r="M565" s="122"/>
      <c r="N565" s="123"/>
      <c r="O565" s="261">
        <v>1</v>
      </c>
      <c r="P565" s="261">
        <v>0</v>
      </c>
      <c r="Q565" s="105"/>
      <c r="R565" s="105"/>
      <c r="S565" s="47"/>
      <c r="T565" s="47"/>
      <c r="U565" s="47"/>
      <c r="V565" s="50"/>
    </row>
    <row r="566" spans="1:22" s="64" customFormat="1" x14ac:dyDescent="0.25">
      <c r="A566" s="72" t="s">
        <v>257</v>
      </c>
      <c r="J566" s="119"/>
      <c r="K566" s="125"/>
      <c r="L566" s="122"/>
      <c r="M566" s="122"/>
      <c r="N566" s="123"/>
      <c r="O566" s="261">
        <v>1</v>
      </c>
      <c r="P566" s="261">
        <v>0</v>
      </c>
      <c r="Q566" s="105"/>
      <c r="R566" s="105"/>
      <c r="S566" s="47"/>
      <c r="T566" s="47"/>
      <c r="U566" s="47"/>
      <c r="V566" s="50"/>
    </row>
    <row r="567" spans="1:22" s="64" customFormat="1" x14ac:dyDescent="0.25">
      <c r="A567" s="72" t="s">
        <v>258</v>
      </c>
      <c r="J567" s="119"/>
      <c r="K567" s="125"/>
      <c r="L567" s="122"/>
      <c r="M567" s="122"/>
      <c r="N567" s="123"/>
      <c r="O567" s="261">
        <v>1</v>
      </c>
      <c r="P567" s="261">
        <v>0</v>
      </c>
      <c r="Q567" s="105"/>
      <c r="R567" s="105"/>
      <c r="S567" s="47"/>
      <c r="T567" s="47"/>
      <c r="U567" s="47"/>
      <c r="V567" s="50"/>
    </row>
    <row r="568" spans="1:22" s="64" customFormat="1" x14ac:dyDescent="0.25">
      <c r="A568" s="72" t="s">
        <v>259</v>
      </c>
      <c r="J568" s="119"/>
      <c r="K568" s="125"/>
      <c r="L568" s="122"/>
      <c r="M568" s="122"/>
      <c r="N568" s="123"/>
      <c r="O568" s="261">
        <v>1</v>
      </c>
      <c r="P568" s="261">
        <v>0</v>
      </c>
      <c r="Q568" s="105"/>
      <c r="R568" s="105"/>
      <c r="S568" s="47"/>
      <c r="T568" s="47"/>
      <c r="U568" s="47"/>
      <c r="V568" s="50"/>
    </row>
    <row r="569" spans="1:22" s="64" customFormat="1" x14ac:dyDescent="0.25">
      <c r="A569" s="72" t="s">
        <v>724</v>
      </c>
      <c r="J569" s="119"/>
      <c r="K569" s="125"/>
      <c r="L569" s="122"/>
      <c r="M569" s="122"/>
      <c r="N569" s="123"/>
      <c r="O569" s="261">
        <v>1</v>
      </c>
      <c r="P569" s="261">
        <v>0</v>
      </c>
      <c r="Q569" s="105"/>
      <c r="R569" s="105"/>
      <c r="S569" s="47"/>
      <c r="T569" s="47"/>
      <c r="U569" s="47"/>
      <c r="V569" s="50"/>
    </row>
    <row r="570" spans="1:22" s="64" customFormat="1" x14ac:dyDescent="0.25">
      <c r="A570" s="72" t="s">
        <v>260</v>
      </c>
      <c r="J570" s="119"/>
      <c r="K570" s="125"/>
      <c r="L570" s="122"/>
      <c r="M570" s="122"/>
      <c r="N570" s="123"/>
      <c r="O570" s="261">
        <v>1</v>
      </c>
      <c r="P570" s="261">
        <v>0</v>
      </c>
      <c r="Q570" s="105"/>
      <c r="R570" s="105"/>
      <c r="S570" s="47"/>
      <c r="T570" s="47"/>
      <c r="U570" s="47"/>
      <c r="V570" s="50"/>
    </row>
    <row r="571" spans="1:22" s="64" customFormat="1" x14ac:dyDescent="0.25">
      <c r="A571" s="72" t="s">
        <v>261</v>
      </c>
      <c r="J571" s="119"/>
      <c r="K571" s="125"/>
      <c r="L571" s="122"/>
      <c r="M571" s="122"/>
      <c r="N571" s="123"/>
      <c r="O571" s="261">
        <v>1</v>
      </c>
      <c r="P571" s="261">
        <v>0</v>
      </c>
      <c r="Q571" s="105"/>
      <c r="R571" s="105"/>
      <c r="S571" s="47"/>
      <c r="T571" s="47"/>
      <c r="U571" s="47"/>
      <c r="V571" s="50"/>
    </row>
    <row r="572" spans="1:22" s="64" customFormat="1" x14ac:dyDescent="0.25">
      <c r="A572" s="72" t="s">
        <v>725</v>
      </c>
      <c r="J572" s="119"/>
      <c r="K572" s="125"/>
      <c r="L572" s="122"/>
      <c r="M572" s="122"/>
      <c r="N572" s="123"/>
      <c r="O572" s="261">
        <v>1</v>
      </c>
      <c r="P572" s="261">
        <v>0</v>
      </c>
      <c r="Q572" s="105"/>
      <c r="R572" s="105"/>
      <c r="S572" s="47"/>
      <c r="T572" s="47"/>
      <c r="U572" s="47"/>
      <c r="V572" s="50"/>
    </row>
    <row r="573" spans="1:22" s="64" customFormat="1" x14ac:dyDescent="0.25">
      <c r="A573" s="72" t="s">
        <v>726</v>
      </c>
      <c r="J573" s="119"/>
      <c r="K573" s="125"/>
      <c r="L573" s="122"/>
      <c r="M573" s="122"/>
      <c r="N573" s="123"/>
      <c r="O573" s="261">
        <v>1</v>
      </c>
      <c r="P573" s="261">
        <v>0</v>
      </c>
      <c r="Q573" s="105"/>
      <c r="R573" s="105"/>
      <c r="S573" s="47"/>
      <c r="T573" s="47"/>
      <c r="U573" s="47"/>
      <c r="V573" s="50"/>
    </row>
    <row r="574" spans="1:22" s="64" customFormat="1" x14ac:dyDescent="0.25">
      <c r="A574" s="72" t="s">
        <v>727</v>
      </c>
      <c r="J574" s="119"/>
      <c r="K574" s="125"/>
      <c r="L574" s="122"/>
      <c r="M574" s="122"/>
      <c r="N574" s="123"/>
      <c r="O574" s="261">
        <v>1</v>
      </c>
      <c r="P574" s="261">
        <v>0</v>
      </c>
      <c r="Q574" s="105"/>
      <c r="R574" s="105"/>
      <c r="S574" s="47"/>
      <c r="T574" s="47"/>
      <c r="U574" s="47"/>
      <c r="V574" s="50"/>
    </row>
    <row r="575" spans="1:22" s="64" customFormat="1" x14ac:dyDescent="0.25">
      <c r="A575" s="72" t="s">
        <v>262</v>
      </c>
      <c r="J575" s="119"/>
      <c r="K575" s="125"/>
      <c r="L575" s="122"/>
      <c r="M575" s="122"/>
      <c r="N575" s="123"/>
      <c r="O575" s="261">
        <v>1</v>
      </c>
      <c r="P575" s="261">
        <v>0</v>
      </c>
      <c r="Q575" s="105"/>
      <c r="R575" s="105"/>
      <c r="S575" s="47"/>
      <c r="T575" s="47"/>
      <c r="U575" s="47"/>
      <c r="V575" s="50"/>
    </row>
    <row r="576" spans="1:22" s="64" customFormat="1" x14ac:dyDescent="0.25">
      <c r="A576" s="72" t="s">
        <v>263</v>
      </c>
      <c r="J576" s="119"/>
      <c r="K576" s="125"/>
      <c r="L576" s="122"/>
      <c r="M576" s="122"/>
      <c r="N576" s="123"/>
      <c r="O576" s="261">
        <v>1</v>
      </c>
      <c r="P576" s="261">
        <v>0</v>
      </c>
      <c r="Q576" s="105"/>
      <c r="R576" s="105"/>
      <c r="S576" s="47"/>
      <c r="T576" s="47"/>
      <c r="U576" s="47"/>
      <c r="V576" s="50"/>
    </row>
    <row r="577" spans="1:22" s="64" customFormat="1" x14ac:dyDescent="0.25">
      <c r="A577" s="72" t="s">
        <v>264</v>
      </c>
      <c r="J577" s="119"/>
      <c r="K577" s="125"/>
      <c r="L577" s="122"/>
      <c r="M577" s="122"/>
      <c r="N577" s="123"/>
      <c r="O577" s="261">
        <v>1</v>
      </c>
      <c r="P577" s="261">
        <v>0</v>
      </c>
      <c r="Q577" s="105"/>
      <c r="R577" s="105"/>
      <c r="S577" s="47"/>
      <c r="T577" s="47"/>
      <c r="U577" s="47"/>
      <c r="V577" s="50"/>
    </row>
    <row r="578" spans="1:22" s="64" customFormat="1" x14ac:dyDescent="0.25">
      <c r="A578" s="72" t="s">
        <v>265</v>
      </c>
      <c r="J578" s="119"/>
      <c r="K578" s="125"/>
      <c r="L578" s="122"/>
      <c r="M578" s="122"/>
      <c r="N578" s="123"/>
      <c r="O578" s="261">
        <v>1</v>
      </c>
      <c r="P578" s="261">
        <v>0</v>
      </c>
      <c r="Q578" s="105"/>
      <c r="R578" s="105"/>
      <c r="S578" s="47"/>
      <c r="T578" s="47"/>
      <c r="U578" s="47"/>
      <c r="V578" s="50"/>
    </row>
    <row r="579" spans="1:22" s="64" customFormat="1" x14ac:dyDescent="0.25">
      <c r="A579" s="72" t="s">
        <v>496</v>
      </c>
      <c r="J579" s="119"/>
      <c r="K579" s="125"/>
      <c r="L579" s="122"/>
      <c r="M579" s="122"/>
      <c r="N579" s="123"/>
      <c r="O579" s="261">
        <v>1</v>
      </c>
      <c r="P579" s="261">
        <v>0</v>
      </c>
      <c r="Q579" s="105"/>
      <c r="R579" s="105"/>
      <c r="S579" s="47"/>
      <c r="T579" s="47"/>
      <c r="U579" s="47"/>
      <c r="V579" s="50"/>
    </row>
    <row r="580" spans="1:22" s="64" customFormat="1" x14ac:dyDescent="0.25">
      <c r="A580" s="72" t="s">
        <v>266</v>
      </c>
      <c r="J580" s="119"/>
      <c r="K580" s="125"/>
      <c r="L580" s="122"/>
      <c r="M580" s="122"/>
      <c r="N580" s="123"/>
      <c r="O580" s="261">
        <v>1</v>
      </c>
      <c r="P580" s="261">
        <v>0</v>
      </c>
      <c r="Q580" s="105"/>
      <c r="R580" s="105"/>
      <c r="S580" s="47"/>
      <c r="T580" s="47"/>
      <c r="U580" s="47"/>
      <c r="V580" s="50"/>
    </row>
    <row r="581" spans="1:22" s="64" customFormat="1" x14ac:dyDescent="0.25">
      <c r="A581" s="72" t="s">
        <v>267</v>
      </c>
      <c r="J581" s="119"/>
      <c r="K581" s="125"/>
      <c r="L581" s="122"/>
      <c r="M581" s="122"/>
      <c r="N581" s="123"/>
      <c r="O581" s="261">
        <v>1</v>
      </c>
      <c r="P581" s="261">
        <v>0</v>
      </c>
      <c r="Q581" s="105"/>
      <c r="R581" s="105"/>
      <c r="S581" s="47"/>
      <c r="T581" s="47"/>
      <c r="U581" s="47"/>
      <c r="V581" s="50"/>
    </row>
    <row r="582" spans="1:22" s="64" customFormat="1" x14ac:dyDescent="0.25">
      <c r="A582" s="72" t="s">
        <v>268</v>
      </c>
      <c r="J582" s="119"/>
      <c r="K582" s="125"/>
      <c r="L582" s="122"/>
      <c r="M582" s="122"/>
      <c r="N582" s="123"/>
      <c r="O582" s="261">
        <v>1</v>
      </c>
      <c r="P582" s="261">
        <v>0</v>
      </c>
      <c r="Q582" s="105"/>
      <c r="R582" s="105"/>
      <c r="S582" s="47"/>
      <c r="T582" s="47"/>
      <c r="U582" s="47"/>
      <c r="V582" s="50"/>
    </row>
    <row r="583" spans="1:22" s="64" customFormat="1" x14ac:dyDescent="0.25">
      <c r="A583" s="72" t="s">
        <v>269</v>
      </c>
      <c r="J583" s="119"/>
      <c r="K583" s="125"/>
      <c r="L583" s="122"/>
      <c r="M583" s="122"/>
      <c r="N583" s="123"/>
      <c r="O583" s="261">
        <v>1</v>
      </c>
      <c r="P583" s="261">
        <v>0</v>
      </c>
      <c r="Q583" s="105"/>
      <c r="R583" s="105"/>
      <c r="S583" s="47"/>
      <c r="T583" s="47"/>
      <c r="U583" s="47"/>
      <c r="V583" s="50"/>
    </row>
    <row r="584" spans="1:22" s="64" customFormat="1" x14ac:dyDescent="0.25">
      <c r="A584" s="72" t="s">
        <v>270</v>
      </c>
      <c r="J584" s="119"/>
      <c r="K584" s="125"/>
      <c r="L584" s="122"/>
      <c r="M584" s="122"/>
      <c r="N584" s="123"/>
      <c r="O584" s="261">
        <v>1</v>
      </c>
      <c r="P584" s="261">
        <v>0</v>
      </c>
      <c r="Q584" s="105"/>
      <c r="R584" s="105"/>
      <c r="S584" s="47"/>
      <c r="T584" s="47"/>
      <c r="U584" s="47"/>
      <c r="V584" s="50"/>
    </row>
    <row r="585" spans="1:22" s="64" customFormat="1" x14ac:dyDescent="0.25">
      <c r="A585" s="72" t="s">
        <v>271</v>
      </c>
      <c r="J585" s="119"/>
      <c r="K585" s="125"/>
      <c r="L585" s="122"/>
      <c r="M585" s="122"/>
      <c r="N585" s="123"/>
      <c r="O585" s="261">
        <v>1</v>
      </c>
      <c r="P585" s="261">
        <v>0</v>
      </c>
      <c r="Q585" s="105"/>
      <c r="R585" s="105"/>
      <c r="S585" s="47"/>
      <c r="T585" s="47"/>
      <c r="U585" s="47"/>
      <c r="V585" s="50"/>
    </row>
    <row r="586" spans="1:22" s="64" customFormat="1" x14ac:dyDescent="0.25">
      <c r="A586" s="72" t="s">
        <v>489</v>
      </c>
      <c r="J586" s="119"/>
      <c r="K586" s="125"/>
      <c r="L586" s="122"/>
      <c r="M586" s="122"/>
      <c r="N586" s="123"/>
      <c r="O586" s="261">
        <v>1</v>
      </c>
      <c r="P586" s="261">
        <v>0</v>
      </c>
      <c r="Q586" s="105"/>
      <c r="R586" s="105"/>
      <c r="S586" s="47"/>
      <c r="T586" s="47"/>
      <c r="U586" s="47"/>
      <c r="V586" s="50"/>
    </row>
    <row r="587" spans="1:22" s="64" customFormat="1" x14ac:dyDescent="0.25">
      <c r="A587" s="72" t="s">
        <v>272</v>
      </c>
      <c r="J587" s="119"/>
      <c r="K587" s="125"/>
      <c r="L587" s="122"/>
      <c r="M587" s="122"/>
      <c r="N587" s="123"/>
      <c r="O587" s="261">
        <v>1</v>
      </c>
      <c r="P587" s="261">
        <v>0</v>
      </c>
      <c r="Q587" s="105"/>
      <c r="R587" s="105"/>
      <c r="S587" s="47"/>
      <c r="T587" s="47"/>
      <c r="U587" s="47"/>
      <c r="V587" s="50"/>
    </row>
    <row r="588" spans="1:22" s="64" customFormat="1" x14ac:dyDescent="0.25">
      <c r="A588" s="72" t="s">
        <v>728</v>
      </c>
      <c r="J588" s="119"/>
      <c r="K588" s="125"/>
      <c r="L588" s="122"/>
      <c r="M588" s="122"/>
      <c r="N588" s="123"/>
      <c r="O588" s="261">
        <v>1</v>
      </c>
      <c r="P588" s="261">
        <v>0</v>
      </c>
      <c r="Q588" s="105"/>
      <c r="R588" s="105"/>
      <c r="S588" s="47"/>
      <c r="T588" s="47"/>
      <c r="U588" s="47"/>
      <c r="V588" s="50"/>
    </row>
    <row r="589" spans="1:22" s="64" customFormat="1" x14ac:dyDescent="0.25">
      <c r="A589" s="72" t="s">
        <v>273</v>
      </c>
      <c r="J589" s="119"/>
      <c r="K589" s="125"/>
      <c r="L589" s="122"/>
      <c r="M589" s="122"/>
      <c r="N589" s="123"/>
      <c r="O589" s="261">
        <v>1</v>
      </c>
      <c r="P589" s="261">
        <v>0</v>
      </c>
      <c r="Q589" s="105"/>
      <c r="R589" s="105"/>
      <c r="S589" s="47"/>
      <c r="T589" s="47"/>
      <c r="U589" s="47"/>
      <c r="V589" s="50"/>
    </row>
    <row r="590" spans="1:22" s="64" customFormat="1" x14ac:dyDescent="0.25">
      <c r="A590" s="72" t="s">
        <v>274</v>
      </c>
      <c r="J590" s="119"/>
      <c r="K590" s="125"/>
      <c r="L590" s="122"/>
      <c r="M590" s="122"/>
      <c r="N590" s="123"/>
      <c r="O590" s="261">
        <v>1</v>
      </c>
      <c r="P590" s="261">
        <v>0</v>
      </c>
      <c r="Q590" s="105"/>
      <c r="R590" s="105"/>
      <c r="S590" s="47"/>
      <c r="T590" s="47"/>
      <c r="U590" s="47"/>
      <c r="V590" s="50"/>
    </row>
    <row r="591" spans="1:22" s="64" customFormat="1" x14ac:dyDescent="0.25">
      <c r="A591" s="72" t="s">
        <v>729</v>
      </c>
      <c r="J591" s="119"/>
      <c r="K591" s="125"/>
      <c r="L591" s="122"/>
      <c r="M591" s="122"/>
      <c r="N591" s="123"/>
      <c r="O591" s="261">
        <v>1</v>
      </c>
      <c r="P591" s="261">
        <v>0</v>
      </c>
      <c r="Q591" s="105"/>
      <c r="R591" s="105"/>
      <c r="S591" s="47"/>
      <c r="T591" s="47"/>
      <c r="U591" s="47"/>
      <c r="V591" s="50"/>
    </row>
    <row r="592" spans="1:22" s="64" customFormat="1" x14ac:dyDescent="0.25">
      <c r="A592" s="72" t="s">
        <v>275</v>
      </c>
      <c r="J592" s="119"/>
      <c r="K592" s="125"/>
      <c r="L592" s="122"/>
      <c r="M592" s="122"/>
      <c r="N592" s="123"/>
      <c r="O592" s="261">
        <v>1</v>
      </c>
      <c r="P592" s="261">
        <v>0</v>
      </c>
      <c r="Q592" s="105"/>
      <c r="R592" s="105"/>
      <c r="S592" s="47"/>
      <c r="T592" s="47"/>
      <c r="U592" s="47"/>
      <c r="V592" s="50"/>
    </row>
    <row r="593" spans="1:22" s="64" customFormat="1" x14ac:dyDescent="0.25">
      <c r="A593" s="72" t="s">
        <v>276</v>
      </c>
      <c r="J593" s="119"/>
      <c r="K593" s="125"/>
      <c r="L593" s="122"/>
      <c r="M593" s="122"/>
      <c r="N593" s="123"/>
      <c r="O593" s="261">
        <v>1</v>
      </c>
      <c r="P593" s="261">
        <v>0</v>
      </c>
      <c r="Q593" s="105"/>
      <c r="R593" s="105"/>
      <c r="S593" s="47"/>
      <c r="T593" s="47"/>
      <c r="U593" s="47"/>
      <c r="V593" s="50"/>
    </row>
    <row r="594" spans="1:22" s="64" customFormat="1" x14ac:dyDescent="0.25">
      <c r="A594" s="72" t="s">
        <v>801</v>
      </c>
      <c r="J594" s="119"/>
      <c r="K594" s="125"/>
      <c r="L594" s="122"/>
      <c r="M594" s="122"/>
      <c r="N594" s="123"/>
      <c r="O594" s="261">
        <v>1</v>
      </c>
      <c r="P594" s="261">
        <v>0</v>
      </c>
      <c r="Q594" s="105"/>
      <c r="R594" s="105"/>
      <c r="S594" s="47"/>
      <c r="T594" s="47"/>
      <c r="U594" s="47"/>
      <c r="V594" s="50"/>
    </row>
    <row r="595" spans="1:22" s="64" customFormat="1" x14ac:dyDescent="0.25">
      <c r="A595" s="72" t="s">
        <v>497</v>
      </c>
      <c r="J595" s="119"/>
      <c r="K595" s="125"/>
      <c r="L595" s="122"/>
      <c r="M595" s="122"/>
      <c r="N595" s="123"/>
      <c r="O595" s="261">
        <v>1</v>
      </c>
      <c r="P595" s="261">
        <v>0</v>
      </c>
      <c r="Q595" s="105"/>
      <c r="R595" s="105"/>
      <c r="S595" s="47"/>
      <c r="T595" s="47"/>
      <c r="U595" s="47"/>
      <c r="V595" s="50"/>
    </row>
    <row r="596" spans="1:22" s="64" customFormat="1" x14ac:dyDescent="0.25">
      <c r="A596" s="72" t="s">
        <v>730</v>
      </c>
      <c r="J596" s="119"/>
      <c r="K596" s="125"/>
      <c r="L596" s="122"/>
      <c r="M596" s="122"/>
      <c r="N596" s="123"/>
      <c r="O596" s="261">
        <v>1</v>
      </c>
      <c r="P596" s="261">
        <v>0</v>
      </c>
      <c r="Q596" s="105"/>
      <c r="R596" s="105"/>
      <c r="S596" s="47"/>
      <c r="T596" s="47"/>
      <c r="U596" s="47"/>
      <c r="V596" s="50"/>
    </row>
    <row r="597" spans="1:22" s="64" customFormat="1" x14ac:dyDescent="0.25">
      <c r="A597" s="72" t="s">
        <v>277</v>
      </c>
      <c r="J597" s="119"/>
      <c r="K597" s="125"/>
      <c r="L597" s="122"/>
      <c r="M597" s="122"/>
      <c r="N597" s="123"/>
      <c r="O597" s="261">
        <v>1</v>
      </c>
      <c r="P597" s="261">
        <v>0</v>
      </c>
      <c r="Q597" s="105"/>
      <c r="R597" s="105"/>
      <c r="S597" s="47"/>
      <c r="T597" s="47"/>
      <c r="U597" s="47"/>
      <c r="V597" s="50"/>
    </row>
    <row r="598" spans="1:22" s="64" customFormat="1" x14ac:dyDescent="0.25">
      <c r="A598" s="72" t="s">
        <v>278</v>
      </c>
      <c r="J598" s="119"/>
      <c r="K598" s="125"/>
      <c r="L598" s="122"/>
      <c r="M598" s="122"/>
      <c r="N598" s="123"/>
      <c r="O598" s="261">
        <v>1</v>
      </c>
      <c r="P598" s="261">
        <v>0</v>
      </c>
      <c r="Q598" s="105"/>
      <c r="R598" s="105"/>
      <c r="S598" s="47"/>
      <c r="T598" s="47"/>
      <c r="U598" s="47"/>
      <c r="V598" s="50"/>
    </row>
    <row r="599" spans="1:22" s="64" customFormat="1" x14ac:dyDescent="0.25">
      <c r="A599" s="72" t="s">
        <v>490</v>
      </c>
      <c r="J599" s="119"/>
      <c r="K599" s="125"/>
      <c r="L599" s="122"/>
      <c r="M599" s="122"/>
      <c r="N599" s="123"/>
      <c r="O599" s="261">
        <v>1</v>
      </c>
      <c r="P599" s="261">
        <v>0</v>
      </c>
      <c r="Q599" s="105"/>
      <c r="R599" s="105"/>
      <c r="S599" s="47"/>
      <c r="T599" s="47"/>
      <c r="U599" s="47"/>
      <c r="V599" s="50"/>
    </row>
    <row r="600" spans="1:22" s="64" customFormat="1" x14ac:dyDescent="0.25">
      <c r="A600" s="72" t="s">
        <v>731</v>
      </c>
      <c r="J600" s="119"/>
      <c r="K600" s="125"/>
      <c r="L600" s="122"/>
      <c r="M600" s="122"/>
      <c r="N600" s="123"/>
      <c r="O600" s="261">
        <v>1</v>
      </c>
      <c r="P600" s="261">
        <v>0</v>
      </c>
      <c r="Q600" s="105"/>
      <c r="R600" s="105"/>
      <c r="S600" s="47"/>
      <c r="T600" s="47"/>
      <c r="U600" s="47"/>
      <c r="V600" s="50"/>
    </row>
    <row r="601" spans="1:22" s="64" customFormat="1" x14ac:dyDescent="0.25">
      <c r="A601" s="72" t="s">
        <v>732</v>
      </c>
      <c r="J601" s="119"/>
      <c r="K601" s="125"/>
      <c r="L601" s="122"/>
      <c r="M601" s="122"/>
      <c r="N601" s="123"/>
      <c r="O601" s="261">
        <v>1</v>
      </c>
      <c r="P601" s="261">
        <v>0</v>
      </c>
      <c r="Q601" s="105"/>
      <c r="R601" s="105"/>
      <c r="S601" s="47"/>
      <c r="T601" s="47"/>
      <c r="U601" s="47"/>
      <c r="V601" s="50"/>
    </row>
    <row r="602" spans="1:22" s="64" customFormat="1" x14ac:dyDescent="0.25">
      <c r="A602" s="72" t="s">
        <v>733</v>
      </c>
      <c r="J602" s="119"/>
      <c r="K602" s="125"/>
      <c r="L602" s="122"/>
      <c r="M602" s="122"/>
      <c r="N602" s="123"/>
      <c r="O602" s="261">
        <v>1</v>
      </c>
      <c r="P602" s="261">
        <v>0</v>
      </c>
      <c r="Q602" s="105"/>
      <c r="R602" s="105"/>
      <c r="S602" s="47"/>
      <c r="T602" s="47"/>
      <c r="U602" s="47"/>
      <c r="V602" s="50"/>
    </row>
    <row r="603" spans="1:22" s="64" customFormat="1" x14ac:dyDescent="0.25">
      <c r="A603" s="72" t="s">
        <v>279</v>
      </c>
      <c r="J603" s="119"/>
      <c r="K603" s="125"/>
      <c r="L603" s="122"/>
      <c r="M603" s="122"/>
      <c r="N603" s="123"/>
      <c r="O603" s="261">
        <v>1</v>
      </c>
      <c r="P603" s="261">
        <v>0</v>
      </c>
      <c r="Q603" s="105"/>
      <c r="R603" s="105"/>
      <c r="S603" s="47"/>
      <c r="T603" s="47"/>
      <c r="U603" s="47"/>
      <c r="V603" s="50"/>
    </row>
    <row r="604" spans="1:22" s="64" customFormat="1" x14ac:dyDescent="0.25">
      <c r="A604" s="72" t="s">
        <v>734</v>
      </c>
      <c r="J604" s="119"/>
      <c r="K604" s="125"/>
      <c r="L604" s="122"/>
      <c r="M604" s="122"/>
      <c r="N604" s="123"/>
      <c r="O604" s="261">
        <v>1</v>
      </c>
      <c r="P604" s="261">
        <v>0</v>
      </c>
      <c r="Q604" s="105"/>
      <c r="R604" s="105"/>
      <c r="S604" s="47"/>
      <c r="T604" s="47"/>
      <c r="U604" s="47"/>
      <c r="V604" s="50"/>
    </row>
    <row r="605" spans="1:22" s="64" customFormat="1" x14ac:dyDescent="0.25">
      <c r="A605" s="72" t="s">
        <v>280</v>
      </c>
      <c r="J605" s="119"/>
      <c r="K605" s="125"/>
      <c r="L605" s="122"/>
      <c r="M605" s="122"/>
      <c r="N605" s="123"/>
      <c r="O605" s="261">
        <v>1</v>
      </c>
      <c r="P605" s="261">
        <v>0</v>
      </c>
      <c r="Q605" s="105"/>
      <c r="R605" s="105"/>
      <c r="S605" s="47"/>
      <c r="T605" s="47"/>
      <c r="U605" s="47"/>
      <c r="V605" s="50"/>
    </row>
    <row r="606" spans="1:22" s="64" customFormat="1" x14ac:dyDescent="0.25">
      <c r="A606" s="72" t="s">
        <v>491</v>
      </c>
      <c r="J606" s="119"/>
      <c r="K606" s="125"/>
      <c r="L606" s="122"/>
      <c r="M606" s="122"/>
      <c r="N606" s="123"/>
      <c r="O606" s="261">
        <v>1</v>
      </c>
      <c r="P606" s="261">
        <v>0</v>
      </c>
      <c r="Q606" s="105"/>
      <c r="R606" s="105"/>
      <c r="S606" s="47"/>
      <c r="T606" s="47"/>
      <c r="U606" s="47"/>
      <c r="V606" s="50"/>
    </row>
    <row r="607" spans="1:22" s="64" customFormat="1" x14ac:dyDescent="0.25">
      <c r="A607" s="72" t="s">
        <v>281</v>
      </c>
      <c r="J607" s="119"/>
      <c r="K607" s="125"/>
      <c r="L607" s="122"/>
      <c r="M607" s="122"/>
      <c r="N607" s="123"/>
      <c r="O607" s="261">
        <v>1</v>
      </c>
      <c r="P607" s="261">
        <v>0</v>
      </c>
      <c r="Q607" s="105"/>
      <c r="R607" s="105"/>
      <c r="S607" s="47"/>
      <c r="T607" s="47"/>
      <c r="U607" s="47"/>
      <c r="V607" s="50"/>
    </row>
    <row r="608" spans="1:22" s="64" customFormat="1" x14ac:dyDescent="0.25">
      <c r="A608" s="72" t="s">
        <v>492</v>
      </c>
      <c r="J608" s="119"/>
      <c r="K608" s="125"/>
      <c r="L608" s="122"/>
      <c r="M608" s="122"/>
      <c r="N608" s="123"/>
      <c r="O608" s="261">
        <v>1</v>
      </c>
      <c r="P608" s="261">
        <v>0</v>
      </c>
      <c r="Q608" s="105"/>
      <c r="R608" s="105"/>
      <c r="S608" s="47"/>
      <c r="T608" s="47"/>
      <c r="U608" s="47"/>
      <c r="V608" s="50"/>
    </row>
    <row r="609" spans="1:22" s="64" customFormat="1" x14ac:dyDescent="0.25">
      <c r="A609" s="72" t="s">
        <v>282</v>
      </c>
      <c r="J609" s="119"/>
      <c r="K609" s="125"/>
      <c r="L609" s="122"/>
      <c r="M609" s="122"/>
      <c r="N609" s="123"/>
      <c r="O609" s="261">
        <v>1</v>
      </c>
      <c r="P609" s="261">
        <v>0</v>
      </c>
      <c r="Q609" s="105"/>
      <c r="R609" s="105"/>
      <c r="S609" s="47"/>
      <c r="T609" s="47"/>
      <c r="U609" s="47"/>
      <c r="V609" s="50"/>
    </row>
    <row r="610" spans="1:22" s="64" customFormat="1" x14ac:dyDescent="0.25">
      <c r="A610" s="72" t="s">
        <v>283</v>
      </c>
      <c r="J610" s="119"/>
      <c r="K610" s="125"/>
      <c r="L610" s="122"/>
      <c r="M610" s="122"/>
      <c r="N610" s="123"/>
      <c r="O610" s="261">
        <v>1</v>
      </c>
      <c r="P610" s="261">
        <v>0</v>
      </c>
      <c r="Q610" s="105"/>
      <c r="R610" s="105"/>
      <c r="S610" s="47"/>
      <c r="T610" s="47"/>
      <c r="U610" s="47"/>
      <c r="V610" s="50"/>
    </row>
    <row r="611" spans="1:22" s="64" customFormat="1" x14ac:dyDescent="0.25">
      <c r="A611" s="72" t="s">
        <v>284</v>
      </c>
      <c r="J611" s="119"/>
      <c r="K611" s="125"/>
      <c r="L611" s="122"/>
      <c r="M611" s="122"/>
      <c r="N611" s="123"/>
      <c r="O611" s="261">
        <v>1</v>
      </c>
      <c r="P611" s="261">
        <v>0</v>
      </c>
      <c r="Q611" s="105"/>
      <c r="R611" s="105"/>
      <c r="S611" s="47"/>
      <c r="T611" s="47"/>
      <c r="U611" s="47"/>
      <c r="V611" s="50"/>
    </row>
    <row r="612" spans="1:22" s="64" customFormat="1" x14ac:dyDescent="0.25">
      <c r="A612" s="86"/>
      <c r="J612" s="119"/>
      <c r="K612" s="125"/>
      <c r="L612" s="122"/>
      <c r="M612" s="122"/>
      <c r="N612" s="123"/>
      <c r="O612" s="261">
        <v>1</v>
      </c>
      <c r="P612" s="261">
        <v>0</v>
      </c>
      <c r="Q612" s="105"/>
      <c r="R612" s="105"/>
      <c r="S612" s="47"/>
      <c r="T612" s="47"/>
      <c r="U612" s="47"/>
      <c r="V612" s="50"/>
    </row>
    <row r="613" spans="1:22" s="64" customFormat="1" x14ac:dyDescent="0.25">
      <c r="A613" s="86"/>
      <c r="J613" s="119"/>
      <c r="K613" s="125"/>
      <c r="L613" s="122"/>
      <c r="M613" s="122"/>
      <c r="N613" s="123"/>
      <c r="O613" s="261">
        <v>1</v>
      </c>
      <c r="P613" s="261">
        <v>0</v>
      </c>
      <c r="Q613" s="105"/>
      <c r="R613" s="105"/>
      <c r="S613" s="47"/>
      <c r="T613" s="47"/>
      <c r="U613" s="47"/>
      <c r="V613" s="50"/>
    </row>
    <row r="614" spans="1:22" s="64" customFormat="1" x14ac:dyDescent="0.25">
      <c r="A614" s="86"/>
      <c r="J614" s="119"/>
      <c r="K614" s="125"/>
      <c r="L614" s="122"/>
      <c r="M614" s="122"/>
      <c r="N614" s="123"/>
      <c r="O614" s="261">
        <v>1</v>
      </c>
      <c r="P614" s="261">
        <v>0</v>
      </c>
      <c r="Q614" s="105"/>
      <c r="R614" s="105"/>
      <c r="S614" s="47"/>
      <c r="T614" s="47"/>
      <c r="U614" s="47"/>
      <c r="V614" s="50"/>
    </row>
    <row r="615" spans="1:22" s="64" customFormat="1" x14ac:dyDescent="0.25">
      <c r="A615" s="86"/>
      <c r="J615" s="119"/>
      <c r="K615" s="125"/>
      <c r="L615" s="122"/>
      <c r="M615" s="122"/>
      <c r="N615" s="123"/>
      <c r="O615" s="261">
        <v>1</v>
      </c>
      <c r="P615" s="261">
        <v>0</v>
      </c>
      <c r="Q615" s="105"/>
      <c r="R615" s="105"/>
      <c r="S615" s="47"/>
      <c r="T615" s="47"/>
      <c r="U615" s="47"/>
      <c r="V615" s="50"/>
    </row>
    <row r="616" spans="1:22" s="64" customFormat="1" x14ac:dyDescent="0.25">
      <c r="A616" s="86"/>
      <c r="J616" s="119"/>
      <c r="K616" s="125"/>
      <c r="L616" s="122"/>
      <c r="M616" s="122"/>
      <c r="N616" s="123"/>
      <c r="O616" s="261">
        <v>1</v>
      </c>
      <c r="P616" s="261">
        <v>0</v>
      </c>
      <c r="Q616" s="105"/>
      <c r="R616" s="105"/>
      <c r="S616" s="47"/>
      <c r="T616" s="47"/>
      <c r="U616" s="47"/>
      <c r="V616" s="50"/>
    </row>
    <row r="617" spans="1:22" s="64" customFormat="1" x14ac:dyDescent="0.25">
      <c r="A617" s="86"/>
      <c r="J617" s="119"/>
      <c r="K617" s="125"/>
      <c r="L617" s="122"/>
      <c r="M617" s="122"/>
      <c r="N617" s="123"/>
      <c r="O617" s="261">
        <v>1</v>
      </c>
      <c r="P617" s="261">
        <v>0</v>
      </c>
      <c r="Q617" s="105"/>
      <c r="R617" s="105"/>
      <c r="S617" s="47"/>
      <c r="T617" s="47"/>
      <c r="U617" s="47"/>
      <c r="V617" s="50"/>
    </row>
    <row r="618" spans="1:22" s="64" customFormat="1" x14ac:dyDescent="0.25">
      <c r="A618" s="86"/>
      <c r="J618" s="119"/>
      <c r="K618" s="125"/>
      <c r="L618" s="122"/>
      <c r="M618" s="122"/>
      <c r="N618" s="123"/>
      <c r="O618" s="261">
        <v>1</v>
      </c>
      <c r="P618" s="261">
        <v>0</v>
      </c>
      <c r="Q618" s="105"/>
      <c r="R618" s="105"/>
      <c r="S618" s="47"/>
      <c r="T618" s="47"/>
      <c r="U618" s="47"/>
      <c r="V618" s="50"/>
    </row>
    <row r="619" spans="1:22" s="64" customFormat="1" x14ac:dyDescent="0.25">
      <c r="A619" s="86"/>
      <c r="J619" s="119"/>
      <c r="K619" s="125"/>
      <c r="L619" s="122"/>
      <c r="M619" s="122"/>
      <c r="N619" s="123"/>
      <c r="O619" s="261">
        <v>1</v>
      </c>
      <c r="P619" s="261">
        <v>0</v>
      </c>
      <c r="Q619" s="105"/>
      <c r="R619" s="105"/>
      <c r="S619" s="47"/>
      <c r="T619" s="47"/>
      <c r="U619" s="47"/>
      <c r="V619" s="50"/>
    </row>
    <row r="620" spans="1:22" s="64" customFormat="1" x14ac:dyDescent="0.25">
      <c r="A620" s="86"/>
      <c r="J620" s="119"/>
      <c r="K620" s="125"/>
      <c r="L620" s="122"/>
      <c r="M620" s="122"/>
      <c r="N620" s="123"/>
      <c r="O620" s="261">
        <v>1</v>
      </c>
      <c r="P620" s="261">
        <v>0</v>
      </c>
      <c r="Q620" s="105"/>
      <c r="R620" s="105"/>
      <c r="S620" s="47"/>
      <c r="T620" s="47"/>
      <c r="U620" s="47"/>
      <c r="V620" s="50"/>
    </row>
    <row r="621" spans="1:22" s="64" customFormat="1" x14ac:dyDescent="0.25">
      <c r="A621" s="86"/>
      <c r="J621" s="119"/>
      <c r="K621" s="125"/>
      <c r="L621" s="122"/>
      <c r="M621" s="122"/>
      <c r="N621" s="123"/>
      <c r="O621" s="261">
        <v>1</v>
      </c>
      <c r="P621" s="261">
        <v>0</v>
      </c>
      <c r="Q621" s="105"/>
      <c r="R621" s="105"/>
      <c r="S621" s="47"/>
      <c r="T621" s="47"/>
      <c r="U621" s="47"/>
      <c r="V621" s="50"/>
    </row>
    <row r="622" spans="1:22" s="64" customFormat="1" x14ac:dyDescent="0.25">
      <c r="A622" s="86"/>
      <c r="J622" s="119"/>
      <c r="K622" s="125"/>
      <c r="L622" s="122"/>
      <c r="M622" s="122"/>
      <c r="N622" s="123"/>
      <c r="O622" s="261">
        <v>1</v>
      </c>
      <c r="P622" s="261">
        <v>0</v>
      </c>
      <c r="Q622" s="105"/>
      <c r="R622" s="105"/>
      <c r="S622" s="47"/>
      <c r="T622" s="47"/>
      <c r="U622" s="47"/>
      <c r="V622" s="50"/>
    </row>
    <row r="623" spans="1:22" s="64" customFormat="1" x14ac:dyDescent="0.25">
      <c r="A623" s="86"/>
      <c r="J623" s="119"/>
      <c r="K623" s="125"/>
      <c r="L623" s="122"/>
      <c r="M623" s="122"/>
      <c r="N623" s="123"/>
      <c r="O623" s="261">
        <v>1</v>
      </c>
      <c r="P623" s="261">
        <v>0</v>
      </c>
      <c r="Q623" s="105"/>
      <c r="R623" s="105"/>
      <c r="S623" s="47"/>
      <c r="T623" s="47"/>
      <c r="U623" s="47"/>
      <c r="V623" s="50"/>
    </row>
    <row r="624" spans="1:22" s="64" customFormat="1" x14ac:dyDescent="0.25">
      <c r="A624" s="86"/>
      <c r="J624" s="119"/>
      <c r="K624" s="125"/>
      <c r="L624" s="122"/>
      <c r="M624" s="122"/>
      <c r="N624" s="123"/>
      <c r="O624" s="261">
        <v>1</v>
      </c>
      <c r="P624" s="261">
        <v>0</v>
      </c>
      <c r="Q624" s="105"/>
      <c r="R624" s="105"/>
      <c r="S624" s="47"/>
      <c r="T624" s="47"/>
      <c r="U624" s="47"/>
      <c r="V624" s="50"/>
    </row>
    <row r="625" spans="1:22" s="64" customFormat="1" x14ac:dyDescent="0.25">
      <c r="A625" s="86"/>
      <c r="J625" s="119"/>
      <c r="K625" s="125"/>
      <c r="L625" s="122"/>
      <c r="M625" s="122"/>
      <c r="N625" s="123"/>
      <c r="O625" s="261">
        <v>1</v>
      </c>
      <c r="P625" s="261">
        <v>0</v>
      </c>
      <c r="Q625" s="105"/>
      <c r="R625" s="105"/>
      <c r="S625" s="47"/>
      <c r="T625" s="47"/>
      <c r="U625" s="47"/>
      <c r="V625" s="50"/>
    </row>
    <row r="626" spans="1:22" s="64" customFormat="1" x14ac:dyDescent="0.25">
      <c r="A626" s="86"/>
      <c r="J626" s="119"/>
      <c r="K626" s="125"/>
      <c r="L626" s="122"/>
      <c r="M626" s="122"/>
      <c r="N626" s="123"/>
      <c r="O626" s="261">
        <v>1</v>
      </c>
      <c r="P626" s="261">
        <v>0</v>
      </c>
      <c r="Q626" s="105"/>
      <c r="R626" s="105"/>
      <c r="S626" s="47"/>
      <c r="T626" s="47"/>
      <c r="U626" s="47"/>
      <c r="V626" s="50"/>
    </row>
    <row r="627" spans="1:22" s="64" customFormat="1" x14ac:dyDescent="0.25">
      <c r="A627" s="86"/>
      <c r="J627" s="119"/>
      <c r="K627" s="125"/>
      <c r="L627" s="122"/>
      <c r="M627" s="122"/>
      <c r="N627" s="123"/>
      <c r="O627" s="261">
        <v>1</v>
      </c>
      <c r="P627" s="261">
        <v>0</v>
      </c>
      <c r="Q627" s="105"/>
      <c r="R627" s="105"/>
      <c r="S627" s="47"/>
      <c r="T627" s="47"/>
      <c r="U627" s="47"/>
      <c r="V627" s="50"/>
    </row>
    <row r="628" spans="1:22" s="64" customFormat="1" x14ac:dyDescent="0.25">
      <c r="A628" s="86"/>
      <c r="J628" s="119"/>
      <c r="K628" s="125"/>
      <c r="L628" s="122"/>
      <c r="M628" s="122"/>
      <c r="N628" s="123"/>
      <c r="O628" s="261">
        <v>1</v>
      </c>
      <c r="P628" s="261">
        <v>0</v>
      </c>
      <c r="Q628" s="105"/>
      <c r="R628" s="105"/>
      <c r="S628" s="47"/>
      <c r="T628" s="47"/>
      <c r="U628" s="47"/>
      <c r="V628" s="50"/>
    </row>
    <row r="629" spans="1:22" s="64" customFormat="1" x14ac:dyDescent="0.25">
      <c r="A629" s="86"/>
      <c r="J629" s="119"/>
      <c r="K629" s="125"/>
      <c r="L629" s="122"/>
      <c r="M629" s="122"/>
      <c r="N629" s="123"/>
      <c r="O629" s="261">
        <v>1</v>
      </c>
      <c r="P629" s="261">
        <v>0</v>
      </c>
      <c r="Q629" s="105"/>
      <c r="R629" s="105"/>
      <c r="S629" s="47"/>
      <c r="T629" s="47"/>
      <c r="U629" s="47"/>
      <c r="V629" s="50"/>
    </row>
    <row r="630" spans="1:22" s="64" customFormat="1" x14ac:dyDescent="0.25">
      <c r="A630" s="86"/>
      <c r="J630" s="119"/>
      <c r="K630" s="125"/>
      <c r="L630" s="122"/>
      <c r="M630" s="122"/>
      <c r="N630" s="123"/>
      <c r="O630" s="261">
        <v>1</v>
      </c>
      <c r="P630" s="261">
        <v>0</v>
      </c>
      <c r="Q630" s="105"/>
      <c r="R630" s="105"/>
      <c r="S630" s="47"/>
      <c r="T630" s="47"/>
      <c r="U630" s="47"/>
      <c r="V630" s="50"/>
    </row>
    <row r="631" spans="1:22" s="64" customFormat="1" x14ac:dyDescent="0.25">
      <c r="A631" s="86"/>
      <c r="J631" s="119"/>
      <c r="K631" s="125"/>
      <c r="L631" s="122"/>
      <c r="M631" s="122"/>
      <c r="N631" s="123"/>
      <c r="O631" s="261">
        <v>1</v>
      </c>
      <c r="P631" s="261">
        <v>0</v>
      </c>
      <c r="Q631" s="105"/>
      <c r="R631" s="105"/>
      <c r="S631" s="47"/>
      <c r="T631" s="47"/>
      <c r="U631" s="47"/>
      <c r="V631" s="50"/>
    </row>
    <row r="632" spans="1:22" s="64" customFormat="1" x14ac:dyDescent="0.25">
      <c r="A632" s="86"/>
      <c r="J632" s="119"/>
      <c r="K632" s="125"/>
      <c r="L632" s="122"/>
      <c r="M632" s="122"/>
      <c r="N632" s="123"/>
      <c r="O632" s="261">
        <v>1</v>
      </c>
      <c r="P632" s="261">
        <v>0</v>
      </c>
      <c r="Q632" s="105"/>
      <c r="R632" s="105"/>
      <c r="S632" s="47"/>
      <c r="T632" s="47"/>
      <c r="U632" s="47"/>
      <c r="V632" s="50"/>
    </row>
    <row r="633" spans="1:22" s="64" customFormat="1" x14ac:dyDescent="0.25">
      <c r="A633" s="86"/>
      <c r="J633" s="119"/>
      <c r="K633" s="125"/>
      <c r="L633" s="122"/>
      <c r="M633" s="122"/>
      <c r="N633" s="123"/>
      <c r="O633" s="261">
        <v>1</v>
      </c>
      <c r="P633" s="261">
        <v>0</v>
      </c>
      <c r="Q633" s="105"/>
      <c r="R633" s="105"/>
      <c r="S633" s="47"/>
      <c r="T633" s="47"/>
      <c r="U633" s="47"/>
      <c r="V633" s="50"/>
    </row>
    <row r="634" spans="1:22" s="64" customFormat="1" x14ac:dyDescent="0.25">
      <c r="A634" s="86"/>
      <c r="J634" s="119"/>
      <c r="K634" s="125"/>
      <c r="L634" s="122"/>
      <c r="M634" s="122"/>
      <c r="N634" s="123"/>
      <c r="O634" s="261">
        <v>1</v>
      </c>
      <c r="P634" s="261">
        <v>0</v>
      </c>
      <c r="Q634" s="105"/>
      <c r="R634" s="105"/>
      <c r="S634" s="47"/>
      <c r="T634" s="47"/>
      <c r="U634" s="47"/>
      <c r="V634" s="50"/>
    </row>
    <row r="635" spans="1:22" s="64" customFormat="1" x14ac:dyDescent="0.25">
      <c r="A635" s="86"/>
      <c r="J635" s="119"/>
      <c r="K635" s="125"/>
      <c r="L635" s="122"/>
      <c r="M635" s="122"/>
      <c r="N635" s="123"/>
      <c r="O635" s="261">
        <v>1</v>
      </c>
      <c r="P635" s="261">
        <v>0</v>
      </c>
      <c r="Q635" s="105"/>
      <c r="R635" s="105"/>
      <c r="S635" s="47"/>
      <c r="T635" s="47"/>
      <c r="U635" s="47"/>
      <c r="V635" s="50"/>
    </row>
    <row r="636" spans="1:22" s="64" customFormat="1" x14ac:dyDescent="0.25">
      <c r="A636" s="86"/>
      <c r="J636" s="119"/>
      <c r="K636" s="125"/>
      <c r="L636" s="122"/>
      <c r="M636" s="122"/>
      <c r="N636" s="123"/>
      <c r="O636" s="261">
        <v>1</v>
      </c>
      <c r="P636" s="261">
        <v>0</v>
      </c>
      <c r="Q636" s="105"/>
      <c r="R636" s="105"/>
      <c r="S636" s="47"/>
      <c r="T636" s="47"/>
      <c r="U636" s="47"/>
      <c r="V636" s="50"/>
    </row>
    <row r="637" spans="1:22" s="64" customFormat="1" x14ac:dyDescent="0.25">
      <c r="A637" s="86"/>
      <c r="J637" s="119"/>
      <c r="K637" s="125"/>
      <c r="L637" s="122"/>
      <c r="M637" s="122"/>
      <c r="N637" s="123"/>
      <c r="O637" s="261">
        <v>1</v>
      </c>
      <c r="P637" s="261">
        <v>0</v>
      </c>
      <c r="Q637" s="105"/>
      <c r="R637" s="105"/>
      <c r="S637" s="47"/>
      <c r="T637" s="47"/>
      <c r="U637" s="47"/>
      <c r="V637" s="50"/>
    </row>
    <row r="638" spans="1:22" s="64" customFormat="1" x14ac:dyDescent="0.25">
      <c r="A638" s="86"/>
      <c r="J638" s="119"/>
      <c r="K638" s="125"/>
      <c r="L638" s="122"/>
      <c r="M638" s="122"/>
      <c r="N638" s="123"/>
      <c r="O638" s="261">
        <v>1</v>
      </c>
      <c r="P638" s="261">
        <v>0</v>
      </c>
      <c r="Q638" s="105"/>
      <c r="R638" s="105"/>
      <c r="S638" s="47"/>
      <c r="T638" s="47"/>
      <c r="U638" s="47"/>
      <c r="V638" s="50"/>
    </row>
    <row r="639" spans="1:22" s="64" customFormat="1" x14ac:dyDescent="0.25">
      <c r="A639" s="86"/>
      <c r="J639" s="119"/>
      <c r="K639" s="125"/>
      <c r="L639" s="122"/>
      <c r="M639" s="122"/>
      <c r="N639" s="123"/>
      <c r="O639" s="261">
        <v>1</v>
      </c>
      <c r="P639" s="261">
        <v>0</v>
      </c>
      <c r="Q639" s="105"/>
      <c r="R639" s="105"/>
      <c r="S639" s="47"/>
      <c r="T639" s="47"/>
      <c r="U639" s="47"/>
      <c r="V639" s="50"/>
    </row>
    <row r="640" spans="1:22" s="64" customFormat="1" x14ac:dyDescent="0.25">
      <c r="A640" s="86"/>
      <c r="J640" s="119"/>
      <c r="K640" s="125"/>
      <c r="L640" s="122"/>
      <c r="M640" s="122"/>
      <c r="N640" s="123"/>
      <c r="O640" s="261">
        <v>1</v>
      </c>
      <c r="P640" s="261">
        <v>0</v>
      </c>
      <c r="Q640" s="105"/>
      <c r="R640" s="105"/>
      <c r="S640" s="47"/>
      <c r="T640" s="47"/>
      <c r="U640" s="47"/>
      <c r="V640" s="50"/>
    </row>
    <row r="641" spans="1:22" s="64" customFormat="1" x14ac:dyDescent="0.25">
      <c r="A641" s="86"/>
      <c r="J641" s="119"/>
      <c r="K641" s="125"/>
      <c r="L641" s="122"/>
      <c r="M641" s="122"/>
      <c r="N641" s="123"/>
      <c r="O641" s="261">
        <v>1</v>
      </c>
      <c r="P641" s="261">
        <v>0</v>
      </c>
      <c r="Q641" s="105"/>
      <c r="R641" s="105"/>
      <c r="S641" s="47"/>
      <c r="T641" s="47"/>
      <c r="U641" s="47"/>
      <c r="V641" s="50"/>
    </row>
    <row r="642" spans="1:22" s="64" customFormat="1" x14ac:dyDescent="0.25">
      <c r="A642" s="86"/>
      <c r="J642" s="119"/>
      <c r="K642" s="125"/>
      <c r="L642" s="122"/>
      <c r="M642" s="122"/>
      <c r="N642" s="123"/>
      <c r="O642" s="261">
        <v>1</v>
      </c>
      <c r="P642" s="261">
        <v>0</v>
      </c>
      <c r="Q642" s="105"/>
      <c r="R642" s="105"/>
      <c r="S642" s="47"/>
      <c r="T642" s="47"/>
      <c r="U642" s="47"/>
      <c r="V642" s="50"/>
    </row>
    <row r="643" spans="1:22" s="64" customFormat="1" x14ac:dyDescent="0.25">
      <c r="A643" s="86"/>
      <c r="J643" s="119"/>
      <c r="K643" s="125"/>
      <c r="L643" s="122"/>
      <c r="M643" s="122"/>
      <c r="N643" s="123"/>
      <c r="O643" s="261">
        <v>1</v>
      </c>
      <c r="P643" s="261">
        <v>0</v>
      </c>
      <c r="Q643" s="105"/>
      <c r="R643" s="105"/>
      <c r="S643" s="47"/>
      <c r="T643" s="47"/>
      <c r="U643" s="47"/>
      <c r="V643" s="50"/>
    </row>
    <row r="644" spans="1:22" s="64" customFormat="1" x14ac:dyDescent="0.25">
      <c r="A644" s="86"/>
      <c r="J644" s="119"/>
      <c r="K644" s="125"/>
      <c r="L644" s="122"/>
      <c r="M644" s="122"/>
      <c r="N644" s="123"/>
      <c r="O644" s="261">
        <v>1</v>
      </c>
      <c r="P644" s="261">
        <v>0</v>
      </c>
      <c r="Q644" s="105"/>
      <c r="R644" s="105"/>
      <c r="S644" s="47"/>
      <c r="T644" s="47"/>
      <c r="U644" s="47"/>
      <c r="V644" s="50"/>
    </row>
    <row r="645" spans="1:22" s="64" customFormat="1" x14ac:dyDescent="0.25">
      <c r="A645" s="86"/>
      <c r="J645" s="119"/>
      <c r="K645" s="125"/>
      <c r="L645" s="122"/>
      <c r="M645" s="122"/>
      <c r="N645" s="123"/>
      <c r="O645" s="261">
        <v>1</v>
      </c>
      <c r="P645" s="261">
        <v>0</v>
      </c>
      <c r="Q645" s="105"/>
      <c r="R645" s="105"/>
      <c r="S645" s="47"/>
      <c r="T645" s="47"/>
      <c r="U645" s="47"/>
      <c r="V645" s="50"/>
    </row>
    <row r="646" spans="1:22" s="64" customFormat="1" x14ac:dyDescent="0.25">
      <c r="A646" s="86"/>
      <c r="J646" s="119"/>
      <c r="K646" s="125"/>
      <c r="L646" s="122"/>
      <c r="M646" s="122"/>
      <c r="N646" s="123"/>
      <c r="O646" s="261">
        <v>1</v>
      </c>
      <c r="P646" s="261">
        <v>0</v>
      </c>
      <c r="Q646" s="105"/>
      <c r="R646" s="105"/>
      <c r="S646" s="47"/>
      <c r="T646" s="47"/>
      <c r="U646" s="47"/>
      <c r="V646" s="50"/>
    </row>
    <row r="647" spans="1:22" s="64" customFormat="1" x14ac:dyDescent="0.25">
      <c r="A647" s="86"/>
      <c r="J647" s="119"/>
      <c r="K647" s="125"/>
      <c r="L647" s="122"/>
      <c r="M647" s="122"/>
      <c r="N647" s="123"/>
      <c r="O647" s="261">
        <v>1</v>
      </c>
      <c r="P647" s="261">
        <v>0</v>
      </c>
      <c r="Q647" s="105"/>
      <c r="R647" s="105"/>
      <c r="S647" s="47"/>
      <c r="T647" s="47"/>
      <c r="U647" s="47"/>
      <c r="V647" s="50"/>
    </row>
    <row r="648" spans="1:22" s="64" customFormat="1" x14ac:dyDescent="0.25">
      <c r="A648" s="86"/>
      <c r="J648" s="119"/>
      <c r="K648" s="125"/>
      <c r="L648" s="122"/>
      <c r="M648" s="122"/>
      <c r="N648" s="123"/>
      <c r="O648" s="261">
        <v>1</v>
      </c>
      <c r="P648" s="261">
        <v>0</v>
      </c>
      <c r="Q648" s="105"/>
      <c r="R648" s="105"/>
      <c r="S648" s="47"/>
      <c r="T648" s="47"/>
      <c r="U648" s="47"/>
      <c r="V648" s="50"/>
    </row>
    <row r="649" spans="1:22" s="64" customFormat="1" x14ac:dyDescent="0.25">
      <c r="A649" s="86"/>
      <c r="J649" s="119"/>
      <c r="K649" s="125"/>
      <c r="L649" s="122"/>
      <c r="M649" s="122"/>
      <c r="N649" s="123"/>
      <c r="O649" s="261">
        <v>1</v>
      </c>
      <c r="P649" s="261">
        <v>0</v>
      </c>
      <c r="Q649" s="105"/>
      <c r="R649" s="105"/>
      <c r="S649" s="47"/>
      <c r="T649" s="47"/>
      <c r="U649" s="47"/>
      <c r="V649" s="50"/>
    </row>
    <row r="650" spans="1:22" s="64" customFormat="1" x14ac:dyDescent="0.25">
      <c r="A650" s="86"/>
      <c r="J650" s="119"/>
      <c r="K650" s="125"/>
      <c r="L650" s="122"/>
      <c r="M650" s="122"/>
      <c r="N650" s="123"/>
      <c r="O650" s="261">
        <v>1</v>
      </c>
      <c r="P650" s="261">
        <v>0</v>
      </c>
      <c r="Q650" s="105"/>
      <c r="R650" s="105"/>
      <c r="S650" s="47"/>
      <c r="T650" s="47"/>
      <c r="U650" s="47"/>
      <c r="V650" s="50"/>
    </row>
    <row r="651" spans="1:22" s="64" customFormat="1" x14ac:dyDescent="0.25">
      <c r="A651" s="86"/>
      <c r="J651" s="119"/>
      <c r="K651" s="125"/>
      <c r="L651" s="122"/>
      <c r="M651" s="122"/>
      <c r="N651" s="123"/>
      <c r="O651" s="261">
        <v>1</v>
      </c>
      <c r="P651" s="261">
        <v>0</v>
      </c>
      <c r="Q651" s="105"/>
      <c r="R651" s="105"/>
      <c r="S651" s="47"/>
      <c r="T651" s="47"/>
      <c r="U651" s="47"/>
      <c r="V651" s="50"/>
    </row>
    <row r="652" spans="1:22" s="64" customFormat="1" x14ac:dyDescent="0.25">
      <c r="A652" s="86"/>
      <c r="J652" s="119"/>
      <c r="K652" s="125"/>
      <c r="L652" s="122"/>
      <c r="M652" s="122"/>
      <c r="N652" s="123"/>
      <c r="O652" s="261">
        <v>1</v>
      </c>
      <c r="P652" s="261">
        <v>0</v>
      </c>
      <c r="Q652" s="105"/>
      <c r="R652" s="105"/>
      <c r="S652" s="47"/>
      <c r="T652" s="47"/>
      <c r="U652" s="47"/>
      <c r="V652" s="50"/>
    </row>
    <row r="653" spans="1:22" s="64" customFormat="1" x14ac:dyDescent="0.25">
      <c r="A653" s="86"/>
      <c r="J653" s="119"/>
      <c r="K653" s="125"/>
      <c r="L653" s="122"/>
      <c r="M653" s="122"/>
      <c r="N653" s="123"/>
      <c r="O653" s="261">
        <v>1</v>
      </c>
      <c r="P653" s="261">
        <v>0</v>
      </c>
      <c r="Q653" s="105"/>
      <c r="R653" s="105"/>
      <c r="S653" s="47"/>
      <c r="T653" s="47"/>
      <c r="U653" s="47"/>
      <c r="V653" s="50"/>
    </row>
    <row r="654" spans="1:22" s="64" customFormat="1" x14ac:dyDescent="0.25">
      <c r="A654" s="86"/>
      <c r="J654" s="119"/>
      <c r="K654" s="125"/>
      <c r="L654" s="122"/>
      <c r="M654" s="122"/>
      <c r="N654" s="123"/>
      <c r="O654" s="261">
        <v>1</v>
      </c>
      <c r="P654" s="261">
        <v>0</v>
      </c>
      <c r="Q654" s="105"/>
      <c r="R654" s="105"/>
      <c r="S654" s="47"/>
      <c r="T654" s="47"/>
      <c r="U654" s="47"/>
      <c r="V654" s="50"/>
    </row>
    <row r="655" spans="1:22" s="64" customFormat="1" x14ac:dyDescent="0.25">
      <c r="A655" s="86"/>
      <c r="J655" s="119"/>
      <c r="K655" s="125"/>
      <c r="L655" s="122"/>
      <c r="M655" s="122"/>
      <c r="N655" s="123"/>
      <c r="O655" s="261">
        <v>1</v>
      </c>
      <c r="P655" s="261">
        <v>0</v>
      </c>
      <c r="Q655" s="105"/>
      <c r="R655" s="105"/>
      <c r="S655" s="47"/>
      <c r="T655" s="47"/>
      <c r="U655" s="47"/>
      <c r="V655" s="50"/>
    </row>
    <row r="656" spans="1:22" s="64" customFormat="1" x14ac:dyDescent="0.25">
      <c r="A656" s="86"/>
      <c r="J656" s="119"/>
      <c r="K656" s="125"/>
      <c r="L656" s="122"/>
      <c r="M656" s="122"/>
      <c r="N656" s="123"/>
      <c r="O656" s="261">
        <v>1</v>
      </c>
      <c r="P656" s="261">
        <v>0</v>
      </c>
      <c r="Q656" s="105"/>
      <c r="R656" s="105"/>
      <c r="S656" s="47"/>
      <c r="T656" s="47"/>
      <c r="U656" s="47"/>
      <c r="V656" s="50"/>
    </row>
    <row r="657" spans="1:22" s="64" customFormat="1" x14ac:dyDescent="0.25">
      <c r="A657" s="86"/>
      <c r="J657" s="119"/>
      <c r="K657" s="125"/>
      <c r="L657" s="122"/>
      <c r="M657" s="122"/>
      <c r="N657" s="123"/>
      <c r="O657" s="261">
        <v>1</v>
      </c>
      <c r="P657" s="261">
        <v>0</v>
      </c>
      <c r="Q657" s="105"/>
      <c r="R657" s="105"/>
      <c r="S657" s="47"/>
      <c r="T657" s="47"/>
      <c r="U657" s="47"/>
      <c r="V657" s="50"/>
    </row>
    <row r="658" spans="1:22" s="64" customFormat="1" x14ac:dyDescent="0.25">
      <c r="A658" s="86"/>
      <c r="J658" s="119"/>
      <c r="K658" s="125"/>
      <c r="L658" s="122"/>
      <c r="M658" s="122"/>
      <c r="N658" s="123"/>
      <c r="O658" s="261">
        <v>1</v>
      </c>
      <c r="P658" s="261">
        <v>0</v>
      </c>
      <c r="Q658" s="105"/>
      <c r="R658" s="105"/>
      <c r="S658" s="47"/>
      <c r="T658" s="47"/>
      <c r="U658" s="47"/>
      <c r="V658" s="50"/>
    </row>
    <row r="659" spans="1:22" s="64" customFormat="1" x14ac:dyDescent="0.25">
      <c r="A659" s="86"/>
      <c r="J659" s="119"/>
      <c r="K659" s="125"/>
      <c r="L659" s="122"/>
      <c r="M659" s="122"/>
      <c r="N659" s="123"/>
      <c r="O659" s="261">
        <v>1</v>
      </c>
      <c r="P659" s="261">
        <v>0</v>
      </c>
      <c r="Q659" s="105"/>
      <c r="R659" s="105"/>
      <c r="S659" s="47"/>
      <c r="T659" s="47"/>
      <c r="U659" s="47"/>
      <c r="V659" s="50"/>
    </row>
    <row r="660" spans="1:22" s="64" customFormat="1" x14ac:dyDescent="0.25">
      <c r="A660" s="86"/>
      <c r="J660" s="119"/>
      <c r="K660" s="125"/>
      <c r="L660" s="122"/>
      <c r="M660" s="122"/>
      <c r="N660" s="123"/>
      <c r="O660" s="261">
        <v>1</v>
      </c>
      <c r="P660" s="261">
        <v>0</v>
      </c>
      <c r="Q660" s="105"/>
      <c r="R660" s="105"/>
      <c r="S660" s="47"/>
      <c r="T660" s="47"/>
      <c r="U660" s="47"/>
      <c r="V660" s="50"/>
    </row>
    <row r="661" spans="1:22" s="64" customFormat="1" x14ac:dyDescent="0.25">
      <c r="A661" s="86"/>
      <c r="J661" s="119"/>
      <c r="K661" s="125"/>
      <c r="L661" s="122"/>
      <c r="M661" s="122"/>
      <c r="N661" s="123"/>
      <c r="O661" s="261">
        <v>1</v>
      </c>
      <c r="P661" s="261">
        <v>0</v>
      </c>
      <c r="Q661" s="105"/>
      <c r="R661" s="105"/>
      <c r="S661" s="47"/>
      <c r="T661" s="47"/>
      <c r="U661" s="47"/>
      <c r="V661" s="50"/>
    </row>
    <row r="662" spans="1:22" s="64" customFormat="1" x14ac:dyDescent="0.25">
      <c r="A662" s="86"/>
      <c r="J662" s="119"/>
      <c r="K662" s="125"/>
      <c r="L662" s="122"/>
      <c r="M662" s="122"/>
      <c r="N662" s="123"/>
      <c r="O662" s="261">
        <v>1</v>
      </c>
      <c r="P662" s="261">
        <v>0</v>
      </c>
      <c r="Q662" s="105"/>
      <c r="R662" s="105"/>
      <c r="S662" s="47"/>
      <c r="T662" s="47"/>
      <c r="U662" s="47"/>
      <c r="V662" s="50"/>
    </row>
    <row r="663" spans="1:22" s="64" customFormat="1" x14ac:dyDescent="0.25">
      <c r="A663" s="86"/>
      <c r="J663" s="119"/>
      <c r="K663" s="125"/>
      <c r="L663" s="122"/>
      <c r="M663" s="122"/>
      <c r="N663" s="123"/>
      <c r="O663" s="261">
        <v>1</v>
      </c>
      <c r="P663" s="261">
        <v>0</v>
      </c>
      <c r="Q663" s="105"/>
      <c r="R663" s="105"/>
      <c r="S663" s="47"/>
      <c r="T663" s="47"/>
      <c r="U663" s="47"/>
      <c r="V663" s="50"/>
    </row>
    <row r="664" spans="1:22" s="64" customFormat="1" x14ac:dyDescent="0.25">
      <c r="A664" s="86"/>
      <c r="J664" s="119"/>
      <c r="K664" s="125"/>
      <c r="L664" s="122"/>
      <c r="M664" s="122"/>
      <c r="N664" s="123"/>
      <c r="O664" s="261">
        <v>1</v>
      </c>
      <c r="P664" s="261">
        <v>0</v>
      </c>
      <c r="Q664" s="105"/>
      <c r="R664" s="105"/>
      <c r="S664" s="47"/>
      <c r="T664" s="47"/>
      <c r="U664" s="47"/>
      <c r="V664" s="50"/>
    </row>
    <row r="665" spans="1:22" s="64" customFormat="1" x14ac:dyDescent="0.25">
      <c r="A665" s="86"/>
      <c r="J665" s="119"/>
      <c r="K665" s="125"/>
      <c r="L665" s="122"/>
      <c r="M665" s="122"/>
      <c r="N665" s="123"/>
      <c r="O665" s="261">
        <v>1</v>
      </c>
      <c r="P665" s="261">
        <v>0</v>
      </c>
      <c r="Q665" s="105"/>
      <c r="R665" s="105"/>
      <c r="S665" s="47"/>
      <c r="T665" s="47"/>
      <c r="U665" s="47"/>
      <c r="V665" s="50"/>
    </row>
    <row r="666" spans="1:22" s="64" customFormat="1" x14ac:dyDescent="0.25">
      <c r="A666" s="86"/>
      <c r="J666" s="119"/>
      <c r="K666" s="125"/>
      <c r="L666" s="122"/>
      <c r="M666" s="122"/>
      <c r="N666" s="123"/>
      <c r="O666" s="261">
        <v>1</v>
      </c>
      <c r="P666" s="261">
        <v>0</v>
      </c>
      <c r="Q666" s="105"/>
      <c r="R666" s="105"/>
      <c r="S666" s="47"/>
      <c r="T666" s="47"/>
      <c r="U666" s="47"/>
      <c r="V666" s="50"/>
    </row>
    <row r="667" spans="1:22" s="64" customFormat="1" x14ac:dyDescent="0.25">
      <c r="A667" s="86"/>
      <c r="J667" s="119"/>
      <c r="K667" s="125"/>
      <c r="L667" s="122"/>
      <c r="M667" s="122"/>
      <c r="N667" s="123"/>
      <c r="O667" s="261">
        <v>1</v>
      </c>
      <c r="P667" s="261">
        <v>0</v>
      </c>
      <c r="Q667" s="105"/>
      <c r="R667" s="105"/>
      <c r="S667" s="47"/>
      <c r="T667" s="47"/>
      <c r="U667" s="47"/>
      <c r="V667" s="50"/>
    </row>
    <row r="668" spans="1:22" s="64" customFormat="1" x14ac:dyDescent="0.25">
      <c r="A668" s="86"/>
      <c r="J668" s="119"/>
      <c r="K668" s="125"/>
      <c r="L668" s="122"/>
      <c r="M668" s="122"/>
      <c r="N668" s="123"/>
      <c r="O668" s="261">
        <v>1</v>
      </c>
      <c r="P668" s="261">
        <v>0</v>
      </c>
      <c r="Q668" s="105"/>
      <c r="R668" s="105"/>
      <c r="S668" s="47"/>
      <c r="T668" s="47"/>
      <c r="U668" s="47"/>
      <c r="V668" s="50"/>
    </row>
    <row r="669" spans="1:22" s="64" customFormat="1" x14ac:dyDescent="0.25">
      <c r="A669" s="86"/>
      <c r="J669" s="119"/>
      <c r="K669" s="125"/>
      <c r="L669" s="122"/>
      <c r="M669" s="122"/>
      <c r="N669" s="123"/>
      <c r="O669" s="261">
        <v>1</v>
      </c>
      <c r="P669" s="261">
        <v>0</v>
      </c>
      <c r="Q669" s="105"/>
      <c r="R669" s="105"/>
      <c r="S669" s="47"/>
      <c r="T669" s="47"/>
      <c r="U669" s="47"/>
      <c r="V669" s="50"/>
    </row>
    <row r="670" spans="1:22" s="64" customFormat="1" x14ac:dyDescent="0.25">
      <c r="A670" s="86"/>
      <c r="J670" s="119"/>
      <c r="K670" s="125"/>
      <c r="L670" s="122"/>
      <c r="M670" s="122"/>
      <c r="N670" s="123"/>
      <c r="O670" s="261">
        <v>1</v>
      </c>
      <c r="P670" s="261">
        <v>0</v>
      </c>
      <c r="Q670" s="105"/>
      <c r="R670" s="105"/>
      <c r="S670" s="47"/>
      <c r="T670" s="47"/>
      <c r="U670" s="47"/>
      <c r="V670" s="50"/>
    </row>
    <row r="671" spans="1:22" s="64" customFormat="1" x14ac:dyDescent="0.25">
      <c r="A671" s="86"/>
      <c r="J671" s="119"/>
      <c r="K671" s="125"/>
      <c r="L671" s="122"/>
      <c r="M671" s="122"/>
      <c r="N671" s="123"/>
      <c r="O671" s="261">
        <v>1</v>
      </c>
      <c r="P671" s="261">
        <v>0</v>
      </c>
      <c r="Q671" s="105"/>
      <c r="R671" s="105"/>
      <c r="S671" s="47"/>
      <c r="T671" s="47"/>
      <c r="U671" s="47"/>
      <c r="V671" s="50"/>
    </row>
    <row r="672" spans="1:22" s="64" customFormat="1" x14ac:dyDescent="0.25">
      <c r="A672" s="86"/>
      <c r="J672" s="119"/>
      <c r="K672" s="125"/>
      <c r="L672" s="122"/>
      <c r="M672" s="122"/>
      <c r="N672" s="123"/>
      <c r="O672" s="261">
        <v>1</v>
      </c>
      <c r="P672" s="261">
        <v>0</v>
      </c>
      <c r="Q672" s="105"/>
      <c r="R672" s="105"/>
      <c r="S672" s="47"/>
      <c r="T672" s="47"/>
      <c r="U672" s="47"/>
      <c r="V672" s="50"/>
    </row>
    <row r="673" spans="1:22" s="64" customFormat="1" x14ac:dyDescent="0.25">
      <c r="A673" s="86"/>
      <c r="J673" s="119"/>
      <c r="K673" s="125"/>
      <c r="L673" s="122"/>
      <c r="M673" s="122"/>
      <c r="N673" s="123"/>
      <c r="O673" s="261">
        <v>1</v>
      </c>
      <c r="P673" s="261">
        <v>0</v>
      </c>
      <c r="Q673" s="105"/>
      <c r="R673" s="105"/>
      <c r="S673" s="47"/>
      <c r="T673" s="47"/>
      <c r="U673" s="47"/>
      <c r="V673" s="50"/>
    </row>
    <row r="674" spans="1:22" s="64" customFormat="1" x14ac:dyDescent="0.25">
      <c r="A674" s="86"/>
      <c r="J674" s="119"/>
      <c r="K674" s="125"/>
      <c r="L674" s="122"/>
      <c r="M674" s="122"/>
      <c r="N674" s="123"/>
      <c r="O674" s="261">
        <v>1</v>
      </c>
      <c r="P674" s="261">
        <v>0</v>
      </c>
      <c r="Q674" s="105"/>
      <c r="R674" s="105"/>
      <c r="S674" s="47"/>
      <c r="T674" s="47"/>
      <c r="U674" s="47"/>
      <c r="V674" s="50"/>
    </row>
    <row r="675" spans="1:22" s="64" customFormat="1" x14ac:dyDescent="0.25">
      <c r="A675" s="86"/>
      <c r="J675" s="119"/>
      <c r="K675" s="125"/>
      <c r="L675" s="122"/>
      <c r="M675" s="122"/>
      <c r="N675" s="123"/>
      <c r="O675" s="261">
        <v>1</v>
      </c>
      <c r="P675" s="261">
        <v>0</v>
      </c>
      <c r="Q675" s="105"/>
      <c r="R675" s="105"/>
      <c r="S675" s="47"/>
      <c r="T675" s="47"/>
      <c r="U675" s="47"/>
      <c r="V675" s="50"/>
    </row>
    <row r="676" spans="1:22" s="64" customFormat="1" x14ac:dyDescent="0.25">
      <c r="A676" s="86"/>
      <c r="J676" s="119"/>
      <c r="K676" s="125"/>
      <c r="L676" s="122"/>
      <c r="M676" s="122"/>
      <c r="N676" s="123"/>
      <c r="O676" s="261">
        <v>1</v>
      </c>
      <c r="P676" s="261">
        <v>0</v>
      </c>
      <c r="Q676" s="105"/>
      <c r="R676" s="105"/>
      <c r="S676" s="47"/>
      <c r="T676" s="47"/>
      <c r="U676" s="47"/>
      <c r="V676" s="50"/>
    </row>
    <row r="677" spans="1:22" s="64" customFormat="1" x14ac:dyDescent="0.25">
      <c r="A677" s="86"/>
      <c r="J677" s="119"/>
      <c r="K677" s="125"/>
      <c r="L677" s="122"/>
      <c r="M677" s="122"/>
      <c r="N677" s="123"/>
      <c r="O677" s="261">
        <v>1</v>
      </c>
      <c r="P677" s="261">
        <v>0</v>
      </c>
      <c r="Q677" s="105"/>
      <c r="R677" s="105"/>
      <c r="S677" s="47"/>
      <c r="T677" s="47"/>
      <c r="U677" s="47"/>
      <c r="V677" s="50"/>
    </row>
    <row r="678" spans="1:22" s="64" customFormat="1" x14ac:dyDescent="0.25">
      <c r="A678" s="86"/>
      <c r="J678" s="119"/>
      <c r="K678" s="125"/>
      <c r="L678" s="122"/>
      <c r="M678" s="122"/>
      <c r="N678" s="123"/>
      <c r="O678" s="261">
        <v>1</v>
      </c>
      <c r="P678" s="261">
        <v>0</v>
      </c>
      <c r="Q678" s="105"/>
      <c r="R678" s="105"/>
      <c r="S678" s="47"/>
      <c r="T678" s="47"/>
      <c r="U678" s="47"/>
      <c r="V678" s="50"/>
    </row>
    <row r="679" spans="1:22" s="64" customFormat="1" x14ac:dyDescent="0.25">
      <c r="A679" s="86"/>
      <c r="J679" s="119"/>
      <c r="K679" s="125"/>
      <c r="L679" s="122"/>
      <c r="M679" s="122"/>
      <c r="N679" s="123"/>
      <c r="O679" s="261">
        <v>1</v>
      </c>
      <c r="P679" s="261">
        <v>0</v>
      </c>
      <c r="Q679" s="105"/>
      <c r="R679" s="105"/>
      <c r="S679" s="47"/>
      <c r="T679" s="47"/>
      <c r="U679" s="47"/>
      <c r="V679" s="50"/>
    </row>
    <row r="680" spans="1:22" s="64" customFormat="1" x14ac:dyDescent="0.25">
      <c r="A680" s="86"/>
      <c r="J680" s="119"/>
      <c r="K680" s="125"/>
      <c r="L680" s="122"/>
      <c r="M680" s="122"/>
      <c r="N680" s="123"/>
      <c r="O680" s="261">
        <v>1</v>
      </c>
      <c r="P680" s="261">
        <v>0</v>
      </c>
      <c r="Q680" s="105"/>
      <c r="R680" s="105"/>
      <c r="S680" s="47"/>
      <c r="T680" s="47"/>
      <c r="U680" s="47"/>
      <c r="V680" s="50"/>
    </row>
    <row r="681" spans="1:22" s="64" customFormat="1" x14ac:dyDescent="0.25">
      <c r="A681" s="86"/>
      <c r="J681" s="119"/>
      <c r="K681" s="125"/>
      <c r="L681" s="122"/>
      <c r="M681" s="122"/>
      <c r="N681" s="123"/>
      <c r="O681" s="261">
        <v>1</v>
      </c>
      <c r="P681" s="261">
        <v>0</v>
      </c>
      <c r="Q681" s="105"/>
      <c r="R681" s="105"/>
      <c r="S681" s="47"/>
      <c r="T681" s="47"/>
      <c r="U681" s="47"/>
      <c r="V681" s="50"/>
    </row>
    <row r="682" spans="1:22" s="64" customFormat="1" x14ac:dyDescent="0.25">
      <c r="A682" s="86"/>
      <c r="J682" s="119"/>
      <c r="K682" s="125"/>
      <c r="L682" s="122"/>
      <c r="M682" s="122"/>
      <c r="N682" s="123"/>
      <c r="O682" s="261">
        <v>1</v>
      </c>
      <c r="P682" s="261">
        <v>0</v>
      </c>
      <c r="Q682" s="105"/>
      <c r="R682" s="105"/>
      <c r="S682" s="47"/>
      <c r="T682" s="47"/>
      <c r="U682" s="47"/>
      <c r="V682" s="50"/>
    </row>
    <row r="683" spans="1:22" s="64" customFormat="1" x14ac:dyDescent="0.25">
      <c r="A683" s="86"/>
      <c r="J683" s="119"/>
      <c r="K683" s="125"/>
      <c r="L683" s="122"/>
      <c r="M683" s="122"/>
      <c r="N683" s="123"/>
      <c r="O683" s="261">
        <v>1</v>
      </c>
      <c r="P683" s="261">
        <v>0</v>
      </c>
      <c r="Q683" s="105"/>
      <c r="R683" s="105"/>
      <c r="S683" s="47"/>
      <c r="T683" s="47"/>
      <c r="U683" s="47"/>
      <c r="V683" s="50"/>
    </row>
    <row r="684" spans="1:22" s="64" customFormat="1" x14ac:dyDescent="0.25">
      <c r="A684" s="86"/>
      <c r="J684" s="119"/>
      <c r="K684" s="125"/>
      <c r="L684" s="122"/>
      <c r="M684" s="122"/>
      <c r="N684" s="123"/>
      <c r="O684" s="261">
        <v>1</v>
      </c>
      <c r="P684" s="261">
        <v>0</v>
      </c>
      <c r="Q684" s="105"/>
      <c r="R684" s="105"/>
      <c r="S684" s="47"/>
      <c r="T684" s="47"/>
      <c r="U684" s="47"/>
      <c r="V684" s="50"/>
    </row>
    <row r="685" spans="1:22" s="64" customFormat="1" x14ac:dyDescent="0.25">
      <c r="A685" s="86"/>
      <c r="J685" s="119"/>
      <c r="K685" s="125"/>
      <c r="L685" s="122"/>
      <c r="M685" s="122"/>
      <c r="N685" s="123"/>
      <c r="O685" s="261">
        <v>1</v>
      </c>
      <c r="P685" s="261">
        <v>0</v>
      </c>
      <c r="Q685" s="105"/>
      <c r="R685" s="105"/>
      <c r="S685" s="47"/>
      <c r="T685" s="47"/>
      <c r="U685" s="47"/>
      <c r="V685" s="50"/>
    </row>
    <row r="686" spans="1:22" s="64" customFormat="1" x14ac:dyDescent="0.25">
      <c r="A686" s="86"/>
      <c r="J686" s="119"/>
      <c r="K686" s="125"/>
      <c r="L686" s="122"/>
      <c r="M686" s="122"/>
      <c r="N686" s="123"/>
      <c r="O686" s="261">
        <v>1</v>
      </c>
      <c r="P686" s="261">
        <v>0</v>
      </c>
      <c r="Q686" s="105"/>
      <c r="R686" s="105"/>
      <c r="S686" s="47"/>
      <c r="T686" s="47"/>
      <c r="U686" s="47"/>
      <c r="V686" s="50"/>
    </row>
    <row r="687" spans="1:22" s="64" customFormat="1" x14ac:dyDescent="0.25">
      <c r="A687" s="86"/>
      <c r="J687" s="119"/>
      <c r="K687" s="125"/>
      <c r="L687" s="122"/>
      <c r="M687" s="122"/>
      <c r="N687" s="123"/>
      <c r="O687" s="261">
        <v>1</v>
      </c>
      <c r="P687" s="261">
        <v>0</v>
      </c>
      <c r="Q687" s="105"/>
      <c r="R687" s="105"/>
      <c r="S687" s="47"/>
      <c r="T687" s="47"/>
      <c r="U687" s="47"/>
      <c r="V687" s="50"/>
    </row>
    <row r="688" spans="1:22" s="64" customFormat="1" x14ac:dyDescent="0.25">
      <c r="A688" s="86"/>
      <c r="J688" s="119"/>
      <c r="K688" s="125"/>
      <c r="L688" s="122"/>
      <c r="M688" s="122"/>
      <c r="N688" s="123"/>
      <c r="O688" s="261">
        <v>1</v>
      </c>
      <c r="P688" s="261">
        <v>0</v>
      </c>
      <c r="Q688" s="105"/>
      <c r="R688" s="105"/>
      <c r="S688" s="47"/>
      <c r="T688" s="47"/>
      <c r="U688" s="47"/>
      <c r="V688" s="50"/>
    </row>
    <row r="689" spans="1:22" s="64" customFormat="1" x14ac:dyDescent="0.25">
      <c r="A689" s="86"/>
      <c r="J689" s="119"/>
      <c r="K689" s="125"/>
      <c r="L689" s="122"/>
      <c r="M689" s="122"/>
      <c r="N689" s="123"/>
      <c r="O689" s="261">
        <v>1</v>
      </c>
      <c r="P689" s="261">
        <v>0</v>
      </c>
      <c r="Q689" s="105"/>
      <c r="R689" s="105"/>
      <c r="S689" s="47"/>
      <c r="T689" s="47"/>
      <c r="U689" s="47"/>
      <c r="V689" s="50"/>
    </row>
    <row r="690" spans="1:22" s="64" customFormat="1" x14ac:dyDescent="0.25">
      <c r="A690" s="86"/>
      <c r="J690" s="119"/>
      <c r="K690" s="125"/>
      <c r="L690" s="122"/>
      <c r="M690" s="122"/>
      <c r="N690" s="123"/>
      <c r="O690" s="261">
        <v>1</v>
      </c>
      <c r="P690" s="261">
        <v>0</v>
      </c>
      <c r="Q690" s="105"/>
      <c r="R690" s="105"/>
      <c r="S690" s="47"/>
      <c r="T690" s="47"/>
      <c r="U690" s="47"/>
      <c r="V690" s="50"/>
    </row>
    <row r="691" spans="1:22" s="64" customFormat="1" x14ac:dyDescent="0.25">
      <c r="A691" s="86"/>
      <c r="J691" s="119"/>
      <c r="K691" s="125"/>
      <c r="L691" s="122"/>
      <c r="M691" s="122"/>
      <c r="N691" s="123"/>
      <c r="O691" s="261">
        <v>1</v>
      </c>
      <c r="P691" s="261">
        <v>0</v>
      </c>
      <c r="Q691" s="105"/>
      <c r="R691" s="105"/>
      <c r="S691" s="47"/>
      <c r="T691" s="47"/>
      <c r="U691" s="47"/>
      <c r="V691" s="50"/>
    </row>
    <row r="692" spans="1:22" s="64" customFormat="1" x14ac:dyDescent="0.25">
      <c r="A692" s="86"/>
      <c r="J692" s="119"/>
      <c r="K692" s="125"/>
      <c r="L692" s="122"/>
      <c r="M692" s="122"/>
      <c r="N692" s="123"/>
      <c r="O692" s="261">
        <v>1</v>
      </c>
      <c r="P692" s="261">
        <v>0</v>
      </c>
      <c r="Q692" s="105"/>
      <c r="R692" s="105"/>
      <c r="S692" s="47"/>
      <c r="T692" s="47"/>
      <c r="U692" s="47"/>
      <c r="V692" s="50"/>
    </row>
    <row r="693" spans="1:22" s="64" customFormat="1" x14ac:dyDescent="0.25">
      <c r="A693" s="86"/>
      <c r="J693" s="119"/>
      <c r="K693" s="125"/>
      <c r="L693" s="122"/>
      <c r="M693" s="122"/>
      <c r="N693" s="123"/>
      <c r="O693" s="261">
        <v>1</v>
      </c>
      <c r="P693" s="261">
        <v>0</v>
      </c>
      <c r="Q693" s="105"/>
      <c r="R693" s="105"/>
      <c r="S693" s="47"/>
      <c r="T693" s="47"/>
      <c r="U693" s="47"/>
      <c r="V693" s="50"/>
    </row>
    <row r="694" spans="1:22" s="64" customFormat="1" x14ac:dyDescent="0.25">
      <c r="A694" s="86"/>
      <c r="J694" s="119"/>
      <c r="K694" s="125"/>
      <c r="L694" s="122"/>
      <c r="M694" s="122"/>
      <c r="N694" s="123"/>
      <c r="O694" s="261">
        <v>1</v>
      </c>
      <c r="P694" s="261">
        <v>0</v>
      </c>
      <c r="Q694" s="105"/>
      <c r="R694" s="105"/>
      <c r="S694" s="47"/>
      <c r="T694" s="47"/>
      <c r="U694" s="47"/>
      <c r="V694" s="50"/>
    </row>
    <row r="695" spans="1:22" s="64" customFormat="1" x14ac:dyDescent="0.25">
      <c r="A695" s="86"/>
      <c r="J695" s="119"/>
      <c r="K695" s="125"/>
      <c r="L695" s="122"/>
      <c r="M695" s="122"/>
      <c r="N695" s="123"/>
      <c r="O695" s="261">
        <v>1</v>
      </c>
      <c r="P695" s="261">
        <v>0</v>
      </c>
      <c r="Q695" s="105"/>
      <c r="R695" s="105"/>
      <c r="S695" s="47"/>
      <c r="T695" s="47"/>
      <c r="U695" s="47"/>
      <c r="V695" s="50"/>
    </row>
    <row r="696" spans="1:22" s="64" customFormat="1" x14ac:dyDescent="0.25">
      <c r="A696" s="86"/>
      <c r="J696" s="119"/>
      <c r="K696" s="125"/>
      <c r="L696" s="122"/>
      <c r="M696" s="122"/>
      <c r="N696" s="123"/>
      <c r="O696" s="261">
        <v>1</v>
      </c>
      <c r="P696" s="261">
        <v>0</v>
      </c>
      <c r="Q696" s="105"/>
      <c r="R696" s="105"/>
      <c r="S696" s="47"/>
      <c r="T696" s="47"/>
      <c r="U696" s="47"/>
      <c r="V696" s="50"/>
    </row>
    <row r="697" spans="1:22" s="64" customFormat="1" x14ac:dyDescent="0.25">
      <c r="A697" s="86"/>
      <c r="J697" s="119"/>
      <c r="K697" s="125"/>
      <c r="L697" s="122"/>
      <c r="M697" s="122"/>
      <c r="N697" s="123"/>
      <c r="O697" s="261">
        <v>1</v>
      </c>
      <c r="P697" s="261">
        <v>0</v>
      </c>
      <c r="Q697" s="105"/>
      <c r="R697" s="105"/>
      <c r="S697" s="47"/>
      <c r="T697" s="47"/>
      <c r="U697" s="47"/>
      <c r="V697" s="50"/>
    </row>
    <row r="698" spans="1:22" s="64" customFormat="1" x14ac:dyDescent="0.25">
      <c r="A698" s="86"/>
      <c r="J698" s="119"/>
      <c r="K698" s="125"/>
      <c r="L698" s="122"/>
      <c r="M698" s="122"/>
      <c r="N698" s="123"/>
      <c r="O698" s="261">
        <v>1</v>
      </c>
      <c r="P698" s="261">
        <v>0</v>
      </c>
      <c r="Q698" s="105"/>
      <c r="R698" s="105"/>
      <c r="S698" s="47"/>
      <c r="T698" s="47"/>
      <c r="U698" s="47"/>
      <c r="V698" s="50"/>
    </row>
    <row r="699" spans="1:22" s="64" customFormat="1" x14ac:dyDescent="0.25">
      <c r="A699" s="86"/>
      <c r="J699" s="119"/>
      <c r="K699" s="125"/>
      <c r="L699" s="122"/>
      <c r="M699" s="122"/>
      <c r="N699" s="123"/>
      <c r="O699" s="261">
        <v>1</v>
      </c>
      <c r="P699" s="261">
        <v>0</v>
      </c>
      <c r="Q699" s="105"/>
      <c r="R699" s="105"/>
      <c r="S699" s="47"/>
      <c r="T699" s="47"/>
      <c r="U699" s="47"/>
      <c r="V699" s="50"/>
    </row>
    <row r="700" spans="1:22" s="64" customFormat="1" x14ac:dyDescent="0.25">
      <c r="A700" s="86"/>
      <c r="J700" s="119"/>
      <c r="K700" s="125"/>
      <c r="L700" s="122"/>
      <c r="M700" s="122"/>
      <c r="N700" s="123"/>
      <c r="O700" s="261">
        <v>1</v>
      </c>
      <c r="P700" s="261">
        <v>0</v>
      </c>
      <c r="Q700" s="105"/>
      <c r="R700" s="105"/>
      <c r="S700" s="47"/>
      <c r="T700" s="47"/>
      <c r="U700" s="47"/>
      <c r="V700" s="50"/>
    </row>
    <row r="701" spans="1:22" s="64" customFormat="1" x14ac:dyDescent="0.25">
      <c r="A701" s="86"/>
      <c r="J701" s="119"/>
      <c r="K701" s="125"/>
      <c r="L701" s="122"/>
      <c r="M701" s="122"/>
      <c r="N701" s="123"/>
      <c r="O701" s="261">
        <v>1</v>
      </c>
      <c r="P701" s="261">
        <v>0</v>
      </c>
      <c r="Q701" s="105"/>
      <c r="R701" s="105"/>
      <c r="S701" s="47"/>
      <c r="T701" s="47"/>
      <c r="U701" s="47"/>
      <c r="V701" s="50"/>
    </row>
    <row r="702" spans="1:22" s="64" customFormat="1" x14ac:dyDescent="0.25">
      <c r="A702" s="86"/>
      <c r="J702" s="119"/>
      <c r="K702" s="125"/>
      <c r="L702" s="122"/>
      <c r="M702" s="122"/>
      <c r="N702" s="123"/>
      <c r="O702" s="261">
        <v>1</v>
      </c>
      <c r="P702" s="261">
        <v>0</v>
      </c>
      <c r="Q702" s="105"/>
      <c r="R702" s="105"/>
      <c r="S702" s="47"/>
      <c r="T702" s="47"/>
      <c r="U702" s="47"/>
      <c r="V702" s="50"/>
    </row>
    <row r="703" spans="1:22" s="64" customFormat="1" x14ac:dyDescent="0.25">
      <c r="A703" s="86"/>
      <c r="J703" s="119"/>
      <c r="K703" s="125"/>
      <c r="L703" s="122"/>
      <c r="M703" s="122"/>
      <c r="N703" s="123"/>
      <c r="O703" s="261">
        <v>1</v>
      </c>
      <c r="P703" s="261">
        <v>0</v>
      </c>
      <c r="Q703" s="105"/>
      <c r="R703" s="105"/>
      <c r="S703" s="47"/>
      <c r="T703" s="47"/>
      <c r="U703" s="47"/>
      <c r="V703" s="50"/>
    </row>
    <row r="704" spans="1:22" s="64" customFormat="1" x14ac:dyDescent="0.25">
      <c r="A704" s="86"/>
      <c r="J704" s="119"/>
      <c r="K704" s="125"/>
      <c r="L704" s="122"/>
      <c r="M704" s="122"/>
      <c r="N704" s="123"/>
      <c r="O704" s="261">
        <v>1</v>
      </c>
      <c r="P704" s="261">
        <v>0</v>
      </c>
      <c r="Q704" s="105"/>
      <c r="R704" s="105"/>
      <c r="S704" s="47"/>
      <c r="T704" s="47"/>
      <c r="U704" s="47"/>
      <c r="V704" s="50"/>
    </row>
    <row r="705" spans="1:22" s="64" customFormat="1" x14ac:dyDescent="0.25">
      <c r="A705" s="86"/>
      <c r="J705" s="119"/>
      <c r="K705" s="125"/>
      <c r="L705" s="122"/>
      <c r="M705" s="122"/>
      <c r="N705" s="123"/>
      <c r="O705" s="261">
        <v>1</v>
      </c>
      <c r="P705" s="261">
        <v>0</v>
      </c>
      <c r="Q705" s="105"/>
      <c r="R705" s="105"/>
      <c r="S705" s="47"/>
      <c r="T705" s="47"/>
      <c r="U705" s="47"/>
      <c r="V705" s="50"/>
    </row>
    <row r="706" spans="1:22" s="64" customFormat="1" x14ac:dyDescent="0.25">
      <c r="A706" s="86"/>
      <c r="J706" s="119"/>
      <c r="K706" s="125"/>
      <c r="L706" s="122"/>
      <c r="M706" s="122"/>
      <c r="N706" s="123"/>
      <c r="O706" s="261">
        <v>1</v>
      </c>
      <c r="P706" s="261">
        <v>0</v>
      </c>
      <c r="Q706" s="105"/>
      <c r="R706" s="105"/>
      <c r="S706" s="47"/>
      <c r="T706" s="47"/>
      <c r="U706" s="47"/>
      <c r="V706" s="50"/>
    </row>
    <row r="707" spans="1:22" s="64" customFormat="1" x14ac:dyDescent="0.25">
      <c r="A707" s="86"/>
      <c r="J707" s="119"/>
      <c r="K707" s="125"/>
      <c r="L707" s="122"/>
      <c r="M707" s="122"/>
      <c r="N707" s="123"/>
      <c r="O707" s="261">
        <v>1</v>
      </c>
      <c r="P707" s="261">
        <v>0</v>
      </c>
      <c r="Q707" s="105"/>
      <c r="R707" s="105"/>
      <c r="S707" s="47"/>
      <c r="T707" s="47"/>
      <c r="U707" s="47"/>
      <c r="V707" s="50"/>
    </row>
    <row r="708" spans="1:22" s="64" customFormat="1" x14ac:dyDescent="0.25">
      <c r="A708" s="86"/>
      <c r="J708" s="119"/>
      <c r="K708" s="125"/>
      <c r="L708" s="122"/>
      <c r="M708" s="122"/>
      <c r="N708" s="123"/>
      <c r="O708" s="261">
        <v>1</v>
      </c>
      <c r="P708" s="261">
        <v>0</v>
      </c>
      <c r="Q708" s="105"/>
      <c r="R708" s="105"/>
      <c r="S708" s="47"/>
      <c r="T708" s="47"/>
      <c r="U708" s="47"/>
      <c r="V708" s="50"/>
    </row>
    <row r="709" spans="1:22" s="64" customFormat="1" x14ac:dyDescent="0.25">
      <c r="A709" s="86"/>
      <c r="J709" s="119"/>
      <c r="K709" s="125"/>
      <c r="L709" s="122"/>
      <c r="M709" s="122"/>
      <c r="N709" s="123"/>
      <c r="O709" s="261">
        <v>1</v>
      </c>
      <c r="P709" s="261">
        <v>0</v>
      </c>
      <c r="Q709" s="105"/>
      <c r="R709" s="105"/>
      <c r="S709" s="47"/>
      <c r="T709" s="47"/>
      <c r="U709" s="47"/>
      <c r="V709" s="50"/>
    </row>
    <row r="710" spans="1:22" s="64" customFormat="1" x14ac:dyDescent="0.25">
      <c r="A710" s="86"/>
      <c r="J710" s="119"/>
      <c r="K710" s="125"/>
      <c r="L710" s="122"/>
      <c r="M710" s="122"/>
      <c r="N710" s="123"/>
      <c r="O710" s="261">
        <v>1</v>
      </c>
      <c r="P710" s="261">
        <v>0</v>
      </c>
      <c r="Q710" s="105"/>
      <c r="R710" s="105"/>
      <c r="S710" s="47"/>
      <c r="T710" s="47"/>
      <c r="U710" s="47"/>
      <c r="V710" s="50"/>
    </row>
    <row r="711" spans="1:22" s="64" customFormat="1" x14ac:dyDescent="0.25">
      <c r="A711" s="86"/>
      <c r="J711" s="119"/>
      <c r="K711" s="125"/>
      <c r="L711" s="122"/>
      <c r="M711" s="122"/>
      <c r="N711" s="123"/>
      <c r="O711" s="261">
        <v>1</v>
      </c>
      <c r="P711" s="261">
        <v>0</v>
      </c>
      <c r="Q711" s="105"/>
      <c r="R711" s="105"/>
      <c r="S711" s="47"/>
      <c r="T711" s="47"/>
      <c r="U711" s="47"/>
      <c r="V711" s="50"/>
    </row>
    <row r="712" spans="1:22" s="64" customFormat="1" x14ac:dyDescent="0.25">
      <c r="A712" s="86"/>
      <c r="J712" s="119"/>
      <c r="K712" s="125"/>
      <c r="L712" s="122"/>
      <c r="M712" s="122"/>
      <c r="N712" s="123"/>
      <c r="O712" s="261">
        <v>1</v>
      </c>
      <c r="P712" s="261">
        <v>0</v>
      </c>
      <c r="Q712" s="105"/>
      <c r="R712" s="105"/>
      <c r="S712" s="47"/>
      <c r="T712" s="47"/>
      <c r="U712" s="47"/>
      <c r="V712" s="50"/>
    </row>
    <row r="713" spans="1:22" s="64" customFormat="1" x14ac:dyDescent="0.25">
      <c r="A713" s="86"/>
      <c r="J713" s="119"/>
      <c r="K713" s="125"/>
      <c r="L713" s="122"/>
      <c r="M713" s="122"/>
      <c r="N713" s="123"/>
      <c r="O713" s="261">
        <v>1</v>
      </c>
      <c r="P713" s="261">
        <v>0</v>
      </c>
      <c r="Q713" s="105"/>
      <c r="R713" s="105"/>
      <c r="S713" s="47"/>
      <c r="T713" s="47"/>
      <c r="U713" s="47"/>
      <c r="V713" s="50"/>
    </row>
    <row r="714" spans="1:22" s="64" customFormat="1" x14ac:dyDescent="0.25">
      <c r="A714" s="86"/>
      <c r="J714" s="119"/>
      <c r="K714" s="125"/>
      <c r="L714" s="122"/>
      <c r="M714" s="122"/>
      <c r="N714" s="123"/>
      <c r="O714" s="261">
        <v>1</v>
      </c>
      <c r="P714" s="261">
        <v>0</v>
      </c>
      <c r="Q714" s="105"/>
      <c r="R714" s="105"/>
      <c r="S714" s="47"/>
      <c r="T714" s="47"/>
      <c r="U714" s="47"/>
      <c r="V714" s="50"/>
    </row>
    <row r="715" spans="1:22" s="64" customFormat="1" x14ac:dyDescent="0.25">
      <c r="A715" s="86"/>
      <c r="J715" s="119"/>
      <c r="K715" s="125"/>
      <c r="L715" s="122"/>
      <c r="M715" s="122"/>
      <c r="N715" s="123"/>
      <c r="O715" s="261">
        <v>1</v>
      </c>
      <c r="P715" s="261">
        <v>0</v>
      </c>
      <c r="Q715" s="105"/>
      <c r="R715" s="105"/>
      <c r="S715" s="47"/>
      <c r="T715" s="47"/>
      <c r="U715" s="47"/>
      <c r="V715" s="50"/>
    </row>
    <row r="716" spans="1:22" s="64" customFormat="1" x14ac:dyDescent="0.25">
      <c r="A716" s="86"/>
      <c r="J716" s="119"/>
      <c r="K716" s="125"/>
      <c r="L716" s="122"/>
      <c r="M716" s="122"/>
      <c r="N716" s="123"/>
      <c r="O716" s="261">
        <v>1</v>
      </c>
      <c r="P716" s="261">
        <v>0</v>
      </c>
      <c r="Q716" s="105"/>
      <c r="R716" s="105"/>
      <c r="S716" s="47"/>
      <c r="T716" s="47"/>
      <c r="U716" s="47"/>
      <c r="V716" s="50"/>
    </row>
    <row r="717" spans="1:22" s="64" customFormat="1" x14ac:dyDescent="0.25">
      <c r="A717" s="86"/>
      <c r="J717" s="119"/>
      <c r="K717" s="125"/>
      <c r="L717" s="122"/>
      <c r="M717" s="122"/>
      <c r="N717" s="123"/>
      <c r="O717" s="261">
        <v>1</v>
      </c>
      <c r="P717" s="261">
        <v>0</v>
      </c>
      <c r="Q717" s="105"/>
      <c r="R717" s="105"/>
      <c r="S717" s="47"/>
      <c r="T717" s="47"/>
      <c r="U717" s="47"/>
      <c r="V717" s="50"/>
    </row>
    <row r="718" spans="1:22" s="64" customFormat="1" x14ac:dyDescent="0.25">
      <c r="A718" s="86"/>
      <c r="J718" s="119"/>
      <c r="K718" s="125"/>
      <c r="L718" s="122"/>
      <c r="M718" s="122"/>
      <c r="N718" s="123"/>
      <c r="O718" s="261">
        <v>1</v>
      </c>
      <c r="P718" s="261">
        <v>0</v>
      </c>
      <c r="Q718" s="105"/>
      <c r="R718" s="105"/>
      <c r="S718" s="47"/>
      <c r="T718" s="47"/>
      <c r="U718" s="47"/>
      <c r="V718" s="50"/>
    </row>
    <row r="719" spans="1:22" s="64" customFormat="1" x14ac:dyDescent="0.25">
      <c r="A719" s="86"/>
      <c r="J719" s="119"/>
      <c r="K719" s="125"/>
      <c r="L719" s="122"/>
      <c r="M719" s="122"/>
      <c r="N719" s="123"/>
      <c r="O719" s="261">
        <v>1</v>
      </c>
      <c r="P719" s="261">
        <v>0</v>
      </c>
      <c r="Q719" s="105"/>
      <c r="R719" s="105"/>
      <c r="S719" s="47"/>
      <c r="T719" s="47"/>
      <c r="U719" s="47"/>
      <c r="V719" s="50"/>
    </row>
    <row r="720" spans="1:22" s="64" customFormat="1" x14ac:dyDescent="0.25">
      <c r="A720" s="86"/>
      <c r="J720" s="119"/>
      <c r="K720" s="125"/>
      <c r="L720" s="122"/>
      <c r="M720" s="122"/>
      <c r="N720" s="123"/>
      <c r="O720" s="261">
        <v>1</v>
      </c>
      <c r="P720" s="261">
        <v>0</v>
      </c>
      <c r="Q720" s="105"/>
      <c r="R720" s="105"/>
      <c r="S720" s="47"/>
      <c r="T720" s="47"/>
      <c r="U720" s="47"/>
      <c r="V720" s="50"/>
    </row>
    <row r="721" spans="1:22" s="64" customFormat="1" x14ac:dyDescent="0.25">
      <c r="A721" s="86"/>
      <c r="J721" s="119"/>
      <c r="K721" s="125"/>
      <c r="L721" s="122"/>
      <c r="M721" s="122"/>
      <c r="N721" s="123"/>
      <c r="O721" s="261">
        <v>1</v>
      </c>
      <c r="P721" s="261">
        <v>0</v>
      </c>
      <c r="Q721" s="105"/>
      <c r="R721" s="105"/>
      <c r="S721" s="47"/>
      <c r="T721" s="47"/>
      <c r="U721" s="47"/>
      <c r="V721" s="50"/>
    </row>
    <row r="722" spans="1:22" s="64" customFormat="1" x14ac:dyDescent="0.25">
      <c r="A722" s="86"/>
      <c r="J722" s="119"/>
      <c r="K722" s="125"/>
      <c r="L722" s="122"/>
      <c r="M722" s="122"/>
      <c r="N722" s="123"/>
      <c r="O722" s="261">
        <v>1</v>
      </c>
      <c r="P722" s="261">
        <v>0</v>
      </c>
      <c r="Q722" s="105"/>
      <c r="R722" s="105"/>
      <c r="S722" s="47"/>
      <c r="T722" s="47"/>
      <c r="U722" s="47"/>
      <c r="V722" s="50"/>
    </row>
    <row r="723" spans="1:22" s="64" customFormat="1" x14ac:dyDescent="0.25">
      <c r="A723" s="86"/>
      <c r="J723" s="119"/>
      <c r="K723" s="125"/>
      <c r="L723" s="122"/>
      <c r="M723" s="122"/>
      <c r="N723" s="123"/>
      <c r="O723" s="261">
        <v>1</v>
      </c>
      <c r="P723" s="261">
        <v>0</v>
      </c>
      <c r="Q723" s="105"/>
      <c r="R723" s="105"/>
      <c r="S723" s="47"/>
      <c r="T723" s="47"/>
      <c r="U723" s="47"/>
      <c r="V723" s="50"/>
    </row>
    <row r="724" spans="1:22" s="64" customFormat="1" x14ac:dyDescent="0.25">
      <c r="A724" s="86"/>
      <c r="J724" s="119"/>
      <c r="K724" s="125"/>
      <c r="L724" s="122"/>
      <c r="M724" s="122"/>
      <c r="N724" s="123"/>
      <c r="O724" s="261">
        <v>1</v>
      </c>
      <c r="P724" s="261">
        <v>0</v>
      </c>
      <c r="Q724" s="105"/>
      <c r="R724" s="105"/>
      <c r="S724" s="47"/>
      <c r="T724" s="47"/>
      <c r="U724" s="47"/>
      <c r="V724" s="50"/>
    </row>
    <row r="725" spans="1:22" s="64" customFormat="1" x14ac:dyDescent="0.25">
      <c r="A725" s="86"/>
      <c r="J725" s="119"/>
      <c r="K725" s="125"/>
      <c r="L725" s="122"/>
      <c r="M725" s="122"/>
      <c r="N725" s="123"/>
      <c r="O725" s="261">
        <v>1</v>
      </c>
      <c r="P725" s="261">
        <v>0</v>
      </c>
      <c r="Q725" s="105"/>
      <c r="R725" s="105"/>
      <c r="S725" s="47"/>
      <c r="T725" s="47"/>
      <c r="U725" s="47"/>
      <c r="V725" s="50"/>
    </row>
    <row r="726" spans="1:22" s="64" customFormat="1" x14ac:dyDescent="0.25">
      <c r="A726" s="86"/>
      <c r="J726" s="119"/>
      <c r="K726" s="125"/>
      <c r="L726" s="122"/>
      <c r="M726" s="122"/>
      <c r="N726" s="123"/>
      <c r="O726" s="261">
        <v>1</v>
      </c>
      <c r="P726" s="261">
        <v>0</v>
      </c>
      <c r="Q726" s="105"/>
      <c r="R726" s="105"/>
      <c r="S726" s="47"/>
      <c r="T726" s="47"/>
      <c r="U726" s="47"/>
      <c r="V726" s="50"/>
    </row>
    <row r="727" spans="1:22" s="64" customFormat="1" x14ac:dyDescent="0.25">
      <c r="A727" s="86"/>
      <c r="J727" s="119"/>
      <c r="K727" s="125"/>
      <c r="L727" s="122"/>
      <c r="M727" s="122"/>
      <c r="N727" s="123"/>
      <c r="O727" s="261">
        <v>1</v>
      </c>
      <c r="P727" s="261">
        <v>0</v>
      </c>
      <c r="Q727" s="105"/>
      <c r="R727" s="105"/>
      <c r="S727" s="47"/>
      <c r="T727" s="47"/>
      <c r="U727" s="47"/>
      <c r="V727" s="50"/>
    </row>
    <row r="728" spans="1:22" s="64" customFormat="1" x14ac:dyDescent="0.25">
      <c r="A728" s="86"/>
      <c r="J728" s="119"/>
      <c r="K728" s="125"/>
      <c r="L728" s="122"/>
      <c r="M728" s="122"/>
      <c r="N728" s="123"/>
      <c r="O728" s="261">
        <v>1</v>
      </c>
      <c r="P728" s="261">
        <v>0</v>
      </c>
      <c r="Q728" s="105"/>
      <c r="R728" s="105"/>
      <c r="S728" s="47"/>
      <c r="T728" s="47"/>
      <c r="U728" s="47"/>
      <c r="V728" s="50"/>
    </row>
    <row r="729" spans="1:22" s="64" customFormat="1" x14ac:dyDescent="0.25">
      <c r="A729" s="86"/>
      <c r="J729" s="119"/>
      <c r="K729" s="125"/>
      <c r="L729" s="122"/>
      <c r="M729" s="122"/>
      <c r="N729" s="123"/>
      <c r="O729" s="261">
        <v>1</v>
      </c>
      <c r="P729" s="261">
        <v>0</v>
      </c>
      <c r="Q729" s="105"/>
      <c r="R729" s="105"/>
      <c r="S729" s="47"/>
      <c r="T729" s="47"/>
      <c r="U729" s="47"/>
      <c r="V729" s="50"/>
    </row>
    <row r="730" spans="1:22" s="64" customFormat="1" x14ac:dyDescent="0.25">
      <c r="A730" s="86"/>
      <c r="J730" s="119"/>
      <c r="K730" s="125"/>
      <c r="L730" s="122"/>
      <c r="M730" s="122"/>
      <c r="N730" s="123"/>
      <c r="O730" s="261">
        <v>1</v>
      </c>
      <c r="P730" s="261">
        <v>0</v>
      </c>
      <c r="Q730" s="105"/>
      <c r="R730" s="105"/>
      <c r="S730" s="47"/>
      <c r="T730" s="47"/>
      <c r="U730" s="47"/>
      <c r="V730" s="50"/>
    </row>
    <row r="731" spans="1:22" s="64" customFormat="1" x14ac:dyDescent="0.25">
      <c r="A731" s="86"/>
      <c r="J731" s="119"/>
      <c r="K731" s="125"/>
      <c r="L731" s="122"/>
      <c r="M731" s="122"/>
      <c r="N731" s="123"/>
      <c r="O731" s="261">
        <v>1</v>
      </c>
      <c r="P731" s="261">
        <v>0</v>
      </c>
      <c r="Q731" s="105"/>
      <c r="R731" s="105"/>
      <c r="S731" s="47"/>
      <c r="T731" s="47"/>
      <c r="U731" s="47"/>
      <c r="V731" s="50"/>
    </row>
    <row r="732" spans="1:22" s="64" customFormat="1" x14ac:dyDescent="0.25">
      <c r="A732" s="86"/>
      <c r="J732" s="119"/>
      <c r="K732" s="125"/>
      <c r="L732" s="122"/>
      <c r="M732" s="122"/>
      <c r="N732" s="123"/>
      <c r="O732" s="261">
        <v>1</v>
      </c>
      <c r="P732" s="261">
        <v>0</v>
      </c>
      <c r="Q732" s="105"/>
      <c r="R732" s="105"/>
      <c r="S732" s="47"/>
      <c r="T732" s="47"/>
      <c r="U732" s="47"/>
      <c r="V732" s="50"/>
    </row>
    <row r="733" spans="1:22" s="64" customFormat="1" x14ac:dyDescent="0.25">
      <c r="A733" s="86"/>
      <c r="J733" s="119"/>
      <c r="K733" s="125"/>
      <c r="L733" s="122"/>
      <c r="M733" s="122"/>
      <c r="N733" s="123"/>
      <c r="O733" s="261">
        <v>1</v>
      </c>
      <c r="P733" s="261">
        <v>0</v>
      </c>
      <c r="Q733" s="105"/>
      <c r="R733" s="105"/>
      <c r="S733" s="47"/>
      <c r="T733" s="47"/>
      <c r="U733" s="47"/>
      <c r="V733" s="50"/>
    </row>
    <row r="734" spans="1:22" s="64" customFormat="1" x14ac:dyDescent="0.25">
      <c r="A734" s="86"/>
      <c r="J734" s="119"/>
      <c r="K734" s="125"/>
      <c r="L734" s="122"/>
      <c r="M734" s="122"/>
      <c r="N734" s="123"/>
      <c r="O734" s="261">
        <v>1</v>
      </c>
      <c r="P734" s="261">
        <v>0</v>
      </c>
      <c r="Q734" s="105"/>
      <c r="R734" s="105"/>
      <c r="S734" s="47"/>
      <c r="T734" s="47"/>
      <c r="U734" s="47"/>
      <c r="V734" s="50"/>
    </row>
    <row r="735" spans="1:22" s="64" customFormat="1" x14ac:dyDescent="0.25">
      <c r="A735" s="86"/>
      <c r="J735" s="119"/>
      <c r="K735" s="125"/>
      <c r="L735" s="122"/>
      <c r="M735" s="122"/>
      <c r="N735" s="123"/>
      <c r="O735" s="261">
        <v>1</v>
      </c>
      <c r="P735" s="261">
        <v>0</v>
      </c>
      <c r="Q735" s="105"/>
      <c r="R735" s="105"/>
      <c r="S735" s="47"/>
      <c r="T735" s="47"/>
      <c r="U735" s="47"/>
      <c r="V735" s="50"/>
    </row>
    <row r="736" spans="1:22" s="64" customFormat="1" x14ac:dyDescent="0.25">
      <c r="A736" s="86"/>
      <c r="J736" s="119"/>
      <c r="K736" s="125"/>
      <c r="L736" s="122"/>
      <c r="M736" s="122"/>
      <c r="N736" s="123"/>
      <c r="O736" s="261">
        <v>1</v>
      </c>
      <c r="P736" s="261">
        <v>0</v>
      </c>
      <c r="Q736" s="105"/>
      <c r="R736" s="105"/>
      <c r="S736" s="47"/>
      <c r="T736" s="47"/>
      <c r="U736" s="47"/>
      <c r="V736" s="50"/>
    </row>
    <row r="737" spans="1:22" s="64" customFormat="1" x14ac:dyDescent="0.25">
      <c r="A737" s="86"/>
      <c r="J737" s="119"/>
      <c r="K737" s="125"/>
      <c r="L737" s="122"/>
      <c r="M737" s="122"/>
      <c r="N737" s="123"/>
      <c r="O737" s="261">
        <v>1</v>
      </c>
      <c r="P737" s="261">
        <v>0</v>
      </c>
      <c r="Q737" s="105"/>
      <c r="R737" s="105"/>
      <c r="S737" s="47"/>
      <c r="T737" s="47"/>
      <c r="U737" s="47"/>
      <c r="V737" s="50"/>
    </row>
    <row r="738" spans="1:22" s="64" customFormat="1" x14ac:dyDescent="0.25">
      <c r="A738" s="86"/>
      <c r="J738" s="119"/>
      <c r="K738" s="125"/>
      <c r="L738" s="122"/>
      <c r="M738" s="122"/>
      <c r="N738" s="123"/>
      <c r="O738" s="261">
        <v>1</v>
      </c>
      <c r="P738" s="261">
        <v>0</v>
      </c>
      <c r="Q738" s="105"/>
      <c r="R738" s="105"/>
      <c r="S738" s="47"/>
      <c r="T738" s="47"/>
      <c r="U738" s="47"/>
      <c r="V738" s="50"/>
    </row>
    <row r="739" spans="1:22" s="64" customFormat="1" x14ac:dyDescent="0.25">
      <c r="A739" s="86"/>
      <c r="J739" s="119"/>
      <c r="K739" s="125"/>
      <c r="L739" s="122"/>
      <c r="M739" s="122"/>
      <c r="N739" s="123"/>
      <c r="O739" s="261">
        <v>1</v>
      </c>
      <c r="P739" s="261">
        <v>0</v>
      </c>
      <c r="Q739" s="105"/>
      <c r="R739" s="105"/>
      <c r="S739" s="47"/>
      <c r="T739" s="47"/>
      <c r="U739" s="47"/>
      <c r="V739" s="50"/>
    </row>
    <row r="740" spans="1:22" s="64" customFormat="1" x14ac:dyDescent="0.25">
      <c r="A740" s="86"/>
      <c r="J740" s="119"/>
      <c r="K740" s="125"/>
      <c r="L740" s="122"/>
      <c r="M740" s="122"/>
      <c r="N740" s="123"/>
      <c r="O740" s="261">
        <v>1</v>
      </c>
      <c r="P740" s="261">
        <v>0</v>
      </c>
      <c r="Q740" s="105"/>
      <c r="R740" s="105"/>
      <c r="S740" s="47"/>
      <c r="T740" s="47"/>
      <c r="U740" s="47"/>
      <c r="V740" s="50"/>
    </row>
    <row r="741" spans="1:22" s="64" customFormat="1" x14ac:dyDescent="0.25">
      <c r="A741" s="86"/>
      <c r="J741" s="119"/>
      <c r="K741" s="125"/>
      <c r="L741" s="122"/>
      <c r="M741" s="122"/>
      <c r="N741" s="123"/>
      <c r="O741" s="261">
        <v>1</v>
      </c>
      <c r="P741" s="261">
        <v>0</v>
      </c>
      <c r="Q741" s="105"/>
      <c r="R741" s="105"/>
      <c r="S741" s="47"/>
      <c r="T741" s="47"/>
      <c r="U741" s="47"/>
      <c r="V741" s="50"/>
    </row>
    <row r="742" spans="1:22" s="64" customFormat="1" x14ac:dyDescent="0.25">
      <c r="A742" s="86"/>
      <c r="J742" s="119"/>
      <c r="K742" s="125"/>
      <c r="L742" s="122"/>
      <c r="M742" s="122"/>
      <c r="N742" s="123"/>
      <c r="O742" s="261">
        <v>1</v>
      </c>
      <c r="P742" s="261">
        <v>0</v>
      </c>
      <c r="Q742" s="105"/>
      <c r="R742" s="105"/>
      <c r="S742" s="47"/>
      <c r="T742" s="47"/>
      <c r="U742" s="47"/>
      <c r="V742" s="50"/>
    </row>
    <row r="743" spans="1:22" s="64" customFormat="1" x14ac:dyDescent="0.25">
      <c r="A743" s="86"/>
      <c r="J743" s="119"/>
      <c r="K743" s="125"/>
      <c r="L743" s="122"/>
      <c r="M743" s="122"/>
      <c r="N743" s="123"/>
      <c r="O743" s="261">
        <v>1</v>
      </c>
      <c r="P743" s="261">
        <v>0</v>
      </c>
      <c r="Q743" s="105"/>
      <c r="R743" s="105"/>
      <c r="S743" s="47"/>
      <c r="T743" s="47"/>
      <c r="U743" s="47"/>
      <c r="V743" s="50"/>
    </row>
    <row r="744" spans="1:22" s="64" customFormat="1" x14ac:dyDescent="0.25">
      <c r="A744" s="86"/>
      <c r="J744" s="119"/>
      <c r="K744" s="125"/>
      <c r="L744" s="122"/>
      <c r="M744" s="122"/>
      <c r="N744" s="123"/>
      <c r="O744" s="261">
        <v>1</v>
      </c>
      <c r="P744" s="261">
        <v>0</v>
      </c>
      <c r="Q744" s="105"/>
      <c r="R744" s="105"/>
      <c r="S744" s="47"/>
      <c r="T744" s="47"/>
      <c r="U744" s="47"/>
      <c r="V744" s="50"/>
    </row>
    <row r="745" spans="1:22" s="64" customFormat="1" x14ac:dyDescent="0.25">
      <c r="A745" s="86"/>
      <c r="J745" s="119"/>
      <c r="K745" s="125"/>
      <c r="L745" s="122"/>
      <c r="M745" s="122"/>
      <c r="N745" s="123"/>
      <c r="O745" s="261">
        <v>1</v>
      </c>
      <c r="P745" s="261">
        <v>0</v>
      </c>
      <c r="Q745" s="105"/>
      <c r="R745" s="105"/>
      <c r="S745" s="47"/>
      <c r="T745" s="47"/>
      <c r="U745" s="47"/>
      <c r="V745" s="50"/>
    </row>
    <row r="746" spans="1:22" s="64" customFormat="1" x14ac:dyDescent="0.25">
      <c r="A746" s="86"/>
      <c r="J746" s="119"/>
      <c r="K746" s="125"/>
      <c r="L746" s="122"/>
      <c r="M746" s="122"/>
      <c r="N746" s="123"/>
      <c r="O746" s="261">
        <v>1</v>
      </c>
      <c r="P746" s="261">
        <v>0</v>
      </c>
      <c r="Q746" s="105"/>
      <c r="R746" s="105"/>
      <c r="S746" s="47"/>
      <c r="T746" s="47"/>
      <c r="U746" s="47"/>
      <c r="V746" s="50"/>
    </row>
    <row r="747" spans="1:22" s="64" customFormat="1" x14ac:dyDescent="0.25">
      <c r="A747" s="86"/>
      <c r="J747" s="119"/>
      <c r="K747" s="125"/>
      <c r="L747" s="122"/>
      <c r="M747" s="122"/>
      <c r="N747" s="123"/>
      <c r="O747" s="261">
        <v>1</v>
      </c>
      <c r="P747" s="261">
        <v>0</v>
      </c>
      <c r="Q747" s="105"/>
      <c r="R747" s="105"/>
      <c r="S747" s="47"/>
      <c r="T747" s="47"/>
      <c r="U747" s="47"/>
      <c r="V747" s="50"/>
    </row>
    <row r="748" spans="1:22" s="64" customFormat="1" x14ac:dyDescent="0.25">
      <c r="A748" s="86"/>
      <c r="J748" s="119"/>
      <c r="K748" s="125"/>
      <c r="L748" s="122"/>
      <c r="M748" s="122"/>
      <c r="N748" s="123"/>
      <c r="O748" s="261">
        <v>1</v>
      </c>
      <c r="P748" s="261">
        <v>0</v>
      </c>
      <c r="Q748" s="105"/>
      <c r="R748" s="105"/>
      <c r="S748" s="47"/>
      <c r="T748" s="47"/>
      <c r="U748" s="47"/>
      <c r="V748" s="50"/>
    </row>
    <row r="749" spans="1:22" s="64" customFormat="1" x14ac:dyDescent="0.25">
      <c r="A749" s="86"/>
      <c r="J749" s="119"/>
      <c r="K749" s="125"/>
      <c r="L749" s="122"/>
      <c r="M749" s="122"/>
      <c r="N749" s="123"/>
      <c r="O749" s="261">
        <v>1</v>
      </c>
      <c r="P749" s="261">
        <v>0</v>
      </c>
      <c r="Q749" s="105"/>
      <c r="R749" s="105"/>
      <c r="S749" s="47"/>
      <c r="T749" s="47"/>
      <c r="U749" s="47"/>
      <c r="V749" s="50"/>
    </row>
    <row r="750" spans="1:22" s="64" customFormat="1" x14ac:dyDescent="0.25">
      <c r="A750" s="86"/>
      <c r="J750" s="119"/>
      <c r="K750" s="125"/>
      <c r="L750" s="122"/>
      <c r="M750" s="122"/>
      <c r="N750" s="123"/>
      <c r="O750" s="261">
        <v>1</v>
      </c>
      <c r="P750" s="261">
        <v>0</v>
      </c>
      <c r="Q750" s="105"/>
      <c r="R750" s="105"/>
      <c r="S750" s="47"/>
      <c r="T750" s="47"/>
      <c r="U750" s="47"/>
      <c r="V750" s="50"/>
    </row>
    <row r="751" spans="1:22" s="64" customFormat="1" x14ac:dyDescent="0.25">
      <c r="A751" s="86"/>
      <c r="J751" s="119"/>
      <c r="K751" s="125"/>
      <c r="L751" s="122"/>
      <c r="M751" s="122"/>
      <c r="N751" s="123"/>
      <c r="O751" s="261">
        <v>1</v>
      </c>
      <c r="P751" s="261">
        <v>0</v>
      </c>
      <c r="Q751" s="105"/>
      <c r="R751" s="105"/>
      <c r="S751" s="47"/>
      <c r="T751" s="47"/>
      <c r="U751" s="47"/>
      <c r="V751" s="50"/>
    </row>
    <row r="752" spans="1:22" s="64" customFormat="1" x14ac:dyDescent="0.25">
      <c r="A752" s="86"/>
      <c r="J752" s="119"/>
      <c r="K752" s="125"/>
      <c r="L752" s="122"/>
      <c r="M752" s="122"/>
      <c r="N752" s="123"/>
      <c r="O752" s="261">
        <v>1</v>
      </c>
      <c r="P752" s="261">
        <v>0</v>
      </c>
      <c r="Q752" s="105"/>
      <c r="R752" s="105"/>
      <c r="S752" s="47"/>
      <c r="T752" s="47"/>
      <c r="U752" s="47"/>
      <c r="V752" s="50"/>
    </row>
    <row r="753" spans="1:22" s="64" customFormat="1" x14ac:dyDescent="0.25">
      <c r="A753" s="86"/>
      <c r="J753" s="119"/>
      <c r="K753" s="125"/>
      <c r="L753" s="122"/>
      <c r="M753" s="122"/>
      <c r="N753" s="123"/>
      <c r="O753" s="261">
        <v>1</v>
      </c>
      <c r="P753" s="261">
        <v>0</v>
      </c>
      <c r="Q753" s="105"/>
      <c r="R753" s="105"/>
      <c r="S753" s="47"/>
      <c r="T753" s="47"/>
      <c r="U753" s="47"/>
      <c r="V753" s="50"/>
    </row>
    <row r="754" spans="1:22" s="64" customFormat="1" x14ac:dyDescent="0.25">
      <c r="A754" s="86"/>
      <c r="J754" s="119"/>
      <c r="K754" s="125"/>
      <c r="L754" s="122"/>
      <c r="M754" s="122"/>
      <c r="N754" s="123"/>
      <c r="O754" s="261">
        <v>1</v>
      </c>
      <c r="P754" s="261">
        <v>0</v>
      </c>
      <c r="Q754" s="105"/>
      <c r="R754" s="105"/>
      <c r="S754" s="47"/>
      <c r="T754" s="47"/>
      <c r="U754" s="47"/>
      <c r="V754" s="50"/>
    </row>
    <row r="755" spans="1:22" s="64" customFormat="1" x14ac:dyDescent="0.25">
      <c r="A755" s="86"/>
      <c r="J755" s="119"/>
      <c r="K755" s="125"/>
      <c r="L755" s="122"/>
      <c r="M755" s="122"/>
      <c r="N755" s="123"/>
      <c r="O755" s="261">
        <v>1</v>
      </c>
      <c r="P755" s="261">
        <v>0</v>
      </c>
      <c r="Q755" s="105"/>
      <c r="R755" s="105"/>
      <c r="S755" s="47"/>
      <c r="T755" s="47"/>
      <c r="U755" s="47"/>
      <c r="V755" s="50"/>
    </row>
    <row r="756" spans="1:22" s="64" customFormat="1" x14ac:dyDescent="0.25">
      <c r="A756" s="86"/>
      <c r="J756" s="119"/>
      <c r="K756" s="125"/>
      <c r="L756" s="122"/>
      <c r="M756" s="122"/>
      <c r="N756" s="123"/>
      <c r="O756" s="261">
        <v>1</v>
      </c>
      <c r="P756" s="261">
        <v>0</v>
      </c>
      <c r="Q756" s="105"/>
      <c r="R756" s="105"/>
      <c r="S756" s="47"/>
      <c r="T756" s="47"/>
      <c r="U756" s="47"/>
      <c r="V756" s="50"/>
    </row>
    <row r="757" spans="1:22" s="64" customFormat="1" x14ac:dyDescent="0.25">
      <c r="A757" s="86"/>
      <c r="J757" s="119"/>
      <c r="K757" s="125"/>
      <c r="L757" s="122"/>
      <c r="M757" s="122"/>
      <c r="N757" s="123"/>
      <c r="O757" s="261">
        <v>1</v>
      </c>
      <c r="P757" s="261">
        <v>0</v>
      </c>
      <c r="Q757" s="105"/>
      <c r="R757" s="105"/>
      <c r="S757" s="47"/>
      <c r="T757" s="47"/>
      <c r="U757" s="47"/>
      <c r="V757" s="50"/>
    </row>
    <row r="758" spans="1:22" s="64" customFormat="1" x14ac:dyDescent="0.25">
      <c r="A758" s="86"/>
      <c r="J758" s="119"/>
      <c r="K758" s="125"/>
      <c r="L758" s="122"/>
      <c r="M758" s="122"/>
      <c r="N758" s="123"/>
      <c r="O758" s="261">
        <v>1</v>
      </c>
      <c r="P758" s="261">
        <v>0</v>
      </c>
      <c r="Q758" s="105"/>
      <c r="R758" s="105"/>
      <c r="S758" s="47"/>
      <c r="T758" s="47"/>
      <c r="U758" s="47"/>
      <c r="V758" s="50"/>
    </row>
    <row r="759" spans="1:22" s="64" customFormat="1" x14ac:dyDescent="0.25">
      <c r="A759" s="86"/>
      <c r="J759" s="119"/>
      <c r="K759" s="125"/>
      <c r="L759" s="122"/>
      <c r="M759" s="122"/>
      <c r="N759" s="123"/>
      <c r="O759" s="261">
        <v>1</v>
      </c>
      <c r="P759" s="261">
        <v>0</v>
      </c>
      <c r="Q759" s="105"/>
      <c r="R759" s="105"/>
      <c r="S759" s="47"/>
      <c r="T759" s="47"/>
      <c r="U759" s="47"/>
      <c r="V759" s="50"/>
    </row>
    <row r="760" spans="1:22" s="64" customFormat="1" x14ac:dyDescent="0.25">
      <c r="A760" s="86"/>
      <c r="J760" s="119"/>
      <c r="K760" s="125"/>
      <c r="L760" s="122"/>
      <c r="M760" s="122"/>
      <c r="N760" s="123"/>
      <c r="O760" s="261">
        <v>1</v>
      </c>
      <c r="P760" s="261">
        <v>0</v>
      </c>
      <c r="Q760" s="105"/>
      <c r="R760" s="105"/>
      <c r="S760" s="47"/>
      <c r="T760" s="47"/>
      <c r="U760" s="47"/>
      <c r="V760" s="50"/>
    </row>
    <row r="761" spans="1:22" s="64" customFormat="1" x14ac:dyDescent="0.25">
      <c r="A761" s="86"/>
      <c r="J761" s="119"/>
      <c r="K761" s="125"/>
      <c r="L761" s="122"/>
      <c r="M761" s="122"/>
      <c r="N761" s="123"/>
      <c r="O761" s="261">
        <v>1</v>
      </c>
      <c r="P761" s="261">
        <v>0</v>
      </c>
      <c r="Q761" s="105"/>
      <c r="R761" s="105"/>
      <c r="S761" s="47"/>
      <c r="T761" s="47"/>
      <c r="U761" s="47"/>
      <c r="V761" s="50"/>
    </row>
    <row r="762" spans="1:22" s="64" customFormat="1" x14ac:dyDescent="0.25">
      <c r="A762" s="86"/>
      <c r="J762" s="119"/>
      <c r="K762" s="125"/>
      <c r="L762" s="122"/>
      <c r="M762" s="122"/>
      <c r="N762" s="123"/>
      <c r="O762" s="261">
        <v>1</v>
      </c>
      <c r="P762" s="261">
        <v>0</v>
      </c>
      <c r="Q762" s="105"/>
      <c r="R762" s="105"/>
      <c r="S762" s="47"/>
      <c r="T762" s="47"/>
      <c r="U762" s="47"/>
      <c r="V762" s="50"/>
    </row>
    <row r="763" spans="1:22" s="64" customFormat="1" x14ac:dyDescent="0.25">
      <c r="A763" s="86"/>
      <c r="J763" s="119"/>
      <c r="K763" s="125"/>
      <c r="L763" s="122"/>
      <c r="M763" s="122"/>
      <c r="N763" s="123"/>
      <c r="O763" s="261">
        <v>1</v>
      </c>
      <c r="P763" s="261">
        <v>0</v>
      </c>
      <c r="Q763" s="105"/>
      <c r="R763" s="105"/>
      <c r="S763" s="47"/>
      <c r="T763" s="47"/>
      <c r="U763" s="47"/>
      <c r="V763" s="50"/>
    </row>
    <row r="764" spans="1:22" s="64" customFormat="1" x14ac:dyDescent="0.25">
      <c r="A764" s="86"/>
      <c r="J764" s="119"/>
      <c r="K764" s="125"/>
      <c r="L764" s="122"/>
      <c r="M764" s="122"/>
      <c r="N764" s="123"/>
      <c r="O764" s="261">
        <v>1</v>
      </c>
      <c r="P764" s="261">
        <v>0</v>
      </c>
      <c r="Q764" s="105"/>
      <c r="R764" s="105"/>
      <c r="S764" s="47"/>
      <c r="T764" s="47"/>
      <c r="U764" s="47"/>
      <c r="V764" s="50"/>
    </row>
    <row r="765" spans="1:22" s="64" customFormat="1" x14ac:dyDescent="0.25">
      <c r="A765" s="86"/>
      <c r="J765" s="119"/>
      <c r="K765" s="125"/>
      <c r="L765" s="122"/>
      <c r="M765" s="122"/>
      <c r="N765" s="123"/>
      <c r="O765" s="261">
        <v>1</v>
      </c>
      <c r="P765" s="261">
        <v>0</v>
      </c>
      <c r="Q765" s="105"/>
      <c r="R765" s="105"/>
      <c r="S765" s="47"/>
      <c r="T765" s="47"/>
      <c r="U765" s="47"/>
      <c r="V765" s="50"/>
    </row>
    <row r="766" spans="1:22" s="64" customFormat="1" x14ac:dyDescent="0.25">
      <c r="A766" s="86"/>
      <c r="J766" s="119"/>
      <c r="K766" s="125"/>
      <c r="L766" s="122"/>
      <c r="M766" s="122"/>
      <c r="N766" s="123"/>
      <c r="O766" s="261">
        <v>1</v>
      </c>
      <c r="P766" s="261">
        <v>0</v>
      </c>
      <c r="Q766" s="105"/>
      <c r="R766" s="105"/>
      <c r="S766" s="47"/>
      <c r="T766" s="47"/>
      <c r="U766" s="47"/>
      <c r="V766" s="50"/>
    </row>
    <row r="767" spans="1:22" s="64" customFormat="1" x14ac:dyDescent="0.25">
      <c r="A767" s="86"/>
      <c r="J767" s="119"/>
      <c r="K767" s="125"/>
      <c r="L767" s="122"/>
      <c r="M767" s="122"/>
      <c r="N767" s="123"/>
      <c r="O767" s="261">
        <v>1</v>
      </c>
      <c r="P767" s="261">
        <v>0</v>
      </c>
      <c r="Q767" s="105"/>
      <c r="R767" s="105"/>
      <c r="S767" s="47"/>
      <c r="T767" s="47"/>
      <c r="U767" s="47"/>
      <c r="V767" s="50"/>
    </row>
    <row r="768" spans="1:22" s="64" customFormat="1" x14ac:dyDescent="0.25">
      <c r="A768" s="86"/>
      <c r="J768" s="119"/>
      <c r="K768" s="125"/>
      <c r="L768" s="122"/>
      <c r="M768" s="122"/>
      <c r="N768" s="123"/>
      <c r="O768" s="261">
        <v>1</v>
      </c>
      <c r="P768" s="261">
        <v>0</v>
      </c>
      <c r="Q768" s="105"/>
      <c r="R768" s="105"/>
      <c r="S768" s="47"/>
      <c r="T768" s="47"/>
      <c r="U768" s="47"/>
      <c r="V768" s="50"/>
    </row>
    <row r="769" spans="1:22" s="64" customFormat="1" x14ac:dyDescent="0.25">
      <c r="A769" s="86"/>
      <c r="J769" s="119"/>
      <c r="K769" s="125"/>
      <c r="L769" s="122"/>
      <c r="M769" s="122"/>
      <c r="N769" s="123"/>
      <c r="O769" s="261">
        <v>1</v>
      </c>
      <c r="P769" s="261">
        <v>0</v>
      </c>
      <c r="Q769" s="105"/>
      <c r="R769" s="105"/>
      <c r="S769" s="47"/>
      <c r="T769" s="47"/>
      <c r="U769" s="47"/>
      <c r="V769" s="50"/>
    </row>
    <row r="770" spans="1:22" s="64" customFormat="1" x14ac:dyDescent="0.25">
      <c r="A770" s="86"/>
      <c r="J770" s="119"/>
      <c r="K770" s="125"/>
      <c r="L770" s="122"/>
      <c r="M770" s="122"/>
      <c r="N770" s="123"/>
      <c r="O770" s="261">
        <v>1</v>
      </c>
      <c r="P770" s="261">
        <v>0</v>
      </c>
      <c r="Q770" s="105"/>
      <c r="R770" s="105"/>
      <c r="S770" s="47"/>
      <c r="T770" s="47"/>
      <c r="U770" s="47"/>
      <c r="V770" s="50"/>
    </row>
    <row r="771" spans="1:22" s="64" customFormat="1" x14ac:dyDescent="0.25">
      <c r="A771" s="86"/>
      <c r="J771" s="119"/>
      <c r="K771" s="125"/>
      <c r="L771" s="122"/>
      <c r="M771" s="122"/>
      <c r="N771" s="123"/>
      <c r="O771" s="261">
        <v>1</v>
      </c>
      <c r="P771" s="261">
        <v>0</v>
      </c>
      <c r="Q771" s="105"/>
      <c r="R771" s="105"/>
      <c r="S771" s="47"/>
      <c r="T771" s="47"/>
      <c r="U771" s="47"/>
      <c r="V771" s="50"/>
    </row>
    <row r="772" spans="1:22" s="64" customFormat="1" x14ac:dyDescent="0.25">
      <c r="A772" s="86"/>
      <c r="J772" s="119"/>
      <c r="K772" s="125"/>
      <c r="L772" s="122"/>
      <c r="M772" s="122"/>
      <c r="N772" s="123"/>
      <c r="O772" s="261">
        <v>1</v>
      </c>
      <c r="P772" s="261">
        <v>0</v>
      </c>
      <c r="Q772" s="105"/>
      <c r="R772" s="105"/>
      <c r="S772" s="47"/>
      <c r="T772" s="47"/>
      <c r="U772" s="47"/>
      <c r="V772" s="50"/>
    </row>
    <row r="773" spans="1:22" s="64" customFormat="1" x14ac:dyDescent="0.25">
      <c r="A773" s="86"/>
      <c r="J773" s="119"/>
      <c r="K773" s="125"/>
      <c r="L773" s="122"/>
      <c r="M773" s="122"/>
      <c r="N773" s="123"/>
      <c r="O773" s="261">
        <v>1</v>
      </c>
      <c r="P773" s="261">
        <v>0</v>
      </c>
      <c r="Q773" s="105"/>
      <c r="R773" s="105"/>
      <c r="S773" s="47"/>
      <c r="T773" s="47"/>
      <c r="U773" s="47"/>
      <c r="V773" s="50"/>
    </row>
    <row r="774" spans="1:22" s="64" customFormat="1" x14ac:dyDescent="0.25">
      <c r="A774" s="86"/>
      <c r="J774" s="119"/>
      <c r="K774" s="125"/>
      <c r="L774" s="122"/>
      <c r="M774" s="122"/>
      <c r="N774" s="123"/>
      <c r="O774" s="261">
        <v>1</v>
      </c>
      <c r="P774" s="261">
        <v>0</v>
      </c>
      <c r="Q774" s="105"/>
      <c r="R774" s="105"/>
      <c r="S774" s="47"/>
      <c r="T774" s="47"/>
      <c r="U774" s="47"/>
      <c r="V774" s="50"/>
    </row>
    <row r="775" spans="1:22" s="64" customFormat="1" x14ac:dyDescent="0.25">
      <c r="A775" s="86"/>
      <c r="J775" s="119"/>
      <c r="K775" s="125"/>
      <c r="L775" s="122"/>
      <c r="M775" s="122"/>
      <c r="N775" s="123"/>
      <c r="O775" s="261">
        <v>1</v>
      </c>
      <c r="P775" s="261">
        <v>0</v>
      </c>
      <c r="Q775" s="105"/>
      <c r="R775" s="105"/>
      <c r="S775" s="47"/>
      <c r="T775" s="47"/>
      <c r="U775" s="47"/>
      <c r="V775" s="50"/>
    </row>
    <row r="776" spans="1:22" s="64" customFormat="1" x14ac:dyDescent="0.25">
      <c r="A776" s="86"/>
      <c r="J776" s="119"/>
      <c r="K776" s="125"/>
      <c r="L776" s="122"/>
      <c r="M776" s="122"/>
      <c r="N776" s="123"/>
      <c r="O776" s="261">
        <v>1</v>
      </c>
      <c r="P776" s="261">
        <v>0</v>
      </c>
      <c r="Q776" s="105"/>
      <c r="R776" s="105"/>
      <c r="S776" s="47"/>
      <c r="T776" s="47"/>
      <c r="U776" s="47"/>
      <c r="V776" s="50"/>
    </row>
    <row r="777" spans="1:22" s="64" customFormat="1" x14ac:dyDescent="0.25">
      <c r="A777" s="86"/>
      <c r="J777" s="119"/>
      <c r="K777" s="125"/>
      <c r="L777" s="122"/>
      <c r="M777" s="122"/>
      <c r="N777" s="123"/>
      <c r="O777" s="261">
        <v>1</v>
      </c>
      <c r="P777" s="261">
        <v>0</v>
      </c>
      <c r="Q777" s="105"/>
      <c r="R777" s="105"/>
      <c r="S777" s="47"/>
      <c r="T777" s="47"/>
      <c r="U777" s="47"/>
      <c r="V777" s="50"/>
    </row>
    <row r="778" spans="1:22" s="64" customFormat="1" x14ac:dyDescent="0.25">
      <c r="A778" s="86"/>
      <c r="J778" s="119"/>
      <c r="K778" s="125"/>
      <c r="L778" s="122"/>
      <c r="M778" s="122"/>
      <c r="N778" s="123"/>
      <c r="O778" s="261">
        <v>1</v>
      </c>
      <c r="P778" s="261">
        <v>0</v>
      </c>
      <c r="Q778" s="105"/>
      <c r="R778" s="105"/>
      <c r="S778" s="47"/>
      <c r="T778" s="47"/>
      <c r="U778" s="47"/>
      <c r="V778" s="50"/>
    </row>
    <row r="779" spans="1:22" s="64" customFormat="1" x14ac:dyDescent="0.25">
      <c r="A779" s="86"/>
      <c r="J779" s="119"/>
      <c r="K779" s="125"/>
      <c r="L779" s="122"/>
      <c r="M779" s="122"/>
      <c r="N779" s="123"/>
      <c r="O779" s="261">
        <v>1</v>
      </c>
      <c r="P779" s="261">
        <v>0</v>
      </c>
      <c r="Q779" s="105"/>
      <c r="R779" s="105"/>
      <c r="S779" s="47"/>
      <c r="T779" s="47"/>
      <c r="U779" s="47"/>
      <c r="V779" s="50"/>
    </row>
    <row r="780" spans="1:22" s="64" customFormat="1" x14ac:dyDescent="0.25">
      <c r="A780" s="86"/>
      <c r="J780" s="119"/>
      <c r="K780" s="125"/>
      <c r="L780" s="122"/>
      <c r="M780" s="122"/>
      <c r="N780" s="123"/>
      <c r="O780" s="261">
        <v>1</v>
      </c>
      <c r="P780" s="261">
        <v>0</v>
      </c>
      <c r="Q780" s="105"/>
      <c r="R780" s="105"/>
      <c r="S780" s="47"/>
      <c r="T780" s="47"/>
      <c r="U780" s="47"/>
      <c r="V780" s="50"/>
    </row>
    <row r="781" spans="1:22" s="64" customFormat="1" x14ac:dyDescent="0.25">
      <c r="A781" s="86"/>
      <c r="J781" s="119"/>
      <c r="K781" s="125"/>
      <c r="L781" s="122"/>
      <c r="M781" s="122"/>
      <c r="N781" s="123"/>
      <c r="O781" s="261">
        <v>1</v>
      </c>
      <c r="P781" s="261">
        <v>0</v>
      </c>
      <c r="Q781" s="105"/>
      <c r="R781" s="105"/>
      <c r="S781" s="47"/>
      <c r="T781" s="47"/>
      <c r="U781" s="47"/>
      <c r="V781" s="50"/>
    </row>
    <row r="782" spans="1:22" s="64" customFormat="1" x14ac:dyDescent="0.25">
      <c r="A782" s="86"/>
      <c r="J782" s="119"/>
      <c r="K782" s="125"/>
      <c r="L782" s="122"/>
      <c r="M782" s="122"/>
      <c r="N782" s="123"/>
      <c r="O782" s="261">
        <v>1</v>
      </c>
      <c r="P782" s="261">
        <v>0</v>
      </c>
      <c r="Q782" s="105"/>
      <c r="R782" s="105"/>
      <c r="S782" s="47"/>
      <c r="T782" s="47"/>
      <c r="U782" s="47"/>
      <c r="V782" s="50"/>
    </row>
    <row r="783" spans="1:22" s="64" customFormat="1" x14ac:dyDescent="0.25">
      <c r="A783" s="86"/>
      <c r="J783" s="119"/>
      <c r="K783" s="125"/>
      <c r="L783" s="122"/>
      <c r="M783" s="122"/>
      <c r="N783" s="123"/>
      <c r="O783" s="261">
        <v>1</v>
      </c>
      <c r="P783" s="261">
        <v>0</v>
      </c>
      <c r="Q783" s="105"/>
      <c r="R783" s="105"/>
      <c r="S783" s="47"/>
      <c r="T783" s="47"/>
      <c r="U783" s="47"/>
      <c r="V783" s="50"/>
    </row>
    <row r="784" spans="1:22" s="64" customFormat="1" x14ac:dyDescent="0.25">
      <c r="A784" s="86"/>
      <c r="J784" s="119"/>
      <c r="K784" s="125"/>
      <c r="L784" s="122"/>
      <c r="M784" s="122"/>
      <c r="N784" s="123"/>
      <c r="O784" s="261">
        <v>1</v>
      </c>
      <c r="P784" s="261">
        <v>0</v>
      </c>
      <c r="Q784" s="105"/>
      <c r="R784" s="105"/>
      <c r="S784" s="47"/>
      <c r="T784" s="47"/>
      <c r="U784" s="47"/>
      <c r="V784" s="50"/>
    </row>
    <row r="785" spans="1:22" s="64" customFormat="1" x14ac:dyDescent="0.25">
      <c r="A785" s="86"/>
      <c r="J785" s="119"/>
      <c r="K785" s="125"/>
      <c r="L785" s="122"/>
      <c r="M785" s="122"/>
      <c r="N785" s="123"/>
      <c r="O785" s="261">
        <v>1</v>
      </c>
      <c r="P785" s="261">
        <v>0</v>
      </c>
      <c r="Q785" s="105"/>
      <c r="R785" s="105"/>
      <c r="S785" s="47"/>
      <c r="T785" s="47"/>
      <c r="U785" s="47"/>
      <c r="V785" s="50"/>
    </row>
    <row r="786" spans="1:22" s="64" customFormat="1" x14ac:dyDescent="0.25">
      <c r="A786" s="86"/>
      <c r="J786" s="119"/>
      <c r="K786" s="125"/>
      <c r="L786" s="122"/>
      <c r="M786" s="122"/>
      <c r="N786" s="123"/>
      <c r="O786" s="261">
        <v>1</v>
      </c>
      <c r="P786" s="261">
        <v>0</v>
      </c>
      <c r="Q786" s="105"/>
      <c r="R786" s="105"/>
      <c r="S786" s="47"/>
      <c r="T786" s="47"/>
      <c r="U786" s="47"/>
      <c r="V786" s="50"/>
    </row>
    <row r="787" spans="1:22" s="64" customFormat="1" x14ac:dyDescent="0.25">
      <c r="A787" s="86"/>
      <c r="J787" s="119"/>
      <c r="K787" s="125"/>
      <c r="L787" s="122"/>
      <c r="M787" s="122"/>
      <c r="N787" s="123"/>
      <c r="O787" s="261">
        <v>1</v>
      </c>
      <c r="P787" s="261">
        <v>0</v>
      </c>
      <c r="Q787" s="105"/>
      <c r="R787" s="105"/>
      <c r="S787" s="47"/>
      <c r="T787" s="47"/>
      <c r="U787" s="47"/>
      <c r="V787" s="50"/>
    </row>
    <row r="788" spans="1:22" s="64" customFormat="1" x14ac:dyDescent="0.25">
      <c r="A788" s="86"/>
      <c r="J788" s="119"/>
      <c r="K788" s="125"/>
      <c r="L788" s="122"/>
      <c r="M788" s="122"/>
      <c r="N788" s="123"/>
      <c r="O788" s="261">
        <v>1</v>
      </c>
      <c r="P788" s="261">
        <v>0</v>
      </c>
      <c r="Q788" s="105"/>
      <c r="R788" s="105"/>
      <c r="S788" s="47"/>
      <c r="T788" s="47"/>
      <c r="U788" s="47"/>
      <c r="V788" s="50"/>
    </row>
    <row r="789" spans="1:22" s="64" customFormat="1" x14ac:dyDescent="0.25">
      <c r="A789" s="86"/>
      <c r="J789" s="119"/>
      <c r="K789" s="125"/>
      <c r="L789" s="122"/>
      <c r="M789" s="122"/>
      <c r="N789" s="123"/>
      <c r="O789" s="261">
        <v>1</v>
      </c>
      <c r="P789" s="261">
        <v>0</v>
      </c>
      <c r="Q789" s="105"/>
      <c r="R789" s="105"/>
      <c r="S789" s="47"/>
      <c r="T789" s="47"/>
      <c r="U789" s="47"/>
      <c r="V789" s="50"/>
    </row>
    <row r="790" spans="1:22" s="64" customFormat="1" x14ac:dyDescent="0.25">
      <c r="A790" s="86"/>
      <c r="J790" s="119"/>
      <c r="K790" s="125"/>
      <c r="L790" s="122"/>
      <c r="M790" s="122"/>
      <c r="N790" s="123"/>
      <c r="O790" s="261">
        <v>1</v>
      </c>
      <c r="P790" s="261">
        <v>0</v>
      </c>
      <c r="Q790" s="105"/>
      <c r="R790" s="105"/>
      <c r="S790" s="47"/>
      <c r="T790" s="47"/>
      <c r="U790" s="47"/>
      <c r="V790" s="50"/>
    </row>
    <row r="791" spans="1:22" s="64" customFormat="1" x14ac:dyDescent="0.25">
      <c r="A791" s="86"/>
      <c r="J791" s="119"/>
      <c r="K791" s="125"/>
      <c r="L791" s="122"/>
      <c r="M791" s="122"/>
      <c r="N791" s="123"/>
      <c r="O791" s="261">
        <v>1</v>
      </c>
      <c r="P791" s="261">
        <v>0</v>
      </c>
      <c r="Q791" s="105"/>
      <c r="R791" s="105"/>
      <c r="S791" s="47"/>
      <c r="T791" s="47"/>
      <c r="U791" s="47"/>
      <c r="V791" s="50"/>
    </row>
    <row r="792" spans="1:22" s="64" customFormat="1" x14ac:dyDescent="0.25">
      <c r="A792" s="86"/>
      <c r="J792" s="119"/>
      <c r="K792" s="125"/>
      <c r="L792" s="122"/>
      <c r="M792" s="122"/>
      <c r="N792" s="123"/>
      <c r="O792" s="261">
        <v>1</v>
      </c>
      <c r="P792" s="261">
        <v>0</v>
      </c>
      <c r="Q792" s="105"/>
      <c r="R792" s="105"/>
      <c r="S792" s="47"/>
      <c r="T792" s="47"/>
      <c r="U792" s="47"/>
      <c r="V792" s="50"/>
    </row>
    <row r="793" spans="1:22" s="64" customFormat="1" x14ac:dyDescent="0.25">
      <c r="A793" s="86"/>
      <c r="J793" s="119"/>
      <c r="K793" s="125"/>
      <c r="L793" s="122"/>
      <c r="M793" s="122"/>
      <c r="N793" s="123"/>
      <c r="O793" s="261">
        <v>1</v>
      </c>
      <c r="P793" s="261">
        <v>0</v>
      </c>
      <c r="Q793" s="105"/>
      <c r="R793" s="105"/>
      <c r="S793" s="47"/>
      <c r="T793" s="47"/>
      <c r="U793" s="47"/>
      <c r="V793" s="50"/>
    </row>
    <row r="794" spans="1:22" s="64" customFormat="1" x14ac:dyDescent="0.25">
      <c r="A794" s="86"/>
      <c r="J794" s="119"/>
      <c r="K794" s="125"/>
      <c r="L794" s="122"/>
      <c r="M794" s="122"/>
      <c r="N794" s="123"/>
      <c r="O794" s="261">
        <v>1</v>
      </c>
      <c r="P794" s="261">
        <v>0</v>
      </c>
      <c r="Q794" s="105"/>
      <c r="R794" s="105"/>
      <c r="S794" s="47"/>
      <c r="T794" s="47"/>
      <c r="U794" s="47"/>
      <c r="V794" s="50"/>
    </row>
    <row r="795" spans="1:22" s="64" customFormat="1" x14ac:dyDescent="0.25">
      <c r="A795" s="86"/>
      <c r="J795" s="119"/>
      <c r="K795" s="125"/>
      <c r="L795" s="122"/>
      <c r="M795" s="122"/>
      <c r="N795" s="123"/>
      <c r="O795" s="261">
        <v>1</v>
      </c>
      <c r="P795" s="261">
        <v>0</v>
      </c>
      <c r="Q795" s="105"/>
      <c r="R795" s="105"/>
      <c r="S795" s="47"/>
      <c r="T795" s="47"/>
      <c r="U795" s="47"/>
      <c r="V795" s="50"/>
    </row>
    <row r="796" spans="1:22" s="64" customFormat="1" x14ac:dyDescent="0.25">
      <c r="A796" s="86"/>
      <c r="J796" s="119"/>
      <c r="K796" s="125"/>
      <c r="L796" s="122"/>
      <c r="M796" s="122"/>
      <c r="N796" s="123"/>
      <c r="O796" s="261">
        <v>1</v>
      </c>
      <c r="P796" s="261">
        <v>0</v>
      </c>
      <c r="Q796" s="105"/>
      <c r="R796" s="105"/>
      <c r="S796" s="47"/>
      <c r="T796" s="47"/>
      <c r="U796" s="47"/>
      <c r="V796" s="50"/>
    </row>
    <row r="797" spans="1:22" s="64" customFormat="1" x14ac:dyDescent="0.25">
      <c r="A797" s="86"/>
      <c r="J797" s="119"/>
      <c r="K797" s="125"/>
      <c r="L797" s="122"/>
      <c r="M797" s="122"/>
      <c r="N797" s="123"/>
      <c r="O797" s="261">
        <v>1</v>
      </c>
      <c r="P797" s="261">
        <v>0</v>
      </c>
      <c r="Q797" s="105"/>
      <c r="R797" s="105"/>
      <c r="S797" s="47"/>
      <c r="T797" s="47"/>
      <c r="U797" s="47"/>
      <c r="V797" s="50"/>
    </row>
    <row r="798" spans="1:22" s="64" customFormat="1" x14ac:dyDescent="0.25">
      <c r="A798" s="86"/>
      <c r="J798" s="119"/>
      <c r="K798" s="125"/>
      <c r="L798" s="122"/>
      <c r="M798" s="122"/>
      <c r="N798" s="123"/>
      <c r="O798" s="261">
        <v>1</v>
      </c>
      <c r="P798" s="261">
        <v>0</v>
      </c>
      <c r="Q798" s="105"/>
      <c r="R798" s="105"/>
      <c r="S798" s="47"/>
      <c r="T798" s="47"/>
      <c r="U798" s="47"/>
      <c r="V798" s="50"/>
    </row>
    <row r="799" spans="1:22" s="64" customFormat="1" x14ac:dyDescent="0.25">
      <c r="A799" s="86"/>
      <c r="J799" s="119"/>
      <c r="K799" s="125"/>
      <c r="L799" s="122"/>
      <c r="M799" s="122"/>
      <c r="N799" s="123"/>
      <c r="O799" s="261">
        <v>1</v>
      </c>
      <c r="P799" s="261">
        <v>0</v>
      </c>
      <c r="Q799" s="105"/>
      <c r="R799" s="105"/>
      <c r="S799" s="47"/>
      <c r="T799" s="47"/>
      <c r="U799" s="47"/>
      <c r="V799" s="50"/>
    </row>
    <row r="800" spans="1:22" s="64" customFormat="1" x14ac:dyDescent="0.25">
      <c r="A800" s="86"/>
      <c r="J800" s="119"/>
      <c r="K800" s="125"/>
      <c r="L800" s="122"/>
      <c r="M800" s="122"/>
      <c r="N800" s="123"/>
      <c r="O800" s="261">
        <v>1</v>
      </c>
      <c r="P800" s="261">
        <v>0</v>
      </c>
      <c r="Q800" s="105"/>
      <c r="R800" s="105"/>
      <c r="S800" s="47"/>
      <c r="T800" s="47"/>
      <c r="U800" s="47"/>
      <c r="V800" s="50"/>
    </row>
    <row r="801" spans="1:22" s="64" customFormat="1" x14ac:dyDescent="0.25">
      <c r="A801" s="86"/>
      <c r="J801" s="119"/>
      <c r="K801" s="125"/>
      <c r="L801" s="122"/>
      <c r="M801" s="122"/>
      <c r="N801" s="123"/>
      <c r="O801" s="261">
        <v>1</v>
      </c>
      <c r="P801" s="261">
        <v>0</v>
      </c>
      <c r="Q801" s="105"/>
      <c r="R801" s="105"/>
      <c r="S801" s="47"/>
      <c r="T801" s="47"/>
      <c r="U801" s="47"/>
      <c r="V801" s="50"/>
    </row>
    <row r="802" spans="1:22" s="64" customFormat="1" x14ac:dyDescent="0.25">
      <c r="A802" s="86"/>
      <c r="J802" s="119"/>
      <c r="K802" s="125"/>
      <c r="L802" s="122"/>
      <c r="M802" s="122"/>
      <c r="N802" s="123"/>
      <c r="O802" s="261">
        <v>1</v>
      </c>
      <c r="P802" s="261">
        <v>0</v>
      </c>
      <c r="Q802" s="105"/>
      <c r="R802" s="105"/>
      <c r="S802" s="47"/>
      <c r="T802" s="47"/>
      <c r="U802" s="47"/>
      <c r="V802" s="50"/>
    </row>
    <row r="803" spans="1:22" s="64" customFormat="1" x14ac:dyDescent="0.25">
      <c r="A803" s="86"/>
      <c r="J803" s="119"/>
      <c r="K803" s="125"/>
      <c r="L803" s="122"/>
      <c r="M803" s="122"/>
      <c r="N803" s="123"/>
      <c r="O803" s="261">
        <v>1</v>
      </c>
      <c r="P803" s="261">
        <v>0</v>
      </c>
      <c r="Q803" s="105"/>
      <c r="R803" s="105"/>
      <c r="S803" s="47"/>
      <c r="T803" s="47"/>
      <c r="U803" s="47"/>
      <c r="V803" s="50"/>
    </row>
    <row r="804" spans="1:22" s="64" customFormat="1" x14ac:dyDescent="0.25">
      <c r="A804" s="86"/>
      <c r="J804" s="119"/>
      <c r="K804" s="125"/>
      <c r="L804" s="122"/>
      <c r="M804" s="122"/>
      <c r="N804" s="123"/>
      <c r="O804" s="261">
        <v>1</v>
      </c>
      <c r="P804" s="261">
        <v>0</v>
      </c>
      <c r="Q804" s="105"/>
      <c r="R804" s="105"/>
      <c r="S804" s="47"/>
      <c r="T804" s="47"/>
      <c r="U804" s="47"/>
      <c r="V804" s="50"/>
    </row>
    <row r="805" spans="1:22" s="64" customFormat="1" x14ac:dyDescent="0.25">
      <c r="A805" s="86"/>
      <c r="J805" s="119"/>
      <c r="K805" s="125"/>
      <c r="L805" s="122"/>
      <c r="M805" s="122"/>
      <c r="N805" s="123"/>
      <c r="O805" s="261">
        <v>1</v>
      </c>
      <c r="P805" s="261">
        <v>0</v>
      </c>
      <c r="Q805" s="105"/>
      <c r="R805" s="105"/>
      <c r="S805" s="47"/>
      <c r="T805" s="47"/>
      <c r="U805" s="47"/>
      <c r="V805" s="50"/>
    </row>
    <row r="806" spans="1:22" s="64" customFormat="1" x14ac:dyDescent="0.25">
      <c r="A806" s="86"/>
      <c r="J806" s="119"/>
      <c r="K806" s="125"/>
      <c r="L806" s="122"/>
      <c r="M806" s="122"/>
      <c r="N806" s="123"/>
      <c r="O806" s="261">
        <v>1</v>
      </c>
      <c r="P806" s="261">
        <v>0</v>
      </c>
      <c r="Q806" s="105"/>
      <c r="R806" s="105"/>
      <c r="S806" s="47"/>
      <c r="T806" s="47"/>
      <c r="U806" s="47"/>
      <c r="V806" s="50"/>
    </row>
    <row r="807" spans="1:22" s="64" customFormat="1" x14ac:dyDescent="0.25">
      <c r="A807" s="86"/>
      <c r="J807" s="119"/>
      <c r="K807" s="125"/>
      <c r="L807" s="122"/>
      <c r="M807" s="122"/>
      <c r="N807" s="123"/>
      <c r="O807" s="261">
        <v>1</v>
      </c>
      <c r="P807" s="261">
        <v>0</v>
      </c>
      <c r="Q807" s="105"/>
      <c r="R807" s="105"/>
      <c r="S807" s="47"/>
      <c r="T807" s="47"/>
      <c r="U807" s="47"/>
      <c r="V807" s="50"/>
    </row>
    <row r="808" spans="1:22" s="64" customFormat="1" x14ac:dyDescent="0.25">
      <c r="A808" s="86"/>
      <c r="J808" s="119"/>
      <c r="K808" s="125"/>
      <c r="L808" s="122"/>
      <c r="M808" s="122"/>
      <c r="N808" s="123"/>
      <c r="O808" s="261">
        <v>1</v>
      </c>
      <c r="P808" s="261">
        <v>0</v>
      </c>
      <c r="Q808" s="105"/>
      <c r="R808" s="105"/>
      <c r="S808" s="47"/>
      <c r="T808" s="47"/>
      <c r="U808" s="47"/>
      <c r="V808" s="50"/>
    </row>
    <row r="809" spans="1:22" s="64" customFormat="1" x14ac:dyDescent="0.25">
      <c r="A809" s="86"/>
      <c r="J809" s="119"/>
      <c r="K809" s="125"/>
      <c r="L809" s="122"/>
      <c r="M809" s="122"/>
      <c r="N809" s="123"/>
      <c r="O809" s="261">
        <v>1</v>
      </c>
      <c r="P809" s="261">
        <v>0</v>
      </c>
      <c r="Q809" s="105"/>
      <c r="R809" s="105"/>
      <c r="S809" s="47"/>
      <c r="T809" s="47"/>
      <c r="U809" s="47"/>
      <c r="V809" s="50"/>
    </row>
    <row r="810" spans="1:22" s="64" customFormat="1" x14ac:dyDescent="0.25">
      <c r="A810" s="86"/>
      <c r="J810" s="119"/>
      <c r="K810" s="125"/>
      <c r="L810" s="122"/>
      <c r="M810" s="122"/>
      <c r="N810" s="123"/>
      <c r="O810" s="261">
        <v>1</v>
      </c>
      <c r="P810" s="261">
        <v>0</v>
      </c>
      <c r="Q810" s="105"/>
      <c r="R810" s="105"/>
      <c r="S810" s="47"/>
      <c r="T810" s="47"/>
      <c r="U810" s="47"/>
      <c r="V810" s="50"/>
    </row>
    <row r="811" spans="1:22" s="64" customFormat="1" x14ac:dyDescent="0.25">
      <c r="A811" s="86"/>
      <c r="J811" s="119"/>
      <c r="K811" s="125"/>
      <c r="L811" s="122"/>
      <c r="M811" s="122"/>
      <c r="N811" s="123"/>
      <c r="O811" s="261">
        <v>1</v>
      </c>
      <c r="P811" s="261">
        <v>0</v>
      </c>
      <c r="Q811" s="105"/>
      <c r="R811" s="105"/>
      <c r="S811" s="47"/>
      <c r="T811" s="47"/>
      <c r="U811" s="47"/>
      <c r="V811" s="50"/>
    </row>
    <row r="812" spans="1:22" s="64" customFormat="1" x14ac:dyDescent="0.25">
      <c r="A812" s="86"/>
      <c r="J812" s="119"/>
      <c r="K812" s="125"/>
      <c r="L812" s="122"/>
      <c r="M812" s="122"/>
      <c r="N812" s="123"/>
      <c r="O812" s="261">
        <v>1</v>
      </c>
      <c r="P812" s="261">
        <v>0</v>
      </c>
      <c r="Q812" s="105"/>
      <c r="R812" s="105"/>
      <c r="S812" s="47"/>
      <c r="T812" s="47"/>
      <c r="U812" s="47"/>
      <c r="V812" s="50"/>
    </row>
    <row r="813" spans="1:22" s="64" customFormat="1" x14ac:dyDescent="0.25">
      <c r="A813" s="86"/>
      <c r="J813" s="119"/>
      <c r="K813" s="125"/>
      <c r="L813" s="122"/>
      <c r="M813" s="122"/>
      <c r="N813" s="123"/>
      <c r="O813" s="261">
        <v>1</v>
      </c>
      <c r="P813" s="261">
        <v>0</v>
      </c>
      <c r="Q813" s="105"/>
      <c r="R813" s="105"/>
      <c r="S813" s="47"/>
      <c r="T813" s="47"/>
      <c r="U813" s="47"/>
      <c r="V813" s="50"/>
    </row>
    <row r="814" spans="1:22" s="64" customFormat="1" x14ac:dyDescent="0.25">
      <c r="A814" s="86"/>
      <c r="J814" s="119"/>
      <c r="K814" s="125"/>
      <c r="L814" s="122"/>
      <c r="M814" s="122"/>
      <c r="N814" s="123"/>
      <c r="O814" s="261">
        <v>1</v>
      </c>
      <c r="P814" s="261">
        <v>0</v>
      </c>
      <c r="Q814" s="105"/>
      <c r="R814" s="105"/>
      <c r="S814" s="47"/>
      <c r="T814" s="47"/>
      <c r="U814" s="47"/>
      <c r="V814" s="50"/>
    </row>
    <row r="815" spans="1:22" s="64" customFormat="1" x14ac:dyDescent="0.25">
      <c r="A815" s="86"/>
      <c r="J815" s="119"/>
      <c r="K815" s="125"/>
      <c r="L815" s="122"/>
      <c r="M815" s="122"/>
      <c r="N815" s="123"/>
      <c r="O815" s="261">
        <v>1</v>
      </c>
      <c r="P815" s="261">
        <v>0</v>
      </c>
      <c r="Q815" s="105"/>
      <c r="R815" s="105"/>
      <c r="S815" s="47"/>
      <c r="T815" s="47"/>
      <c r="U815" s="47"/>
      <c r="V815" s="50"/>
    </row>
    <row r="816" spans="1:22" s="64" customFormat="1" x14ac:dyDescent="0.25">
      <c r="A816" s="86"/>
      <c r="J816" s="119"/>
      <c r="K816" s="125"/>
      <c r="L816" s="122"/>
      <c r="M816" s="122"/>
      <c r="N816" s="123"/>
      <c r="O816" s="261">
        <v>1</v>
      </c>
      <c r="P816" s="261">
        <v>0</v>
      </c>
      <c r="Q816" s="105"/>
      <c r="R816" s="105"/>
      <c r="S816" s="47"/>
      <c r="T816" s="47"/>
      <c r="U816" s="47"/>
      <c r="V816" s="50"/>
    </row>
    <row r="817" spans="1:22" s="64" customFormat="1" x14ac:dyDescent="0.25">
      <c r="A817" s="86"/>
      <c r="J817" s="119"/>
      <c r="K817" s="125"/>
      <c r="L817" s="122"/>
      <c r="M817" s="122"/>
      <c r="N817" s="123"/>
      <c r="O817" s="261">
        <v>1</v>
      </c>
      <c r="P817" s="261">
        <v>0</v>
      </c>
      <c r="Q817" s="105"/>
      <c r="R817" s="105"/>
      <c r="S817" s="47"/>
      <c r="T817" s="47"/>
      <c r="U817" s="47"/>
      <c r="V817" s="50"/>
    </row>
    <row r="818" spans="1:22" s="64" customFormat="1" x14ac:dyDescent="0.25">
      <c r="A818" s="86"/>
      <c r="J818" s="119"/>
      <c r="K818" s="125"/>
      <c r="L818" s="122"/>
      <c r="M818" s="122"/>
      <c r="N818" s="123"/>
      <c r="O818" s="261">
        <v>1</v>
      </c>
      <c r="P818" s="261">
        <v>0</v>
      </c>
      <c r="Q818" s="105"/>
      <c r="R818" s="105"/>
      <c r="S818" s="47"/>
      <c r="T818" s="47"/>
      <c r="U818" s="47"/>
      <c r="V818" s="50"/>
    </row>
    <row r="819" spans="1:22" s="64" customFormat="1" x14ac:dyDescent="0.25">
      <c r="A819" s="86"/>
      <c r="J819" s="119"/>
      <c r="K819" s="125"/>
      <c r="L819" s="122"/>
      <c r="M819" s="122"/>
      <c r="N819" s="123"/>
      <c r="O819" s="261">
        <v>1</v>
      </c>
      <c r="P819" s="261">
        <v>0</v>
      </c>
      <c r="Q819" s="105"/>
      <c r="R819" s="105"/>
      <c r="S819" s="47"/>
      <c r="T819" s="47"/>
      <c r="U819" s="47"/>
      <c r="V819" s="50"/>
    </row>
    <row r="820" spans="1:22" s="64" customFormat="1" x14ac:dyDescent="0.25">
      <c r="A820" s="86"/>
      <c r="J820" s="119"/>
      <c r="K820" s="125"/>
      <c r="L820" s="122"/>
      <c r="M820" s="122"/>
      <c r="N820" s="123"/>
      <c r="O820" s="261">
        <v>1</v>
      </c>
      <c r="P820" s="261">
        <v>0</v>
      </c>
      <c r="Q820" s="105"/>
      <c r="R820" s="105"/>
      <c r="S820" s="47"/>
      <c r="T820" s="47"/>
      <c r="U820" s="47"/>
      <c r="V820" s="50"/>
    </row>
    <row r="821" spans="1:22" s="64" customFormat="1" x14ac:dyDescent="0.25">
      <c r="A821" s="86"/>
      <c r="J821" s="119"/>
      <c r="K821" s="125"/>
      <c r="L821" s="122"/>
      <c r="M821" s="122"/>
      <c r="N821" s="123"/>
      <c r="O821" s="261">
        <v>1</v>
      </c>
      <c r="P821" s="261">
        <v>0</v>
      </c>
      <c r="Q821" s="105"/>
      <c r="R821" s="105"/>
      <c r="S821" s="47"/>
      <c r="T821" s="47"/>
      <c r="U821" s="47"/>
      <c r="V821" s="50"/>
    </row>
    <row r="822" spans="1:22" s="64" customFormat="1" x14ac:dyDescent="0.25">
      <c r="A822" s="86"/>
      <c r="J822" s="119"/>
      <c r="K822" s="125"/>
      <c r="L822" s="122"/>
      <c r="M822" s="122"/>
      <c r="N822" s="123"/>
      <c r="O822" s="261">
        <v>1</v>
      </c>
      <c r="P822" s="261">
        <v>0</v>
      </c>
      <c r="Q822" s="105"/>
      <c r="R822" s="105"/>
      <c r="S822" s="47"/>
      <c r="T822" s="47"/>
      <c r="U822" s="47"/>
      <c r="V822" s="50"/>
    </row>
    <row r="823" spans="1:22" s="64" customFormat="1" x14ac:dyDescent="0.25">
      <c r="A823" s="86"/>
      <c r="J823" s="119"/>
      <c r="K823" s="125"/>
      <c r="L823" s="122"/>
      <c r="M823" s="122"/>
      <c r="N823" s="123"/>
      <c r="O823" s="261">
        <v>1</v>
      </c>
      <c r="P823" s="261">
        <v>0</v>
      </c>
      <c r="Q823" s="105"/>
      <c r="R823" s="105"/>
      <c r="S823" s="47"/>
      <c r="T823" s="47"/>
      <c r="U823" s="47"/>
      <c r="V823" s="50"/>
    </row>
    <row r="824" spans="1:22" s="64" customFormat="1" x14ac:dyDescent="0.25">
      <c r="A824" s="86"/>
      <c r="J824" s="119"/>
      <c r="K824" s="125"/>
      <c r="L824" s="122"/>
      <c r="M824" s="122"/>
      <c r="N824" s="123"/>
      <c r="O824" s="261">
        <v>1</v>
      </c>
      <c r="P824" s="261">
        <v>0</v>
      </c>
      <c r="Q824" s="105"/>
      <c r="R824" s="105"/>
      <c r="S824" s="47"/>
      <c r="T824" s="47"/>
      <c r="U824" s="47"/>
      <c r="V824" s="50"/>
    </row>
    <row r="825" spans="1:22" s="64" customFormat="1" x14ac:dyDescent="0.25">
      <c r="A825" s="86"/>
      <c r="J825" s="119"/>
      <c r="K825" s="125"/>
      <c r="L825" s="122"/>
      <c r="M825" s="122"/>
      <c r="N825" s="123"/>
      <c r="O825" s="261">
        <v>1</v>
      </c>
      <c r="P825" s="261">
        <v>0</v>
      </c>
      <c r="Q825" s="105"/>
      <c r="R825" s="105"/>
      <c r="S825" s="47"/>
      <c r="T825" s="47"/>
      <c r="U825" s="47"/>
      <c r="V825" s="50"/>
    </row>
    <row r="826" spans="1:22" s="64" customFormat="1" x14ac:dyDescent="0.25">
      <c r="A826" s="86"/>
      <c r="J826" s="119"/>
      <c r="K826" s="125"/>
      <c r="L826" s="122"/>
      <c r="M826" s="122"/>
      <c r="N826" s="123"/>
      <c r="O826" s="261">
        <v>1</v>
      </c>
      <c r="P826" s="261">
        <v>0</v>
      </c>
      <c r="Q826" s="105"/>
      <c r="R826" s="105"/>
      <c r="S826" s="47"/>
      <c r="T826" s="47"/>
      <c r="U826" s="47"/>
      <c r="V826" s="50"/>
    </row>
    <row r="827" spans="1:22" s="64" customFormat="1" x14ac:dyDescent="0.25">
      <c r="A827" s="86"/>
      <c r="J827" s="119"/>
      <c r="K827" s="125"/>
      <c r="L827" s="122"/>
      <c r="M827" s="122"/>
      <c r="N827" s="123"/>
      <c r="O827" s="261">
        <v>1</v>
      </c>
      <c r="P827" s="261">
        <v>0</v>
      </c>
      <c r="Q827" s="105"/>
      <c r="R827" s="105"/>
      <c r="S827" s="47"/>
      <c r="T827" s="47"/>
      <c r="U827" s="47"/>
      <c r="V827" s="50"/>
    </row>
    <row r="828" spans="1:22" s="64" customFormat="1" x14ac:dyDescent="0.25">
      <c r="A828" s="86"/>
      <c r="J828" s="119"/>
      <c r="K828" s="125"/>
      <c r="L828" s="122"/>
      <c r="M828" s="122"/>
      <c r="N828" s="123"/>
      <c r="O828" s="261">
        <v>1</v>
      </c>
      <c r="P828" s="261">
        <v>0</v>
      </c>
      <c r="Q828" s="105"/>
      <c r="R828" s="105"/>
      <c r="S828" s="47"/>
      <c r="T828" s="47"/>
      <c r="U828" s="47"/>
      <c r="V828" s="50"/>
    </row>
    <row r="829" spans="1:22" s="64" customFormat="1" x14ac:dyDescent="0.25">
      <c r="A829" s="86"/>
      <c r="J829" s="119"/>
      <c r="K829" s="125"/>
      <c r="L829" s="122"/>
      <c r="M829" s="122"/>
      <c r="N829" s="123"/>
      <c r="O829" s="261">
        <v>1</v>
      </c>
      <c r="P829" s="261">
        <v>0</v>
      </c>
      <c r="Q829" s="105"/>
      <c r="R829" s="105"/>
      <c r="S829" s="47"/>
      <c r="T829" s="47"/>
      <c r="U829" s="47"/>
      <c r="V829" s="50"/>
    </row>
    <row r="830" spans="1:22" s="64" customFormat="1" x14ac:dyDescent="0.25">
      <c r="A830" s="86"/>
      <c r="J830" s="119"/>
      <c r="K830" s="125"/>
      <c r="L830" s="122"/>
      <c r="M830" s="122"/>
      <c r="N830" s="123"/>
      <c r="O830" s="261">
        <v>1</v>
      </c>
      <c r="P830" s="261">
        <v>0</v>
      </c>
      <c r="Q830" s="105"/>
      <c r="R830" s="105"/>
      <c r="S830" s="47"/>
      <c r="T830" s="47"/>
      <c r="U830" s="47"/>
      <c r="V830" s="50"/>
    </row>
    <row r="831" spans="1:22" s="64" customFormat="1" x14ac:dyDescent="0.25">
      <c r="A831" s="86"/>
      <c r="J831" s="119"/>
      <c r="K831" s="125"/>
      <c r="L831" s="122"/>
      <c r="M831" s="122"/>
      <c r="N831" s="123"/>
      <c r="O831" s="261">
        <v>1</v>
      </c>
      <c r="P831" s="261">
        <v>0</v>
      </c>
      <c r="Q831" s="105"/>
      <c r="R831" s="105"/>
      <c r="S831" s="47"/>
      <c r="T831" s="47"/>
      <c r="U831" s="47"/>
      <c r="V831" s="50"/>
    </row>
    <row r="832" spans="1:22" s="64" customFormat="1" x14ac:dyDescent="0.25">
      <c r="A832" s="24"/>
      <c r="J832" s="119"/>
      <c r="K832" s="125"/>
      <c r="L832" s="122"/>
      <c r="M832" s="122"/>
      <c r="N832" s="123"/>
      <c r="O832" s="261">
        <v>1</v>
      </c>
      <c r="P832" s="261">
        <v>0</v>
      </c>
      <c r="Q832" s="105"/>
      <c r="R832" s="105"/>
      <c r="S832" s="47"/>
      <c r="T832" s="47"/>
      <c r="U832" s="47"/>
      <c r="V832" s="50"/>
    </row>
    <row r="833" spans="1:22" s="64" customFormat="1" x14ac:dyDescent="0.25">
      <c r="A833" s="24"/>
      <c r="J833" s="119"/>
      <c r="K833" s="125"/>
      <c r="L833" s="122"/>
      <c r="M833" s="122"/>
      <c r="N833" s="123"/>
      <c r="O833" s="261">
        <v>1</v>
      </c>
      <c r="P833" s="261">
        <v>0</v>
      </c>
      <c r="Q833" s="105"/>
      <c r="R833" s="105"/>
      <c r="S833" s="47"/>
      <c r="T833" s="47"/>
      <c r="U833" s="47"/>
      <c r="V833" s="50"/>
    </row>
    <row r="834" spans="1:22" s="64" customFormat="1" x14ac:dyDescent="0.25">
      <c r="A834" s="24"/>
      <c r="J834" s="119"/>
      <c r="K834" s="125"/>
      <c r="L834" s="122"/>
      <c r="M834" s="122"/>
      <c r="N834" s="123"/>
      <c r="O834" s="261">
        <v>1</v>
      </c>
      <c r="P834" s="261">
        <v>0</v>
      </c>
      <c r="Q834" s="105"/>
      <c r="R834" s="105"/>
      <c r="S834" s="47"/>
      <c r="T834" s="47"/>
      <c r="U834" s="47"/>
      <c r="V834" s="50"/>
    </row>
    <row r="835" spans="1:22" s="64" customFormat="1" x14ac:dyDescent="0.25">
      <c r="A835" s="24"/>
      <c r="J835" s="119"/>
      <c r="K835" s="125"/>
      <c r="L835" s="122"/>
      <c r="M835" s="122"/>
      <c r="N835" s="123"/>
      <c r="O835" s="261">
        <v>1</v>
      </c>
      <c r="P835" s="261">
        <v>0</v>
      </c>
      <c r="Q835" s="105"/>
      <c r="R835" s="105"/>
      <c r="S835" s="47"/>
      <c r="T835" s="47"/>
      <c r="U835" s="47"/>
      <c r="V835" s="50"/>
    </row>
    <row r="836" spans="1:22" s="64" customFormat="1" x14ac:dyDescent="0.25">
      <c r="A836" s="24"/>
      <c r="J836" s="119"/>
      <c r="K836" s="125"/>
      <c r="L836" s="122"/>
      <c r="M836" s="122"/>
      <c r="N836" s="123"/>
      <c r="O836" s="261">
        <v>1</v>
      </c>
      <c r="P836" s="261">
        <v>0</v>
      </c>
      <c r="Q836" s="105"/>
      <c r="R836" s="105"/>
      <c r="S836" s="47"/>
      <c r="T836" s="47"/>
      <c r="U836" s="47"/>
      <c r="V836" s="50"/>
    </row>
    <row r="837" spans="1:22" s="64" customFormat="1" x14ac:dyDescent="0.25">
      <c r="A837" s="24"/>
      <c r="J837" s="119"/>
      <c r="K837" s="125"/>
      <c r="L837" s="122"/>
      <c r="M837" s="122"/>
      <c r="N837" s="123"/>
      <c r="O837" s="261">
        <v>1</v>
      </c>
      <c r="P837" s="261">
        <v>0</v>
      </c>
      <c r="Q837" s="105"/>
      <c r="R837" s="105"/>
      <c r="S837" s="47"/>
      <c r="T837" s="47"/>
      <c r="U837" s="47"/>
      <c r="V837" s="50"/>
    </row>
    <row r="838" spans="1:22" s="64" customFormat="1" x14ac:dyDescent="0.25">
      <c r="A838" s="24"/>
      <c r="J838" s="119"/>
      <c r="K838" s="125"/>
      <c r="L838" s="122"/>
      <c r="M838" s="122"/>
      <c r="N838" s="123"/>
      <c r="O838" s="261">
        <v>1</v>
      </c>
      <c r="P838" s="261">
        <v>0</v>
      </c>
      <c r="Q838" s="105"/>
      <c r="R838" s="105"/>
      <c r="S838" s="47"/>
      <c r="T838" s="47"/>
      <c r="U838" s="47"/>
      <c r="V838" s="50"/>
    </row>
    <row r="839" spans="1:22" s="64" customFormat="1" x14ac:dyDescent="0.25">
      <c r="A839" s="24"/>
      <c r="J839" s="119"/>
      <c r="K839" s="125"/>
      <c r="L839" s="122"/>
      <c r="M839" s="122"/>
      <c r="N839" s="123"/>
      <c r="O839" s="261">
        <v>1</v>
      </c>
      <c r="P839" s="261">
        <v>0</v>
      </c>
      <c r="Q839" s="105"/>
      <c r="R839" s="105"/>
      <c r="S839" s="47"/>
      <c r="T839" s="47"/>
      <c r="U839" s="47"/>
      <c r="V839" s="50"/>
    </row>
    <row r="840" spans="1:22" s="64" customFormat="1" x14ac:dyDescent="0.25">
      <c r="A840" s="24"/>
      <c r="J840" s="119"/>
      <c r="K840" s="125"/>
      <c r="L840" s="122"/>
      <c r="M840" s="122"/>
      <c r="N840" s="123"/>
      <c r="O840" s="261">
        <v>1</v>
      </c>
      <c r="P840" s="261">
        <v>0</v>
      </c>
      <c r="Q840" s="105"/>
      <c r="R840" s="105"/>
      <c r="S840" s="47"/>
      <c r="T840" s="47"/>
      <c r="U840" s="47"/>
      <c r="V840" s="50"/>
    </row>
    <row r="841" spans="1:22" s="64" customFormat="1" x14ac:dyDescent="0.25">
      <c r="A841" s="24"/>
      <c r="J841" s="119"/>
      <c r="K841" s="125"/>
      <c r="L841" s="122"/>
      <c r="M841" s="122"/>
      <c r="N841" s="123"/>
      <c r="O841" s="261">
        <v>1</v>
      </c>
      <c r="P841" s="261">
        <v>0</v>
      </c>
      <c r="Q841" s="105"/>
      <c r="R841" s="105"/>
      <c r="S841" s="47"/>
      <c r="T841" s="47"/>
      <c r="U841" s="47"/>
      <c r="V841" s="50"/>
    </row>
    <row r="842" spans="1:22" s="64" customFormat="1" x14ac:dyDescent="0.25">
      <c r="A842" s="24"/>
      <c r="J842" s="119"/>
      <c r="K842" s="125"/>
      <c r="L842" s="122"/>
      <c r="M842" s="122"/>
      <c r="N842" s="123"/>
      <c r="O842" s="261">
        <v>1</v>
      </c>
      <c r="P842" s="261">
        <v>0</v>
      </c>
      <c r="Q842" s="105"/>
      <c r="R842" s="105"/>
      <c r="S842" s="47"/>
      <c r="T842" s="47"/>
      <c r="U842" s="47"/>
      <c r="V842" s="50"/>
    </row>
    <row r="843" spans="1:22" s="64" customFormat="1" x14ac:dyDescent="0.25">
      <c r="A843" s="24"/>
      <c r="J843" s="119"/>
      <c r="K843" s="125"/>
      <c r="L843" s="122"/>
      <c r="M843" s="122"/>
      <c r="N843" s="123"/>
      <c r="O843" s="261">
        <v>1</v>
      </c>
      <c r="P843" s="261">
        <v>0</v>
      </c>
      <c r="Q843" s="105"/>
      <c r="R843" s="105"/>
      <c r="S843" s="47"/>
      <c r="T843" s="47"/>
      <c r="U843" s="47"/>
      <c r="V843" s="50"/>
    </row>
    <row r="844" spans="1:22" s="64" customFormat="1" x14ac:dyDescent="0.25">
      <c r="A844" s="24"/>
      <c r="J844" s="119"/>
      <c r="K844" s="125"/>
      <c r="L844" s="122"/>
      <c r="M844" s="122"/>
      <c r="N844" s="123"/>
      <c r="O844" s="261">
        <v>1</v>
      </c>
      <c r="P844" s="261">
        <v>0</v>
      </c>
      <c r="Q844" s="105"/>
      <c r="R844" s="105"/>
      <c r="S844" s="47"/>
      <c r="T844" s="47"/>
      <c r="U844" s="47"/>
      <c r="V844" s="50"/>
    </row>
    <row r="845" spans="1:22" s="64" customFormat="1" x14ac:dyDescent="0.25">
      <c r="A845" s="24"/>
      <c r="J845" s="119"/>
      <c r="K845" s="125"/>
      <c r="L845" s="122"/>
      <c r="M845" s="122"/>
      <c r="N845" s="123"/>
      <c r="O845" s="261">
        <v>1</v>
      </c>
      <c r="P845" s="261">
        <v>0</v>
      </c>
      <c r="Q845" s="105"/>
      <c r="R845" s="105"/>
      <c r="S845" s="47"/>
      <c r="T845" s="47"/>
      <c r="U845" s="47"/>
      <c r="V845" s="50"/>
    </row>
    <row r="846" spans="1:22" s="64" customFormat="1" x14ac:dyDescent="0.25">
      <c r="A846" s="24"/>
      <c r="J846" s="119"/>
      <c r="K846" s="125"/>
      <c r="L846" s="122"/>
      <c r="M846" s="122"/>
      <c r="N846" s="123"/>
      <c r="O846" s="261">
        <v>1</v>
      </c>
      <c r="P846" s="261">
        <v>0</v>
      </c>
      <c r="Q846" s="105"/>
      <c r="R846" s="105"/>
      <c r="S846" s="47"/>
      <c r="T846" s="47"/>
      <c r="U846" s="47"/>
      <c r="V846" s="50"/>
    </row>
    <row r="847" spans="1:22" s="64" customFormat="1" x14ac:dyDescent="0.25">
      <c r="A847" s="24"/>
      <c r="J847" s="119"/>
      <c r="K847" s="125"/>
      <c r="L847" s="122"/>
      <c r="M847" s="122"/>
      <c r="N847" s="123"/>
      <c r="O847" s="261">
        <v>1</v>
      </c>
      <c r="P847" s="261">
        <v>0</v>
      </c>
      <c r="Q847" s="105"/>
      <c r="R847" s="105"/>
      <c r="S847" s="47"/>
      <c r="T847" s="47"/>
      <c r="U847" s="47"/>
      <c r="V847" s="50"/>
    </row>
    <row r="848" spans="1:22" s="64" customFormat="1" x14ac:dyDescent="0.25">
      <c r="A848" s="24"/>
      <c r="J848" s="119"/>
      <c r="K848" s="125"/>
      <c r="L848" s="122"/>
      <c r="M848" s="122"/>
      <c r="N848" s="123"/>
      <c r="O848" s="261">
        <v>1</v>
      </c>
      <c r="P848" s="261">
        <v>0</v>
      </c>
      <c r="Q848" s="105"/>
      <c r="R848" s="105"/>
      <c r="S848" s="47"/>
      <c r="T848" s="47"/>
      <c r="U848" s="47"/>
      <c r="V848" s="50"/>
    </row>
    <row r="849" spans="1:22" s="64" customFormat="1" x14ac:dyDescent="0.25">
      <c r="A849" s="24"/>
      <c r="J849" s="119"/>
      <c r="K849" s="125"/>
      <c r="L849" s="122"/>
      <c r="M849" s="122"/>
      <c r="N849" s="123"/>
      <c r="O849" s="261">
        <v>1</v>
      </c>
      <c r="P849" s="261">
        <v>0</v>
      </c>
      <c r="Q849" s="105"/>
      <c r="R849" s="105"/>
      <c r="S849" s="47"/>
      <c r="T849" s="47"/>
      <c r="U849" s="47"/>
      <c r="V849" s="50"/>
    </row>
    <row r="850" spans="1:22" s="64" customFormat="1" x14ac:dyDescent="0.25">
      <c r="A850" s="24"/>
      <c r="J850" s="119"/>
      <c r="K850" s="125"/>
      <c r="L850" s="122"/>
      <c r="M850" s="122"/>
      <c r="N850" s="123"/>
      <c r="O850" s="261">
        <v>1</v>
      </c>
      <c r="P850" s="261">
        <v>0</v>
      </c>
      <c r="Q850" s="105"/>
      <c r="R850" s="105"/>
      <c r="S850" s="47"/>
      <c r="T850" s="47"/>
      <c r="U850" s="47"/>
      <c r="V850" s="50"/>
    </row>
    <row r="851" spans="1:22" s="64" customFormat="1" x14ac:dyDescent="0.25">
      <c r="A851" s="24"/>
      <c r="J851" s="119"/>
      <c r="K851" s="125"/>
      <c r="L851" s="122"/>
      <c r="M851" s="122"/>
      <c r="N851" s="123"/>
      <c r="O851" s="261">
        <v>1</v>
      </c>
      <c r="P851" s="261">
        <v>0</v>
      </c>
      <c r="Q851" s="105"/>
      <c r="R851" s="105"/>
      <c r="S851" s="47"/>
      <c r="T851" s="47"/>
      <c r="U851" s="47"/>
      <c r="V851" s="50"/>
    </row>
    <row r="852" spans="1:22" s="64" customFormat="1" x14ac:dyDescent="0.25">
      <c r="A852" s="24"/>
      <c r="J852" s="119"/>
      <c r="K852" s="125"/>
      <c r="L852" s="122"/>
      <c r="M852" s="122"/>
      <c r="N852" s="123"/>
      <c r="O852" s="261">
        <v>1</v>
      </c>
      <c r="P852" s="261">
        <v>0</v>
      </c>
      <c r="Q852" s="105"/>
      <c r="R852" s="105"/>
      <c r="S852" s="47"/>
      <c r="T852" s="47"/>
      <c r="U852" s="47"/>
      <c r="V852" s="50"/>
    </row>
    <row r="853" spans="1:22" s="64" customFormat="1" x14ac:dyDescent="0.25">
      <c r="A853" s="24"/>
      <c r="J853" s="119"/>
      <c r="K853" s="125"/>
      <c r="L853" s="122"/>
      <c r="M853" s="122"/>
      <c r="N853" s="123"/>
      <c r="O853" s="261">
        <v>1</v>
      </c>
      <c r="P853" s="261">
        <v>0</v>
      </c>
      <c r="Q853" s="105"/>
      <c r="R853" s="105"/>
      <c r="S853" s="47"/>
      <c r="T853" s="47"/>
      <c r="U853" s="47"/>
      <c r="V853" s="50"/>
    </row>
    <row r="854" spans="1:22" s="64" customFormat="1" x14ac:dyDescent="0.25">
      <c r="A854" s="24"/>
      <c r="J854" s="119"/>
      <c r="K854" s="125"/>
      <c r="L854" s="122"/>
      <c r="M854" s="122"/>
      <c r="N854" s="123"/>
      <c r="O854" s="261">
        <v>1</v>
      </c>
      <c r="P854" s="261">
        <v>0</v>
      </c>
      <c r="Q854" s="105"/>
      <c r="R854" s="105"/>
      <c r="S854" s="47"/>
      <c r="T854" s="47"/>
      <c r="U854" s="47"/>
      <c r="V854" s="50"/>
    </row>
    <row r="855" spans="1:22" s="64" customFormat="1" x14ac:dyDescent="0.25">
      <c r="A855" s="24"/>
      <c r="J855" s="119"/>
      <c r="K855" s="125"/>
      <c r="L855" s="122"/>
      <c r="M855" s="122"/>
      <c r="N855" s="123"/>
      <c r="O855" s="261">
        <v>1</v>
      </c>
      <c r="P855" s="261">
        <v>0</v>
      </c>
      <c r="Q855" s="105"/>
      <c r="R855" s="105"/>
      <c r="S855" s="47"/>
      <c r="T855" s="47"/>
      <c r="U855" s="47"/>
      <c r="V855" s="50"/>
    </row>
    <row r="856" spans="1:22" s="64" customFormat="1" x14ac:dyDescent="0.25">
      <c r="A856" s="24"/>
      <c r="J856" s="119"/>
      <c r="K856" s="125"/>
      <c r="L856" s="122"/>
      <c r="M856" s="122"/>
      <c r="N856" s="123"/>
      <c r="O856" s="261">
        <v>1</v>
      </c>
      <c r="P856" s="261">
        <v>0</v>
      </c>
      <c r="Q856" s="105"/>
      <c r="R856" s="105"/>
      <c r="S856" s="47"/>
      <c r="T856" s="47"/>
      <c r="U856" s="47"/>
      <c r="V856" s="50"/>
    </row>
    <row r="857" spans="1:22" s="64" customFormat="1" x14ac:dyDescent="0.25">
      <c r="A857" s="24"/>
      <c r="J857" s="119"/>
      <c r="K857" s="125"/>
      <c r="L857" s="122"/>
      <c r="M857" s="122"/>
      <c r="N857" s="123"/>
      <c r="O857" s="261">
        <v>1</v>
      </c>
      <c r="P857" s="261">
        <v>0</v>
      </c>
      <c r="Q857" s="105"/>
      <c r="R857" s="105"/>
      <c r="S857" s="47"/>
      <c r="T857" s="47"/>
      <c r="U857" s="47"/>
      <c r="V857" s="50"/>
    </row>
    <row r="858" spans="1:22" s="64" customFormat="1" x14ac:dyDescent="0.25">
      <c r="A858" s="24"/>
      <c r="J858" s="119"/>
      <c r="K858" s="125"/>
      <c r="L858" s="122"/>
      <c r="M858" s="122"/>
      <c r="N858" s="123"/>
      <c r="O858" s="261">
        <v>1</v>
      </c>
      <c r="P858" s="261">
        <v>0</v>
      </c>
      <c r="Q858" s="105"/>
      <c r="R858" s="105"/>
      <c r="S858" s="47"/>
      <c r="T858" s="47"/>
      <c r="U858" s="47"/>
      <c r="V858" s="50"/>
    </row>
    <row r="859" spans="1:22" s="64" customFormat="1" x14ac:dyDescent="0.25">
      <c r="A859" s="24"/>
      <c r="J859" s="119"/>
      <c r="K859" s="125"/>
      <c r="L859" s="122"/>
      <c r="M859" s="122"/>
      <c r="N859" s="123"/>
      <c r="O859" s="261">
        <v>1</v>
      </c>
      <c r="P859" s="261">
        <v>0</v>
      </c>
      <c r="Q859" s="105"/>
      <c r="R859" s="105"/>
      <c r="S859" s="47"/>
      <c r="T859" s="47"/>
      <c r="U859" s="47"/>
      <c r="V859" s="50"/>
    </row>
    <row r="860" spans="1:22" s="64" customFormat="1" x14ac:dyDescent="0.25">
      <c r="A860" s="24"/>
      <c r="J860" s="119"/>
      <c r="K860" s="125"/>
      <c r="L860" s="122"/>
      <c r="M860" s="122"/>
      <c r="N860" s="123"/>
      <c r="O860" s="261">
        <v>1</v>
      </c>
      <c r="P860" s="261">
        <v>0</v>
      </c>
      <c r="Q860" s="105"/>
      <c r="R860" s="105"/>
      <c r="S860" s="47"/>
      <c r="T860" s="47"/>
      <c r="U860" s="47"/>
      <c r="V860" s="50"/>
    </row>
    <row r="861" spans="1:22" s="64" customFormat="1" x14ac:dyDescent="0.25">
      <c r="A861" s="24"/>
      <c r="J861" s="119"/>
      <c r="K861" s="125"/>
      <c r="L861" s="122"/>
      <c r="M861" s="122"/>
      <c r="N861" s="123"/>
      <c r="O861" s="261">
        <v>1</v>
      </c>
      <c r="P861" s="261">
        <v>0</v>
      </c>
      <c r="Q861" s="105"/>
      <c r="R861" s="105"/>
      <c r="S861" s="47"/>
      <c r="T861" s="47"/>
      <c r="U861" s="47"/>
      <c r="V861" s="50"/>
    </row>
    <row r="862" spans="1:22" s="64" customFormat="1" x14ac:dyDescent="0.25">
      <c r="A862" s="24"/>
      <c r="J862" s="119"/>
      <c r="K862" s="125"/>
      <c r="L862" s="122"/>
      <c r="M862" s="122"/>
      <c r="N862" s="123"/>
      <c r="O862" s="261">
        <v>1</v>
      </c>
      <c r="P862" s="261">
        <v>0</v>
      </c>
      <c r="Q862" s="105"/>
      <c r="R862" s="105"/>
      <c r="S862" s="47"/>
      <c r="T862" s="47"/>
      <c r="U862" s="47"/>
      <c r="V862" s="50"/>
    </row>
    <row r="863" spans="1:22" s="64" customFormat="1" x14ac:dyDescent="0.25">
      <c r="A863" s="24"/>
      <c r="J863" s="119"/>
      <c r="K863" s="125"/>
      <c r="L863" s="122"/>
      <c r="M863" s="122"/>
      <c r="N863" s="123"/>
      <c r="O863" s="261">
        <v>1</v>
      </c>
      <c r="P863" s="261">
        <v>0</v>
      </c>
      <c r="Q863" s="105"/>
      <c r="R863" s="105"/>
      <c r="S863" s="47"/>
      <c r="T863" s="47"/>
      <c r="U863" s="47"/>
      <c r="V863" s="50"/>
    </row>
    <row r="864" spans="1:22" s="64" customFormat="1" x14ac:dyDescent="0.25">
      <c r="A864" s="24"/>
      <c r="J864" s="119"/>
      <c r="K864" s="125"/>
      <c r="L864" s="122"/>
      <c r="M864" s="122"/>
      <c r="N864" s="123"/>
      <c r="O864" s="261">
        <v>1</v>
      </c>
      <c r="P864" s="261">
        <v>0</v>
      </c>
      <c r="Q864" s="105"/>
      <c r="R864" s="105"/>
      <c r="S864" s="47"/>
      <c r="T864" s="47"/>
      <c r="U864" s="47"/>
      <c r="V864" s="50"/>
    </row>
    <row r="865" spans="1:22" s="64" customFormat="1" x14ac:dyDescent="0.25">
      <c r="A865" s="24"/>
      <c r="J865" s="119"/>
      <c r="K865" s="125"/>
      <c r="L865" s="122"/>
      <c r="M865" s="122"/>
      <c r="N865" s="123"/>
      <c r="O865" s="261">
        <v>1</v>
      </c>
      <c r="P865" s="261">
        <v>0</v>
      </c>
      <c r="Q865" s="105"/>
      <c r="R865" s="105"/>
      <c r="S865" s="47"/>
      <c r="T865" s="47"/>
      <c r="U865" s="47"/>
      <c r="V865" s="50"/>
    </row>
    <row r="866" spans="1:22" s="64" customFormat="1" x14ac:dyDescent="0.25">
      <c r="A866" s="24"/>
      <c r="J866" s="119"/>
      <c r="K866" s="125"/>
      <c r="L866" s="122"/>
      <c r="M866" s="122"/>
      <c r="N866" s="123"/>
      <c r="O866" s="261">
        <v>1</v>
      </c>
      <c r="P866" s="261">
        <v>0</v>
      </c>
      <c r="Q866" s="105"/>
      <c r="R866" s="105"/>
      <c r="S866" s="47"/>
      <c r="T866" s="47"/>
      <c r="U866" s="47"/>
      <c r="V866" s="50"/>
    </row>
    <row r="867" spans="1:22" s="64" customFormat="1" x14ac:dyDescent="0.25">
      <c r="A867" s="24"/>
      <c r="J867" s="119"/>
      <c r="K867" s="125"/>
      <c r="L867" s="122"/>
      <c r="M867" s="122"/>
      <c r="N867" s="123"/>
      <c r="O867" s="261">
        <v>1</v>
      </c>
      <c r="P867" s="261">
        <v>0</v>
      </c>
      <c r="Q867" s="105"/>
      <c r="R867" s="105"/>
      <c r="S867" s="47"/>
      <c r="T867" s="47"/>
      <c r="U867" s="47"/>
      <c r="V867" s="50"/>
    </row>
    <row r="868" spans="1:22" s="64" customFormat="1" x14ac:dyDescent="0.25">
      <c r="A868" s="24"/>
      <c r="J868" s="119"/>
      <c r="K868" s="125"/>
      <c r="L868" s="122"/>
      <c r="M868" s="122"/>
      <c r="N868" s="123"/>
      <c r="O868" s="261">
        <v>1</v>
      </c>
      <c r="P868" s="261">
        <v>0</v>
      </c>
      <c r="Q868" s="105"/>
      <c r="R868" s="105"/>
      <c r="S868" s="47"/>
      <c r="T868" s="47"/>
      <c r="U868" s="47"/>
      <c r="V868" s="50"/>
    </row>
    <row r="869" spans="1:22" s="64" customFormat="1" x14ac:dyDescent="0.25">
      <c r="A869" s="24"/>
      <c r="J869" s="119"/>
      <c r="K869" s="125"/>
      <c r="L869" s="122"/>
      <c r="M869" s="122"/>
      <c r="N869" s="123"/>
      <c r="O869" s="261">
        <v>1</v>
      </c>
      <c r="P869" s="261">
        <v>0</v>
      </c>
      <c r="Q869" s="105"/>
      <c r="R869" s="105"/>
      <c r="S869" s="47"/>
      <c r="T869" s="47"/>
      <c r="U869" s="47"/>
      <c r="V869" s="50"/>
    </row>
    <row r="870" spans="1:22" s="64" customFormat="1" x14ac:dyDescent="0.25">
      <c r="A870" s="24"/>
      <c r="J870" s="119"/>
      <c r="K870" s="125"/>
      <c r="L870" s="122"/>
      <c r="M870" s="122"/>
      <c r="N870" s="123"/>
      <c r="O870" s="261">
        <v>1</v>
      </c>
      <c r="P870" s="261">
        <v>0</v>
      </c>
      <c r="Q870" s="105"/>
      <c r="R870" s="105"/>
      <c r="S870" s="47"/>
      <c r="T870" s="47"/>
      <c r="U870" s="47"/>
      <c r="V870" s="50"/>
    </row>
    <row r="871" spans="1:22" s="64" customFormat="1" x14ac:dyDescent="0.25">
      <c r="A871" s="24"/>
      <c r="J871" s="119"/>
      <c r="K871" s="125"/>
      <c r="L871" s="122"/>
      <c r="M871" s="122"/>
      <c r="N871" s="123"/>
      <c r="O871" s="261">
        <v>1</v>
      </c>
      <c r="P871" s="261">
        <v>0</v>
      </c>
      <c r="Q871" s="105"/>
      <c r="R871" s="105"/>
      <c r="S871" s="47"/>
      <c r="T871" s="47"/>
      <c r="U871" s="47"/>
      <c r="V871" s="50"/>
    </row>
    <row r="872" spans="1:22" s="64" customFormat="1" x14ac:dyDescent="0.25">
      <c r="A872" s="24"/>
      <c r="J872" s="119"/>
      <c r="K872" s="125"/>
      <c r="L872" s="122"/>
      <c r="M872" s="122"/>
      <c r="N872" s="123"/>
      <c r="O872" s="261">
        <v>1</v>
      </c>
      <c r="P872" s="261">
        <v>0</v>
      </c>
      <c r="Q872" s="105"/>
      <c r="R872" s="105"/>
      <c r="S872" s="47"/>
      <c r="T872" s="47"/>
      <c r="U872" s="47"/>
      <c r="V872" s="50"/>
    </row>
    <row r="873" spans="1:22" s="64" customFormat="1" x14ac:dyDescent="0.25">
      <c r="A873" s="24"/>
      <c r="J873" s="119"/>
      <c r="K873" s="125"/>
      <c r="L873" s="122"/>
      <c r="M873" s="122"/>
      <c r="N873" s="123"/>
      <c r="O873" s="261">
        <v>1</v>
      </c>
      <c r="P873" s="261">
        <v>0</v>
      </c>
      <c r="Q873" s="105"/>
      <c r="R873" s="105"/>
      <c r="S873" s="47"/>
      <c r="T873" s="47"/>
      <c r="U873" s="47"/>
      <c r="V873" s="50"/>
    </row>
    <row r="874" spans="1:22" s="64" customFormat="1" x14ac:dyDescent="0.25">
      <c r="A874" s="24"/>
      <c r="J874" s="119"/>
      <c r="K874" s="125"/>
      <c r="L874" s="122"/>
      <c r="M874" s="122"/>
      <c r="N874" s="123"/>
      <c r="O874" s="261">
        <v>1</v>
      </c>
      <c r="P874" s="261">
        <v>0</v>
      </c>
      <c r="Q874" s="105"/>
      <c r="R874" s="105"/>
      <c r="S874" s="47"/>
      <c r="T874" s="47"/>
      <c r="U874" s="47"/>
      <c r="V874" s="50"/>
    </row>
    <row r="875" spans="1:22" s="64" customFormat="1" x14ac:dyDescent="0.25">
      <c r="A875" s="24"/>
      <c r="J875" s="119"/>
      <c r="K875" s="125"/>
      <c r="L875" s="122"/>
      <c r="M875" s="122"/>
      <c r="N875" s="123"/>
      <c r="O875" s="261">
        <v>1</v>
      </c>
      <c r="P875" s="261">
        <v>0</v>
      </c>
      <c r="Q875" s="105"/>
      <c r="R875" s="105"/>
      <c r="S875" s="47"/>
      <c r="T875" s="47"/>
      <c r="U875" s="47"/>
      <c r="V875" s="50"/>
    </row>
    <row r="876" spans="1:22" s="64" customFormat="1" x14ac:dyDescent="0.25">
      <c r="A876" s="24"/>
      <c r="J876" s="119"/>
      <c r="K876" s="125"/>
      <c r="L876" s="122"/>
      <c r="M876" s="122"/>
      <c r="N876" s="123"/>
      <c r="O876" s="261">
        <v>1</v>
      </c>
      <c r="P876" s="261">
        <v>0</v>
      </c>
      <c r="Q876" s="105"/>
      <c r="R876" s="105"/>
      <c r="S876" s="47"/>
      <c r="T876" s="47"/>
      <c r="U876" s="47"/>
      <c r="V876" s="50"/>
    </row>
    <row r="877" spans="1:22" s="64" customFormat="1" x14ac:dyDescent="0.25">
      <c r="A877" s="24"/>
      <c r="J877" s="119"/>
      <c r="K877" s="125"/>
      <c r="L877" s="122"/>
      <c r="M877" s="122"/>
      <c r="N877" s="123"/>
      <c r="O877" s="261">
        <v>1</v>
      </c>
      <c r="P877" s="261">
        <v>0</v>
      </c>
      <c r="Q877" s="105"/>
      <c r="R877" s="105"/>
      <c r="S877" s="47"/>
      <c r="T877" s="47"/>
      <c r="U877" s="47"/>
      <c r="V877" s="50"/>
    </row>
    <row r="878" spans="1:22" s="64" customFormat="1" x14ac:dyDescent="0.25">
      <c r="A878" s="24"/>
      <c r="J878" s="119"/>
      <c r="K878" s="125"/>
      <c r="L878" s="122"/>
      <c r="M878" s="122"/>
      <c r="N878" s="123"/>
      <c r="O878" s="261">
        <v>1</v>
      </c>
      <c r="P878" s="261">
        <v>0</v>
      </c>
      <c r="Q878" s="105"/>
      <c r="R878" s="105"/>
      <c r="S878" s="47"/>
      <c r="T878" s="47"/>
      <c r="U878" s="47"/>
      <c r="V878" s="50"/>
    </row>
    <row r="879" spans="1:22" s="64" customFormat="1" x14ac:dyDescent="0.25">
      <c r="A879" s="24"/>
      <c r="J879" s="119"/>
      <c r="K879" s="125"/>
      <c r="L879" s="122"/>
      <c r="M879" s="122"/>
      <c r="N879" s="123"/>
      <c r="O879" s="261">
        <v>1</v>
      </c>
      <c r="P879" s="261">
        <v>0</v>
      </c>
      <c r="Q879" s="105"/>
      <c r="R879" s="105"/>
      <c r="S879" s="47"/>
      <c r="T879" s="47"/>
      <c r="U879" s="47"/>
      <c r="V879" s="50"/>
    </row>
    <row r="880" spans="1:22" s="64" customFormat="1" x14ac:dyDescent="0.25">
      <c r="A880" s="24"/>
      <c r="J880" s="119"/>
      <c r="K880" s="125"/>
      <c r="L880" s="122"/>
      <c r="M880" s="122"/>
      <c r="N880" s="123"/>
      <c r="O880" s="261">
        <v>1</v>
      </c>
      <c r="P880" s="261">
        <v>0</v>
      </c>
      <c r="Q880" s="105"/>
      <c r="R880" s="105"/>
      <c r="S880" s="47"/>
      <c r="T880" s="47"/>
      <c r="U880" s="47"/>
      <c r="V880" s="50"/>
    </row>
    <row r="881" spans="1:22" s="64" customFormat="1" x14ac:dyDescent="0.25">
      <c r="A881" s="24"/>
      <c r="J881" s="119"/>
      <c r="K881" s="125"/>
      <c r="L881" s="122"/>
      <c r="M881" s="122"/>
      <c r="N881" s="123"/>
      <c r="O881" s="261">
        <v>1</v>
      </c>
      <c r="P881" s="261">
        <v>0</v>
      </c>
      <c r="Q881" s="105"/>
      <c r="R881" s="105"/>
      <c r="S881" s="47"/>
      <c r="T881" s="47"/>
      <c r="U881" s="47"/>
      <c r="V881" s="50"/>
    </row>
    <row r="882" spans="1:22" s="64" customFormat="1" x14ac:dyDescent="0.25">
      <c r="A882" s="24"/>
      <c r="J882" s="119"/>
      <c r="K882" s="125"/>
      <c r="L882" s="122"/>
      <c r="M882" s="122"/>
      <c r="N882" s="123"/>
      <c r="O882" s="261">
        <v>1</v>
      </c>
      <c r="P882" s="261">
        <v>0</v>
      </c>
      <c r="Q882" s="105"/>
      <c r="R882" s="105"/>
      <c r="S882" s="47"/>
      <c r="T882" s="47"/>
      <c r="U882" s="47"/>
      <c r="V882" s="50"/>
    </row>
    <row r="883" spans="1:22" s="64" customFormat="1" x14ac:dyDescent="0.25">
      <c r="A883" s="24"/>
      <c r="J883" s="119"/>
      <c r="K883" s="125"/>
      <c r="L883" s="122"/>
      <c r="M883" s="122"/>
      <c r="N883" s="123"/>
      <c r="O883" s="261">
        <v>1</v>
      </c>
      <c r="P883" s="261">
        <v>0</v>
      </c>
      <c r="Q883" s="105"/>
      <c r="R883" s="105"/>
      <c r="S883" s="47"/>
      <c r="T883" s="47"/>
      <c r="U883" s="47"/>
      <c r="V883" s="50"/>
    </row>
    <row r="884" spans="1:22" s="64" customFormat="1" x14ac:dyDescent="0.25">
      <c r="A884" s="24"/>
      <c r="J884" s="119"/>
      <c r="K884" s="125"/>
      <c r="L884" s="122"/>
      <c r="M884" s="122"/>
      <c r="N884" s="123"/>
      <c r="O884" s="261">
        <v>1</v>
      </c>
      <c r="P884" s="261">
        <v>0</v>
      </c>
      <c r="Q884" s="105"/>
      <c r="R884" s="105"/>
      <c r="S884" s="47"/>
      <c r="T884" s="47"/>
      <c r="U884" s="47"/>
      <c r="V884" s="50"/>
    </row>
    <row r="885" spans="1:22" s="64" customFormat="1" x14ac:dyDescent="0.25">
      <c r="A885" s="24"/>
      <c r="J885" s="119"/>
      <c r="K885" s="125"/>
      <c r="L885" s="122"/>
      <c r="M885" s="122"/>
      <c r="N885" s="123"/>
      <c r="O885" s="261">
        <v>1</v>
      </c>
      <c r="P885" s="261">
        <v>0</v>
      </c>
      <c r="Q885" s="105"/>
      <c r="R885" s="105"/>
      <c r="S885" s="47"/>
      <c r="T885" s="47"/>
      <c r="U885" s="47"/>
      <c r="V885" s="50"/>
    </row>
    <row r="886" spans="1:22" s="64" customFormat="1" x14ac:dyDescent="0.25">
      <c r="A886" s="24"/>
      <c r="J886" s="119"/>
      <c r="K886" s="125"/>
      <c r="L886" s="122"/>
      <c r="M886" s="122"/>
      <c r="N886" s="123"/>
      <c r="O886" s="261">
        <v>1</v>
      </c>
      <c r="P886" s="261">
        <v>0</v>
      </c>
      <c r="Q886" s="105"/>
      <c r="R886" s="105"/>
      <c r="S886" s="47"/>
      <c r="T886" s="47"/>
      <c r="U886" s="47"/>
      <c r="V886" s="50"/>
    </row>
    <row r="887" spans="1:22" s="64" customFormat="1" x14ac:dyDescent="0.25">
      <c r="A887" s="24"/>
      <c r="J887" s="119"/>
      <c r="K887" s="125"/>
      <c r="L887" s="122"/>
      <c r="M887" s="122"/>
      <c r="N887" s="123"/>
      <c r="O887" s="261">
        <v>1</v>
      </c>
      <c r="P887" s="261">
        <v>0</v>
      </c>
      <c r="Q887" s="105"/>
      <c r="R887" s="105"/>
      <c r="S887" s="47"/>
      <c r="T887" s="47"/>
      <c r="U887" s="47"/>
      <c r="V887" s="50"/>
    </row>
    <row r="888" spans="1:22" s="64" customFormat="1" x14ac:dyDescent="0.25">
      <c r="A888" s="24"/>
      <c r="J888" s="119"/>
      <c r="K888" s="125"/>
      <c r="L888" s="122"/>
      <c r="M888" s="122"/>
      <c r="N888" s="123"/>
      <c r="O888" s="261">
        <v>1</v>
      </c>
      <c r="P888" s="261">
        <v>0</v>
      </c>
      <c r="Q888" s="105"/>
      <c r="R888" s="105"/>
      <c r="S888" s="47"/>
      <c r="T888" s="47"/>
      <c r="U888" s="47"/>
      <c r="V888" s="50"/>
    </row>
    <row r="889" spans="1:22" s="64" customFormat="1" x14ac:dyDescent="0.25">
      <c r="A889" s="24"/>
      <c r="J889" s="119"/>
      <c r="K889" s="125"/>
      <c r="L889" s="122"/>
      <c r="M889" s="122"/>
      <c r="N889" s="123"/>
      <c r="O889" s="261">
        <v>1</v>
      </c>
      <c r="P889" s="261">
        <v>0</v>
      </c>
      <c r="Q889" s="105"/>
      <c r="R889" s="105"/>
      <c r="S889" s="47"/>
      <c r="T889" s="47"/>
      <c r="U889" s="47"/>
      <c r="V889" s="50"/>
    </row>
    <row r="890" spans="1:22" s="64" customFormat="1" x14ac:dyDescent="0.25">
      <c r="A890" s="24"/>
      <c r="J890" s="119"/>
      <c r="K890" s="125"/>
      <c r="L890" s="122"/>
      <c r="M890" s="122"/>
      <c r="N890" s="123"/>
      <c r="O890" s="261">
        <v>1</v>
      </c>
      <c r="P890" s="261">
        <v>0</v>
      </c>
      <c r="Q890" s="105"/>
      <c r="R890" s="105"/>
      <c r="S890" s="47"/>
      <c r="T890" s="47"/>
      <c r="U890" s="47"/>
      <c r="V890" s="50"/>
    </row>
    <row r="891" spans="1:22" s="64" customFormat="1" x14ac:dyDescent="0.25">
      <c r="A891" s="24"/>
      <c r="J891" s="119"/>
      <c r="K891" s="125"/>
      <c r="L891" s="122"/>
      <c r="M891" s="122"/>
      <c r="N891" s="123"/>
      <c r="O891" s="261">
        <v>1</v>
      </c>
      <c r="P891" s="261">
        <v>0</v>
      </c>
      <c r="Q891" s="105"/>
      <c r="R891" s="105"/>
      <c r="S891" s="47"/>
      <c r="T891" s="47"/>
      <c r="U891" s="47"/>
      <c r="V891" s="50"/>
    </row>
    <row r="892" spans="1:22" s="64" customFormat="1" x14ac:dyDescent="0.25">
      <c r="A892" s="24"/>
      <c r="J892" s="119"/>
      <c r="K892" s="125"/>
      <c r="L892" s="122"/>
      <c r="M892" s="122"/>
      <c r="N892" s="123"/>
      <c r="O892" s="261">
        <v>1</v>
      </c>
      <c r="P892" s="261">
        <v>0</v>
      </c>
      <c r="Q892" s="105"/>
      <c r="R892" s="105"/>
      <c r="S892" s="47"/>
      <c r="T892" s="47"/>
      <c r="U892" s="47"/>
      <c r="V892" s="50"/>
    </row>
    <row r="893" spans="1:22" s="64" customFormat="1" x14ac:dyDescent="0.25">
      <c r="A893" s="24"/>
      <c r="J893" s="119"/>
      <c r="K893" s="125"/>
      <c r="L893" s="122"/>
      <c r="M893" s="122"/>
      <c r="N893" s="123"/>
      <c r="O893" s="261">
        <v>1</v>
      </c>
      <c r="P893" s="261">
        <v>0</v>
      </c>
      <c r="Q893" s="105"/>
      <c r="R893" s="105"/>
      <c r="S893" s="47"/>
      <c r="T893" s="47"/>
      <c r="U893" s="47"/>
      <c r="V893" s="50"/>
    </row>
    <row r="894" spans="1:22" s="64" customFormat="1" x14ac:dyDescent="0.25">
      <c r="A894" s="24"/>
      <c r="J894" s="119"/>
      <c r="K894" s="125"/>
      <c r="L894" s="122"/>
      <c r="M894" s="122"/>
      <c r="N894" s="123"/>
      <c r="O894" s="261">
        <v>1</v>
      </c>
      <c r="P894" s="261">
        <v>0</v>
      </c>
      <c r="Q894" s="105"/>
      <c r="R894" s="105"/>
      <c r="S894" s="47"/>
      <c r="T894" s="47"/>
      <c r="U894" s="47"/>
      <c r="V894" s="50"/>
    </row>
    <row r="895" spans="1:22" s="64" customFormat="1" x14ac:dyDescent="0.25">
      <c r="A895" s="24"/>
      <c r="J895" s="119"/>
      <c r="K895" s="125"/>
      <c r="L895" s="122"/>
      <c r="M895" s="122"/>
      <c r="N895" s="123"/>
      <c r="O895" s="261">
        <v>1</v>
      </c>
      <c r="P895" s="261">
        <v>0</v>
      </c>
      <c r="Q895" s="105"/>
      <c r="R895" s="105"/>
      <c r="S895" s="47"/>
      <c r="T895" s="47"/>
      <c r="U895" s="47"/>
      <c r="V895" s="50"/>
    </row>
    <row r="896" spans="1:22" s="64" customFormat="1" x14ac:dyDescent="0.25">
      <c r="A896" s="24"/>
      <c r="J896" s="119"/>
      <c r="K896" s="125"/>
      <c r="L896" s="122"/>
      <c r="M896" s="122"/>
      <c r="N896" s="123"/>
      <c r="O896" s="261">
        <v>1</v>
      </c>
      <c r="P896" s="261">
        <v>0</v>
      </c>
      <c r="Q896" s="105"/>
      <c r="R896" s="105"/>
      <c r="S896" s="47"/>
      <c r="T896" s="47"/>
      <c r="U896" s="47"/>
      <c r="V896" s="50"/>
    </row>
    <row r="897" spans="1:22" s="64" customFormat="1" x14ac:dyDescent="0.25">
      <c r="A897" s="24"/>
      <c r="J897" s="119"/>
      <c r="K897" s="125"/>
      <c r="L897" s="122"/>
      <c r="M897" s="122"/>
      <c r="N897" s="123"/>
      <c r="O897" s="261">
        <v>1</v>
      </c>
      <c r="P897" s="261">
        <v>0</v>
      </c>
      <c r="Q897" s="105"/>
      <c r="R897" s="105"/>
      <c r="S897" s="47"/>
      <c r="T897" s="47"/>
      <c r="U897" s="47"/>
      <c r="V897" s="50"/>
    </row>
    <row r="898" spans="1:22" s="64" customFormat="1" x14ac:dyDescent="0.25">
      <c r="A898" s="24"/>
      <c r="J898" s="119"/>
      <c r="K898" s="125"/>
      <c r="L898" s="122"/>
      <c r="M898" s="122"/>
      <c r="N898" s="123"/>
      <c r="O898" s="261">
        <v>1</v>
      </c>
      <c r="P898" s="261">
        <v>0</v>
      </c>
      <c r="Q898" s="105"/>
      <c r="R898" s="105"/>
      <c r="S898" s="47"/>
      <c r="T898" s="47"/>
      <c r="U898" s="47"/>
      <c r="V898" s="50"/>
    </row>
    <row r="899" spans="1:22" s="64" customFormat="1" x14ac:dyDescent="0.25">
      <c r="A899" s="24"/>
      <c r="J899" s="119"/>
      <c r="K899" s="125"/>
      <c r="L899" s="122"/>
      <c r="M899" s="122"/>
      <c r="N899" s="123"/>
      <c r="O899" s="261">
        <v>1</v>
      </c>
      <c r="P899" s="261">
        <v>0</v>
      </c>
      <c r="Q899" s="105"/>
      <c r="R899" s="105"/>
      <c r="S899" s="47"/>
      <c r="T899" s="47"/>
      <c r="U899" s="47"/>
      <c r="V899" s="50"/>
    </row>
    <row r="900" spans="1:22" s="64" customFormat="1" x14ac:dyDescent="0.25">
      <c r="A900" s="24"/>
      <c r="J900" s="119"/>
      <c r="K900" s="125"/>
      <c r="L900" s="122"/>
      <c r="M900" s="122"/>
      <c r="N900" s="123"/>
      <c r="O900" s="261">
        <v>1</v>
      </c>
      <c r="P900" s="261">
        <v>0</v>
      </c>
      <c r="Q900" s="105"/>
      <c r="R900" s="105"/>
      <c r="S900" s="47"/>
      <c r="T900" s="47"/>
      <c r="U900" s="47"/>
      <c r="V900" s="50"/>
    </row>
    <row r="901" spans="1:22" s="64" customFormat="1" x14ac:dyDescent="0.25">
      <c r="A901" s="24"/>
      <c r="J901" s="119"/>
      <c r="K901" s="125"/>
      <c r="L901" s="122"/>
      <c r="M901" s="122"/>
      <c r="N901" s="123"/>
      <c r="O901" s="261">
        <v>1</v>
      </c>
      <c r="P901" s="261">
        <v>0</v>
      </c>
      <c r="Q901" s="105"/>
      <c r="R901" s="105"/>
      <c r="S901" s="47"/>
      <c r="T901" s="47"/>
      <c r="U901" s="47"/>
      <c r="V901" s="50"/>
    </row>
    <row r="902" spans="1:22" s="64" customFormat="1" x14ac:dyDescent="0.25">
      <c r="A902" s="24"/>
      <c r="J902" s="119"/>
      <c r="K902" s="125"/>
      <c r="L902" s="122"/>
      <c r="M902" s="122"/>
      <c r="N902" s="123"/>
      <c r="O902" s="261">
        <v>1</v>
      </c>
      <c r="P902" s="261">
        <v>0</v>
      </c>
      <c r="Q902" s="105"/>
      <c r="R902" s="105"/>
      <c r="S902" s="47"/>
      <c r="T902" s="47"/>
      <c r="U902" s="47"/>
      <c r="V902" s="50"/>
    </row>
    <row r="903" spans="1:22" s="64" customFormat="1" x14ac:dyDescent="0.25">
      <c r="A903" s="24"/>
      <c r="J903" s="119"/>
      <c r="K903" s="125"/>
      <c r="L903" s="122"/>
      <c r="M903" s="122"/>
      <c r="N903" s="123"/>
      <c r="O903" s="261">
        <v>1</v>
      </c>
      <c r="P903" s="261">
        <v>0</v>
      </c>
      <c r="Q903" s="105"/>
      <c r="R903" s="105"/>
      <c r="S903" s="47"/>
      <c r="T903" s="47"/>
      <c r="U903" s="47"/>
      <c r="V903" s="50"/>
    </row>
    <row r="904" spans="1:22" s="64" customFormat="1" x14ac:dyDescent="0.25">
      <c r="A904" s="24"/>
      <c r="J904" s="119"/>
      <c r="K904" s="125"/>
      <c r="L904" s="122"/>
      <c r="M904" s="122"/>
      <c r="N904" s="123"/>
      <c r="O904" s="261">
        <v>1</v>
      </c>
      <c r="P904" s="261">
        <v>0</v>
      </c>
      <c r="Q904" s="105"/>
      <c r="R904" s="105"/>
      <c r="S904" s="47"/>
      <c r="T904" s="47"/>
      <c r="U904" s="47"/>
      <c r="V904" s="50"/>
    </row>
    <row r="905" spans="1:22" s="64" customFormat="1" x14ac:dyDescent="0.25">
      <c r="A905" s="24"/>
      <c r="J905" s="119"/>
      <c r="K905" s="125"/>
      <c r="L905" s="122"/>
      <c r="M905" s="122"/>
      <c r="N905" s="123"/>
      <c r="O905" s="261">
        <v>1</v>
      </c>
      <c r="P905" s="261">
        <v>0</v>
      </c>
      <c r="Q905" s="105"/>
      <c r="R905" s="105"/>
      <c r="S905" s="47"/>
      <c r="T905" s="47"/>
      <c r="U905" s="47"/>
      <c r="V905" s="50"/>
    </row>
    <row r="906" spans="1:22" s="64" customFormat="1" x14ac:dyDescent="0.25">
      <c r="A906" s="24"/>
      <c r="J906" s="119"/>
      <c r="K906" s="125"/>
      <c r="L906" s="122"/>
      <c r="M906" s="122"/>
      <c r="N906" s="123"/>
      <c r="O906" s="261">
        <v>1</v>
      </c>
      <c r="P906" s="261">
        <v>0</v>
      </c>
      <c r="Q906" s="105"/>
      <c r="R906" s="105"/>
      <c r="S906" s="47"/>
      <c r="T906" s="47"/>
      <c r="U906" s="47"/>
      <c r="V906" s="50"/>
    </row>
    <row r="907" spans="1:22" s="64" customFormat="1" x14ac:dyDescent="0.25">
      <c r="A907" s="24"/>
      <c r="J907" s="119"/>
      <c r="K907" s="125"/>
      <c r="L907" s="122"/>
      <c r="M907" s="122"/>
      <c r="N907" s="123"/>
      <c r="O907" s="261">
        <v>1</v>
      </c>
      <c r="P907" s="261">
        <v>0</v>
      </c>
      <c r="Q907" s="105"/>
      <c r="R907" s="105"/>
      <c r="S907" s="47"/>
      <c r="T907" s="47"/>
      <c r="U907" s="47"/>
      <c r="V907" s="50"/>
    </row>
    <row r="908" spans="1:22" s="64" customFormat="1" x14ac:dyDescent="0.25">
      <c r="A908" s="24"/>
      <c r="J908" s="119"/>
      <c r="K908" s="125"/>
      <c r="L908" s="122"/>
      <c r="M908" s="122"/>
      <c r="N908" s="123"/>
      <c r="O908" s="261">
        <v>1</v>
      </c>
      <c r="P908" s="261">
        <v>0</v>
      </c>
      <c r="Q908" s="105"/>
      <c r="R908" s="105"/>
      <c r="S908" s="47"/>
      <c r="T908" s="47"/>
      <c r="U908" s="47"/>
      <c r="V908" s="50"/>
    </row>
    <row r="909" spans="1:22" s="64" customFormat="1" x14ac:dyDescent="0.25">
      <c r="A909" s="24"/>
      <c r="J909" s="119"/>
      <c r="K909" s="125"/>
      <c r="L909" s="122"/>
      <c r="M909" s="122"/>
      <c r="N909" s="123"/>
      <c r="O909" s="261">
        <v>1</v>
      </c>
      <c r="P909" s="261">
        <v>0</v>
      </c>
      <c r="Q909" s="105"/>
      <c r="R909" s="105"/>
      <c r="S909" s="47"/>
      <c r="T909" s="47"/>
      <c r="U909" s="47"/>
      <c r="V909" s="50"/>
    </row>
    <row r="910" spans="1:22" s="64" customFormat="1" x14ac:dyDescent="0.25">
      <c r="A910" s="24"/>
      <c r="J910" s="119"/>
      <c r="K910" s="125"/>
      <c r="L910" s="122"/>
      <c r="M910" s="122"/>
      <c r="N910" s="123"/>
      <c r="O910" s="261">
        <v>1</v>
      </c>
      <c r="P910" s="261">
        <v>0</v>
      </c>
      <c r="Q910" s="105"/>
      <c r="R910" s="105"/>
      <c r="S910" s="47"/>
      <c r="T910" s="47"/>
      <c r="U910" s="47"/>
      <c r="V910" s="50"/>
    </row>
    <row r="911" spans="1:22" s="64" customFormat="1" x14ac:dyDescent="0.25">
      <c r="A911" s="24"/>
      <c r="J911" s="119"/>
      <c r="K911" s="125"/>
      <c r="L911" s="122"/>
      <c r="M911" s="122"/>
      <c r="N911" s="123"/>
      <c r="O911" s="261">
        <v>1</v>
      </c>
      <c r="P911" s="261">
        <v>0</v>
      </c>
      <c r="Q911" s="105"/>
      <c r="R911" s="105"/>
      <c r="S911" s="47"/>
      <c r="T911" s="47"/>
      <c r="U911" s="47"/>
      <c r="V911" s="50"/>
    </row>
    <row r="912" spans="1:22" s="64" customFormat="1" x14ac:dyDescent="0.25">
      <c r="A912" s="24"/>
      <c r="J912" s="119"/>
      <c r="K912" s="125"/>
      <c r="L912" s="122"/>
      <c r="M912" s="122"/>
      <c r="N912" s="123"/>
      <c r="O912" s="261">
        <v>1</v>
      </c>
      <c r="P912" s="261">
        <v>0</v>
      </c>
      <c r="Q912" s="105"/>
      <c r="R912" s="105"/>
      <c r="S912" s="47"/>
      <c r="T912" s="47"/>
      <c r="U912" s="47"/>
      <c r="V912" s="50"/>
    </row>
    <row r="913" spans="1:22" s="64" customFormat="1" x14ac:dyDescent="0.25">
      <c r="A913" s="24"/>
      <c r="J913" s="119"/>
      <c r="K913" s="125"/>
      <c r="L913" s="122"/>
      <c r="M913" s="122"/>
      <c r="N913" s="123"/>
      <c r="O913" s="261">
        <v>1</v>
      </c>
      <c r="P913" s="261">
        <v>0</v>
      </c>
      <c r="Q913" s="105"/>
      <c r="R913" s="105"/>
      <c r="S913" s="47"/>
      <c r="T913" s="47"/>
      <c r="U913" s="47"/>
      <c r="V913" s="50"/>
    </row>
    <row r="914" spans="1:22" s="64" customFormat="1" x14ac:dyDescent="0.25">
      <c r="A914" s="24"/>
      <c r="J914" s="119"/>
      <c r="K914" s="125"/>
      <c r="L914" s="122"/>
      <c r="M914" s="122"/>
      <c r="N914" s="123"/>
      <c r="O914" s="261">
        <v>1</v>
      </c>
      <c r="P914" s="261">
        <v>0</v>
      </c>
      <c r="Q914" s="105"/>
      <c r="R914" s="105"/>
      <c r="S914" s="47"/>
      <c r="T914" s="47"/>
      <c r="U914" s="47"/>
      <c r="V914" s="50"/>
    </row>
    <row r="915" spans="1:22" s="64" customFormat="1" x14ac:dyDescent="0.25">
      <c r="A915" s="24"/>
      <c r="J915" s="119"/>
      <c r="K915" s="125"/>
      <c r="L915" s="122"/>
      <c r="M915" s="122"/>
      <c r="N915" s="123"/>
      <c r="O915" s="261">
        <v>1</v>
      </c>
      <c r="P915" s="261">
        <v>0</v>
      </c>
      <c r="Q915" s="105"/>
      <c r="R915" s="105"/>
      <c r="S915" s="47"/>
      <c r="T915" s="47"/>
      <c r="U915" s="47"/>
      <c r="V915" s="50"/>
    </row>
    <row r="916" spans="1:22" s="64" customFormat="1" x14ac:dyDescent="0.25">
      <c r="A916" s="24"/>
      <c r="J916" s="119"/>
      <c r="K916" s="125"/>
      <c r="L916" s="122"/>
      <c r="M916" s="122"/>
      <c r="N916" s="123"/>
      <c r="O916" s="261">
        <v>1</v>
      </c>
      <c r="P916" s="261">
        <v>0</v>
      </c>
      <c r="Q916" s="105"/>
      <c r="R916" s="105"/>
      <c r="S916" s="47"/>
      <c r="T916" s="47"/>
      <c r="U916" s="47"/>
      <c r="V916" s="50"/>
    </row>
    <row r="917" spans="1:22" s="64" customFormat="1" x14ac:dyDescent="0.25">
      <c r="A917" s="24"/>
      <c r="J917" s="119"/>
      <c r="K917" s="125"/>
      <c r="L917" s="122"/>
      <c r="M917" s="122"/>
      <c r="N917" s="123"/>
      <c r="O917" s="261">
        <v>1</v>
      </c>
      <c r="P917" s="261">
        <v>0</v>
      </c>
      <c r="Q917" s="105"/>
      <c r="R917" s="105"/>
      <c r="S917" s="47"/>
      <c r="T917" s="47"/>
      <c r="U917" s="47"/>
      <c r="V917" s="50"/>
    </row>
    <row r="918" spans="1:22" s="64" customFormat="1" x14ac:dyDescent="0.25">
      <c r="A918" s="24"/>
      <c r="J918" s="119"/>
      <c r="K918" s="125"/>
      <c r="L918" s="122"/>
      <c r="M918" s="122"/>
      <c r="N918" s="123"/>
      <c r="O918" s="261">
        <v>1</v>
      </c>
      <c r="P918" s="261">
        <v>0</v>
      </c>
      <c r="Q918" s="105"/>
      <c r="R918" s="105"/>
      <c r="S918" s="47"/>
      <c r="T918" s="47"/>
      <c r="U918" s="47"/>
      <c r="V918" s="50"/>
    </row>
    <row r="919" spans="1:22" s="64" customFormat="1" x14ac:dyDescent="0.25">
      <c r="A919" s="24"/>
      <c r="J919" s="119"/>
      <c r="K919" s="125"/>
      <c r="L919" s="122"/>
      <c r="M919" s="122"/>
      <c r="N919" s="123"/>
      <c r="O919" s="261">
        <v>1</v>
      </c>
      <c r="P919" s="261">
        <v>0</v>
      </c>
      <c r="Q919" s="105"/>
      <c r="R919" s="105"/>
      <c r="S919" s="47"/>
      <c r="T919" s="47"/>
      <c r="U919" s="47"/>
      <c r="V919" s="50"/>
    </row>
    <row r="920" spans="1:22" s="64" customFormat="1" x14ac:dyDescent="0.25">
      <c r="A920" s="24"/>
      <c r="J920" s="119"/>
      <c r="K920" s="125"/>
      <c r="L920" s="122"/>
      <c r="M920" s="122"/>
      <c r="N920" s="123"/>
      <c r="O920" s="261">
        <v>1</v>
      </c>
      <c r="P920" s="261">
        <v>0</v>
      </c>
      <c r="Q920" s="105"/>
      <c r="R920" s="105"/>
      <c r="S920" s="47"/>
      <c r="T920" s="47"/>
      <c r="U920" s="47"/>
      <c r="V920" s="50"/>
    </row>
    <row r="921" spans="1:22" s="64" customFormat="1" x14ac:dyDescent="0.25">
      <c r="A921" s="24"/>
      <c r="J921" s="119"/>
      <c r="K921" s="125"/>
      <c r="L921" s="122"/>
      <c r="M921" s="122"/>
      <c r="N921" s="123"/>
      <c r="O921" s="261">
        <v>1</v>
      </c>
      <c r="P921" s="261">
        <v>0</v>
      </c>
      <c r="Q921" s="105"/>
      <c r="R921" s="105"/>
      <c r="S921" s="47"/>
      <c r="T921" s="47"/>
      <c r="U921" s="47"/>
      <c r="V921" s="50"/>
    </row>
    <row r="922" spans="1:22" s="64" customFormat="1" x14ac:dyDescent="0.25">
      <c r="A922" s="24"/>
      <c r="J922" s="119"/>
      <c r="K922" s="125"/>
      <c r="L922" s="122"/>
      <c r="M922" s="122"/>
      <c r="N922" s="123"/>
      <c r="O922" s="261">
        <v>1</v>
      </c>
      <c r="P922" s="261">
        <v>0</v>
      </c>
      <c r="Q922" s="105"/>
      <c r="R922" s="105"/>
      <c r="S922" s="47"/>
      <c r="T922" s="47"/>
      <c r="U922" s="47"/>
      <c r="V922" s="50"/>
    </row>
    <row r="923" spans="1:22" s="64" customFormat="1" x14ac:dyDescent="0.25">
      <c r="A923" s="24"/>
      <c r="J923" s="119"/>
      <c r="K923" s="125"/>
      <c r="L923" s="122"/>
      <c r="M923" s="122"/>
      <c r="N923" s="123"/>
      <c r="O923" s="261">
        <v>1</v>
      </c>
      <c r="P923" s="261">
        <v>0</v>
      </c>
      <c r="Q923" s="105"/>
      <c r="R923" s="105"/>
      <c r="S923" s="47"/>
      <c r="T923" s="47"/>
      <c r="U923" s="47"/>
      <c r="V923" s="50"/>
    </row>
    <row r="924" spans="1:22" s="64" customFormat="1" x14ac:dyDescent="0.25">
      <c r="A924" s="24"/>
      <c r="J924" s="119"/>
      <c r="K924" s="125"/>
      <c r="L924" s="122"/>
      <c r="M924" s="122"/>
      <c r="N924" s="123"/>
      <c r="O924" s="261">
        <v>1</v>
      </c>
      <c r="P924" s="261">
        <v>0</v>
      </c>
      <c r="Q924" s="105"/>
      <c r="R924" s="105"/>
      <c r="S924" s="47"/>
      <c r="T924" s="47"/>
      <c r="U924" s="47"/>
      <c r="V924" s="50"/>
    </row>
    <row r="925" spans="1:22" s="64" customFormat="1" x14ac:dyDescent="0.25">
      <c r="A925" s="24"/>
      <c r="J925" s="119"/>
      <c r="K925" s="125"/>
      <c r="L925" s="122"/>
      <c r="M925" s="122"/>
      <c r="N925" s="123"/>
      <c r="O925" s="261">
        <v>1</v>
      </c>
      <c r="P925" s="261">
        <v>0</v>
      </c>
      <c r="Q925" s="105"/>
      <c r="R925" s="105"/>
      <c r="S925" s="47"/>
      <c r="T925" s="47"/>
      <c r="U925" s="47"/>
      <c r="V925" s="50"/>
    </row>
    <row r="926" spans="1:22" s="64" customFormat="1" x14ac:dyDescent="0.25">
      <c r="A926" s="24"/>
      <c r="J926" s="119"/>
      <c r="K926" s="125"/>
      <c r="L926" s="122"/>
      <c r="M926" s="122"/>
      <c r="N926" s="123"/>
      <c r="O926" s="261">
        <v>1</v>
      </c>
      <c r="P926" s="261">
        <v>0</v>
      </c>
      <c r="Q926" s="105"/>
      <c r="R926" s="105"/>
      <c r="S926" s="47"/>
      <c r="T926" s="47"/>
      <c r="U926" s="47"/>
      <c r="V926" s="50"/>
    </row>
    <row r="927" spans="1:22" s="64" customFormat="1" x14ac:dyDescent="0.25">
      <c r="A927" s="24"/>
      <c r="J927" s="119"/>
      <c r="K927" s="125"/>
      <c r="L927" s="122"/>
      <c r="M927" s="122"/>
      <c r="N927" s="123"/>
      <c r="O927" s="261">
        <v>1</v>
      </c>
      <c r="P927" s="261">
        <v>0</v>
      </c>
      <c r="Q927" s="105"/>
      <c r="R927" s="105"/>
      <c r="S927" s="47"/>
      <c r="T927" s="47"/>
      <c r="U927" s="47"/>
      <c r="V927" s="50"/>
    </row>
    <row r="928" spans="1:22" s="64" customFormat="1" x14ac:dyDescent="0.25">
      <c r="A928" s="24"/>
      <c r="J928" s="119"/>
      <c r="K928" s="125"/>
      <c r="L928" s="122"/>
      <c r="M928" s="122"/>
      <c r="N928" s="123"/>
      <c r="O928" s="261">
        <v>1</v>
      </c>
      <c r="P928" s="261">
        <v>0</v>
      </c>
      <c r="Q928" s="105"/>
      <c r="R928" s="105"/>
      <c r="S928" s="47"/>
      <c r="T928" s="47"/>
      <c r="U928" s="47"/>
      <c r="V928" s="50"/>
    </row>
    <row r="929" spans="1:22" s="64" customFormat="1" x14ac:dyDescent="0.25">
      <c r="A929" s="24"/>
      <c r="J929" s="119"/>
      <c r="K929" s="125"/>
      <c r="L929" s="122"/>
      <c r="M929" s="122"/>
      <c r="N929" s="123"/>
      <c r="O929" s="261">
        <v>1</v>
      </c>
      <c r="P929" s="261">
        <v>0</v>
      </c>
      <c r="Q929" s="105"/>
      <c r="R929" s="105"/>
      <c r="S929" s="47"/>
      <c r="T929" s="47"/>
      <c r="U929" s="47"/>
      <c r="V929" s="50"/>
    </row>
    <row r="930" spans="1:22" s="64" customFormat="1" x14ac:dyDescent="0.25">
      <c r="A930" s="24"/>
      <c r="J930" s="119"/>
      <c r="K930" s="125"/>
      <c r="L930" s="122"/>
      <c r="M930" s="122"/>
      <c r="N930" s="123"/>
      <c r="O930" s="261">
        <v>1</v>
      </c>
      <c r="P930" s="261">
        <v>0</v>
      </c>
      <c r="Q930" s="105"/>
      <c r="R930" s="105"/>
      <c r="S930" s="47"/>
      <c r="T930" s="47"/>
      <c r="U930" s="47"/>
      <c r="V930" s="50"/>
    </row>
    <row r="931" spans="1:22" s="64" customFormat="1" x14ac:dyDescent="0.25">
      <c r="A931" s="24"/>
      <c r="J931" s="119"/>
      <c r="K931" s="125"/>
      <c r="L931" s="122"/>
      <c r="M931" s="122"/>
      <c r="N931" s="123"/>
      <c r="O931" s="261">
        <v>1</v>
      </c>
      <c r="P931" s="261">
        <v>0</v>
      </c>
      <c r="Q931" s="105"/>
      <c r="R931" s="105"/>
      <c r="S931" s="47"/>
      <c r="T931" s="47"/>
      <c r="U931" s="47"/>
      <c r="V931" s="50"/>
    </row>
    <row r="932" spans="1:22" s="64" customFormat="1" x14ac:dyDescent="0.25">
      <c r="A932" s="24"/>
      <c r="J932" s="119"/>
      <c r="K932" s="125"/>
      <c r="L932" s="122"/>
      <c r="M932" s="122"/>
      <c r="N932" s="123"/>
      <c r="O932" s="261">
        <v>1</v>
      </c>
      <c r="P932" s="261">
        <v>0</v>
      </c>
      <c r="Q932" s="105"/>
      <c r="R932" s="105"/>
      <c r="S932" s="47"/>
      <c r="T932" s="47"/>
      <c r="U932" s="47"/>
      <c r="V932" s="50"/>
    </row>
    <row r="933" spans="1:22" s="64" customFormat="1" x14ac:dyDescent="0.25">
      <c r="A933" s="24"/>
      <c r="J933" s="119"/>
      <c r="K933" s="125"/>
      <c r="L933" s="122"/>
      <c r="M933" s="122"/>
      <c r="N933" s="123"/>
      <c r="O933" s="261">
        <v>1</v>
      </c>
      <c r="P933" s="261">
        <v>0</v>
      </c>
      <c r="Q933" s="105"/>
      <c r="R933" s="105"/>
      <c r="S933" s="47"/>
      <c r="T933" s="47"/>
      <c r="U933" s="47"/>
      <c r="V933" s="50"/>
    </row>
    <row r="934" spans="1:22" s="64" customFormat="1" x14ac:dyDescent="0.25">
      <c r="A934" s="24"/>
      <c r="J934" s="119"/>
      <c r="K934" s="125"/>
      <c r="L934" s="122"/>
      <c r="M934" s="122"/>
      <c r="N934" s="123"/>
      <c r="O934" s="261">
        <v>1</v>
      </c>
      <c r="P934" s="261">
        <v>0</v>
      </c>
      <c r="Q934" s="105"/>
      <c r="R934" s="105"/>
      <c r="S934" s="47"/>
      <c r="T934" s="47"/>
      <c r="U934" s="47"/>
      <c r="V934" s="50"/>
    </row>
    <row r="935" spans="1:22" s="64" customFormat="1" x14ac:dyDescent="0.25">
      <c r="A935" s="24"/>
      <c r="J935" s="119"/>
      <c r="K935" s="125"/>
      <c r="L935" s="122"/>
      <c r="M935" s="122"/>
      <c r="N935" s="123"/>
      <c r="O935" s="261">
        <v>1</v>
      </c>
      <c r="P935" s="261">
        <v>0</v>
      </c>
      <c r="Q935" s="105"/>
      <c r="R935" s="105"/>
      <c r="S935" s="47"/>
      <c r="T935" s="47"/>
      <c r="U935" s="47"/>
      <c r="V935" s="50"/>
    </row>
    <row r="936" spans="1:22" s="64" customFormat="1" x14ac:dyDescent="0.25">
      <c r="A936" s="24"/>
      <c r="J936" s="119"/>
      <c r="K936" s="125"/>
      <c r="L936" s="122"/>
      <c r="M936" s="122"/>
      <c r="N936" s="123"/>
      <c r="O936" s="261">
        <v>1</v>
      </c>
      <c r="P936" s="261">
        <v>0</v>
      </c>
      <c r="Q936" s="105"/>
      <c r="R936" s="105"/>
      <c r="S936" s="47"/>
      <c r="T936" s="47"/>
      <c r="U936" s="47"/>
      <c r="V936" s="50"/>
    </row>
    <row r="937" spans="1:22" s="64" customFormat="1" x14ac:dyDescent="0.25">
      <c r="A937" s="24"/>
      <c r="J937" s="119"/>
      <c r="K937" s="125"/>
      <c r="L937" s="122"/>
      <c r="M937" s="122"/>
      <c r="N937" s="123"/>
      <c r="O937" s="261">
        <v>1</v>
      </c>
      <c r="P937" s="261">
        <v>0</v>
      </c>
      <c r="Q937" s="105"/>
      <c r="R937" s="105"/>
      <c r="S937" s="47"/>
      <c r="T937" s="47"/>
      <c r="U937" s="47"/>
      <c r="V937" s="50"/>
    </row>
    <row r="938" spans="1:22" s="64" customFormat="1" x14ac:dyDescent="0.25">
      <c r="A938" s="24"/>
      <c r="J938" s="119"/>
      <c r="K938" s="125"/>
      <c r="L938" s="122"/>
      <c r="M938" s="122"/>
      <c r="N938" s="123"/>
      <c r="O938" s="261">
        <v>1</v>
      </c>
      <c r="P938" s="261">
        <v>0</v>
      </c>
      <c r="Q938" s="105"/>
      <c r="R938" s="105"/>
      <c r="S938" s="47"/>
      <c r="T938" s="47"/>
      <c r="U938" s="47"/>
      <c r="V938" s="50"/>
    </row>
    <row r="939" spans="1:22" s="64" customFormat="1" x14ac:dyDescent="0.25">
      <c r="A939" s="24"/>
      <c r="J939" s="119"/>
      <c r="K939" s="125"/>
      <c r="L939" s="122"/>
      <c r="M939" s="122"/>
      <c r="N939" s="123"/>
      <c r="O939" s="261">
        <v>1</v>
      </c>
      <c r="P939" s="261">
        <v>0</v>
      </c>
      <c r="Q939" s="105"/>
      <c r="R939" s="105"/>
      <c r="S939" s="47"/>
      <c r="T939" s="47"/>
      <c r="U939" s="47"/>
      <c r="V939" s="50"/>
    </row>
    <row r="940" spans="1:22" s="64" customFormat="1" x14ac:dyDescent="0.25">
      <c r="A940" s="24"/>
      <c r="J940" s="119"/>
      <c r="K940" s="125"/>
      <c r="L940" s="122"/>
      <c r="M940" s="122"/>
      <c r="N940" s="123"/>
      <c r="O940" s="261">
        <v>1</v>
      </c>
      <c r="P940" s="261">
        <v>0</v>
      </c>
      <c r="Q940" s="105"/>
      <c r="R940" s="105"/>
      <c r="S940" s="47"/>
      <c r="T940" s="47"/>
      <c r="U940" s="47"/>
      <c r="V940" s="50"/>
    </row>
    <row r="941" spans="1:22" s="64" customFormat="1" x14ac:dyDescent="0.25">
      <c r="A941" s="24"/>
      <c r="J941" s="119"/>
      <c r="K941" s="125"/>
      <c r="L941" s="122"/>
      <c r="M941" s="122"/>
      <c r="N941" s="123"/>
      <c r="O941" s="261">
        <v>1</v>
      </c>
      <c r="P941" s="261">
        <v>0</v>
      </c>
      <c r="Q941" s="105"/>
      <c r="R941" s="105"/>
      <c r="S941" s="47"/>
      <c r="T941" s="47"/>
      <c r="U941" s="47"/>
      <c r="V941" s="50"/>
    </row>
    <row r="942" spans="1:22" s="64" customFormat="1" x14ac:dyDescent="0.25">
      <c r="A942" s="24"/>
      <c r="J942" s="119"/>
      <c r="K942" s="125"/>
      <c r="L942" s="122"/>
      <c r="M942" s="122"/>
      <c r="N942" s="123"/>
      <c r="O942" s="261">
        <v>1</v>
      </c>
      <c r="P942" s="261">
        <v>0</v>
      </c>
      <c r="Q942" s="105"/>
      <c r="R942" s="105"/>
      <c r="S942" s="47"/>
      <c r="T942" s="47"/>
      <c r="U942" s="47"/>
      <c r="V942" s="50"/>
    </row>
    <row r="943" spans="1:22" s="64" customFormat="1" x14ac:dyDescent="0.25">
      <c r="A943" s="24"/>
      <c r="J943" s="119"/>
      <c r="K943" s="125"/>
      <c r="L943" s="122"/>
      <c r="M943" s="122"/>
      <c r="N943" s="123"/>
      <c r="O943" s="261">
        <v>1</v>
      </c>
      <c r="P943" s="261">
        <v>0</v>
      </c>
      <c r="Q943" s="105"/>
      <c r="R943" s="105"/>
      <c r="S943" s="47"/>
      <c r="T943" s="47"/>
      <c r="U943" s="47"/>
      <c r="V943" s="50"/>
    </row>
    <row r="944" spans="1:22" s="64" customFormat="1" x14ac:dyDescent="0.25">
      <c r="A944" s="24"/>
      <c r="J944" s="119"/>
      <c r="K944" s="125"/>
      <c r="L944" s="122"/>
      <c r="M944" s="122"/>
      <c r="N944" s="123"/>
      <c r="O944" s="261">
        <v>1</v>
      </c>
      <c r="P944" s="261">
        <v>0</v>
      </c>
      <c r="Q944" s="105"/>
      <c r="R944" s="105"/>
      <c r="S944" s="47"/>
      <c r="T944" s="47"/>
      <c r="U944" s="47"/>
      <c r="V944" s="50"/>
    </row>
    <row r="945" spans="1:22" s="64" customFormat="1" x14ac:dyDescent="0.25">
      <c r="A945" s="24"/>
      <c r="J945" s="119"/>
      <c r="K945" s="125"/>
      <c r="L945" s="122"/>
      <c r="M945" s="122"/>
      <c r="N945" s="123"/>
      <c r="O945" s="261">
        <v>1</v>
      </c>
      <c r="P945" s="261">
        <v>0</v>
      </c>
      <c r="Q945" s="105"/>
      <c r="R945" s="105"/>
      <c r="S945" s="47"/>
      <c r="T945" s="47"/>
      <c r="U945" s="47"/>
      <c r="V945" s="50"/>
    </row>
    <row r="946" spans="1:22" s="64" customFormat="1" x14ac:dyDescent="0.25">
      <c r="A946" s="24"/>
      <c r="J946" s="119"/>
      <c r="K946" s="125"/>
      <c r="L946" s="122"/>
      <c r="M946" s="122"/>
      <c r="N946" s="123"/>
      <c r="O946" s="261">
        <v>1</v>
      </c>
      <c r="P946" s="261">
        <v>0</v>
      </c>
      <c r="Q946" s="105"/>
      <c r="R946" s="105"/>
      <c r="S946" s="47"/>
      <c r="T946" s="47"/>
      <c r="U946" s="47"/>
      <c r="V946" s="50"/>
    </row>
    <row r="947" spans="1:22" s="64" customFormat="1" x14ac:dyDescent="0.25">
      <c r="A947" s="24"/>
      <c r="J947" s="119"/>
      <c r="K947" s="125"/>
      <c r="L947" s="122"/>
      <c r="M947" s="122"/>
      <c r="N947" s="123"/>
      <c r="O947" s="261">
        <v>1</v>
      </c>
      <c r="P947" s="261">
        <v>0</v>
      </c>
      <c r="Q947" s="105"/>
      <c r="R947" s="105"/>
      <c r="S947" s="47"/>
      <c r="T947" s="47"/>
      <c r="U947" s="47"/>
      <c r="V947" s="50"/>
    </row>
    <row r="948" spans="1:22" s="64" customFormat="1" x14ac:dyDescent="0.25">
      <c r="A948" s="24"/>
      <c r="J948" s="119"/>
      <c r="K948" s="125"/>
      <c r="L948" s="122"/>
      <c r="M948" s="122"/>
      <c r="N948" s="123"/>
      <c r="O948" s="261">
        <v>1</v>
      </c>
      <c r="P948" s="261">
        <v>0</v>
      </c>
      <c r="Q948" s="105"/>
      <c r="R948" s="105"/>
      <c r="S948" s="47"/>
      <c r="T948" s="47"/>
      <c r="U948" s="47"/>
      <c r="V948" s="50"/>
    </row>
    <row r="949" spans="1:22" s="64" customFormat="1" x14ac:dyDescent="0.25">
      <c r="A949" s="24"/>
      <c r="J949" s="119"/>
      <c r="K949" s="125"/>
      <c r="L949" s="122"/>
      <c r="M949" s="122"/>
      <c r="N949" s="123"/>
      <c r="O949" s="261">
        <v>1</v>
      </c>
      <c r="P949" s="261">
        <v>0</v>
      </c>
      <c r="Q949" s="105"/>
      <c r="R949" s="105"/>
      <c r="S949" s="47"/>
      <c r="T949" s="47"/>
      <c r="U949" s="47"/>
      <c r="V949" s="50"/>
    </row>
    <row r="950" spans="1:22" s="64" customFormat="1" x14ac:dyDescent="0.25">
      <c r="A950" s="24"/>
      <c r="J950" s="119"/>
      <c r="K950" s="125"/>
      <c r="L950" s="122"/>
      <c r="M950" s="122"/>
      <c r="N950" s="123"/>
      <c r="O950" s="261">
        <v>1</v>
      </c>
      <c r="P950" s="261">
        <v>0</v>
      </c>
      <c r="Q950" s="105"/>
      <c r="R950" s="105"/>
      <c r="S950" s="47"/>
      <c r="T950" s="47"/>
      <c r="U950" s="47"/>
      <c r="V950" s="50"/>
    </row>
    <row r="951" spans="1:22" s="64" customFormat="1" x14ac:dyDescent="0.25">
      <c r="A951" s="24"/>
      <c r="J951" s="119"/>
      <c r="K951" s="125"/>
      <c r="L951" s="122"/>
      <c r="M951" s="122"/>
      <c r="N951" s="123"/>
      <c r="O951" s="261">
        <v>1</v>
      </c>
      <c r="P951" s="261">
        <v>0</v>
      </c>
      <c r="Q951" s="105"/>
      <c r="R951" s="105"/>
      <c r="S951" s="47"/>
      <c r="T951" s="47"/>
      <c r="U951" s="47"/>
      <c r="V951" s="50"/>
    </row>
    <row r="952" spans="1:22" s="64" customFormat="1" x14ac:dyDescent="0.25">
      <c r="A952" s="24"/>
      <c r="J952" s="119"/>
      <c r="K952" s="125"/>
      <c r="L952" s="122"/>
      <c r="M952" s="122"/>
      <c r="N952" s="123"/>
      <c r="O952" s="261">
        <v>1</v>
      </c>
      <c r="P952" s="261">
        <v>0</v>
      </c>
      <c r="Q952" s="105"/>
      <c r="R952" s="105"/>
      <c r="S952" s="47"/>
      <c r="T952" s="47"/>
      <c r="U952" s="47"/>
      <c r="V952" s="50"/>
    </row>
    <row r="953" spans="1:22" s="64" customFormat="1" x14ac:dyDescent="0.25">
      <c r="A953" s="24"/>
      <c r="J953" s="119"/>
      <c r="K953" s="125"/>
      <c r="L953" s="122"/>
      <c r="M953" s="122"/>
      <c r="N953" s="123"/>
      <c r="O953" s="261">
        <v>1</v>
      </c>
      <c r="P953" s="261">
        <v>0</v>
      </c>
      <c r="Q953" s="105"/>
      <c r="R953" s="105"/>
      <c r="S953" s="47"/>
      <c r="T953" s="47"/>
      <c r="U953" s="47"/>
      <c r="V953" s="50"/>
    </row>
    <row r="954" spans="1:22" s="64" customFormat="1" x14ac:dyDescent="0.25">
      <c r="A954" s="24"/>
      <c r="J954" s="119"/>
      <c r="K954" s="125"/>
      <c r="L954" s="122"/>
      <c r="M954" s="122"/>
      <c r="N954" s="123"/>
      <c r="O954" s="261">
        <v>1</v>
      </c>
      <c r="P954" s="261">
        <v>0</v>
      </c>
      <c r="Q954" s="105"/>
      <c r="R954" s="105"/>
      <c r="S954" s="47"/>
      <c r="T954" s="47"/>
      <c r="U954" s="47"/>
      <c r="V954" s="50"/>
    </row>
    <row r="955" spans="1:22" s="64" customFormat="1" x14ac:dyDescent="0.25">
      <c r="A955" s="24"/>
      <c r="J955" s="119"/>
      <c r="K955" s="125"/>
      <c r="L955" s="122"/>
      <c r="M955" s="122"/>
      <c r="N955" s="123"/>
      <c r="O955" s="261">
        <v>1</v>
      </c>
      <c r="P955" s="261">
        <v>0</v>
      </c>
      <c r="Q955" s="105"/>
      <c r="R955" s="105"/>
      <c r="S955" s="47"/>
      <c r="T955" s="47"/>
      <c r="U955" s="47"/>
      <c r="V955" s="50"/>
    </row>
    <row r="956" spans="1:22" s="64" customFormat="1" x14ac:dyDescent="0.25">
      <c r="A956" s="24"/>
      <c r="J956" s="119"/>
      <c r="K956" s="125"/>
      <c r="L956" s="122"/>
      <c r="M956" s="122"/>
      <c r="N956" s="123"/>
      <c r="O956" s="261">
        <v>1</v>
      </c>
      <c r="P956" s="261">
        <v>0</v>
      </c>
      <c r="Q956" s="105"/>
      <c r="R956" s="105"/>
      <c r="S956" s="47"/>
      <c r="T956" s="47"/>
      <c r="U956" s="47"/>
      <c r="V956" s="50"/>
    </row>
    <row r="957" spans="1:22" s="64" customFormat="1" x14ac:dyDescent="0.25">
      <c r="A957" s="24"/>
      <c r="J957" s="119"/>
      <c r="K957" s="125"/>
      <c r="L957" s="122"/>
      <c r="M957" s="122"/>
      <c r="N957" s="123"/>
      <c r="O957" s="261">
        <v>1</v>
      </c>
      <c r="P957" s="261">
        <v>0</v>
      </c>
      <c r="Q957" s="105"/>
      <c r="R957" s="105"/>
      <c r="S957" s="47"/>
      <c r="T957" s="47"/>
      <c r="U957" s="47"/>
      <c r="V957" s="50"/>
    </row>
    <row r="958" spans="1:22" s="64" customFormat="1" x14ac:dyDescent="0.25">
      <c r="A958" s="24"/>
      <c r="J958" s="119"/>
      <c r="K958" s="125"/>
      <c r="L958" s="122"/>
      <c r="M958" s="122"/>
      <c r="N958" s="123"/>
      <c r="O958" s="261">
        <v>1</v>
      </c>
      <c r="P958" s="261">
        <v>0</v>
      </c>
      <c r="Q958" s="105"/>
      <c r="R958" s="105"/>
      <c r="S958" s="47"/>
      <c r="T958" s="47"/>
      <c r="U958" s="47"/>
      <c r="V958" s="50"/>
    </row>
    <row r="959" spans="1:22" s="64" customFormat="1" x14ac:dyDescent="0.25">
      <c r="A959" s="24"/>
      <c r="J959" s="119"/>
      <c r="K959" s="125"/>
      <c r="L959" s="122"/>
      <c r="M959" s="122"/>
      <c r="N959" s="123"/>
      <c r="O959" s="261">
        <v>1</v>
      </c>
      <c r="P959" s="261">
        <v>0</v>
      </c>
      <c r="Q959" s="105"/>
      <c r="R959" s="105"/>
      <c r="S959" s="47"/>
      <c r="T959" s="47"/>
      <c r="U959" s="47"/>
      <c r="V959" s="50"/>
    </row>
    <row r="960" spans="1:22" s="64" customFormat="1" x14ac:dyDescent="0.25">
      <c r="A960" s="24"/>
      <c r="J960" s="119"/>
      <c r="K960" s="125"/>
      <c r="L960" s="122"/>
      <c r="M960" s="122"/>
      <c r="N960" s="123"/>
      <c r="O960" s="261">
        <v>1</v>
      </c>
      <c r="P960" s="261">
        <v>0</v>
      </c>
      <c r="Q960" s="105"/>
      <c r="R960" s="105"/>
      <c r="S960" s="47"/>
      <c r="T960" s="47"/>
      <c r="U960" s="47"/>
      <c r="V960" s="50"/>
    </row>
    <row r="961" spans="1:22" s="64" customFormat="1" x14ac:dyDescent="0.25">
      <c r="A961" s="24"/>
      <c r="J961" s="119"/>
      <c r="K961" s="125"/>
      <c r="L961" s="122"/>
      <c r="M961" s="122"/>
      <c r="N961" s="123"/>
      <c r="O961" s="261">
        <v>1</v>
      </c>
      <c r="P961" s="261">
        <v>0</v>
      </c>
      <c r="Q961" s="105"/>
      <c r="R961" s="105"/>
      <c r="S961" s="47"/>
      <c r="T961" s="47"/>
      <c r="U961" s="47"/>
      <c r="V961" s="50"/>
    </row>
    <row r="962" spans="1:22" s="64" customFormat="1" x14ac:dyDescent="0.25">
      <c r="A962" s="24"/>
      <c r="J962" s="119"/>
      <c r="K962" s="125"/>
      <c r="L962" s="122"/>
      <c r="M962" s="122"/>
      <c r="N962" s="123"/>
      <c r="O962" s="261">
        <v>1</v>
      </c>
      <c r="P962" s="261">
        <v>0</v>
      </c>
      <c r="Q962" s="105"/>
      <c r="R962" s="105"/>
      <c r="S962" s="47"/>
      <c r="T962" s="47"/>
      <c r="U962" s="47"/>
      <c r="V962" s="50"/>
    </row>
    <row r="963" spans="1:22" s="64" customFormat="1" x14ac:dyDescent="0.25">
      <c r="A963" s="24"/>
      <c r="J963" s="119"/>
      <c r="K963" s="125"/>
      <c r="L963" s="122"/>
      <c r="M963" s="122"/>
      <c r="N963" s="123"/>
      <c r="O963" s="261">
        <v>1</v>
      </c>
      <c r="P963" s="261">
        <v>0</v>
      </c>
      <c r="Q963" s="105"/>
      <c r="R963" s="105"/>
      <c r="S963" s="47"/>
      <c r="T963" s="47"/>
      <c r="U963" s="47"/>
      <c r="V963" s="50"/>
    </row>
    <row r="964" spans="1:22" s="64" customFormat="1" x14ac:dyDescent="0.25">
      <c r="A964" s="24"/>
      <c r="J964" s="119"/>
      <c r="K964" s="125"/>
      <c r="L964" s="122"/>
      <c r="M964" s="122"/>
      <c r="N964" s="123"/>
      <c r="O964" s="261">
        <v>1</v>
      </c>
      <c r="P964" s="261">
        <v>0</v>
      </c>
      <c r="Q964" s="105"/>
      <c r="R964" s="105"/>
      <c r="S964" s="47"/>
      <c r="T964" s="47"/>
      <c r="U964" s="47"/>
      <c r="V964" s="50"/>
    </row>
    <row r="965" spans="1:22" s="64" customFormat="1" x14ac:dyDescent="0.25">
      <c r="A965" s="24"/>
      <c r="J965" s="119"/>
      <c r="K965" s="125"/>
      <c r="L965" s="122"/>
      <c r="M965" s="122"/>
      <c r="N965" s="123"/>
      <c r="O965" s="261">
        <v>1</v>
      </c>
      <c r="P965" s="261">
        <v>0</v>
      </c>
      <c r="Q965" s="105"/>
      <c r="R965" s="105"/>
      <c r="S965" s="47"/>
      <c r="T965" s="47"/>
      <c r="U965" s="47"/>
      <c r="V965" s="50"/>
    </row>
    <row r="966" spans="1:22" s="64" customFormat="1" x14ac:dyDescent="0.25">
      <c r="A966" s="24"/>
      <c r="J966" s="119"/>
      <c r="K966" s="125"/>
      <c r="L966" s="122"/>
      <c r="M966" s="122"/>
      <c r="N966" s="123"/>
      <c r="O966" s="261">
        <v>1</v>
      </c>
      <c r="P966" s="261">
        <v>0</v>
      </c>
      <c r="Q966" s="105"/>
      <c r="R966" s="105"/>
      <c r="S966" s="47"/>
      <c r="T966" s="47"/>
      <c r="U966" s="47"/>
      <c r="V966" s="50"/>
    </row>
    <row r="967" spans="1:22" s="64" customFormat="1" x14ac:dyDescent="0.25">
      <c r="A967" s="24"/>
      <c r="J967" s="119"/>
      <c r="K967" s="125"/>
      <c r="L967" s="122"/>
      <c r="M967" s="122"/>
      <c r="N967" s="123"/>
      <c r="O967" s="261">
        <v>1</v>
      </c>
      <c r="P967" s="261">
        <v>0</v>
      </c>
      <c r="Q967" s="105"/>
      <c r="R967" s="105"/>
      <c r="S967" s="47"/>
      <c r="T967" s="47"/>
      <c r="U967" s="47"/>
      <c r="V967" s="50"/>
    </row>
    <row r="968" spans="1:22" s="64" customFormat="1" x14ac:dyDescent="0.25">
      <c r="A968" s="24"/>
      <c r="J968" s="119"/>
      <c r="K968" s="125"/>
      <c r="L968" s="122"/>
      <c r="M968" s="122"/>
      <c r="N968" s="123"/>
      <c r="O968" s="261">
        <v>1</v>
      </c>
      <c r="P968" s="261">
        <v>0</v>
      </c>
      <c r="Q968" s="105"/>
      <c r="R968" s="105"/>
      <c r="S968" s="47"/>
      <c r="T968" s="47"/>
      <c r="U968" s="47"/>
      <c r="V968" s="50"/>
    </row>
    <row r="969" spans="1:22" s="64" customFormat="1" x14ac:dyDescent="0.25">
      <c r="A969" s="24"/>
      <c r="J969" s="119"/>
      <c r="K969" s="125"/>
      <c r="L969" s="122"/>
      <c r="M969" s="122"/>
      <c r="N969" s="123"/>
      <c r="O969" s="261">
        <v>1</v>
      </c>
      <c r="P969" s="261">
        <v>0</v>
      </c>
      <c r="Q969" s="105"/>
      <c r="R969" s="105"/>
      <c r="S969" s="47"/>
      <c r="T969" s="47"/>
      <c r="U969" s="47"/>
      <c r="V969" s="50"/>
    </row>
    <row r="970" spans="1:22" s="64" customFormat="1" x14ac:dyDescent="0.25">
      <c r="A970" s="24"/>
      <c r="J970" s="119"/>
      <c r="K970" s="125"/>
      <c r="L970" s="122"/>
      <c r="M970" s="122"/>
      <c r="N970" s="123"/>
      <c r="O970" s="261">
        <v>1</v>
      </c>
      <c r="P970" s="261">
        <v>0</v>
      </c>
      <c r="Q970" s="105"/>
      <c r="R970" s="105"/>
      <c r="S970" s="47"/>
      <c r="T970" s="47"/>
      <c r="U970" s="47"/>
      <c r="V970" s="50"/>
    </row>
    <row r="971" spans="1:22" s="64" customFormat="1" x14ac:dyDescent="0.25">
      <c r="A971" s="24"/>
      <c r="J971" s="119"/>
      <c r="K971" s="125"/>
      <c r="L971" s="122"/>
      <c r="M971" s="122"/>
      <c r="N971" s="123"/>
      <c r="O971" s="261">
        <v>1</v>
      </c>
      <c r="P971" s="261">
        <v>0</v>
      </c>
      <c r="Q971" s="105"/>
      <c r="R971" s="105"/>
      <c r="S971" s="47"/>
      <c r="T971" s="47"/>
      <c r="U971" s="47"/>
      <c r="V971" s="50"/>
    </row>
    <row r="972" spans="1:22" s="64" customFormat="1" x14ac:dyDescent="0.25">
      <c r="A972" s="24"/>
      <c r="J972" s="119"/>
      <c r="K972" s="125"/>
      <c r="L972" s="122"/>
      <c r="M972" s="122"/>
      <c r="N972" s="123"/>
      <c r="O972" s="261">
        <v>1</v>
      </c>
      <c r="P972" s="261">
        <v>0</v>
      </c>
      <c r="Q972" s="105"/>
      <c r="R972" s="105"/>
      <c r="S972" s="47"/>
      <c r="T972" s="47"/>
      <c r="U972" s="47"/>
      <c r="V972" s="50"/>
    </row>
    <row r="973" spans="1:22" s="64" customFormat="1" x14ac:dyDescent="0.25">
      <c r="A973" s="24"/>
      <c r="J973" s="119"/>
      <c r="K973" s="125"/>
      <c r="L973" s="122"/>
      <c r="M973" s="122"/>
      <c r="N973" s="123"/>
      <c r="O973" s="261">
        <v>1</v>
      </c>
      <c r="P973" s="261">
        <v>0</v>
      </c>
      <c r="Q973" s="105"/>
      <c r="R973" s="105"/>
      <c r="S973" s="47"/>
      <c r="T973" s="47"/>
      <c r="U973" s="47"/>
      <c r="V973" s="50"/>
    </row>
    <row r="974" spans="1:22" s="64" customFormat="1" x14ac:dyDescent="0.25">
      <c r="A974" s="24"/>
      <c r="J974" s="119"/>
      <c r="K974" s="125"/>
      <c r="L974" s="122"/>
      <c r="M974" s="122"/>
      <c r="N974" s="123"/>
      <c r="O974" s="261">
        <v>1</v>
      </c>
      <c r="P974" s="261">
        <v>0</v>
      </c>
      <c r="Q974" s="105"/>
      <c r="R974" s="105"/>
      <c r="S974" s="47"/>
      <c r="T974" s="47"/>
      <c r="U974" s="47"/>
      <c r="V974" s="50"/>
    </row>
    <row r="975" spans="1:22" s="64" customFormat="1" x14ac:dyDescent="0.25">
      <c r="A975" s="24"/>
      <c r="J975" s="119"/>
      <c r="K975" s="125"/>
      <c r="L975" s="122"/>
      <c r="M975" s="122"/>
      <c r="N975" s="123"/>
      <c r="O975" s="261">
        <v>1</v>
      </c>
      <c r="P975" s="261">
        <v>0</v>
      </c>
      <c r="Q975" s="105"/>
      <c r="R975" s="105"/>
      <c r="S975" s="47"/>
      <c r="T975" s="47"/>
      <c r="U975" s="47"/>
      <c r="V975" s="50"/>
    </row>
    <row r="976" spans="1:22" s="64" customFormat="1" x14ac:dyDescent="0.25">
      <c r="A976" s="24"/>
      <c r="J976" s="119"/>
      <c r="K976" s="125"/>
      <c r="L976" s="122"/>
      <c r="M976" s="122"/>
      <c r="N976" s="123"/>
      <c r="O976" s="261">
        <v>1</v>
      </c>
      <c r="P976" s="261">
        <v>0</v>
      </c>
      <c r="Q976" s="105"/>
      <c r="R976" s="105"/>
      <c r="S976" s="47"/>
      <c r="T976" s="47"/>
      <c r="U976" s="47"/>
      <c r="V976" s="50"/>
    </row>
    <row r="977" spans="1:22" s="64" customFormat="1" x14ac:dyDescent="0.25">
      <c r="A977" s="24"/>
      <c r="J977" s="119"/>
      <c r="K977" s="125"/>
      <c r="L977" s="122"/>
      <c r="M977" s="122"/>
      <c r="N977" s="123"/>
      <c r="O977" s="261">
        <v>1</v>
      </c>
      <c r="P977" s="261">
        <v>0</v>
      </c>
      <c r="Q977" s="105"/>
      <c r="R977" s="105"/>
      <c r="S977" s="47"/>
      <c r="T977" s="47"/>
      <c r="U977" s="47"/>
      <c r="V977" s="50"/>
    </row>
    <row r="978" spans="1:22" s="64" customFormat="1" x14ac:dyDescent="0.25">
      <c r="A978" s="24"/>
      <c r="J978" s="119"/>
      <c r="K978" s="125"/>
      <c r="L978" s="122"/>
      <c r="M978" s="122"/>
      <c r="N978" s="123"/>
      <c r="O978" s="261">
        <v>1</v>
      </c>
      <c r="P978" s="261">
        <v>0</v>
      </c>
      <c r="Q978" s="105"/>
      <c r="R978" s="105"/>
      <c r="S978" s="47"/>
      <c r="T978" s="47"/>
      <c r="U978" s="47"/>
      <c r="V978" s="50"/>
    </row>
    <row r="979" spans="1:22" s="64" customFormat="1" x14ac:dyDescent="0.25">
      <c r="A979" s="24"/>
      <c r="J979" s="119"/>
      <c r="K979" s="125"/>
      <c r="L979" s="122"/>
      <c r="M979" s="122"/>
      <c r="N979" s="123"/>
      <c r="O979" s="261">
        <v>1</v>
      </c>
      <c r="P979" s="261">
        <v>0</v>
      </c>
      <c r="Q979" s="105"/>
      <c r="R979" s="105"/>
      <c r="S979" s="47"/>
      <c r="T979" s="47"/>
      <c r="U979" s="47"/>
      <c r="V979" s="50"/>
    </row>
    <row r="980" spans="1:22" s="64" customFormat="1" x14ac:dyDescent="0.25">
      <c r="A980" s="24"/>
      <c r="J980" s="119"/>
      <c r="K980" s="125"/>
      <c r="L980" s="122"/>
      <c r="M980" s="122"/>
      <c r="N980" s="123"/>
      <c r="O980" s="261">
        <v>1</v>
      </c>
      <c r="P980" s="261">
        <v>0</v>
      </c>
      <c r="Q980" s="105"/>
      <c r="R980" s="105"/>
      <c r="S980" s="47"/>
      <c r="T980" s="47"/>
      <c r="U980" s="47"/>
      <c r="V980" s="50"/>
    </row>
    <row r="981" spans="1:22" s="64" customFormat="1" x14ac:dyDescent="0.25">
      <c r="A981" s="24"/>
      <c r="J981" s="119"/>
      <c r="K981" s="125"/>
      <c r="L981" s="122"/>
      <c r="M981" s="122"/>
      <c r="N981" s="123"/>
      <c r="O981" s="261">
        <v>1</v>
      </c>
      <c r="P981" s="261">
        <v>0</v>
      </c>
      <c r="Q981" s="105"/>
      <c r="R981" s="105"/>
      <c r="S981" s="47"/>
      <c r="T981" s="47"/>
      <c r="U981" s="47"/>
      <c r="V981" s="50"/>
    </row>
    <row r="982" spans="1:22" s="64" customFormat="1" x14ac:dyDescent="0.25">
      <c r="A982" s="24"/>
      <c r="J982" s="119"/>
      <c r="K982" s="125"/>
      <c r="L982" s="122"/>
      <c r="M982" s="122"/>
      <c r="N982" s="123"/>
      <c r="O982" s="261">
        <v>1</v>
      </c>
      <c r="P982" s="261">
        <v>0</v>
      </c>
      <c r="Q982" s="105"/>
      <c r="R982" s="105"/>
      <c r="S982" s="47"/>
      <c r="T982" s="47"/>
      <c r="U982" s="47"/>
      <c r="V982" s="50"/>
    </row>
    <row r="983" spans="1:22" s="64" customFormat="1" x14ac:dyDescent="0.25">
      <c r="A983" s="24"/>
      <c r="J983" s="119"/>
      <c r="K983" s="125"/>
      <c r="L983" s="122"/>
      <c r="M983" s="122"/>
      <c r="N983" s="123"/>
      <c r="O983" s="261">
        <v>1</v>
      </c>
      <c r="P983" s="261">
        <v>0</v>
      </c>
      <c r="Q983" s="105"/>
      <c r="R983" s="105"/>
      <c r="S983" s="47"/>
      <c r="T983" s="47"/>
      <c r="U983" s="47"/>
      <c r="V983" s="50"/>
    </row>
    <row r="984" spans="1:22" s="64" customFormat="1" x14ac:dyDescent="0.25">
      <c r="A984" s="24"/>
      <c r="J984" s="119"/>
      <c r="K984" s="125"/>
      <c r="L984" s="122"/>
      <c r="M984" s="122"/>
      <c r="N984" s="123"/>
      <c r="O984" s="261">
        <v>1</v>
      </c>
      <c r="P984" s="261">
        <v>0</v>
      </c>
      <c r="Q984" s="105"/>
      <c r="R984" s="105"/>
      <c r="S984" s="47"/>
      <c r="T984" s="47"/>
      <c r="U984" s="47"/>
      <c r="V984" s="50"/>
    </row>
    <row r="985" spans="1:22" s="64" customFormat="1" x14ac:dyDescent="0.25">
      <c r="A985" s="24"/>
      <c r="J985" s="119"/>
      <c r="K985" s="125"/>
      <c r="L985" s="122"/>
      <c r="M985" s="122"/>
      <c r="N985" s="123"/>
      <c r="O985" s="261">
        <v>1</v>
      </c>
      <c r="P985" s="261">
        <v>0</v>
      </c>
      <c r="Q985" s="105"/>
      <c r="R985" s="105"/>
      <c r="S985" s="47"/>
      <c r="T985" s="47"/>
      <c r="U985" s="47"/>
      <c r="V985" s="50"/>
    </row>
    <row r="986" spans="1:22" s="64" customFormat="1" x14ac:dyDescent="0.25">
      <c r="A986" s="24"/>
      <c r="J986" s="119"/>
      <c r="K986" s="125"/>
      <c r="L986" s="122"/>
      <c r="M986" s="122"/>
      <c r="N986" s="123"/>
      <c r="O986" s="261">
        <v>1</v>
      </c>
      <c r="P986" s="261">
        <v>0</v>
      </c>
      <c r="Q986" s="105"/>
      <c r="R986" s="105"/>
      <c r="S986" s="47"/>
      <c r="T986" s="47"/>
      <c r="U986" s="47"/>
      <c r="V986" s="50"/>
    </row>
    <row r="987" spans="1:22" s="64" customFormat="1" x14ac:dyDescent="0.25">
      <c r="A987" s="24"/>
      <c r="J987" s="119"/>
      <c r="K987" s="125"/>
      <c r="L987" s="122"/>
      <c r="M987" s="122"/>
      <c r="N987" s="123"/>
      <c r="O987" s="261">
        <v>1</v>
      </c>
      <c r="P987" s="261">
        <v>0</v>
      </c>
      <c r="Q987" s="105"/>
      <c r="R987" s="105"/>
      <c r="S987" s="47"/>
      <c r="T987" s="47"/>
      <c r="U987" s="47"/>
      <c r="V987" s="50"/>
    </row>
    <row r="988" spans="1:22" s="64" customFormat="1" x14ac:dyDescent="0.25">
      <c r="A988" s="24"/>
      <c r="J988" s="119"/>
      <c r="K988" s="125"/>
      <c r="L988" s="122"/>
      <c r="M988" s="122"/>
      <c r="N988" s="123"/>
      <c r="O988" s="261">
        <v>1</v>
      </c>
      <c r="P988" s="261">
        <v>0</v>
      </c>
      <c r="Q988" s="105"/>
      <c r="R988" s="105"/>
      <c r="S988" s="47"/>
      <c r="T988" s="47"/>
      <c r="U988" s="47"/>
      <c r="V988" s="50"/>
    </row>
    <row r="989" spans="1:22" s="64" customFormat="1" x14ac:dyDescent="0.25">
      <c r="A989" s="24"/>
      <c r="J989" s="119"/>
      <c r="K989" s="125"/>
      <c r="L989" s="122"/>
      <c r="M989" s="122"/>
      <c r="N989" s="123"/>
      <c r="O989" s="261">
        <v>1</v>
      </c>
      <c r="P989" s="261">
        <v>0</v>
      </c>
      <c r="Q989" s="105"/>
      <c r="R989" s="105"/>
      <c r="S989" s="47"/>
      <c r="T989" s="47"/>
      <c r="U989" s="47"/>
      <c r="V989" s="50"/>
    </row>
    <row r="990" spans="1:22" s="64" customFormat="1" x14ac:dyDescent="0.25">
      <c r="A990" s="24"/>
      <c r="J990" s="119"/>
      <c r="K990" s="125"/>
      <c r="L990" s="122"/>
      <c r="M990" s="122"/>
      <c r="N990" s="123"/>
      <c r="O990" s="261">
        <v>1</v>
      </c>
      <c r="P990" s="261">
        <v>0</v>
      </c>
      <c r="Q990" s="105"/>
      <c r="R990" s="105"/>
      <c r="S990" s="47"/>
      <c r="T990" s="47"/>
      <c r="U990" s="47"/>
      <c r="V990" s="50"/>
    </row>
    <row r="991" spans="1:22" s="64" customFormat="1" x14ac:dyDescent="0.25">
      <c r="A991" s="24"/>
      <c r="J991" s="119"/>
      <c r="K991" s="125"/>
      <c r="L991" s="122"/>
      <c r="M991" s="122"/>
      <c r="N991" s="123"/>
      <c r="O991" s="261">
        <v>1</v>
      </c>
      <c r="P991" s="261">
        <v>0</v>
      </c>
      <c r="Q991" s="105"/>
      <c r="R991" s="105"/>
      <c r="S991" s="47"/>
      <c r="T991" s="47"/>
      <c r="U991" s="47"/>
      <c r="V991" s="50"/>
    </row>
    <row r="992" spans="1:22" s="64" customFormat="1" x14ac:dyDescent="0.25">
      <c r="A992" s="24"/>
      <c r="J992" s="119"/>
      <c r="K992" s="125"/>
      <c r="L992" s="122"/>
      <c r="M992" s="122"/>
      <c r="N992" s="123"/>
      <c r="O992" s="261">
        <v>1</v>
      </c>
      <c r="P992" s="261">
        <v>0</v>
      </c>
      <c r="Q992" s="105"/>
      <c r="R992" s="105"/>
      <c r="S992" s="47"/>
      <c r="T992" s="47"/>
      <c r="U992" s="47"/>
      <c r="V992" s="50"/>
    </row>
    <row r="993" spans="1:22" s="64" customFormat="1" x14ac:dyDescent="0.25">
      <c r="A993" s="24"/>
      <c r="J993" s="119"/>
      <c r="K993" s="125"/>
      <c r="L993" s="122"/>
      <c r="M993" s="122"/>
      <c r="N993" s="123"/>
      <c r="O993" s="261">
        <v>1</v>
      </c>
      <c r="P993" s="261">
        <v>0</v>
      </c>
      <c r="Q993" s="105"/>
      <c r="R993" s="105"/>
      <c r="S993" s="47"/>
      <c r="T993" s="47"/>
      <c r="U993" s="47"/>
      <c r="V993" s="50"/>
    </row>
    <row r="994" spans="1:22" s="64" customFormat="1" x14ac:dyDescent="0.25">
      <c r="A994" s="24"/>
      <c r="J994" s="119"/>
      <c r="K994" s="125"/>
      <c r="L994" s="122"/>
      <c r="M994" s="122"/>
      <c r="N994" s="123"/>
      <c r="O994" s="261">
        <v>1</v>
      </c>
      <c r="P994" s="261">
        <v>0</v>
      </c>
      <c r="Q994" s="105"/>
      <c r="R994" s="105"/>
      <c r="S994" s="47"/>
      <c r="T994" s="47"/>
      <c r="U994" s="47"/>
      <c r="V994" s="50"/>
    </row>
    <row r="995" spans="1:22" s="64" customFormat="1" x14ac:dyDescent="0.25">
      <c r="A995" s="24"/>
      <c r="J995" s="119"/>
      <c r="K995" s="125"/>
      <c r="L995" s="122"/>
      <c r="M995" s="122"/>
      <c r="N995" s="123"/>
      <c r="O995" s="261">
        <v>1</v>
      </c>
      <c r="P995" s="261">
        <v>0</v>
      </c>
      <c r="Q995" s="105"/>
      <c r="R995" s="105"/>
      <c r="S995" s="47"/>
      <c r="T995" s="47"/>
      <c r="U995" s="47"/>
      <c r="V995" s="50"/>
    </row>
    <row r="996" spans="1:22" s="64" customFormat="1" x14ac:dyDescent="0.25">
      <c r="A996" s="24"/>
      <c r="J996" s="119"/>
      <c r="K996" s="125"/>
      <c r="L996" s="122"/>
      <c r="M996" s="122"/>
      <c r="N996" s="123"/>
      <c r="O996" s="261">
        <v>1</v>
      </c>
      <c r="P996" s="261">
        <v>0</v>
      </c>
      <c r="Q996" s="105"/>
      <c r="R996" s="105"/>
      <c r="S996" s="47"/>
      <c r="T996" s="47"/>
      <c r="U996" s="47"/>
      <c r="V996" s="50"/>
    </row>
    <row r="997" spans="1:22" s="64" customFormat="1" x14ac:dyDescent="0.25">
      <c r="A997" s="24"/>
      <c r="J997" s="119"/>
      <c r="K997" s="125"/>
      <c r="L997" s="122"/>
      <c r="M997" s="122"/>
      <c r="N997" s="123"/>
      <c r="O997" s="261">
        <v>1</v>
      </c>
      <c r="P997" s="261">
        <v>0</v>
      </c>
      <c r="Q997" s="105"/>
      <c r="R997" s="105"/>
      <c r="S997" s="47"/>
      <c r="T997" s="47"/>
      <c r="U997" s="47"/>
      <c r="V997" s="50"/>
    </row>
    <row r="998" spans="1:22" s="64" customFormat="1" x14ac:dyDescent="0.25">
      <c r="A998" s="24"/>
      <c r="J998" s="119"/>
      <c r="K998" s="125"/>
      <c r="L998" s="122"/>
      <c r="M998" s="122"/>
      <c r="N998" s="123"/>
      <c r="O998" s="261">
        <v>1</v>
      </c>
      <c r="P998" s="261">
        <v>0</v>
      </c>
      <c r="Q998" s="105"/>
      <c r="R998" s="105"/>
      <c r="S998" s="47"/>
      <c r="T998" s="47"/>
      <c r="U998" s="47"/>
      <c r="V998" s="50"/>
    </row>
    <row r="999" spans="1:22" s="64" customFormat="1" x14ac:dyDescent="0.25">
      <c r="A999" s="24"/>
      <c r="J999" s="119"/>
      <c r="K999" s="125"/>
      <c r="L999" s="122"/>
      <c r="M999" s="122"/>
      <c r="N999" s="123"/>
      <c r="O999" s="261">
        <v>1</v>
      </c>
      <c r="P999" s="261">
        <v>0</v>
      </c>
      <c r="Q999" s="105"/>
      <c r="R999" s="105"/>
      <c r="S999" s="47"/>
      <c r="T999" s="47"/>
      <c r="U999" s="47"/>
      <c r="V999" s="50"/>
    </row>
    <row r="1000" spans="1:22" x14ac:dyDescent="0.25">
      <c r="A1000" s="24"/>
      <c r="J1000" s="119"/>
      <c r="K1000" s="125"/>
      <c r="L1000" s="122"/>
      <c r="M1000" s="122"/>
      <c r="N1000" s="123"/>
      <c r="O1000" s="261">
        <v>1</v>
      </c>
      <c r="P1000" s="261">
        <v>0</v>
      </c>
      <c r="Q1000" s="105"/>
      <c r="R1000" s="105"/>
      <c r="S1000" s="47"/>
      <c r="T1000" s="47"/>
    </row>
    <row r="1001" spans="1:22" x14ac:dyDescent="0.25">
      <c r="A1001" s="24"/>
      <c r="J1001" s="119"/>
      <c r="K1001" s="125"/>
      <c r="L1001" s="122"/>
      <c r="M1001" s="122"/>
      <c r="N1001" s="123"/>
      <c r="O1001" s="261">
        <v>1</v>
      </c>
      <c r="P1001" s="261">
        <v>0</v>
      </c>
      <c r="Q1001" s="105"/>
      <c r="R1001" s="105"/>
      <c r="S1001" s="47"/>
      <c r="T1001" s="47"/>
    </row>
    <row r="1002" spans="1:22" x14ac:dyDescent="0.25">
      <c r="A1002" s="24"/>
      <c r="J1002" s="119"/>
      <c r="K1002" s="125"/>
      <c r="L1002" s="122"/>
      <c r="M1002" s="122"/>
      <c r="N1002" s="123"/>
      <c r="O1002" s="261">
        <v>1</v>
      </c>
      <c r="P1002" s="261">
        <v>0</v>
      </c>
      <c r="Q1002" s="105"/>
      <c r="R1002" s="105"/>
      <c r="S1002" s="47"/>
      <c r="T1002" s="47"/>
    </row>
    <row r="1003" spans="1:22" x14ac:dyDescent="0.25">
      <c r="A1003" s="24"/>
      <c r="J1003" s="119"/>
      <c r="K1003" s="125"/>
      <c r="L1003" s="122"/>
      <c r="M1003" s="122"/>
      <c r="N1003" s="123"/>
      <c r="O1003" s="261">
        <v>1</v>
      </c>
      <c r="P1003" s="261">
        <v>0</v>
      </c>
      <c r="Q1003" s="105"/>
      <c r="R1003" s="105"/>
      <c r="S1003" s="47"/>
      <c r="T1003" s="47"/>
    </row>
    <row r="1004" spans="1:22" x14ac:dyDescent="0.25">
      <c r="J1004" s="119"/>
      <c r="K1004" s="125"/>
      <c r="L1004" s="122"/>
      <c r="M1004" s="122"/>
      <c r="N1004" s="123"/>
      <c r="O1004" s="261">
        <v>1</v>
      </c>
      <c r="P1004" s="261">
        <v>0</v>
      </c>
      <c r="Q1004" s="105"/>
      <c r="R1004" s="105"/>
      <c r="S1004" s="47"/>
      <c r="T1004" s="47"/>
    </row>
    <row r="1005" spans="1:22" x14ac:dyDescent="0.25">
      <c r="J1005" s="119"/>
      <c r="K1005" s="125"/>
      <c r="L1005" s="122"/>
      <c r="M1005" s="122"/>
      <c r="N1005" s="123"/>
      <c r="O1005" s="261">
        <v>1</v>
      </c>
      <c r="P1005" s="261">
        <v>0</v>
      </c>
      <c r="Q1005" s="105"/>
      <c r="R1005" s="105"/>
      <c r="S1005" s="47"/>
      <c r="T1005" s="47"/>
    </row>
    <row r="1006" spans="1:22" x14ac:dyDescent="0.25">
      <c r="J1006" s="119"/>
      <c r="K1006" s="125"/>
      <c r="L1006" s="122"/>
      <c r="M1006" s="122"/>
      <c r="N1006" s="123"/>
      <c r="O1006" s="261">
        <v>1</v>
      </c>
      <c r="P1006" s="261">
        <v>0</v>
      </c>
      <c r="Q1006" s="105"/>
      <c r="R1006" s="105"/>
      <c r="S1006" s="47"/>
      <c r="T1006" s="47"/>
    </row>
    <row r="1007" spans="1:22" x14ac:dyDescent="0.25">
      <c r="J1007" s="119"/>
      <c r="K1007" s="125"/>
      <c r="L1007" s="122"/>
      <c r="M1007" s="122"/>
      <c r="N1007" s="123"/>
      <c r="O1007" s="261">
        <v>1</v>
      </c>
      <c r="P1007" s="261">
        <v>0</v>
      </c>
      <c r="Q1007" s="105"/>
      <c r="R1007" s="105"/>
      <c r="S1007" s="47"/>
      <c r="T1007" s="47"/>
    </row>
    <row r="1008" spans="1:22" x14ac:dyDescent="0.25">
      <c r="J1008" s="119"/>
      <c r="K1008" s="125"/>
      <c r="L1008" s="122"/>
      <c r="M1008" s="122"/>
      <c r="N1008" s="123"/>
      <c r="O1008" s="261">
        <v>1</v>
      </c>
      <c r="P1008" s="261">
        <v>0</v>
      </c>
      <c r="Q1008" s="105"/>
      <c r="R1008" s="105"/>
      <c r="S1008" s="47"/>
      <c r="T1008" s="47"/>
    </row>
    <row r="1009" spans="10:20" x14ac:dyDescent="0.25">
      <c r="J1009" s="119"/>
      <c r="K1009" s="125"/>
      <c r="L1009" s="122"/>
      <c r="M1009" s="122"/>
      <c r="N1009" s="123"/>
      <c r="O1009" s="261">
        <v>1</v>
      </c>
      <c r="P1009" s="261">
        <v>0</v>
      </c>
      <c r="Q1009" s="105"/>
      <c r="R1009" s="105"/>
      <c r="S1009" s="47"/>
      <c r="T1009" s="47"/>
    </row>
    <row r="1010" spans="10:20" x14ac:dyDescent="0.25">
      <c r="J1010" s="119"/>
      <c r="K1010" s="125"/>
      <c r="L1010" s="122"/>
      <c r="M1010" s="122"/>
      <c r="N1010" s="123"/>
      <c r="O1010" s="261">
        <v>1</v>
      </c>
      <c r="P1010" s="261">
        <v>0</v>
      </c>
      <c r="Q1010" s="105"/>
      <c r="R1010" s="105"/>
      <c r="S1010" s="47"/>
      <c r="T1010" s="47"/>
    </row>
    <row r="1011" spans="10:20" x14ac:dyDescent="0.25">
      <c r="J1011" s="119"/>
      <c r="K1011" s="125"/>
      <c r="L1011" s="122"/>
      <c r="M1011" s="122"/>
      <c r="N1011" s="123"/>
      <c r="O1011" s="261">
        <v>1</v>
      </c>
      <c r="P1011" s="261">
        <v>0</v>
      </c>
      <c r="Q1011" s="105"/>
      <c r="R1011" s="105"/>
      <c r="S1011" s="47"/>
      <c r="T1011" s="47"/>
    </row>
    <row r="1012" spans="10:20" x14ac:dyDescent="0.25">
      <c r="J1012" s="119"/>
      <c r="K1012" s="125"/>
      <c r="L1012" s="122"/>
      <c r="M1012" s="122"/>
      <c r="N1012" s="123"/>
      <c r="O1012" s="261">
        <v>1</v>
      </c>
      <c r="P1012" s="261">
        <v>0</v>
      </c>
      <c r="Q1012" s="105"/>
      <c r="R1012" s="105"/>
      <c r="S1012" s="47"/>
      <c r="T1012" s="47"/>
    </row>
    <row r="1013" spans="10:20" x14ac:dyDescent="0.25">
      <c r="J1013" s="119"/>
      <c r="K1013" s="125"/>
      <c r="L1013" s="122"/>
      <c r="M1013" s="122"/>
      <c r="N1013" s="123"/>
      <c r="O1013" s="261">
        <v>1</v>
      </c>
      <c r="P1013" s="261">
        <v>0</v>
      </c>
      <c r="Q1013" s="105"/>
      <c r="R1013" s="105"/>
      <c r="S1013" s="47"/>
      <c r="T1013" s="47"/>
    </row>
    <row r="1014" spans="10:20" x14ac:dyDescent="0.25">
      <c r="J1014" s="119"/>
      <c r="K1014" s="125"/>
      <c r="L1014" s="122"/>
      <c r="M1014" s="122"/>
      <c r="N1014" s="123"/>
      <c r="O1014" s="261">
        <v>1</v>
      </c>
      <c r="P1014" s="261">
        <v>0</v>
      </c>
      <c r="Q1014" s="105"/>
      <c r="R1014" s="105"/>
      <c r="S1014" s="47"/>
      <c r="T1014" s="47"/>
    </row>
    <row r="1015" spans="10:20" x14ac:dyDescent="0.25">
      <c r="J1015" s="119"/>
      <c r="K1015" s="125"/>
      <c r="L1015" s="122"/>
      <c r="M1015" s="122"/>
      <c r="N1015" s="123"/>
      <c r="O1015" s="261">
        <v>1</v>
      </c>
      <c r="P1015" s="261">
        <v>0</v>
      </c>
      <c r="Q1015" s="105"/>
      <c r="R1015" s="105"/>
      <c r="S1015" s="47"/>
      <c r="T1015" s="47"/>
    </row>
    <row r="1016" spans="10:20" x14ac:dyDescent="0.25">
      <c r="J1016" s="119"/>
      <c r="K1016" s="125"/>
      <c r="L1016" s="122"/>
      <c r="M1016" s="122"/>
      <c r="N1016" s="123"/>
      <c r="O1016" s="261">
        <v>1</v>
      </c>
      <c r="P1016" s="261">
        <v>0</v>
      </c>
      <c r="Q1016" s="105"/>
      <c r="R1016" s="105"/>
      <c r="S1016" s="47"/>
      <c r="T1016" s="47"/>
    </row>
    <row r="1017" spans="10:20" x14ac:dyDescent="0.25">
      <c r="J1017" s="119"/>
      <c r="K1017" s="125"/>
      <c r="L1017" s="122"/>
      <c r="M1017" s="122"/>
      <c r="N1017" s="123"/>
      <c r="O1017" s="261">
        <v>1</v>
      </c>
      <c r="P1017" s="261">
        <v>0</v>
      </c>
      <c r="Q1017" s="105"/>
      <c r="R1017" s="105"/>
      <c r="S1017" s="47"/>
      <c r="T1017" s="47"/>
    </row>
    <row r="1018" spans="10:20" x14ac:dyDescent="0.25">
      <c r="J1018" s="119"/>
      <c r="K1018" s="125"/>
      <c r="L1018" s="122"/>
      <c r="M1018" s="122"/>
      <c r="N1018" s="123"/>
      <c r="O1018" s="261">
        <v>1</v>
      </c>
      <c r="P1018" s="261">
        <v>0</v>
      </c>
      <c r="Q1018" s="105"/>
      <c r="R1018" s="105"/>
      <c r="S1018" s="47"/>
      <c r="T1018" s="47"/>
    </row>
    <row r="1019" spans="10:20" x14ac:dyDescent="0.25">
      <c r="J1019" s="119"/>
      <c r="K1019" s="125"/>
      <c r="L1019" s="122"/>
      <c r="M1019" s="122"/>
      <c r="N1019" s="123"/>
      <c r="O1019" s="261">
        <v>1</v>
      </c>
      <c r="P1019" s="261">
        <v>0</v>
      </c>
      <c r="Q1019" s="105"/>
      <c r="R1019" s="105"/>
      <c r="S1019" s="47"/>
      <c r="T1019" s="47"/>
    </row>
    <row r="1020" spans="10:20" x14ac:dyDescent="0.25">
      <c r="J1020" s="119"/>
      <c r="K1020" s="125"/>
      <c r="L1020" s="122"/>
      <c r="M1020" s="122"/>
      <c r="N1020" s="123"/>
      <c r="O1020" s="261">
        <v>1</v>
      </c>
      <c r="P1020" s="261">
        <v>0</v>
      </c>
      <c r="Q1020" s="105"/>
      <c r="R1020" s="105"/>
      <c r="S1020" s="47"/>
      <c r="T1020" s="47"/>
    </row>
    <row r="1021" spans="10:20" x14ac:dyDescent="0.25">
      <c r="J1021" s="119"/>
      <c r="K1021" s="125"/>
      <c r="L1021" s="122"/>
      <c r="M1021" s="122"/>
      <c r="N1021" s="123"/>
      <c r="O1021" s="261">
        <v>1</v>
      </c>
      <c r="P1021" s="261">
        <v>0</v>
      </c>
      <c r="Q1021" s="105"/>
      <c r="R1021" s="105"/>
      <c r="S1021" s="47"/>
      <c r="T1021" s="47"/>
    </row>
    <row r="1022" spans="10:20" x14ac:dyDescent="0.25">
      <c r="J1022" s="119"/>
      <c r="K1022" s="120"/>
      <c r="L1022" s="121"/>
      <c r="M1022" s="122"/>
      <c r="N1022" s="123"/>
      <c r="O1022" s="261">
        <v>1</v>
      </c>
      <c r="P1022" s="261">
        <v>0</v>
      </c>
      <c r="Q1022" s="105"/>
      <c r="R1022" s="105"/>
      <c r="S1022" s="47"/>
      <c r="T1022" s="47"/>
    </row>
    <row r="1023" spans="10:20" x14ac:dyDescent="0.25">
      <c r="J1023" s="119"/>
      <c r="K1023" s="120"/>
      <c r="L1023" s="121"/>
      <c r="M1023" s="122"/>
      <c r="N1023" s="123"/>
      <c r="O1023" s="261">
        <v>1</v>
      </c>
      <c r="P1023" s="261">
        <v>0</v>
      </c>
      <c r="Q1023" s="105"/>
      <c r="R1023" s="105"/>
      <c r="S1023" s="47"/>
      <c r="T1023" s="47"/>
    </row>
    <row r="1024" spans="10:20" ht="15.75" thickBot="1" x14ac:dyDescent="0.3">
      <c r="J1024" s="126"/>
      <c r="K1024" s="127"/>
      <c r="L1024" s="128"/>
      <c r="M1024" s="128"/>
      <c r="N1024" s="129"/>
      <c r="O1024" s="261">
        <v>1</v>
      </c>
      <c r="P1024" s="261">
        <v>0</v>
      </c>
      <c r="Q1024" s="105"/>
      <c r="R1024" s="105"/>
      <c r="S1024" s="47"/>
      <c r="T1024" s="47"/>
    </row>
    <row r="1025" spans="10:14" x14ac:dyDescent="0.25">
      <c r="J1025" s="21"/>
      <c r="M1025" s="22"/>
      <c r="N1025" s="22"/>
    </row>
  </sheetData>
  <sheetProtection password="CD36" sheet="1" objects="1" scenarios="1" selectLockedCells="1"/>
  <mergeCells count="16">
    <mergeCell ref="J23:K23"/>
    <mergeCell ref="B23:C23"/>
    <mergeCell ref="A2:O2"/>
    <mergeCell ref="B7:H7"/>
    <mergeCell ref="B21:E21"/>
    <mergeCell ref="K7:M7"/>
    <mergeCell ref="K5:M6"/>
    <mergeCell ref="B9:G9"/>
    <mergeCell ref="B6:G6"/>
    <mergeCell ref="B8:G8"/>
    <mergeCell ref="J13:N22"/>
    <mergeCell ref="B10:N10"/>
    <mergeCell ref="B11:N12"/>
    <mergeCell ref="B13:H20"/>
    <mergeCell ref="A3:O3"/>
    <mergeCell ref="B22:E22"/>
  </mergeCells>
  <phoneticPr fontId="0" type="noConversion"/>
  <conditionalFormatting sqref="D28:D76 C25:C76">
    <cfRule type="cellIs" dxfId="16" priority="5" stopIfTrue="1" operator="equal">
      <formula>0</formula>
    </cfRule>
  </conditionalFormatting>
  <conditionalFormatting sqref="B21:E21">
    <cfRule type="containsErrors" dxfId="15" priority="3" stopIfTrue="1">
      <formula>ISERROR(B21)</formula>
    </cfRule>
  </conditionalFormatting>
  <conditionalFormatting sqref="B9:G9">
    <cfRule type="expression" dxfId="14" priority="2" stopIfTrue="1">
      <formula>$B$8="Other (Enter Below)"</formula>
    </cfRule>
  </conditionalFormatting>
  <conditionalFormatting sqref="B8:G8">
    <cfRule type="expression" dxfId="13" priority="1" stopIfTrue="1">
      <formula>$B$8="Other (Enter Below)"</formula>
    </cfRule>
  </conditionalFormatting>
  <dataValidations disablePrompts="1" xWindow="229" yWindow="702" count="9">
    <dataValidation allowBlank="1" showErrorMessage="1" promptTitle="First Seen Date" sqref="N59:N1024"/>
    <dataValidation type="list" allowBlank="1" showErrorMessage="1" errorTitle="Patient Choice" error="Input Yes or No here.  If you do not have this information available leave the cell blank." promptTitle="Patient Choice" prompt="Input Yes or No here.  If you do not have this information available leave the cell blank." sqref="K25:K1024">
      <formula1>"Yes,No"</formula1>
    </dataValidation>
    <dataValidation type="date" operator="greaterThan" allowBlank="1" showErrorMessage="1" errorTitle="DNA Date" error="If the patient Did Not Attend their original first seen appointment but was then reappointed, enter the date of the original appointment here." promptTitle="DNA Date" prompt="If the patient Did Not Attend their original first seen appointment but was then reappointed, enter the date of the original appointment here." sqref="L25:L1024">
      <formula1>36161</formula1>
    </dataValidation>
    <dataValidation allowBlank="1" promptTitle="Fax/Other Referrals" prompt="Enter the number of referrals per week received by fax or other (non-Choose &amp; Book) method.  If you do not have separate data for each referral type then enter all referrals in this column." sqref="F25:I418"/>
    <dataValidation type="list" allowBlank="1" showInputMessage="1" showErrorMessage="1" sqref="H6 H8">
      <formula1>#REF!</formula1>
    </dataValidation>
    <dataValidation showInputMessage="1" showErrorMessage="1" sqref="B7:H7"/>
    <dataValidation type="list" allowBlank="1" showInputMessage="1" sqref="B8:G8">
      <formula1>$B$83:$B$167</formula1>
    </dataValidation>
    <dataValidation type="list" allowBlank="1" sqref="B6:G6">
      <formula1>$A$83:$A$611</formula1>
    </dataValidation>
    <dataValidation allowBlank="1" showErrorMessage="1" sqref="M25:M1024"/>
  </dataValidations>
  <pageMargins left="0.39370078740157483" right="0.39370078740157483" top="0.78740157480314965" bottom="0.59055118110236215" header="0.19685039370078741" footer="0"/>
  <pageSetup paperSize="9" scale="66" fitToHeight="0" orientation="portrait" errors="blank" r:id="rId1"/>
  <headerFooter>
    <oddHeader>&amp;R&amp;G</oddHeader>
  </headerFooter>
  <drawing r:id="rId2"/>
  <legacyDrawing r:id="rId3"/>
  <legacyDrawingHF r:id="rId4"/>
  <mc:AlternateContent xmlns:mc="http://schemas.openxmlformats.org/markup-compatibility/2006">
    <mc:Choice Requires="x14">
      <controls>
        <mc:AlternateContent xmlns:mc="http://schemas.openxmlformats.org/markup-compatibility/2006">
          <mc:Choice Requires="x14">
            <control shapeId="251010" r:id="rId5" name="Scroll Bar 130">
              <controlPr locked="0" defaultSize="0" print="0" autoPict="0">
                <anchor moveWithCells="1">
                  <from>
                    <xdr:col>10</xdr:col>
                    <xdr:colOff>0</xdr:colOff>
                    <xdr:row>7</xdr:row>
                    <xdr:rowOff>9525</xdr:rowOff>
                  </from>
                  <to>
                    <xdr:col>12</xdr:col>
                    <xdr:colOff>885825</xdr:colOff>
                    <xdr:row>7</xdr:row>
                    <xdr:rowOff>190500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dimension ref="A1:AF53"/>
  <sheetViews>
    <sheetView showGridLines="0" showRowColHeaders="0" topLeftCell="Q1" zoomScaleNormal="100" workbookViewId="0">
      <selection activeCell="Q3" sqref="Q3:AE3"/>
    </sheetView>
  </sheetViews>
  <sheetFormatPr defaultRowHeight="15" x14ac:dyDescent="0.25"/>
  <cols>
    <col min="1" max="16" width="9.140625" style="34" hidden="1" customWidth="1"/>
    <col min="17" max="17" width="11" style="33" customWidth="1"/>
    <col min="18" max="30" width="9.140625" style="33"/>
    <col min="31" max="31" width="10.5703125" style="33" customWidth="1"/>
    <col min="32" max="16384" width="9.140625" style="33"/>
  </cols>
  <sheetData>
    <row r="1" spans="1:32" x14ac:dyDescent="0.25">
      <c r="A1" s="34" t="s">
        <v>299</v>
      </c>
      <c r="B1" s="34">
        <v>1</v>
      </c>
      <c r="C1" s="34" t="s">
        <v>301</v>
      </c>
      <c r="D1" s="34">
        <v>2</v>
      </c>
      <c r="E1" s="34" t="s">
        <v>302</v>
      </c>
      <c r="F1" s="34">
        <v>3</v>
      </c>
      <c r="G1" s="34" t="s">
        <v>300</v>
      </c>
      <c r="H1" s="34">
        <v>4</v>
      </c>
      <c r="I1" s="34" t="s">
        <v>303</v>
      </c>
      <c r="J1" s="34" t="s">
        <v>304</v>
      </c>
      <c r="K1" s="34" t="s">
        <v>305</v>
      </c>
      <c r="L1" s="34" t="s">
        <v>306</v>
      </c>
      <c r="M1" s="34" t="s">
        <v>307</v>
      </c>
      <c r="N1" s="34" t="s">
        <v>308</v>
      </c>
      <c r="O1" s="34" t="s">
        <v>309</v>
      </c>
      <c r="P1" s="34" t="s">
        <v>316</v>
      </c>
      <c r="Q1"/>
      <c r="R1"/>
      <c r="S1"/>
      <c r="T1"/>
      <c r="U1"/>
      <c r="V1"/>
      <c r="W1"/>
      <c r="X1"/>
      <c r="Y1"/>
      <c r="Z1"/>
      <c r="AA1"/>
      <c r="AB1"/>
      <c r="AC1"/>
      <c r="AD1"/>
      <c r="AE1"/>
    </row>
    <row r="2" spans="1:32" ht="54" customHeight="1" x14ac:dyDescent="0.25">
      <c r="B2" s="34" t="e">
        <f ca="1">IF(Split=0,IF(OR(Demand!C25&gt;UCL,Demand!C25&lt;LCL),Demand!C25,NA()),IF(Split&gt;=P2,IF(OR(Demand!C25&gt;_UCL1,Demand!C25&lt;_LCL1),Demand!C25,NA()),IF(OR(Demand!C25&gt;_UCL2,Demand!C25&lt;_LCL2),Demand!C25,NA())))</f>
        <v>#N/A</v>
      </c>
      <c r="C2" s="34">
        <f ca="1">IF(Split=0,IF(Demand!C25&gt;Sigma2Plus,2,IF(Demand!C25&lt;Sigma2Minus,-2,IF(Demand!C25&lt;Mean,-1,1))),IF(Split&gt;=P2,IF(Demand!C25&gt;Sigma2Plus1,2,IF(Demand!C25&lt;Sigma2Minus1,-2,IF(Demand!C25&lt;Mean1,-1,1))),IF(Demand!C25&gt;Sigma2Plus2,2,IF(Demand!C25&lt;Sigma2Minus2,-2,IF(Demand!C25&lt;Mean2,-1,1)))))</f>
        <v>1</v>
      </c>
      <c r="D2" s="34" t="e">
        <f ca="1">IF(AND(ABS(SUM(C2:C4))&gt;4,P2&lt;ROWS(ReferralsRange)),Demand!C25,NA())</f>
        <v>#N/A</v>
      </c>
      <c r="E2" s="34">
        <f ca="1">IF(Split=0,IF(Demand!C25&gt;Sigma1Plus,2,IF(Demand!C25&lt;Sigma1Minus,-2,IF(Demand!C25&lt;Mean,-1,1))),IF(Split&gt;=P2,IF(Demand!C25&gt;Sigma1Plus1,2,IF(Demand!C25&lt;Sigma1Minus1,-2,IF(Demand!C25&lt;Mean1,-1,1))),IF(Demand!C25&gt;Sigma1Plus2,2,IF(Demand!C25&lt;Sigma1Minus2,-2,IF(Demand!C25&lt;Mean,-1,1)))))</f>
        <v>1</v>
      </c>
      <c r="F2" s="34" t="e">
        <f ca="1">IF(AND(ABS(SUM(E2:E6))&gt;8,P2&lt;ROWS(ReferralsRange)),Demand!C25,NA())</f>
        <v>#N/A</v>
      </c>
      <c r="G2" s="34">
        <f ca="1">IF(Split=0,IF(Demand!C25&gt;Mean,1,IF(Demand!C25&lt;Mean,-1,0)),IF(Split&gt;=P2,IF(Demand!C25&gt;Mean1,1,IF(Demand!C25&lt;Mean1,-1,0)),IF(Demand!C25&gt;Mean2,1,IF(Demand!C25&lt;Mean2,-1,0))))</f>
        <v>1</v>
      </c>
      <c r="H2" s="34" t="e">
        <f ca="1">IF(AND(ABS(G10)=8,P2&lt;ROWS(ReferralsRange)),Demand!C25,NA())</f>
        <v>#N/A</v>
      </c>
      <c r="I2" s="34">
        <f t="array" aca="1" ref="I2:I53" ca="1">IF(Split=0,UCL,IF(Split&gt;=P2:P53,_UCL1,_UCL2))</f>
        <v>186.47064512458758</v>
      </c>
      <c r="J2" s="34">
        <f t="array" aca="1" ref="J2:J53" ca="1">IF(Split=0,Sigma2Plus,IF(Split&gt;=P2:P53,Sigma2Plus1,Sigma2Plus2))</f>
        <v>170.43497553760383</v>
      </c>
      <c r="K2" s="34">
        <f t="array" aca="1" ref="K2:K53" ca="1">IF(Split=0,Sigma1Plus,IF(Split&gt;=P2:P53,Sigma1Plus1,Sigma1Plus2))</f>
        <v>154.39930595062012</v>
      </c>
      <c r="L2" s="34">
        <f t="array" aca="1" ref="L2:L53" ca="1">IF(Split=0,Mean,IF(Split&gt;=P2:P53,Mean1,Mean2))</f>
        <v>138.36363636363637</v>
      </c>
      <c r="M2" s="34">
        <f t="array" aca="1" ref="M2:M53" ca="1">IF(Split=0,Sigma1Minus,IF(Split&gt;=P2:P53,Sigma1Minus1,Sigma1Minus2))</f>
        <v>122.32796677665264</v>
      </c>
      <c r="N2" s="34">
        <f t="array" aca="1" ref="N2:N53" ca="1">IF(Split=0,Sigma2Minus,IF(Split&gt;=P2:P53,Sigma2Minus1,Sigma2Minus2))</f>
        <v>106.29229718966891</v>
      </c>
      <c r="O2" s="34">
        <f t="array" aca="1" ref="O2:O53" ca="1">IF(Split=0,LCL,IF(Split&gt;=P2:P53,_LCL1,_LCL2))</f>
        <v>90.256627602685171</v>
      </c>
      <c r="P2" s="34">
        <f t="array" aca="1" ref="P2:P53" ca="1">ROW(INDIRECT("1:52"))</f>
        <v>1</v>
      </c>
      <c r="Q2" s="298" t="str">
        <f>"SPC - "&amp;ModelName</f>
        <v>SPC - The IST IMAS First Outpatients Demand &amp; Capacity Model</v>
      </c>
      <c r="R2" s="299"/>
      <c r="S2" s="299"/>
      <c r="T2" s="299"/>
      <c r="U2" s="299"/>
      <c r="V2" s="299"/>
      <c r="W2" s="299"/>
      <c r="X2" s="299"/>
      <c r="Y2" s="299"/>
      <c r="Z2" s="299"/>
      <c r="AA2" s="299"/>
      <c r="AB2" s="299"/>
      <c r="AC2" s="299"/>
      <c r="AD2" s="299"/>
      <c r="AE2" s="300"/>
    </row>
    <row r="3" spans="1:32" ht="23.25" customHeight="1" x14ac:dyDescent="0.25">
      <c r="A3" s="34">
        <f t="array" aca="1" ref="A3:A53" ca="1">ABS(Demand!C26:C76-Demand!C25:C75)</f>
        <v>30</v>
      </c>
      <c r="B3" s="34" t="e">
        <f ca="1">IF(Split=0,IF(OR(Demand!C26&gt;UCL,Demand!C26&lt;LCL),Demand!C26,NA()),IF(Split&gt;=P3,IF(OR(Demand!C26&gt;_UCL1,Demand!C26&lt;_LCL1),Demand!C26,NA()),IF(OR(Demand!C26&gt;_UCL2,Demand!C26&lt;_LCL2),Demand!C26,NA())))</f>
        <v>#N/A</v>
      </c>
      <c r="C3" s="34">
        <f ca="1">IF(Split=0,IF(Demand!C26&gt;Sigma2Plus,2,IF(Demand!C26&lt;Sigma2Minus,-2,IF(Demand!C26&lt;Mean,-1,1))),IF(Split&gt;=P3,IF(Demand!C26&gt;Sigma2Plus1,2,IF(Demand!C26&lt;Sigma2Minus1,-2,IF(Demand!C26&lt;Mean1,-1,1))),IF(Demand!C26&gt;Sigma2Plus2,2,IF(Demand!C26&lt;Sigma2Minus2,-2,IF(Demand!C26&lt;Mean2,-1,1)))))</f>
        <v>-1</v>
      </c>
      <c r="D3" s="34" t="e">
        <f ca="1">IF(AND(ABS(SUM(C3:C5))&gt;4,P3&lt;ROWS(ReferralsRange)),Demand!C26,NA())</f>
        <v>#N/A</v>
      </c>
      <c r="E3" s="34">
        <f ca="1">IF(Split=0,IF(Demand!C26&gt;Sigma1Plus,2,IF(Demand!C26&lt;Sigma1Minus,-2,IF(Demand!C26&lt;Mean,-1,1))),IF(Split&gt;=P3,IF(Demand!C26&gt;Sigma1Plus1,2,IF(Demand!C26&lt;Sigma1Minus1,-2,IF(Demand!C26&lt;Mean1,-1,1))),IF(Demand!C26&gt;Sigma1Plus2,2,IF(Demand!C26&lt;Sigma1Minus2,-2,IF(Demand!C26&lt;Mean,-1,1)))))</f>
        <v>-1</v>
      </c>
      <c r="F3" s="34" t="e">
        <f ca="1">IF(AND(ABS(SUM(E3:E7))&gt;8,P3&lt;ROWS(ReferralsRange)),Demand!C26,NA())</f>
        <v>#N/A</v>
      </c>
      <c r="G3" s="34">
        <f t="array" ref="G3:G53" ca="1">IF(Split=0,IF(Demand!C26:'Demand'!C76&gt;Mean,IF(G2:G52&gt;=0,G2:G52+1,0),IF(Demand!C26:'Demand'!C76&lt;Mean,IF(G2:G52&lt;=0,G2:G52-1,0),0)),IF(Split&gt;=P2:P52,IF(Demand!C26:'Demand'!C76&gt;Mean1,IF(G2:G52&gt;=0,G2:G52+1,0),IF(Demand!C26:'Demand'!C76&lt;Mean1,IF(G2:G52&lt;=0,G2:G52-1,0),0)),IF(Demand!C26:'Demand'!C76&gt;Mean2,IF(G2:G52&gt;=0,G2:G52+1,0),IF(Demand!C26:'Demand'!C76&lt;Mean2,IF(G2:G52&lt;=0,G2:G52-1,0),0))))</f>
        <v>0</v>
      </c>
      <c r="H3" s="34" t="e">
        <f ca="1">IF(AND(ABS(G11)=8,P3&lt;ROWS(ReferralsRange)),Demand!C26,NA())</f>
        <v>#N/A</v>
      </c>
      <c r="I3" s="34">
        <f ca="1"/>
        <v>186.47064512458758</v>
      </c>
      <c r="J3" s="34">
        <f ca="1"/>
        <v>170.43497553760383</v>
      </c>
      <c r="K3" s="34">
        <f ca="1"/>
        <v>154.39930595062012</v>
      </c>
      <c r="L3" s="34">
        <f ca="1"/>
        <v>138.36363636363637</v>
      </c>
      <c r="M3" s="34">
        <f ca="1"/>
        <v>122.32796677665264</v>
      </c>
      <c r="N3" s="34">
        <f ca="1"/>
        <v>106.29229718966891</v>
      </c>
      <c r="O3" s="34">
        <f ca="1"/>
        <v>90.256627602685171</v>
      </c>
      <c r="P3" s="143">
        <f ca="1"/>
        <v>2</v>
      </c>
      <c r="Q3" s="327" t="s">
        <v>406</v>
      </c>
      <c r="R3" s="328"/>
      <c r="S3" s="328"/>
      <c r="T3" s="328"/>
      <c r="U3" s="328"/>
      <c r="V3" s="328"/>
      <c r="W3" s="328"/>
      <c r="X3" s="328"/>
      <c r="Y3" s="328"/>
      <c r="Z3" s="328"/>
      <c r="AA3" s="328"/>
      <c r="AB3" s="328"/>
      <c r="AC3" s="328"/>
      <c r="AD3" s="328"/>
      <c r="AE3" s="329"/>
    </row>
    <row r="4" spans="1:32" ht="15" customHeight="1" x14ac:dyDescent="0.25">
      <c r="A4" s="34">
        <f ca="1"/>
        <v>4</v>
      </c>
      <c r="B4" s="34" t="e">
        <f ca="1">IF(Split=0,IF(OR(Demand!C27&gt;UCL,Demand!C27&lt;LCL),Demand!C27,NA()),IF(Split&gt;=P4,IF(OR(Demand!C27&gt;_UCL1,Demand!C27&lt;_LCL1),Demand!C27,NA()),IF(OR(Demand!C27&gt;_UCL2,Demand!C27&lt;_LCL2),Demand!C27,NA())))</f>
        <v>#N/A</v>
      </c>
      <c r="C4" s="34">
        <f ca="1">IF(Split=0,IF(Demand!C27&gt;Sigma2Plus,2,IF(Demand!C27&lt;Sigma2Minus,-2,IF(Demand!C27&lt;Mean,-1,1))),IF(Split&gt;=P4,IF(Demand!C27&gt;Sigma2Plus1,2,IF(Demand!C27&lt;Sigma2Minus1,-2,IF(Demand!C27&lt;Mean1,-1,1))),IF(Demand!C27&gt;Sigma2Plus2,2,IF(Demand!C27&lt;Sigma2Minus2,-2,IF(Demand!C27&lt;Mean2,-1,1)))))</f>
        <v>-1</v>
      </c>
      <c r="D4" s="34" t="e">
        <f ca="1">IF(AND(ABS(SUM(C4:C6))&gt;4,P4&lt;ROWS(ReferralsRange)),Demand!C27,NA())</f>
        <v>#N/A</v>
      </c>
      <c r="E4" s="34">
        <f ca="1">IF(Split=0,IF(Demand!C27&gt;Sigma1Plus,2,IF(Demand!C27&lt;Sigma1Minus,-2,IF(Demand!C27&lt;Mean,-1,1))),IF(Split&gt;=P4,IF(Demand!C27&gt;Sigma1Plus1,2,IF(Demand!C27&lt;Sigma1Minus1,-2,IF(Demand!C27&lt;Mean1,-1,1))),IF(Demand!C27&gt;Sigma1Plus2,2,IF(Demand!C27&lt;Sigma1Minus2,-2,IF(Demand!C27&lt;Mean,-1,1)))))</f>
        <v>-1</v>
      </c>
      <c r="F4" s="34" t="e">
        <f ca="1">IF(AND(ABS(SUM(E4:E8))&gt;8,P4&lt;ROWS(ReferralsRange)),Demand!C27,NA())</f>
        <v>#N/A</v>
      </c>
      <c r="G4" s="34">
        <f ca="1"/>
        <v>-1</v>
      </c>
      <c r="H4" s="34" t="e">
        <f ca="1">IF(AND(ABS(G12)=8,P4&lt;ROWS(ReferralsRange)),Demand!C27,NA())</f>
        <v>#N/A</v>
      </c>
      <c r="I4" s="34">
        <f ca="1"/>
        <v>186.47064512458758</v>
      </c>
      <c r="J4" s="34">
        <f ca="1"/>
        <v>170.43497553760383</v>
      </c>
      <c r="K4" s="34">
        <f ca="1"/>
        <v>154.39930595062012</v>
      </c>
      <c r="L4" s="34">
        <f ca="1"/>
        <v>138.36363636363637</v>
      </c>
      <c r="M4" s="34">
        <f ca="1"/>
        <v>122.32796677665264</v>
      </c>
      <c r="N4" s="34">
        <f ca="1"/>
        <v>106.29229718966891</v>
      </c>
      <c r="O4" s="34">
        <f ca="1"/>
        <v>90.256627602685171</v>
      </c>
      <c r="P4" s="143">
        <f ca="1"/>
        <v>3</v>
      </c>
      <c r="Q4" s="145"/>
      <c r="R4" s="146"/>
      <c r="S4" s="146"/>
      <c r="T4" s="146"/>
      <c r="U4" s="146"/>
      <c r="V4" s="146"/>
      <c r="W4" s="146"/>
      <c r="X4" s="146"/>
      <c r="Y4" s="146"/>
      <c r="Z4" s="146"/>
      <c r="AA4" s="146"/>
      <c r="AB4" s="146"/>
      <c r="AC4" s="146"/>
      <c r="AD4" s="146"/>
      <c r="AE4" s="147"/>
      <c r="AF4" s="144"/>
    </row>
    <row r="5" spans="1:32" ht="18" x14ac:dyDescent="0.25">
      <c r="A5" s="34">
        <f ca="1"/>
        <v>14</v>
      </c>
      <c r="B5" s="34" t="e">
        <f ca="1">IF(Split=0,IF(OR(Demand!C28&gt;UCL,Demand!C28&lt;LCL),Demand!C28,NA()),IF(Split&gt;=P5,IF(OR(Demand!C28&gt;_UCL1,Demand!C28&lt;_LCL1),Demand!C28,NA()),IF(OR(Demand!C28&gt;_UCL2,Demand!C28&lt;_LCL2),Demand!C28,NA())))</f>
        <v>#N/A</v>
      </c>
      <c r="C5" s="34">
        <f ca="1">IF(Split=0,IF(Demand!C28&gt;Sigma2Plus,2,IF(Demand!C28&lt;Sigma2Minus,-2,IF(Demand!C28&lt;Mean,-1,1))),IF(Split&gt;=P5,IF(Demand!C28&gt;Sigma2Plus1,2,IF(Demand!C28&lt;Sigma2Minus1,-2,IF(Demand!C28&lt;Mean1,-1,1))),IF(Demand!C28&gt;Sigma2Plus2,2,IF(Demand!C28&lt;Sigma2Minus2,-2,IF(Demand!C28&lt;Mean2,-1,1)))))</f>
        <v>1</v>
      </c>
      <c r="D5" s="34" t="e">
        <f ca="1">IF(AND(ABS(SUM(C5:C7))&gt;4,P5&lt;ROWS(ReferralsRange)),Demand!C28,NA())</f>
        <v>#N/A</v>
      </c>
      <c r="E5" s="34">
        <f ca="1">IF(Split=0,IF(Demand!C28&gt;Sigma1Plus,2,IF(Demand!C28&lt;Sigma1Minus,-2,IF(Demand!C28&lt;Mean,-1,1))),IF(Split&gt;=P5,IF(Demand!C28&gt;Sigma1Plus1,2,IF(Demand!C28&lt;Sigma1Minus1,-2,IF(Demand!C28&lt;Mean1,-1,1))),IF(Demand!C28&gt;Sigma1Plus2,2,IF(Demand!C28&lt;Sigma1Minus2,-2,IF(Demand!C28&lt;Mean,-1,1)))))</f>
        <v>1</v>
      </c>
      <c r="F5" s="34" t="e">
        <f ca="1">IF(AND(ABS(SUM(E5:E9))&gt;8,P5&lt;ROWS(ReferralsRange)),Demand!C28,NA())</f>
        <v>#N/A</v>
      </c>
      <c r="G5" s="34">
        <f ca="1"/>
        <v>0</v>
      </c>
      <c r="H5" s="34" t="e">
        <f ca="1">IF(AND(ABS(G13)=8,P5&lt;ROWS(ReferralsRange)),Demand!C28,NA())</f>
        <v>#N/A</v>
      </c>
      <c r="I5" s="34">
        <f ca="1"/>
        <v>186.47064512458758</v>
      </c>
      <c r="J5" s="34">
        <f ca="1"/>
        <v>170.43497553760383</v>
      </c>
      <c r="K5" s="34">
        <f ca="1"/>
        <v>154.39930595062012</v>
      </c>
      <c r="L5" s="34">
        <f ca="1"/>
        <v>138.36363636363637</v>
      </c>
      <c r="M5" s="34">
        <f ca="1"/>
        <v>122.32796677665264</v>
      </c>
      <c r="N5" s="34">
        <f ca="1"/>
        <v>106.29229718966891</v>
      </c>
      <c r="O5" s="34">
        <f ca="1"/>
        <v>90.256627602685171</v>
      </c>
      <c r="P5" s="143">
        <f ca="1"/>
        <v>4</v>
      </c>
      <c r="Q5" s="330" t="str">
        <f>Trust &amp; " - " &amp; Specialty</f>
        <v>5 Boroughs Partnership NHS Foundation Trust - Blood Transfusion</v>
      </c>
      <c r="R5" s="331"/>
      <c r="S5" s="331"/>
      <c r="T5" s="331"/>
      <c r="U5" s="331"/>
      <c r="V5" s="331"/>
      <c r="W5" s="331"/>
      <c r="X5" s="331"/>
      <c r="Y5" s="331"/>
      <c r="Z5" s="331"/>
      <c r="AA5" s="331"/>
      <c r="AB5" s="331"/>
      <c r="AC5" s="331"/>
      <c r="AD5" s="331"/>
      <c r="AE5" s="332"/>
      <c r="AF5" s="144"/>
    </row>
    <row r="6" spans="1:32" x14ac:dyDescent="0.25">
      <c r="A6" s="34">
        <f ca="1"/>
        <v>4</v>
      </c>
      <c r="B6" s="34" t="e">
        <f ca="1">IF(Split=0,IF(OR(Demand!C29&gt;UCL,Demand!C29&lt;LCL),Demand!C29,NA()),IF(Split&gt;=P6,IF(OR(Demand!C29&gt;_UCL1,Demand!C29&lt;_LCL1),Demand!C29,NA()),IF(OR(Demand!C29&gt;_UCL2,Demand!C29&lt;_LCL2),Demand!C29,NA())))</f>
        <v>#N/A</v>
      </c>
      <c r="C6" s="34">
        <f ca="1">IF(Split=0,IF(Demand!C29&gt;Sigma2Plus,2,IF(Demand!C29&lt;Sigma2Minus,-2,IF(Demand!C29&lt;Mean,-1,1))),IF(Split&gt;=P6,IF(Demand!C29&gt;Sigma2Plus1,2,IF(Demand!C29&lt;Sigma2Minus1,-2,IF(Demand!C29&lt;Mean1,-1,1))),IF(Demand!C29&gt;Sigma2Plus2,2,IF(Demand!C29&lt;Sigma2Minus2,-2,IF(Demand!C29&lt;Mean2,-1,1)))))</f>
        <v>-1</v>
      </c>
      <c r="D6" s="34" t="e">
        <f ca="1">IF(AND(ABS(SUM(C6:C8))&gt;4,P6&lt;ROWS(ReferralsRange)),Demand!C29,NA())</f>
        <v>#N/A</v>
      </c>
      <c r="E6" s="34">
        <f ca="1">IF(Split=0,IF(Demand!C29&gt;Sigma1Plus,2,IF(Demand!C29&lt;Sigma1Minus,-2,IF(Demand!C29&lt;Mean,-1,1))),IF(Split&gt;=P6,IF(Demand!C29&gt;Sigma1Plus1,2,IF(Demand!C29&lt;Sigma1Minus1,-2,IF(Demand!C29&lt;Mean1,-1,1))),IF(Demand!C29&gt;Sigma1Plus2,2,IF(Demand!C29&lt;Sigma1Minus2,-2,IF(Demand!C29&lt;Mean,-1,1)))))</f>
        <v>-1</v>
      </c>
      <c r="F6" s="34" t="e">
        <f ca="1">IF(AND(ABS(SUM(E6:E10))&gt;8,P6&lt;ROWS(ReferralsRange)),Demand!C29,NA())</f>
        <v>#N/A</v>
      </c>
      <c r="G6" s="34">
        <f ca="1"/>
        <v>-1</v>
      </c>
      <c r="H6" s="34" t="e">
        <f ca="1">IF(AND(ABS(G14)=8,P6&lt;ROWS(ReferralsRange)),Demand!C29,NA())</f>
        <v>#N/A</v>
      </c>
      <c r="I6" s="34">
        <f ca="1"/>
        <v>186.47064512458758</v>
      </c>
      <c r="J6" s="34">
        <f ca="1"/>
        <v>170.43497553760383</v>
      </c>
      <c r="K6" s="34">
        <f ca="1"/>
        <v>154.39930595062012</v>
      </c>
      <c r="L6" s="34">
        <f ca="1"/>
        <v>138.36363636363637</v>
      </c>
      <c r="M6" s="34">
        <f ca="1"/>
        <v>122.32796677665264</v>
      </c>
      <c r="N6" s="34">
        <f ca="1"/>
        <v>106.29229718966891</v>
      </c>
      <c r="O6" s="34">
        <f ca="1"/>
        <v>90.256627602685171</v>
      </c>
      <c r="P6" s="143">
        <f ca="1"/>
        <v>5</v>
      </c>
      <c r="Q6" s="145"/>
      <c r="R6" s="148"/>
      <c r="S6" s="148"/>
      <c r="T6" s="148"/>
      <c r="U6" s="148"/>
      <c r="V6" s="148"/>
      <c r="W6" s="148"/>
      <c r="X6" s="148"/>
      <c r="Y6" s="148"/>
      <c r="Z6" s="148"/>
      <c r="AA6" s="148"/>
      <c r="AB6" s="148"/>
      <c r="AC6" s="148"/>
      <c r="AD6" s="148"/>
      <c r="AE6" s="149"/>
    </row>
    <row r="7" spans="1:32" x14ac:dyDescent="0.25">
      <c r="A7" s="34">
        <f ca="1"/>
        <v>9</v>
      </c>
      <c r="B7" s="34" t="e">
        <f ca="1">IF(Split=0,IF(OR(Demand!C30&gt;UCL,Demand!C30&lt;LCL),Demand!C30,NA()),IF(Split&gt;=P7,IF(OR(Demand!C30&gt;_UCL1,Demand!C30&lt;_LCL1),Demand!C30,NA()),IF(OR(Demand!C30&gt;_UCL2,Demand!C30&lt;_LCL2),Demand!C30,NA())))</f>
        <v>#N/A</v>
      </c>
      <c r="C7" s="34">
        <f ca="1">IF(Split=0,IF(Demand!C30&gt;Sigma2Plus,2,IF(Demand!C30&lt;Sigma2Minus,-2,IF(Demand!C30&lt;Mean,-1,1))),IF(Split&gt;=P7,IF(Demand!C30&gt;Sigma2Plus1,2,IF(Demand!C30&lt;Sigma2Minus1,-2,IF(Demand!C30&lt;Mean1,-1,1))),IF(Demand!C30&gt;Sigma2Plus2,2,IF(Demand!C30&lt;Sigma2Minus2,-2,IF(Demand!C30&lt;Mean2,-1,1)))))</f>
        <v>-1</v>
      </c>
      <c r="D7" s="34" t="e">
        <f ca="1">IF(AND(ABS(SUM(C7:C9))&gt;4,P7&lt;ROWS(ReferralsRange)),Demand!C30,NA())</f>
        <v>#N/A</v>
      </c>
      <c r="E7" s="34">
        <f ca="1">IF(Split=0,IF(Demand!C30&gt;Sigma1Plus,2,IF(Demand!C30&lt;Sigma1Minus,-2,IF(Demand!C30&lt;Mean,-1,1))),IF(Split&gt;=P7,IF(Demand!C30&gt;Sigma1Plus1,2,IF(Demand!C30&lt;Sigma1Minus1,-2,IF(Demand!C30&lt;Mean1,-1,1))),IF(Demand!C30&gt;Sigma1Plus2,2,IF(Demand!C30&lt;Sigma1Minus2,-2,IF(Demand!C30&lt;Mean,-1,1)))))</f>
        <v>-1</v>
      </c>
      <c r="F7" s="34" t="e">
        <f ca="1">IF(AND(ABS(SUM(E7:E11))&gt;8,P7&lt;ROWS(ReferralsRange)),Demand!C30,NA())</f>
        <v>#N/A</v>
      </c>
      <c r="G7" s="34">
        <f ca="1"/>
        <v>-2</v>
      </c>
      <c r="H7" s="34" t="e">
        <f ca="1">IF(AND(ABS(G15)=8,P7&lt;ROWS(ReferralsRange)),Demand!C30,NA())</f>
        <v>#N/A</v>
      </c>
      <c r="I7" s="34">
        <f ca="1"/>
        <v>186.47064512458758</v>
      </c>
      <c r="J7" s="34">
        <f ca="1"/>
        <v>170.43497553760383</v>
      </c>
      <c r="K7" s="34">
        <f ca="1"/>
        <v>154.39930595062012</v>
      </c>
      <c r="L7" s="34">
        <f ca="1"/>
        <v>138.36363636363637</v>
      </c>
      <c r="M7" s="34">
        <f ca="1"/>
        <v>122.32796677665264</v>
      </c>
      <c r="N7" s="34">
        <f ca="1"/>
        <v>106.29229718966891</v>
      </c>
      <c r="O7" s="34">
        <f ca="1"/>
        <v>90.256627602685171</v>
      </c>
      <c r="P7" s="143">
        <f ca="1"/>
        <v>6</v>
      </c>
      <c r="Q7" s="145"/>
      <c r="R7" s="148"/>
      <c r="S7" s="148"/>
      <c r="T7" s="148"/>
      <c r="U7" s="148"/>
      <c r="V7" s="148"/>
      <c r="W7" s="148"/>
      <c r="X7" s="148"/>
      <c r="Y7" s="148"/>
      <c r="Z7" s="148"/>
      <c r="AA7" s="148"/>
      <c r="AB7" s="148"/>
      <c r="AC7" s="148"/>
      <c r="AD7" s="148"/>
      <c r="AE7" s="149"/>
    </row>
    <row r="8" spans="1:32" x14ac:dyDescent="0.25">
      <c r="A8" s="34">
        <f ca="1"/>
        <v>24</v>
      </c>
      <c r="B8" s="34" t="e">
        <f ca="1">IF(Split=0,IF(OR(Demand!C31&gt;UCL,Demand!C31&lt;LCL),Demand!C31,NA()),IF(Split&gt;=P8,IF(OR(Demand!C31&gt;_UCL1,Demand!C31&lt;_LCL1),Demand!C31,NA()),IF(OR(Demand!C31&gt;_UCL2,Demand!C31&lt;_LCL2),Demand!C31,NA())))</f>
        <v>#N/A</v>
      </c>
      <c r="C8" s="34">
        <f ca="1">IF(Split=0,IF(Demand!C31&gt;Sigma2Plus,2,IF(Demand!C31&lt;Sigma2Minus,-2,IF(Demand!C31&lt;Mean,-1,1))),IF(Split&gt;=P8,IF(Demand!C31&gt;Sigma2Plus1,2,IF(Demand!C31&lt;Sigma2Minus1,-2,IF(Demand!C31&lt;Mean1,-1,1))),IF(Demand!C31&gt;Sigma2Plus2,2,IF(Demand!C31&lt;Sigma2Minus2,-2,IF(Demand!C31&lt;Mean2,-1,1)))))</f>
        <v>1</v>
      </c>
      <c r="D8" s="34" t="e">
        <f ca="1">IF(AND(ABS(SUM(C8:C10))&gt;4,P8&lt;ROWS(ReferralsRange)),Demand!C31,NA())</f>
        <v>#N/A</v>
      </c>
      <c r="E8" s="34">
        <f ca="1">IF(Split=0,IF(Demand!C31&gt;Sigma1Plus,2,IF(Demand!C31&lt;Sigma1Minus,-2,IF(Demand!C31&lt;Mean,-1,1))),IF(Split&gt;=P8,IF(Demand!C31&gt;Sigma1Plus1,2,IF(Demand!C31&lt;Sigma1Minus1,-2,IF(Demand!C31&lt;Mean1,-1,1))),IF(Demand!C31&gt;Sigma1Plus2,2,IF(Demand!C31&lt;Sigma1Minus2,-2,IF(Demand!C31&lt;Mean,-1,1)))))</f>
        <v>1</v>
      </c>
      <c r="F8" s="34" t="e">
        <f ca="1">IF(AND(ABS(SUM(E8:E12))&gt;8,P8&lt;ROWS(ReferralsRange)),Demand!C31,NA())</f>
        <v>#N/A</v>
      </c>
      <c r="G8" s="34">
        <f ca="1"/>
        <v>0</v>
      </c>
      <c r="H8" s="34" t="e">
        <f ca="1">IF(AND(ABS(G16)=8,P8&lt;ROWS(ReferralsRange)),Demand!C31,NA())</f>
        <v>#N/A</v>
      </c>
      <c r="I8" s="34">
        <f ca="1"/>
        <v>186.47064512458758</v>
      </c>
      <c r="J8" s="34">
        <f ca="1"/>
        <v>170.43497553760383</v>
      </c>
      <c r="K8" s="34">
        <f ca="1"/>
        <v>154.39930595062012</v>
      </c>
      <c r="L8" s="34">
        <f ca="1"/>
        <v>138.36363636363637</v>
      </c>
      <c r="M8" s="34">
        <f ca="1"/>
        <v>122.32796677665264</v>
      </c>
      <c r="N8" s="34">
        <f ca="1"/>
        <v>106.29229718966891</v>
      </c>
      <c r="O8" s="34">
        <f ca="1"/>
        <v>90.256627602685171</v>
      </c>
      <c r="P8" s="143">
        <f ca="1"/>
        <v>7</v>
      </c>
      <c r="Q8" s="145"/>
      <c r="R8" s="148"/>
      <c r="S8" s="148"/>
      <c r="T8" s="148"/>
      <c r="U8" s="148"/>
      <c r="V8" s="148"/>
      <c r="W8" s="148"/>
      <c r="X8" s="148"/>
      <c r="Y8" s="148"/>
      <c r="Z8" s="148"/>
      <c r="AA8" s="148"/>
      <c r="AB8" s="148"/>
      <c r="AC8" s="148"/>
      <c r="AD8" s="148"/>
      <c r="AE8" s="149"/>
    </row>
    <row r="9" spans="1:32" x14ac:dyDescent="0.25">
      <c r="A9" s="34">
        <f ca="1"/>
        <v>27</v>
      </c>
      <c r="B9" s="34" t="e">
        <f ca="1">IF(Split=0,IF(OR(Demand!C32&gt;UCL,Demand!C32&lt;LCL),Demand!C32,NA()),IF(Split&gt;=P9,IF(OR(Demand!C32&gt;_UCL1,Demand!C32&lt;_LCL1),Demand!C32,NA()),IF(OR(Demand!C32&gt;_UCL2,Demand!C32&lt;_LCL2),Demand!C32,NA())))</f>
        <v>#N/A</v>
      </c>
      <c r="C9" s="34">
        <f ca="1">IF(Split=0,IF(Demand!C32&gt;Sigma2Plus,2,IF(Demand!C32&lt;Sigma2Minus,-2,IF(Demand!C32&lt;Mean,-1,1))),IF(Split&gt;=P9,IF(Demand!C32&gt;Sigma2Plus1,2,IF(Demand!C32&lt;Sigma2Minus1,-2,IF(Demand!C32&lt;Mean1,-1,1))),IF(Demand!C32&gt;Sigma2Plus2,2,IF(Demand!C32&lt;Sigma2Minus2,-2,IF(Demand!C32&lt;Mean2,-1,1)))))</f>
        <v>-1</v>
      </c>
      <c r="D9" s="34" t="e">
        <f ca="1">IF(AND(ABS(SUM(C9:C11))&gt;4,P9&lt;ROWS(ReferralsRange)),Demand!C32,NA())</f>
        <v>#N/A</v>
      </c>
      <c r="E9" s="34">
        <f ca="1">IF(Split=0,IF(Demand!C32&gt;Sigma1Plus,2,IF(Demand!C32&lt;Sigma1Minus,-2,IF(Demand!C32&lt;Mean,-1,1))),IF(Split&gt;=P9,IF(Demand!C32&gt;Sigma1Plus1,2,IF(Demand!C32&lt;Sigma1Minus1,-2,IF(Demand!C32&lt;Mean1,-1,1))),IF(Demand!C32&gt;Sigma1Plus2,2,IF(Demand!C32&lt;Sigma1Minus2,-2,IF(Demand!C32&lt;Mean,-1,1)))))</f>
        <v>-1</v>
      </c>
      <c r="F9" s="34" t="e">
        <f ca="1">IF(AND(ABS(SUM(E9:E13))&gt;8,P9&lt;ROWS(ReferralsRange)),Demand!C32,NA())</f>
        <v>#N/A</v>
      </c>
      <c r="G9" s="34">
        <f ca="1"/>
        <v>-1</v>
      </c>
      <c r="H9" s="34" t="e">
        <f ca="1">IF(AND(ABS(G17)=8,P9&lt;ROWS(ReferralsRange)),Demand!C32,NA())</f>
        <v>#N/A</v>
      </c>
      <c r="I9" s="34">
        <f ca="1"/>
        <v>186.47064512458758</v>
      </c>
      <c r="J9" s="34">
        <f ca="1"/>
        <v>170.43497553760383</v>
      </c>
      <c r="K9" s="34">
        <f ca="1"/>
        <v>154.39930595062012</v>
      </c>
      <c r="L9" s="34">
        <f ca="1"/>
        <v>138.36363636363637</v>
      </c>
      <c r="M9" s="34">
        <f ca="1"/>
        <v>122.32796677665264</v>
      </c>
      <c r="N9" s="34">
        <f ca="1"/>
        <v>106.29229718966891</v>
      </c>
      <c r="O9" s="34">
        <f ca="1"/>
        <v>90.256627602685171</v>
      </c>
      <c r="P9" s="143">
        <f ca="1"/>
        <v>8</v>
      </c>
      <c r="Q9" s="145"/>
      <c r="R9" s="148"/>
      <c r="S9" s="148"/>
      <c r="T9" s="148"/>
      <c r="U9" s="148"/>
      <c r="V9" s="148"/>
      <c r="W9" s="148"/>
      <c r="X9" s="148"/>
      <c r="Y9" s="148"/>
      <c r="Z9" s="148"/>
      <c r="AA9" s="148"/>
      <c r="AB9" s="148"/>
      <c r="AC9" s="148"/>
      <c r="AD9" s="148"/>
      <c r="AE9" s="149"/>
    </row>
    <row r="10" spans="1:32" x14ac:dyDescent="0.25">
      <c r="A10" s="34">
        <f ca="1"/>
        <v>9</v>
      </c>
      <c r="B10" s="34" t="e">
        <f ca="1">IF(Split=0,IF(OR(Demand!C33&gt;UCL,Demand!C33&lt;LCL),Demand!C33,NA()),IF(Split&gt;=P10,IF(OR(Demand!C33&gt;_UCL1,Demand!C33&lt;_LCL1),Demand!C33,NA()),IF(OR(Demand!C33&gt;_UCL2,Demand!C33&lt;_LCL2),Demand!C33,NA())))</f>
        <v>#N/A</v>
      </c>
      <c r="C10" s="34">
        <f ca="1">IF(Split=0,IF(Demand!C33&gt;Sigma2Plus,2,IF(Demand!C33&lt;Sigma2Minus,-2,IF(Demand!C33&lt;Mean,-1,1))),IF(Split&gt;=P10,IF(Demand!C33&gt;Sigma2Plus1,2,IF(Demand!C33&lt;Sigma2Minus1,-2,IF(Demand!C33&lt;Mean1,-1,1))),IF(Demand!C33&gt;Sigma2Plus2,2,IF(Demand!C33&lt;Sigma2Minus2,-2,IF(Demand!C33&lt;Mean2,-1,1)))))</f>
        <v>-1</v>
      </c>
      <c r="D10" s="34" t="e">
        <f ca="1">IF(AND(ABS(SUM(C10:C12))&gt;4,P10&lt;ROWS(ReferralsRange)),Demand!C33,NA())</f>
        <v>#N/A</v>
      </c>
      <c r="E10" s="34">
        <f ca="1">IF(Split=0,IF(Demand!C33&gt;Sigma1Plus,2,IF(Demand!C33&lt;Sigma1Minus,-2,IF(Demand!C33&lt;Mean,-1,1))),IF(Split&gt;=P10,IF(Demand!C33&gt;Sigma1Plus1,2,IF(Demand!C33&lt;Sigma1Minus1,-2,IF(Demand!C33&lt;Mean1,-1,1))),IF(Demand!C33&gt;Sigma1Plus2,2,IF(Demand!C33&lt;Sigma1Minus2,-2,IF(Demand!C33&lt;Mean,-1,1)))))</f>
        <v>-1</v>
      </c>
      <c r="F10" s="34" t="e">
        <f ca="1">IF(AND(ABS(SUM(E10:E14))&gt;8,P10&lt;ROWS(ReferralsRange)),Demand!C33,NA())</f>
        <v>#N/A</v>
      </c>
      <c r="G10" s="34">
        <f ca="1"/>
        <v>-2</v>
      </c>
      <c r="H10" s="34" t="e">
        <f ca="1">IF(AND(ABS(G18)=8,P10&lt;ROWS(ReferralsRange)),Demand!C33,NA())</f>
        <v>#N/A</v>
      </c>
      <c r="I10" s="34">
        <f ca="1"/>
        <v>186.47064512458758</v>
      </c>
      <c r="J10" s="34">
        <f ca="1"/>
        <v>170.43497553760383</v>
      </c>
      <c r="K10" s="34">
        <f ca="1"/>
        <v>154.39930595062012</v>
      </c>
      <c r="L10" s="34">
        <f ca="1"/>
        <v>138.36363636363637</v>
      </c>
      <c r="M10" s="34">
        <f ca="1"/>
        <v>122.32796677665264</v>
      </c>
      <c r="N10" s="34">
        <f ca="1"/>
        <v>106.29229718966891</v>
      </c>
      <c r="O10" s="34">
        <f ca="1"/>
        <v>90.256627602685171</v>
      </c>
      <c r="P10" s="143">
        <f ca="1"/>
        <v>9</v>
      </c>
      <c r="Q10" s="145"/>
      <c r="R10" s="148"/>
      <c r="S10" s="148"/>
      <c r="T10" s="148"/>
      <c r="U10" s="148"/>
      <c r="V10" s="148"/>
      <c r="W10" s="148"/>
      <c r="X10" s="148"/>
      <c r="Y10" s="148"/>
      <c r="Z10" s="148"/>
      <c r="AA10" s="148"/>
      <c r="AB10" s="148"/>
      <c r="AC10" s="148"/>
      <c r="AD10" s="148"/>
      <c r="AE10" s="149"/>
    </row>
    <row r="11" spans="1:32" x14ac:dyDescent="0.25">
      <c r="A11" s="34">
        <f ca="1"/>
        <v>4</v>
      </c>
      <c r="B11" s="34" t="e">
        <f ca="1">IF(Split=0,IF(OR(Demand!C34&gt;UCL,Demand!C34&lt;LCL),Demand!C34,NA()),IF(Split&gt;=P11,IF(OR(Demand!C34&gt;_UCL1,Demand!C34&lt;_LCL1),Demand!C34,NA()),IF(OR(Demand!C34&gt;_UCL2,Demand!C34&lt;_LCL2),Demand!C34,NA())))</f>
        <v>#N/A</v>
      </c>
      <c r="C11" s="34">
        <f ca="1">IF(Split=0,IF(Demand!C34&gt;Sigma2Plus,2,IF(Demand!C34&lt;Sigma2Minus,-2,IF(Demand!C34&lt;Mean,-1,1))),IF(Split&gt;=P11,IF(Demand!C34&gt;Sigma2Plus1,2,IF(Demand!C34&lt;Sigma2Minus1,-2,IF(Demand!C34&lt;Mean1,-1,1))),IF(Demand!C34&gt;Sigma2Plus2,2,IF(Demand!C34&lt;Sigma2Minus2,-2,IF(Demand!C34&lt;Mean2,-1,1)))))</f>
        <v>-1</v>
      </c>
      <c r="D11" s="34" t="e">
        <f ca="1">IF(AND(ABS(SUM(C11:C13))&gt;4,P11&lt;ROWS(ReferralsRange)),Demand!C34,NA())</f>
        <v>#N/A</v>
      </c>
      <c r="E11" s="34">
        <f ca="1">IF(Split=0,IF(Demand!C34&gt;Sigma1Plus,2,IF(Demand!C34&lt;Sigma1Minus,-2,IF(Demand!C34&lt;Mean,-1,1))),IF(Split&gt;=P11,IF(Demand!C34&gt;Sigma1Plus1,2,IF(Demand!C34&lt;Sigma1Minus1,-2,IF(Demand!C34&lt;Mean1,-1,1))),IF(Demand!C34&gt;Sigma1Plus2,2,IF(Demand!C34&lt;Sigma1Minus2,-2,IF(Demand!C34&lt;Mean,-1,1)))))</f>
        <v>-1</v>
      </c>
      <c r="F11" s="34" t="e">
        <f ca="1">IF(AND(ABS(SUM(E11:E15))&gt;8,P11&lt;ROWS(ReferralsRange)),Demand!C34,NA())</f>
        <v>#N/A</v>
      </c>
      <c r="G11" s="34">
        <f ca="1"/>
        <v>-3</v>
      </c>
      <c r="H11" s="34" t="e">
        <f ca="1">IF(AND(ABS(G19)=8,P11&lt;ROWS(ReferralsRange)),Demand!C34,NA())</f>
        <v>#N/A</v>
      </c>
      <c r="I11" s="34">
        <f ca="1"/>
        <v>186.47064512458758</v>
      </c>
      <c r="J11" s="34">
        <f ca="1"/>
        <v>170.43497553760383</v>
      </c>
      <c r="K11" s="34">
        <f ca="1"/>
        <v>154.39930595062012</v>
      </c>
      <c r="L11" s="34">
        <f ca="1"/>
        <v>138.36363636363637</v>
      </c>
      <c r="M11" s="34">
        <f ca="1"/>
        <v>122.32796677665264</v>
      </c>
      <c r="N11" s="34">
        <f ca="1"/>
        <v>106.29229718966891</v>
      </c>
      <c r="O11" s="34">
        <f ca="1"/>
        <v>90.256627602685171</v>
      </c>
      <c r="P11" s="143">
        <f ca="1"/>
        <v>10</v>
      </c>
      <c r="Q11" s="145"/>
      <c r="R11" s="148"/>
      <c r="S11" s="148"/>
      <c r="T11" s="148"/>
      <c r="U11" s="148"/>
      <c r="V11" s="148"/>
      <c r="W11" s="148"/>
      <c r="X11" s="148"/>
      <c r="Y11" s="148"/>
      <c r="Z11" s="148"/>
      <c r="AA11" s="148"/>
      <c r="AB11" s="148"/>
      <c r="AC11" s="148"/>
      <c r="AD11" s="148"/>
      <c r="AE11" s="149"/>
    </row>
    <row r="12" spans="1:32" x14ac:dyDescent="0.25">
      <c r="A12" s="34">
        <f ca="1"/>
        <v>17</v>
      </c>
      <c r="B12" s="34" t="e">
        <f ca="1">IF(Split=0,IF(OR(Demand!C35&gt;UCL,Demand!C35&lt;LCL),Demand!C35,NA()),IF(Split&gt;=P12,IF(OR(Demand!C35&gt;_UCL1,Demand!C35&lt;_LCL1),Demand!C35,NA()),IF(OR(Demand!C35&gt;_UCL2,Demand!C35&lt;_LCL2),Demand!C35,NA())))</f>
        <v>#N/A</v>
      </c>
      <c r="C12" s="34">
        <f ca="1">IF(Split=0,IF(Demand!C35&gt;Sigma2Plus,2,IF(Demand!C35&lt;Sigma2Minus,-2,IF(Demand!C35&lt;Mean,-1,1))),IF(Split&gt;=P12,IF(Demand!C35&gt;Sigma2Plus1,2,IF(Demand!C35&lt;Sigma2Minus1,-2,IF(Demand!C35&lt;Mean1,-1,1))),IF(Demand!C35&gt;Sigma2Plus2,2,IF(Demand!C35&lt;Sigma2Minus2,-2,IF(Demand!C35&lt;Mean2,-1,1)))))</f>
        <v>1</v>
      </c>
      <c r="D12" s="34" t="e">
        <f ca="1">IF(AND(ABS(SUM(C12:C14))&gt;4,P12&lt;ROWS(ReferralsRange)),Demand!C35,NA())</f>
        <v>#N/A</v>
      </c>
      <c r="E12" s="34">
        <f ca="1">IF(Split=0,IF(Demand!C35&gt;Sigma1Plus,2,IF(Demand!C35&lt;Sigma1Minus,-2,IF(Demand!C35&lt;Mean,-1,1))),IF(Split&gt;=P12,IF(Demand!C35&gt;Sigma1Plus1,2,IF(Demand!C35&lt;Sigma1Minus1,-2,IF(Demand!C35&lt;Mean1,-1,1))),IF(Demand!C35&gt;Sigma1Plus2,2,IF(Demand!C35&lt;Sigma1Minus2,-2,IF(Demand!C35&lt;Mean,-1,1)))))</f>
        <v>1</v>
      </c>
      <c r="F12" s="34" t="e">
        <f ca="1">IF(AND(ABS(SUM(E12:E16))&gt;8,P12&lt;ROWS(ReferralsRange)),Demand!C35,NA())</f>
        <v>#N/A</v>
      </c>
      <c r="G12" s="34">
        <f ca="1"/>
        <v>0</v>
      </c>
      <c r="H12" s="34" t="e">
        <f ca="1">IF(AND(ABS(G20)=8,P12&lt;ROWS(ReferralsRange)),Demand!C35,NA())</f>
        <v>#N/A</v>
      </c>
      <c r="I12" s="34">
        <f ca="1"/>
        <v>186.47064512458758</v>
      </c>
      <c r="J12" s="34">
        <f ca="1"/>
        <v>170.43497553760383</v>
      </c>
      <c r="K12" s="34">
        <f ca="1"/>
        <v>154.39930595062012</v>
      </c>
      <c r="L12" s="34">
        <f ca="1"/>
        <v>138.36363636363637</v>
      </c>
      <c r="M12" s="34">
        <f ca="1"/>
        <v>122.32796677665264</v>
      </c>
      <c r="N12" s="34">
        <f ca="1"/>
        <v>106.29229718966891</v>
      </c>
      <c r="O12" s="34">
        <f ca="1"/>
        <v>90.256627602685171</v>
      </c>
      <c r="P12" s="143">
        <f ca="1"/>
        <v>11</v>
      </c>
      <c r="Q12" s="145"/>
      <c r="R12" s="148"/>
      <c r="S12" s="148"/>
      <c r="T12" s="148"/>
      <c r="U12" s="148"/>
      <c r="V12" s="148"/>
      <c r="W12" s="148"/>
      <c r="X12" s="148"/>
      <c r="Y12" s="148"/>
      <c r="Z12" s="148"/>
      <c r="AA12" s="148"/>
      <c r="AB12" s="148"/>
      <c r="AC12" s="148"/>
      <c r="AD12" s="148"/>
      <c r="AE12" s="149"/>
    </row>
    <row r="13" spans="1:32" x14ac:dyDescent="0.25">
      <c r="A13" s="34">
        <f ca="1"/>
        <v>14</v>
      </c>
      <c r="B13" s="34" t="e">
        <f ca="1">IF(Split=0,IF(OR(Demand!C36&gt;UCL,Demand!C36&lt;LCL),Demand!C36,NA()),IF(Split&gt;=P13,IF(OR(Demand!C36&gt;_UCL1,Demand!C36&lt;_LCL1),Demand!C36,NA()),IF(OR(Demand!C36&gt;_UCL2,Demand!C36&lt;_LCL2),Demand!C36,NA())))</f>
        <v>#N/A</v>
      </c>
      <c r="C13" s="34">
        <f ca="1">IF(Split=0,IF(Demand!C36&gt;Sigma2Plus,2,IF(Demand!C36&lt;Sigma2Minus,-2,IF(Demand!C36&lt;Mean,-1,1))),IF(Split&gt;=P13,IF(Demand!C36&gt;Sigma2Plus1,2,IF(Demand!C36&lt;Sigma2Minus1,-2,IF(Demand!C36&lt;Mean1,-1,1))),IF(Demand!C36&gt;Sigma2Plus2,2,IF(Demand!C36&lt;Sigma2Minus2,-2,IF(Demand!C36&lt;Mean2,-1,1)))))</f>
        <v>-1</v>
      </c>
      <c r="D13" s="34" t="e">
        <f ca="1">IF(AND(ABS(SUM(C13:C15))&gt;4,P13&lt;ROWS(ReferralsRange)),Demand!C36,NA())</f>
        <v>#N/A</v>
      </c>
      <c r="E13" s="34">
        <f ca="1">IF(Split=0,IF(Demand!C36&gt;Sigma1Plus,2,IF(Demand!C36&lt;Sigma1Minus,-2,IF(Demand!C36&lt;Mean,-1,1))),IF(Split&gt;=P13,IF(Demand!C36&gt;Sigma1Plus1,2,IF(Demand!C36&lt;Sigma1Minus1,-2,IF(Demand!C36&lt;Mean1,-1,1))),IF(Demand!C36&gt;Sigma1Plus2,2,IF(Demand!C36&lt;Sigma1Minus2,-2,IF(Demand!C36&lt;Mean,-1,1)))))</f>
        <v>-1</v>
      </c>
      <c r="F13" s="34" t="e">
        <f ca="1">IF(AND(ABS(SUM(E13:E17))&gt;8,P13&lt;ROWS(ReferralsRange)),Demand!C36,NA())</f>
        <v>#N/A</v>
      </c>
      <c r="G13" s="34">
        <f ca="1"/>
        <v>-1</v>
      </c>
      <c r="H13" s="34" t="e">
        <f ca="1">IF(AND(ABS(G21)=8,P13&lt;ROWS(ReferralsRange)),Demand!C36,NA())</f>
        <v>#N/A</v>
      </c>
      <c r="I13" s="34">
        <f ca="1"/>
        <v>186.47064512458758</v>
      </c>
      <c r="J13" s="34">
        <f ca="1"/>
        <v>170.43497553760383</v>
      </c>
      <c r="K13" s="34">
        <f ca="1"/>
        <v>154.39930595062012</v>
      </c>
      <c r="L13" s="34">
        <f ca="1"/>
        <v>138.36363636363637</v>
      </c>
      <c r="M13" s="34">
        <f ca="1"/>
        <v>122.32796677665264</v>
      </c>
      <c r="N13" s="34">
        <f ca="1"/>
        <v>106.29229718966891</v>
      </c>
      <c r="O13" s="34">
        <f ca="1"/>
        <v>90.256627602685171</v>
      </c>
      <c r="P13" s="143">
        <f ca="1"/>
        <v>12</v>
      </c>
      <c r="Q13" s="145"/>
      <c r="R13" s="148"/>
      <c r="S13" s="148"/>
      <c r="T13" s="148"/>
      <c r="U13" s="148"/>
      <c r="V13" s="148"/>
      <c r="W13" s="148"/>
      <c r="X13" s="148"/>
      <c r="Y13" s="148"/>
      <c r="Z13" s="148"/>
      <c r="AA13" s="148"/>
      <c r="AB13" s="148"/>
      <c r="AC13" s="148"/>
      <c r="AD13" s="148"/>
      <c r="AE13" s="149"/>
    </row>
    <row r="14" spans="1:32" x14ac:dyDescent="0.25">
      <c r="A14" s="34">
        <f ca="1"/>
        <v>19</v>
      </c>
      <c r="B14" s="34" t="e">
        <f ca="1">IF(Split=0,IF(OR(Demand!C37&gt;UCL,Demand!C37&lt;LCL),Demand!C37,NA()),IF(Split&gt;=P14,IF(OR(Demand!C37&gt;_UCL1,Demand!C37&lt;_LCL1),Demand!C37,NA()),IF(OR(Demand!C37&gt;_UCL2,Demand!C37&lt;_LCL2),Demand!C37,NA())))</f>
        <v>#N/A</v>
      </c>
      <c r="C14" s="34">
        <f ca="1">IF(Split=0,IF(Demand!C37&gt;Sigma2Plus,2,IF(Demand!C37&lt;Sigma2Minus,-2,IF(Demand!C37&lt;Mean,-1,1))),IF(Split&gt;=P14,IF(Demand!C37&gt;Sigma2Plus1,2,IF(Demand!C37&lt;Sigma2Minus1,-2,IF(Demand!C37&lt;Mean1,-1,1))),IF(Demand!C37&gt;Sigma2Plus2,2,IF(Demand!C37&lt;Sigma2Minus2,-2,IF(Demand!C37&lt;Mean2,-1,1)))))</f>
        <v>1</v>
      </c>
      <c r="D14" s="34" t="e">
        <f ca="1">IF(AND(ABS(SUM(C14:C16))&gt;4,P14&lt;ROWS(ReferralsRange)),Demand!C37,NA())</f>
        <v>#N/A</v>
      </c>
      <c r="E14" s="34">
        <f ca="1">IF(Split=0,IF(Demand!C37&gt;Sigma1Plus,2,IF(Demand!C37&lt;Sigma1Minus,-2,IF(Demand!C37&lt;Mean,-1,1))),IF(Split&gt;=P14,IF(Demand!C37&gt;Sigma1Plus1,2,IF(Demand!C37&lt;Sigma1Minus1,-2,IF(Demand!C37&lt;Mean1,-1,1))),IF(Demand!C37&gt;Sigma1Plus2,2,IF(Demand!C37&lt;Sigma1Minus2,-2,IF(Demand!C37&lt;Mean,-1,1)))))</f>
        <v>1</v>
      </c>
      <c r="F14" s="34" t="e">
        <f ca="1">IF(AND(ABS(SUM(E14:E18))&gt;8,P14&lt;ROWS(ReferralsRange)),Demand!C37,NA())</f>
        <v>#N/A</v>
      </c>
      <c r="G14" s="34">
        <f ca="1"/>
        <v>0</v>
      </c>
      <c r="H14" s="34" t="e">
        <f ca="1">IF(AND(ABS(G22)=8,P14&lt;ROWS(ReferralsRange)),Demand!C37,NA())</f>
        <v>#N/A</v>
      </c>
      <c r="I14" s="34">
        <f ca="1"/>
        <v>186.47064512458758</v>
      </c>
      <c r="J14" s="34">
        <f ca="1"/>
        <v>170.43497553760383</v>
      </c>
      <c r="K14" s="34">
        <f ca="1"/>
        <v>154.39930595062012</v>
      </c>
      <c r="L14" s="34">
        <f ca="1"/>
        <v>138.36363636363637</v>
      </c>
      <c r="M14" s="34">
        <f ca="1"/>
        <v>122.32796677665264</v>
      </c>
      <c r="N14" s="34">
        <f ca="1"/>
        <v>106.29229718966891</v>
      </c>
      <c r="O14" s="34">
        <f ca="1"/>
        <v>90.256627602685171</v>
      </c>
      <c r="P14" s="143">
        <f ca="1"/>
        <v>13</v>
      </c>
      <c r="Q14" s="145"/>
      <c r="R14" s="148"/>
      <c r="S14" s="148"/>
      <c r="T14" s="148"/>
      <c r="U14" s="148"/>
      <c r="V14" s="148"/>
      <c r="W14" s="148"/>
      <c r="X14" s="148"/>
      <c r="Y14" s="148"/>
      <c r="Z14" s="148"/>
      <c r="AA14" s="148"/>
      <c r="AB14" s="148"/>
      <c r="AC14" s="148"/>
      <c r="AD14" s="148"/>
      <c r="AE14" s="149"/>
    </row>
    <row r="15" spans="1:32" x14ac:dyDescent="0.25">
      <c r="A15" s="34">
        <f ca="1"/>
        <v>1</v>
      </c>
      <c r="B15" s="34" t="e">
        <f ca="1">IF(Split=0,IF(OR(Demand!C38&gt;UCL,Demand!C38&lt;LCL),Demand!C38,NA()),IF(Split&gt;=P15,IF(OR(Demand!C38&gt;_UCL1,Demand!C38&lt;_LCL1),Demand!C38,NA()),IF(OR(Demand!C38&gt;_UCL2,Demand!C38&lt;_LCL2),Demand!C38,NA())))</f>
        <v>#N/A</v>
      </c>
      <c r="C15" s="34">
        <f ca="1">IF(Split=0,IF(Demand!C38&gt;Sigma2Plus,2,IF(Demand!C38&lt;Sigma2Minus,-2,IF(Demand!C38&lt;Mean,-1,1))),IF(Split&gt;=P15,IF(Demand!C38&gt;Sigma2Plus1,2,IF(Demand!C38&lt;Sigma2Minus1,-2,IF(Demand!C38&lt;Mean1,-1,1))),IF(Demand!C38&gt;Sigma2Plus2,2,IF(Demand!C38&lt;Sigma2Minus2,-2,IF(Demand!C38&lt;Mean2,-1,1)))))</f>
        <v>1</v>
      </c>
      <c r="D15" s="34" t="e">
        <f ca="1">IF(AND(ABS(SUM(C15:C17))&gt;4,P15&lt;ROWS(ReferralsRange)),Demand!C38,NA())</f>
        <v>#N/A</v>
      </c>
      <c r="E15" s="34">
        <f ca="1">IF(Split=0,IF(Demand!C38&gt;Sigma1Plus,2,IF(Demand!C38&lt;Sigma1Minus,-2,IF(Demand!C38&lt;Mean,-1,1))),IF(Split&gt;=P15,IF(Demand!C38&gt;Sigma1Plus1,2,IF(Demand!C38&lt;Sigma1Minus1,-2,IF(Demand!C38&lt;Mean1,-1,1))),IF(Demand!C38&gt;Sigma1Plus2,2,IF(Demand!C38&lt;Sigma1Minus2,-2,IF(Demand!C38&lt;Mean,-1,1)))))</f>
        <v>1</v>
      </c>
      <c r="F15" s="34" t="e">
        <f ca="1">IF(AND(ABS(SUM(E15:E19))&gt;8,P15&lt;ROWS(ReferralsRange)),Demand!C38,NA())</f>
        <v>#N/A</v>
      </c>
      <c r="G15" s="34">
        <f ca="1"/>
        <v>1</v>
      </c>
      <c r="H15" s="34" t="e">
        <f ca="1">IF(AND(ABS(G23)=8,P15&lt;ROWS(ReferralsRange)),Demand!C38,NA())</f>
        <v>#N/A</v>
      </c>
      <c r="I15" s="34">
        <f ca="1"/>
        <v>186.47064512458758</v>
      </c>
      <c r="J15" s="34">
        <f ca="1"/>
        <v>170.43497553760383</v>
      </c>
      <c r="K15" s="34">
        <f ca="1"/>
        <v>154.39930595062012</v>
      </c>
      <c r="L15" s="34">
        <f ca="1"/>
        <v>138.36363636363637</v>
      </c>
      <c r="M15" s="34">
        <f ca="1"/>
        <v>122.32796677665264</v>
      </c>
      <c r="N15" s="34">
        <f ca="1"/>
        <v>106.29229718966891</v>
      </c>
      <c r="O15" s="34">
        <f ca="1"/>
        <v>90.256627602685171</v>
      </c>
      <c r="P15" s="143">
        <f ca="1"/>
        <v>14</v>
      </c>
      <c r="Q15" s="145"/>
      <c r="R15" s="148"/>
      <c r="S15" s="148"/>
      <c r="T15" s="148"/>
      <c r="U15" s="148"/>
      <c r="V15" s="148"/>
      <c r="W15" s="148"/>
      <c r="X15" s="148"/>
      <c r="Y15" s="148"/>
      <c r="Z15" s="148"/>
      <c r="AA15" s="148"/>
      <c r="AB15" s="148"/>
      <c r="AC15" s="148"/>
      <c r="AD15" s="148"/>
      <c r="AE15" s="149"/>
    </row>
    <row r="16" spans="1:32" x14ac:dyDescent="0.25">
      <c r="A16" s="34">
        <f ca="1"/>
        <v>24</v>
      </c>
      <c r="B16" s="34" t="e">
        <f ca="1">IF(Split=0,IF(OR(Demand!C39&gt;UCL,Demand!C39&lt;LCL),Demand!C39,NA()),IF(Split&gt;=P16,IF(OR(Demand!C39&gt;_UCL1,Demand!C39&lt;_LCL1),Demand!C39,NA()),IF(OR(Demand!C39&gt;_UCL2,Demand!C39&lt;_LCL2),Demand!C39,NA())))</f>
        <v>#N/A</v>
      </c>
      <c r="C16" s="34">
        <f ca="1">IF(Split=0,IF(Demand!C39&gt;Sigma2Plus,2,IF(Demand!C39&lt;Sigma2Minus,-2,IF(Demand!C39&lt;Mean,-1,1))),IF(Split&gt;=P16,IF(Demand!C39&gt;Sigma2Plus1,2,IF(Demand!C39&lt;Sigma2Minus1,-2,IF(Demand!C39&lt;Mean1,-1,1))),IF(Demand!C39&gt;Sigma2Plus2,2,IF(Demand!C39&lt;Sigma2Minus2,-2,IF(Demand!C39&lt;Mean2,-1,1)))))</f>
        <v>-1</v>
      </c>
      <c r="D16" s="34" t="e">
        <f ca="1">IF(AND(ABS(SUM(C16:C18))&gt;4,P16&lt;ROWS(ReferralsRange)),Demand!C39,NA())</f>
        <v>#N/A</v>
      </c>
      <c r="E16" s="34">
        <f ca="1">IF(Split=0,IF(Demand!C39&gt;Sigma1Plus,2,IF(Demand!C39&lt;Sigma1Minus,-2,IF(Demand!C39&lt;Mean,-1,1))),IF(Split&gt;=P16,IF(Demand!C39&gt;Sigma1Plus1,2,IF(Demand!C39&lt;Sigma1Minus1,-2,IF(Demand!C39&lt;Mean1,-1,1))),IF(Demand!C39&gt;Sigma1Plus2,2,IF(Demand!C39&lt;Sigma1Minus2,-2,IF(Demand!C39&lt;Mean,-1,1)))))</f>
        <v>-1</v>
      </c>
      <c r="F16" s="34" t="e">
        <f ca="1">IF(AND(ABS(SUM(E16:E20))&gt;8,P16&lt;ROWS(ReferralsRange)),Demand!C39,NA())</f>
        <v>#N/A</v>
      </c>
      <c r="G16" s="34">
        <f ca="1"/>
        <v>0</v>
      </c>
      <c r="H16" s="34" t="e">
        <f ca="1">IF(AND(ABS(G24)=8,P16&lt;ROWS(ReferralsRange)),Demand!C39,NA())</f>
        <v>#N/A</v>
      </c>
      <c r="I16" s="34">
        <f ca="1"/>
        <v>186.47064512458758</v>
      </c>
      <c r="J16" s="34">
        <f ca="1"/>
        <v>170.43497553760383</v>
      </c>
      <c r="K16" s="34">
        <f ca="1"/>
        <v>154.39930595062012</v>
      </c>
      <c r="L16" s="34">
        <f ca="1"/>
        <v>138.36363636363637</v>
      </c>
      <c r="M16" s="34">
        <f ca="1"/>
        <v>122.32796677665264</v>
      </c>
      <c r="N16" s="34">
        <f ca="1"/>
        <v>106.29229718966891</v>
      </c>
      <c r="O16" s="34">
        <f ca="1"/>
        <v>90.256627602685171</v>
      </c>
      <c r="P16" s="143">
        <f ca="1"/>
        <v>15</v>
      </c>
      <c r="Q16" s="145"/>
      <c r="R16" s="148"/>
      <c r="S16" s="148"/>
      <c r="T16" s="148"/>
      <c r="U16" s="148"/>
      <c r="V16" s="148"/>
      <c r="W16" s="148"/>
      <c r="X16" s="148"/>
      <c r="Y16" s="148"/>
      <c r="Z16" s="148"/>
      <c r="AA16" s="148"/>
      <c r="AB16" s="148"/>
      <c r="AC16" s="148"/>
      <c r="AD16" s="148"/>
      <c r="AE16" s="149"/>
    </row>
    <row r="17" spans="1:31" x14ac:dyDescent="0.25">
      <c r="A17" s="34">
        <f ca="1"/>
        <v>27</v>
      </c>
      <c r="B17" s="34" t="e">
        <f ca="1">IF(Split=0,IF(OR(Demand!C40&gt;UCL,Demand!C40&lt;LCL),Demand!C40,NA()),IF(Split&gt;=P17,IF(OR(Demand!C40&gt;_UCL1,Demand!C40&lt;_LCL1),Demand!C40,NA()),IF(OR(Demand!C40&gt;_UCL2,Demand!C40&lt;_LCL2),Demand!C40,NA())))</f>
        <v>#N/A</v>
      </c>
      <c r="C17" s="34">
        <f ca="1">IF(Split=0,IF(Demand!C40&gt;Sigma2Plus,2,IF(Demand!C40&lt;Sigma2Minus,-2,IF(Demand!C40&lt;Mean,-1,1))),IF(Split&gt;=P17,IF(Demand!C40&gt;Sigma2Plus1,2,IF(Demand!C40&lt;Sigma2Minus1,-2,IF(Demand!C40&lt;Mean1,-1,1))),IF(Demand!C40&gt;Sigma2Plus2,2,IF(Demand!C40&lt;Sigma2Minus2,-2,IF(Demand!C40&lt;Mean2,-1,1)))))</f>
        <v>-2</v>
      </c>
      <c r="D17" s="34" t="e">
        <f ca="1">IF(AND(ABS(SUM(C17:C19))&gt;4,P17&lt;ROWS(ReferralsRange)),Demand!C40,NA())</f>
        <v>#N/A</v>
      </c>
      <c r="E17" s="34">
        <f ca="1">IF(Split=0,IF(Demand!C40&gt;Sigma1Plus,2,IF(Demand!C40&lt;Sigma1Minus,-2,IF(Demand!C40&lt;Mean,-1,1))),IF(Split&gt;=P17,IF(Demand!C40&gt;Sigma1Plus1,2,IF(Demand!C40&lt;Sigma1Minus1,-2,IF(Demand!C40&lt;Mean1,-1,1))),IF(Demand!C40&gt;Sigma1Plus2,2,IF(Demand!C40&lt;Sigma1Minus2,-2,IF(Demand!C40&lt;Mean,-1,1)))))</f>
        <v>-2</v>
      </c>
      <c r="F17" s="34" t="e">
        <f ca="1">IF(AND(ABS(SUM(E17:E21))&gt;8,P17&lt;ROWS(ReferralsRange)),Demand!C40,NA())</f>
        <v>#N/A</v>
      </c>
      <c r="G17" s="34">
        <f ca="1"/>
        <v>-1</v>
      </c>
      <c r="H17" s="34" t="e">
        <f ca="1">IF(AND(ABS(G25)=8,P17&lt;ROWS(ReferralsRange)),Demand!C40,NA())</f>
        <v>#N/A</v>
      </c>
      <c r="I17" s="34">
        <f ca="1"/>
        <v>186.47064512458758</v>
      </c>
      <c r="J17" s="34">
        <f ca="1"/>
        <v>170.43497553760383</v>
      </c>
      <c r="K17" s="34">
        <f ca="1"/>
        <v>154.39930595062012</v>
      </c>
      <c r="L17" s="34">
        <f ca="1"/>
        <v>138.36363636363637</v>
      </c>
      <c r="M17" s="34">
        <f ca="1"/>
        <v>122.32796677665264</v>
      </c>
      <c r="N17" s="34">
        <f ca="1"/>
        <v>106.29229718966891</v>
      </c>
      <c r="O17" s="34">
        <f ca="1"/>
        <v>90.256627602685171</v>
      </c>
      <c r="P17" s="143">
        <f ca="1"/>
        <v>16</v>
      </c>
      <c r="Q17" s="145"/>
      <c r="R17" s="148"/>
      <c r="S17" s="148"/>
      <c r="T17" s="148"/>
      <c r="U17" s="148"/>
      <c r="V17" s="148"/>
      <c r="W17" s="148"/>
      <c r="X17" s="148"/>
      <c r="Y17" s="148"/>
      <c r="Z17" s="148"/>
      <c r="AA17" s="148"/>
      <c r="AB17" s="148"/>
      <c r="AC17" s="148"/>
      <c r="AD17" s="148"/>
      <c r="AE17" s="149"/>
    </row>
    <row r="18" spans="1:31" x14ac:dyDescent="0.25">
      <c r="A18" s="34">
        <f ca="1"/>
        <v>46</v>
      </c>
      <c r="B18" s="34" t="e">
        <f ca="1">IF(Split=0,IF(OR(Demand!C41&gt;UCL,Demand!C41&lt;LCL),Demand!C41,NA()),IF(Split&gt;=P18,IF(OR(Demand!C41&gt;_UCL1,Demand!C41&lt;_LCL1),Demand!C41,NA()),IF(OR(Demand!C41&gt;_UCL2,Demand!C41&lt;_LCL2),Demand!C41,NA())))</f>
        <v>#N/A</v>
      </c>
      <c r="C18" s="34">
        <f ca="1">IF(Split=0,IF(Demand!C41&gt;Sigma2Plus,2,IF(Demand!C41&lt;Sigma2Minus,-2,IF(Demand!C41&lt;Mean,-1,1))),IF(Split&gt;=P18,IF(Demand!C41&gt;Sigma2Plus1,2,IF(Demand!C41&lt;Sigma2Minus1,-2,IF(Demand!C41&lt;Mean1,-1,1))),IF(Demand!C41&gt;Sigma2Plus2,2,IF(Demand!C41&lt;Sigma2Minus2,-2,IF(Demand!C41&lt;Mean2,-1,1)))))</f>
        <v>1</v>
      </c>
      <c r="D18" s="34" t="e">
        <f ca="1">IF(AND(ABS(SUM(C18:C20))&gt;4,P18&lt;ROWS(ReferralsRange)),Demand!C41,NA())</f>
        <v>#N/A</v>
      </c>
      <c r="E18" s="34">
        <f ca="1">IF(Split=0,IF(Demand!C41&gt;Sigma1Plus,2,IF(Demand!C41&lt;Sigma1Minus,-2,IF(Demand!C41&lt;Mean,-1,1))),IF(Split&gt;=P18,IF(Demand!C41&gt;Sigma1Plus1,2,IF(Demand!C41&lt;Sigma1Minus1,-2,IF(Demand!C41&lt;Mean1,-1,1))),IF(Demand!C41&gt;Sigma1Plus2,2,IF(Demand!C41&lt;Sigma1Minus2,-2,IF(Demand!C41&lt;Mean,-1,1)))))</f>
        <v>1</v>
      </c>
      <c r="F18" s="34" t="e">
        <f ca="1">IF(AND(ABS(SUM(E18:E22))&gt;8,P18&lt;ROWS(ReferralsRange)),Demand!C41,NA())</f>
        <v>#N/A</v>
      </c>
      <c r="G18" s="34">
        <f ca="1"/>
        <v>0</v>
      </c>
      <c r="H18" s="34" t="e">
        <f ca="1">IF(AND(ABS(G26)=8,P18&lt;ROWS(ReferralsRange)),Demand!C41,NA())</f>
        <v>#N/A</v>
      </c>
      <c r="I18" s="34">
        <f ca="1"/>
        <v>186.47064512458758</v>
      </c>
      <c r="J18" s="34">
        <f ca="1"/>
        <v>170.43497553760383</v>
      </c>
      <c r="K18" s="34">
        <f ca="1"/>
        <v>154.39930595062012</v>
      </c>
      <c r="L18" s="34">
        <f ca="1"/>
        <v>138.36363636363637</v>
      </c>
      <c r="M18" s="34">
        <f ca="1"/>
        <v>122.32796677665264</v>
      </c>
      <c r="N18" s="34">
        <f ca="1"/>
        <v>106.29229718966891</v>
      </c>
      <c r="O18" s="34">
        <f ca="1"/>
        <v>90.256627602685171</v>
      </c>
      <c r="P18" s="143">
        <f ca="1"/>
        <v>17</v>
      </c>
      <c r="Q18" s="145"/>
      <c r="R18" s="148"/>
      <c r="S18" s="148"/>
      <c r="T18" s="148"/>
      <c r="U18" s="148"/>
      <c r="V18" s="148"/>
      <c r="W18" s="148"/>
      <c r="X18" s="148"/>
      <c r="Y18" s="148"/>
      <c r="Z18" s="148"/>
      <c r="AA18" s="148"/>
      <c r="AB18" s="148"/>
      <c r="AC18" s="148"/>
      <c r="AD18" s="148"/>
      <c r="AE18" s="149"/>
    </row>
    <row r="19" spans="1:31" x14ac:dyDescent="0.25">
      <c r="A19" s="34">
        <f ca="1"/>
        <v>21</v>
      </c>
      <c r="B19" s="34" t="e">
        <f ca="1">IF(Split=0,IF(OR(Demand!C42&gt;UCL,Demand!C42&lt;LCL),Demand!C42,NA()),IF(Split&gt;=P19,IF(OR(Demand!C42&gt;_UCL1,Demand!C42&lt;_LCL1),Demand!C42,NA()),IF(OR(Demand!C42&gt;_UCL2,Demand!C42&lt;_LCL2),Demand!C42,NA())))</f>
        <v>#N/A</v>
      </c>
      <c r="C19" s="34">
        <f ca="1">IF(Split=0,IF(Demand!C42&gt;Sigma2Plus,2,IF(Demand!C42&lt;Sigma2Minus,-2,IF(Demand!C42&lt;Mean,-1,1))),IF(Split&gt;=P19,IF(Demand!C42&gt;Sigma2Plus1,2,IF(Demand!C42&lt;Sigma2Minus1,-2,IF(Demand!C42&lt;Mean1,-1,1))),IF(Demand!C42&gt;Sigma2Plus2,2,IF(Demand!C42&lt;Sigma2Minus2,-2,IF(Demand!C42&lt;Mean2,-1,1)))))</f>
        <v>1</v>
      </c>
      <c r="D19" s="34" t="e">
        <f ca="1">IF(AND(ABS(SUM(C19:C21))&gt;4,P19&lt;ROWS(ReferralsRange)),Demand!C42,NA())</f>
        <v>#N/A</v>
      </c>
      <c r="E19" s="34">
        <f ca="1">IF(Split=0,IF(Demand!C42&gt;Sigma1Plus,2,IF(Demand!C42&lt;Sigma1Minus,-2,IF(Demand!C42&lt;Mean,-1,1))),IF(Split&gt;=P19,IF(Demand!C42&gt;Sigma1Plus1,2,IF(Demand!C42&lt;Sigma1Minus1,-2,IF(Demand!C42&lt;Mean1,-1,1))),IF(Demand!C42&gt;Sigma1Plus2,2,IF(Demand!C42&lt;Sigma1Minus2,-2,IF(Demand!C42&lt;Mean,-1,1)))))</f>
        <v>2</v>
      </c>
      <c r="F19" s="34" t="e">
        <f ca="1">IF(AND(ABS(SUM(E19:E23))&gt;8,P19&lt;ROWS(ReferralsRange)),Demand!C42,NA())</f>
        <v>#N/A</v>
      </c>
      <c r="G19" s="34">
        <f ca="1"/>
        <v>1</v>
      </c>
      <c r="H19" s="34" t="e">
        <f ca="1">IF(AND(ABS(G27)=8,P19&lt;ROWS(ReferralsRange)),Demand!C42,NA())</f>
        <v>#N/A</v>
      </c>
      <c r="I19" s="34">
        <f ca="1"/>
        <v>186.47064512458758</v>
      </c>
      <c r="J19" s="34">
        <f ca="1"/>
        <v>170.43497553760383</v>
      </c>
      <c r="K19" s="34">
        <f ca="1"/>
        <v>154.39930595062012</v>
      </c>
      <c r="L19" s="34">
        <f ca="1"/>
        <v>138.36363636363637</v>
      </c>
      <c r="M19" s="34">
        <f ca="1"/>
        <v>122.32796677665264</v>
      </c>
      <c r="N19" s="34">
        <f ca="1"/>
        <v>106.29229718966891</v>
      </c>
      <c r="O19" s="34">
        <f ca="1"/>
        <v>90.256627602685171</v>
      </c>
      <c r="P19" s="143">
        <f ca="1"/>
        <v>18</v>
      </c>
      <c r="Q19" s="145"/>
      <c r="R19" s="148"/>
      <c r="S19" s="148"/>
      <c r="T19" s="148"/>
      <c r="U19" s="148"/>
      <c r="V19" s="148"/>
      <c r="W19" s="148"/>
      <c r="X19" s="148"/>
      <c r="Y19" s="148"/>
      <c r="Z19" s="148"/>
      <c r="AA19" s="148"/>
      <c r="AB19" s="148"/>
      <c r="AC19" s="148"/>
      <c r="AD19" s="148"/>
      <c r="AE19" s="149"/>
    </row>
    <row r="20" spans="1:31" x14ac:dyDescent="0.25">
      <c r="A20" s="34">
        <f ca="1"/>
        <v>51</v>
      </c>
      <c r="B20" s="34" t="e">
        <f ca="1">IF(Split=0,IF(OR(Demand!C43&gt;UCL,Demand!C43&lt;LCL),Demand!C43,NA()),IF(Split&gt;=P20,IF(OR(Demand!C43&gt;_UCL1,Demand!C43&lt;_LCL1),Demand!C43,NA()),IF(OR(Demand!C43&gt;_UCL2,Demand!C43&lt;_LCL2),Demand!C43,NA())))</f>
        <v>#N/A</v>
      </c>
      <c r="C20" s="34">
        <f ca="1">IF(Split=0,IF(Demand!C43&gt;Sigma2Plus,2,IF(Demand!C43&lt;Sigma2Minus,-2,IF(Demand!C43&lt;Mean,-1,1))),IF(Split&gt;=P20,IF(Demand!C43&gt;Sigma2Plus1,2,IF(Demand!C43&lt;Sigma2Minus1,-2,IF(Demand!C43&lt;Mean1,-1,1))),IF(Demand!C43&gt;Sigma2Plus2,2,IF(Demand!C43&lt;Sigma2Minus2,-2,IF(Demand!C43&lt;Mean2,-1,1)))))</f>
        <v>-1</v>
      </c>
      <c r="D20" s="34" t="e">
        <f ca="1">IF(AND(ABS(SUM(C20:C22))&gt;4,P20&lt;ROWS(ReferralsRange)),Demand!C43,NA())</f>
        <v>#N/A</v>
      </c>
      <c r="E20" s="34">
        <f ca="1">IF(Split=0,IF(Demand!C43&gt;Sigma1Plus,2,IF(Demand!C43&lt;Sigma1Minus,-2,IF(Demand!C43&lt;Mean,-1,1))),IF(Split&gt;=P20,IF(Demand!C43&gt;Sigma1Plus1,2,IF(Demand!C43&lt;Sigma1Minus1,-2,IF(Demand!C43&lt;Mean1,-1,1))),IF(Demand!C43&gt;Sigma1Plus2,2,IF(Demand!C43&lt;Sigma1Minus2,-2,IF(Demand!C43&lt;Mean,-1,1)))))</f>
        <v>-2</v>
      </c>
      <c r="F20" s="34" t="e">
        <f ca="1">IF(AND(ABS(SUM(E20:E24))&gt;8,P20&lt;ROWS(ReferralsRange)),Demand!C43,NA())</f>
        <v>#N/A</v>
      </c>
      <c r="G20" s="34">
        <f ca="1"/>
        <v>0</v>
      </c>
      <c r="H20" s="34" t="e">
        <f ca="1">IF(AND(ABS(G28)=8,P20&lt;ROWS(ReferralsRange)),Demand!C43,NA())</f>
        <v>#N/A</v>
      </c>
      <c r="I20" s="34">
        <f ca="1"/>
        <v>186.47064512458758</v>
      </c>
      <c r="J20" s="34">
        <f ca="1"/>
        <v>170.43497553760383</v>
      </c>
      <c r="K20" s="34">
        <f ca="1"/>
        <v>154.39930595062012</v>
      </c>
      <c r="L20" s="34">
        <f ca="1"/>
        <v>138.36363636363637</v>
      </c>
      <c r="M20" s="34">
        <f ca="1"/>
        <v>122.32796677665264</v>
      </c>
      <c r="N20" s="34">
        <f ca="1"/>
        <v>106.29229718966891</v>
      </c>
      <c r="O20" s="34">
        <f ca="1"/>
        <v>90.256627602685171</v>
      </c>
      <c r="P20" s="143">
        <f ca="1"/>
        <v>19</v>
      </c>
      <c r="Q20" s="145"/>
      <c r="R20" s="148"/>
      <c r="S20" s="148"/>
      <c r="T20" s="148"/>
      <c r="U20" s="148"/>
      <c r="V20" s="148"/>
      <c r="W20" s="148"/>
      <c r="X20" s="148"/>
      <c r="Y20" s="148"/>
      <c r="Z20" s="148"/>
      <c r="AA20" s="148"/>
      <c r="AB20" s="148"/>
      <c r="AC20" s="148"/>
      <c r="AD20" s="148"/>
      <c r="AE20" s="149"/>
    </row>
    <row r="21" spans="1:31" x14ac:dyDescent="0.25">
      <c r="A21" s="34">
        <f ca="1"/>
        <v>34</v>
      </c>
      <c r="B21" s="34" t="e">
        <f ca="1">IF(Split=0,IF(OR(Demand!C44&gt;UCL,Demand!C44&lt;LCL),Demand!C44,NA()),IF(Split&gt;=P21,IF(OR(Demand!C44&gt;_UCL1,Demand!C44&lt;_LCL1),Demand!C44,NA()),IF(OR(Demand!C44&gt;_UCL2,Demand!C44&lt;_LCL2),Demand!C44,NA())))</f>
        <v>#N/A</v>
      </c>
      <c r="C21" s="34">
        <f ca="1">IF(Split=0,IF(Demand!C44&gt;Sigma2Plus,2,IF(Demand!C44&lt;Sigma2Minus,-2,IF(Demand!C44&lt;Mean,-1,1))),IF(Split&gt;=P21,IF(Demand!C44&gt;Sigma2Plus1,2,IF(Demand!C44&lt;Sigma2Minus1,-2,IF(Demand!C44&lt;Mean1,-1,1))),IF(Demand!C44&gt;Sigma2Plus2,2,IF(Demand!C44&lt;Sigma2Minus2,-2,IF(Demand!C44&lt;Mean2,-1,1)))))</f>
        <v>1</v>
      </c>
      <c r="D21" s="34" t="e">
        <f ca="1">IF(AND(ABS(SUM(C21:C23))&gt;4,P21&lt;ROWS(ReferralsRange)),Demand!C44,NA())</f>
        <v>#N/A</v>
      </c>
      <c r="E21" s="34">
        <f ca="1">IF(Split=0,IF(Demand!C44&gt;Sigma1Plus,2,IF(Demand!C44&lt;Sigma1Minus,-2,IF(Demand!C44&lt;Mean,-1,1))),IF(Split&gt;=P21,IF(Demand!C44&gt;Sigma1Plus1,2,IF(Demand!C44&lt;Sigma1Minus1,-2,IF(Demand!C44&lt;Mean1,-1,1))),IF(Demand!C44&gt;Sigma1Plus2,2,IF(Demand!C44&lt;Sigma1Minus2,-2,IF(Demand!C44&lt;Mean,-1,1)))))</f>
        <v>1</v>
      </c>
      <c r="F21" s="34" t="e">
        <f ca="1">IF(AND(ABS(SUM(E21:E25))&gt;8,P21&lt;ROWS(ReferralsRange)),Demand!C44,NA())</f>
        <v>#N/A</v>
      </c>
      <c r="G21" s="34">
        <f ca="1"/>
        <v>1</v>
      </c>
      <c r="H21" s="34" t="e">
        <f ca="1">IF(AND(ABS(G29)=8,P21&lt;ROWS(ReferralsRange)),Demand!C44,NA())</f>
        <v>#N/A</v>
      </c>
      <c r="I21" s="34">
        <f ca="1"/>
        <v>186.47064512458758</v>
      </c>
      <c r="J21" s="34">
        <f ca="1"/>
        <v>170.43497553760383</v>
      </c>
      <c r="K21" s="34">
        <f ca="1"/>
        <v>154.39930595062012</v>
      </c>
      <c r="L21" s="34">
        <f ca="1"/>
        <v>138.36363636363637</v>
      </c>
      <c r="M21" s="34">
        <f ca="1"/>
        <v>122.32796677665264</v>
      </c>
      <c r="N21" s="34">
        <f ca="1"/>
        <v>106.29229718966891</v>
      </c>
      <c r="O21" s="34">
        <f ca="1"/>
        <v>90.256627602685171</v>
      </c>
      <c r="P21" s="143">
        <f ca="1"/>
        <v>20</v>
      </c>
      <c r="Q21" s="145"/>
      <c r="R21" s="148"/>
      <c r="S21" s="148"/>
      <c r="T21" s="148"/>
      <c r="U21" s="148"/>
      <c r="V21" s="148"/>
      <c r="W21" s="148"/>
      <c r="X21" s="148"/>
      <c r="Y21" s="148"/>
      <c r="Z21" s="148"/>
      <c r="AA21" s="148"/>
      <c r="AB21" s="148"/>
      <c r="AC21" s="148"/>
      <c r="AD21" s="148"/>
      <c r="AE21" s="149"/>
    </row>
    <row r="22" spans="1:31" x14ac:dyDescent="0.25">
      <c r="A22" s="34">
        <f ca="1"/>
        <v>7</v>
      </c>
      <c r="B22" s="34" t="e">
        <f ca="1">IF(Split=0,IF(OR(Demand!C45&gt;UCL,Demand!C45&lt;LCL),Demand!C45,NA()),IF(Split&gt;=P22,IF(OR(Demand!C45&gt;_UCL1,Demand!C45&lt;_LCL1),Demand!C45,NA()),IF(OR(Demand!C45&gt;_UCL2,Demand!C45&lt;_LCL2),Demand!C45,NA())))</f>
        <v>#N/A</v>
      </c>
      <c r="C22" s="34">
        <f ca="1">IF(Split=0,IF(Demand!C45&gt;Sigma2Plus,2,IF(Demand!C45&lt;Sigma2Minus,-2,IF(Demand!C45&lt;Mean,-1,1))),IF(Split&gt;=P22,IF(Demand!C45&gt;Sigma2Plus1,2,IF(Demand!C45&lt;Sigma2Minus1,-2,IF(Demand!C45&lt;Mean1,-1,1))),IF(Demand!C45&gt;Sigma2Plus2,2,IF(Demand!C45&lt;Sigma2Minus2,-2,IF(Demand!C45&lt;Mean2,-1,1)))))</f>
        <v>1</v>
      </c>
      <c r="D22" s="34" t="e">
        <f ca="1">IF(AND(ABS(SUM(C22:C24))&gt;4,P22&lt;ROWS(ReferralsRange)),Demand!C45,NA())</f>
        <v>#N/A</v>
      </c>
      <c r="E22" s="34">
        <f ca="1">IF(Split=0,IF(Demand!C45&gt;Sigma1Plus,2,IF(Demand!C45&lt;Sigma1Minus,-2,IF(Demand!C45&lt;Mean,-1,1))),IF(Split&gt;=P22,IF(Demand!C45&gt;Sigma1Plus1,2,IF(Demand!C45&lt;Sigma1Minus1,-2,IF(Demand!C45&lt;Mean1,-1,1))),IF(Demand!C45&gt;Sigma1Plus2,2,IF(Demand!C45&lt;Sigma1Minus2,-2,IF(Demand!C45&lt;Mean,-1,1)))))</f>
        <v>2</v>
      </c>
      <c r="F22" s="34" t="e">
        <f ca="1">IF(AND(ABS(SUM(E22:E26))&gt;8,P22&lt;ROWS(ReferralsRange)),Demand!C45,NA())</f>
        <v>#N/A</v>
      </c>
      <c r="G22" s="34">
        <f ca="1"/>
        <v>2</v>
      </c>
      <c r="H22" s="34" t="e">
        <f ca="1">IF(AND(ABS(G30)=8,P22&lt;ROWS(ReferralsRange)),Demand!C45,NA())</f>
        <v>#N/A</v>
      </c>
      <c r="I22" s="34">
        <f ca="1"/>
        <v>186.47064512458758</v>
      </c>
      <c r="J22" s="34">
        <f ca="1"/>
        <v>170.43497553760383</v>
      </c>
      <c r="K22" s="34">
        <f ca="1"/>
        <v>154.39930595062012</v>
      </c>
      <c r="L22" s="34">
        <f ca="1"/>
        <v>138.36363636363637</v>
      </c>
      <c r="M22" s="34">
        <f ca="1"/>
        <v>122.32796677665264</v>
      </c>
      <c r="N22" s="34">
        <f ca="1"/>
        <v>106.29229718966891</v>
      </c>
      <c r="O22" s="34">
        <f ca="1"/>
        <v>90.256627602685171</v>
      </c>
      <c r="P22" s="143">
        <f ca="1"/>
        <v>21</v>
      </c>
      <c r="Q22" s="145"/>
      <c r="R22" s="148"/>
      <c r="S22" s="148"/>
      <c r="T22" s="148"/>
      <c r="U22" s="148"/>
      <c r="V22" s="148"/>
      <c r="W22" s="148"/>
      <c r="X22" s="148"/>
      <c r="Y22" s="148"/>
      <c r="Z22" s="148"/>
      <c r="AA22" s="148"/>
      <c r="AB22" s="148"/>
      <c r="AC22" s="148"/>
      <c r="AD22" s="148"/>
      <c r="AE22" s="149"/>
    </row>
    <row r="23" spans="1:31" x14ac:dyDescent="0.25">
      <c r="A23" s="34">
        <f ca="1"/>
        <v>13</v>
      </c>
      <c r="B23" s="34" t="e">
        <f ca="1">IF(Split=0,IF(OR(Demand!C46&gt;UCL,Demand!C46&lt;LCL),Demand!C46,NA()),IF(Split&gt;=P23,IF(OR(Demand!C46&gt;_UCL1,Demand!C46&lt;_LCL1),Demand!C46,NA()),IF(OR(Demand!C46&gt;_UCL2,Demand!C46&lt;_LCL2),Demand!C46,NA())))</f>
        <v>#N/A</v>
      </c>
      <c r="C23" s="34">
        <f ca="1">IF(Split=0,IF(Demand!C46&gt;Sigma2Plus,2,IF(Demand!C46&lt;Sigma2Minus,-2,IF(Demand!C46&lt;Mean,-1,1))),IF(Split&gt;=P23,IF(Demand!C46&gt;Sigma2Plus1,2,IF(Demand!C46&lt;Sigma2Minus1,-2,IF(Demand!C46&lt;Mean1,-1,1))),IF(Demand!C46&gt;Sigma2Plus2,2,IF(Demand!C46&lt;Sigma2Minus2,-2,IF(Demand!C46&lt;Mean2,-1,1)))))</f>
        <v>1</v>
      </c>
      <c r="D23" s="34" t="e">
        <f ca="1">IF(AND(ABS(SUM(C23:C25))&gt;4,P23&lt;ROWS(ReferralsRange)),Demand!C46,NA())</f>
        <v>#N/A</v>
      </c>
      <c r="E23" s="34">
        <f ca="1">IF(Split=0,IF(Demand!C46&gt;Sigma1Plus,2,IF(Demand!C46&lt;Sigma1Minus,-2,IF(Demand!C46&lt;Mean,-1,1))),IF(Split&gt;=P23,IF(Demand!C46&gt;Sigma1Plus1,2,IF(Demand!C46&lt;Sigma1Minus1,-2,IF(Demand!C46&lt;Mean1,-1,1))),IF(Demand!C46&gt;Sigma1Plus2,2,IF(Demand!C46&lt;Sigma1Minus2,-2,IF(Demand!C46&lt;Mean,-1,1)))))</f>
        <v>1</v>
      </c>
      <c r="F23" s="34" t="e">
        <f ca="1">IF(AND(ABS(SUM(E23:E27))&gt;8,P23&lt;ROWS(ReferralsRange)),Demand!C46,NA())</f>
        <v>#N/A</v>
      </c>
      <c r="G23" s="34">
        <f ca="1"/>
        <v>3</v>
      </c>
      <c r="H23" s="34" t="e">
        <f ca="1">IF(AND(ABS(G31)=8,P23&lt;ROWS(ReferralsRange)),Demand!C46,NA())</f>
        <v>#N/A</v>
      </c>
      <c r="I23" s="34">
        <f ca="1"/>
        <v>186.47064512458758</v>
      </c>
      <c r="J23" s="34">
        <f ca="1"/>
        <v>170.43497553760383</v>
      </c>
      <c r="K23" s="34">
        <f ca="1"/>
        <v>154.39930595062012</v>
      </c>
      <c r="L23" s="34">
        <f ca="1"/>
        <v>138.36363636363637</v>
      </c>
      <c r="M23" s="34">
        <f ca="1"/>
        <v>122.32796677665264</v>
      </c>
      <c r="N23" s="34">
        <f ca="1"/>
        <v>106.29229718966891</v>
      </c>
      <c r="O23" s="34">
        <f ca="1"/>
        <v>90.256627602685171</v>
      </c>
      <c r="P23" s="143">
        <f ca="1"/>
        <v>22</v>
      </c>
      <c r="Q23" s="145"/>
      <c r="R23" s="148"/>
      <c r="S23" s="148"/>
      <c r="T23" s="148"/>
      <c r="U23" s="148"/>
      <c r="V23" s="148"/>
      <c r="W23" s="148"/>
      <c r="X23" s="148"/>
      <c r="Y23" s="148"/>
      <c r="Z23" s="148"/>
      <c r="AA23" s="148"/>
      <c r="AB23" s="148"/>
      <c r="AC23" s="148"/>
      <c r="AD23" s="148"/>
      <c r="AE23" s="149"/>
    </row>
    <row r="24" spans="1:31" x14ac:dyDescent="0.25">
      <c r="A24" s="34">
        <f ca="1"/>
        <v>2</v>
      </c>
      <c r="B24" s="34" t="e">
        <f ca="1">IF(Split=0,IF(OR(Demand!C47&gt;UCL,Demand!C47&lt;LCL),Demand!C47,NA()),IF(Split&gt;=P24,IF(OR(Demand!C47&gt;_UCL1,Demand!C47&lt;_LCL1),Demand!C47,NA()),IF(OR(Demand!C47&gt;_UCL2,Demand!C47&lt;_LCL2),Demand!C47,NA())))</f>
        <v>#N/A</v>
      </c>
      <c r="C24" s="34">
        <f ca="1">IF(Split=0,IF(Demand!C47&gt;Sigma2Plus,2,IF(Demand!C47&lt;Sigma2Minus,-2,IF(Demand!C47&lt;Mean,-1,1))),IF(Split&gt;=P24,IF(Demand!C47&gt;Sigma2Plus1,2,IF(Demand!C47&lt;Sigma2Minus1,-2,IF(Demand!C47&lt;Mean1,-1,1))),IF(Demand!C47&gt;Sigma2Plus2,2,IF(Demand!C47&lt;Sigma2Minus2,-2,IF(Demand!C47&lt;Mean2,-1,1)))))</f>
        <v>1</v>
      </c>
      <c r="D24" s="34" t="e">
        <f ca="1">IF(AND(ABS(SUM(C24:C26))&gt;4,P24&lt;ROWS(ReferralsRange)),Demand!C47,NA())</f>
        <v>#N/A</v>
      </c>
      <c r="E24" s="34">
        <f ca="1">IF(Split=0,IF(Demand!C47&gt;Sigma1Plus,2,IF(Demand!C47&lt;Sigma1Minus,-2,IF(Demand!C47&lt;Mean,-1,1))),IF(Split&gt;=P24,IF(Demand!C47&gt;Sigma1Plus1,2,IF(Demand!C47&lt;Sigma1Minus1,-2,IF(Demand!C47&lt;Mean1,-1,1))),IF(Demand!C47&gt;Sigma1Plus2,2,IF(Demand!C47&lt;Sigma1Minus2,-2,IF(Demand!C47&lt;Mean,-1,1)))))</f>
        <v>1</v>
      </c>
      <c r="F24" s="34" t="e">
        <f ca="1">IF(AND(ABS(SUM(E24:E28))&gt;8,P24&lt;ROWS(ReferralsRange)),Demand!C47,NA())</f>
        <v>#N/A</v>
      </c>
      <c r="G24" s="34">
        <f ca="1"/>
        <v>4</v>
      </c>
      <c r="H24" s="34" t="e">
        <f ca="1">IF(AND(ABS(G32)=8,P24&lt;ROWS(ReferralsRange)),Demand!C47,NA())</f>
        <v>#N/A</v>
      </c>
      <c r="I24" s="34">
        <f ca="1"/>
        <v>186.47064512458758</v>
      </c>
      <c r="J24" s="34">
        <f ca="1"/>
        <v>170.43497553760383</v>
      </c>
      <c r="K24" s="34">
        <f ca="1"/>
        <v>154.39930595062012</v>
      </c>
      <c r="L24" s="34">
        <f ca="1"/>
        <v>138.36363636363637</v>
      </c>
      <c r="M24" s="34">
        <f ca="1"/>
        <v>122.32796677665264</v>
      </c>
      <c r="N24" s="34">
        <f ca="1"/>
        <v>106.29229718966891</v>
      </c>
      <c r="O24" s="34">
        <f ca="1"/>
        <v>90.256627602685171</v>
      </c>
      <c r="P24" s="143">
        <f ca="1"/>
        <v>23</v>
      </c>
      <c r="Q24" s="145"/>
      <c r="R24" s="148"/>
      <c r="S24" s="148"/>
      <c r="T24" s="148"/>
      <c r="U24" s="148"/>
      <c r="V24" s="148"/>
      <c r="W24" s="148"/>
      <c r="X24" s="148"/>
      <c r="Y24" s="148"/>
      <c r="Z24" s="148"/>
      <c r="AA24" s="148"/>
      <c r="AB24" s="148"/>
      <c r="AC24" s="148"/>
      <c r="AD24" s="148"/>
      <c r="AE24" s="149"/>
    </row>
    <row r="25" spans="1:31" x14ac:dyDescent="0.25">
      <c r="A25" s="34">
        <f ca="1"/>
        <v>6</v>
      </c>
      <c r="B25" s="34" t="e">
        <f ca="1">IF(Split=0,IF(OR(Demand!C48&gt;UCL,Demand!C48&lt;LCL),Demand!C48,NA()),IF(Split&gt;=P25,IF(OR(Demand!C48&gt;_UCL1,Demand!C48&lt;_LCL1),Demand!C48,NA()),IF(OR(Demand!C48&gt;_UCL2,Demand!C48&lt;_LCL2),Demand!C48,NA())))</f>
        <v>#N/A</v>
      </c>
      <c r="C25" s="34">
        <f ca="1">IF(Split=0,IF(Demand!C48&gt;Sigma2Plus,2,IF(Demand!C48&lt;Sigma2Minus,-2,IF(Demand!C48&lt;Mean,-1,1))),IF(Split&gt;=P25,IF(Demand!C48&gt;Sigma2Plus1,2,IF(Demand!C48&lt;Sigma2Minus1,-2,IF(Demand!C48&lt;Mean1,-1,1))),IF(Demand!C48&gt;Sigma2Plus2,2,IF(Demand!C48&lt;Sigma2Minus2,-2,IF(Demand!C48&lt;Mean2,-1,1)))))</f>
        <v>-1</v>
      </c>
      <c r="D25" s="34" t="e">
        <f ca="1">IF(AND(ABS(SUM(C25:C27))&gt;4,P25&lt;ROWS(ReferralsRange)),Demand!C48,NA())</f>
        <v>#N/A</v>
      </c>
      <c r="E25" s="34">
        <f ca="1">IF(Split=0,IF(Demand!C48&gt;Sigma1Plus,2,IF(Demand!C48&lt;Sigma1Minus,-2,IF(Demand!C48&lt;Mean,-1,1))),IF(Split&gt;=P25,IF(Demand!C48&gt;Sigma1Plus1,2,IF(Demand!C48&lt;Sigma1Minus1,-2,IF(Demand!C48&lt;Mean1,-1,1))),IF(Demand!C48&gt;Sigma1Plus2,2,IF(Demand!C48&lt;Sigma1Minus2,-2,IF(Demand!C48&lt;Mean,-1,1)))))</f>
        <v>-1</v>
      </c>
      <c r="F25" s="34" t="e">
        <f ca="1">IF(AND(ABS(SUM(E25:E29))&gt;8,P25&lt;ROWS(ReferralsRange)),Demand!C48,NA())</f>
        <v>#N/A</v>
      </c>
      <c r="G25" s="34">
        <f ca="1"/>
        <v>0</v>
      </c>
      <c r="H25" s="34" t="e">
        <f ca="1">IF(AND(ABS(G33)=8,P25&lt;ROWS(ReferralsRange)),Demand!C48,NA())</f>
        <v>#N/A</v>
      </c>
      <c r="I25" s="34">
        <f ca="1"/>
        <v>186.47064512458758</v>
      </c>
      <c r="J25" s="34">
        <f ca="1"/>
        <v>170.43497553760383</v>
      </c>
      <c r="K25" s="34">
        <f ca="1"/>
        <v>154.39930595062012</v>
      </c>
      <c r="L25" s="34">
        <f ca="1"/>
        <v>138.36363636363637</v>
      </c>
      <c r="M25" s="34">
        <f ca="1"/>
        <v>122.32796677665264</v>
      </c>
      <c r="N25" s="34">
        <f ca="1"/>
        <v>106.29229718966891</v>
      </c>
      <c r="O25" s="34">
        <f ca="1"/>
        <v>90.256627602685171</v>
      </c>
      <c r="P25" s="143">
        <f ca="1"/>
        <v>24</v>
      </c>
      <c r="Q25" s="145"/>
      <c r="R25" s="148"/>
      <c r="S25" s="148"/>
      <c r="T25" s="148"/>
      <c r="U25" s="148"/>
      <c r="V25" s="148"/>
      <c r="W25" s="148"/>
      <c r="X25" s="148"/>
      <c r="Y25" s="148"/>
      <c r="Z25" s="148"/>
      <c r="AA25" s="148"/>
      <c r="AB25" s="148"/>
      <c r="AC25" s="148"/>
      <c r="AD25" s="148"/>
      <c r="AE25" s="149"/>
    </row>
    <row r="26" spans="1:31" x14ac:dyDescent="0.25">
      <c r="A26" s="34">
        <f ca="1"/>
        <v>7</v>
      </c>
      <c r="B26" s="34" t="e">
        <f ca="1">IF(Split=0,IF(OR(Demand!C49&gt;UCL,Demand!C49&lt;LCL),Demand!C49,NA()),IF(Split&gt;=P26,IF(OR(Demand!C49&gt;_UCL1,Demand!C49&lt;_LCL1),Demand!C49,NA()),IF(OR(Demand!C49&gt;_UCL2,Demand!C49&lt;_LCL2),Demand!C49,NA())))</f>
        <v>#N/A</v>
      </c>
      <c r="C26" s="34">
        <f ca="1">IF(Split=0,IF(Demand!C49&gt;Sigma2Plus,2,IF(Demand!C49&lt;Sigma2Minus,-2,IF(Demand!C49&lt;Mean,-1,1))),IF(Split&gt;=P26,IF(Demand!C49&gt;Sigma2Plus1,2,IF(Demand!C49&lt;Sigma2Minus1,-2,IF(Demand!C49&lt;Mean1,-1,1))),IF(Demand!C49&gt;Sigma2Plus2,2,IF(Demand!C49&lt;Sigma2Minus2,-2,IF(Demand!C49&lt;Mean2,-1,1)))))</f>
        <v>1</v>
      </c>
      <c r="D26" s="34" t="e">
        <f ca="1">IF(AND(ABS(SUM(C26:C28))&gt;4,P26&lt;ROWS(ReferralsRange)),Demand!C49,NA())</f>
        <v>#N/A</v>
      </c>
      <c r="E26" s="34">
        <f ca="1">IF(Split=0,IF(Demand!C49&gt;Sigma1Plus,2,IF(Demand!C49&lt;Sigma1Minus,-2,IF(Demand!C49&lt;Mean,-1,1))),IF(Split&gt;=P26,IF(Demand!C49&gt;Sigma1Plus1,2,IF(Demand!C49&lt;Sigma1Minus1,-2,IF(Demand!C49&lt;Mean1,-1,1))),IF(Demand!C49&gt;Sigma1Plus2,2,IF(Demand!C49&lt;Sigma1Minus2,-2,IF(Demand!C49&lt;Mean,-1,1)))))</f>
        <v>1</v>
      </c>
      <c r="F26" s="34" t="e">
        <f ca="1">IF(AND(ABS(SUM(E26:E30))&gt;8,P26&lt;ROWS(ReferralsRange)),Demand!C49,NA())</f>
        <v>#N/A</v>
      </c>
      <c r="G26" s="34">
        <f ca="1"/>
        <v>1</v>
      </c>
      <c r="H26" s="34" t="e">
        <f ca="1">IF(AND(ABS(G34)=8,P26&lt;ROWS(ReferralsRange)),Demand!C49,NA())</f>
        <v>#N/A</v>
      </c>
      <c r="I26" s="34">
        <f ca="1"/>
        <v>186.47064512458758</v>
      </c>
      <c r="J26" s="34">
        <f ca="1"/>
        <v>170.43497553760383</v>
      </c>
      <c r="K26" s="34">
        <f ca="1"/>
        <v>154.39930595062012</v>
      </c>
      <c r="L26" s="34">
        <f ca="1"/>
        <v>138.36363636363637</v>
      </c>
      <c r="M26" s="34">
        <f ca="1"/>
        <v>122.32796677665264</v>
      </c>
      <c r="N26" s="34">
        <f ca="1"/>
        <v>106.29229718966891</v>
      </c>
      <c r="O26" s="34">
        <f ca="1"/>
        <v>90.256627602685171</v>
      </c>
      <c r="P26" s="143">
        <f ca="1"/>
        <v>25</v>
      </c>
      <c r="Q26" s="145"/>
      <c r="R26" s="148"/>
      <c r="S26" s="148"/>
      <c r="T26" s="148"/>
      <c r="U26" s="148"/>
      <c r="V26" s="148"/>
      <c r="W26" s="148"/>
      <c r="X26" s="148"/>
      <c r="Y26" s="148"/>
      <c r="Z26" s="148"/>
      <c r="AA26" s="148"/>
      <c r="AB26" s="148"/>
      <c r="AC26" s="148"/>
      <c r="AD26" s="148"/>
      <c r="AE26" s="149"/>
    </row>
    <row r="27" spans="1:31" x14ac:dyDescent="0.25">
      <c r="A27" s="34">
        <f ca="1"/>
        <v>15</v>
      </c>
      <c r="B27" s="34" t="e">
        <f ca="1">IF(Split=0,IF(OR(Demand!C50&gt;UCL,Demand!C50&lt;LCL),Demand!C50,NA()),IF(Split&gt;=P27,IF(OR(Demand!C50&gt;_UCL1,Demand!C50&lt;_LCL1),Demand!C50,NA()),IF(OR(Demand!C50&gt;_UCL2,Demand!C50&lt;_LCL2),Demand!C50,NA())))</f>
        <v>#N/A</v>
      </c>
      <c r="C27" s="34">
        <f ca="1">IF(Split=0,IF(Demand!C50&gt;Sigma2Plus,2,IF(Demand!C50&lt;Sigma2Minus,-2,IF(Demand!C50&lt;Mean,-1,1))),IF(Split&gt;=P27,IF(Demand!C50&gt;Sigma2Plus1,2,IF(Demand!C50&lt;Sigma2Minus1,-2,IF(Demand!C50&lt;Mean1,-1,1))),IF(Demand!C50&gt;Sigma2Plus2,2,IF(Demand!C50&lt;Sigma2Minus2,-2,IF(Demand!C50&lt;Mean2,-1,1)))))</f>
        <v>-1</v>
      </c>
      <c r="D27" s="34" t="e">
        <f ca="1">IF(AND(ABS(SUM(C27:C29))&gt;4,P27&lt;ROWS(ReferralsRange)),Demand!C50,NA())</f>
        <v>#N/A</v>
      </c>
      <c r="E27" s="34">
        <f ca="1">IF(Split=0,IF(Demand!C50&gt;Sigma1Plus,2,IF(Demand!C50&lt;Sigma1Minus,-2,IF(Demand!C50&lt;Mean,-1,1))),IF(Split&gt;=P27,IF(Demand!C50&gt;Sigma1Plus1,2,IF(Demand!C50&lt;Sigma1Minus1,-2,IF(Demand!C50&lt;Mean1,-1,1))),IF(Demand!C50&gt;Sigma1Plus2,2,IF(Demand!C50&lt;Sigma1Minus2,-2,IF(Demand!C50&lt;Mean,-1,1)))))</f>
        <v>-1</v>
      </c>
      <c r="F27" s="34" t="e">
        <f ca="1">IF(AND(ABS(SUM(E27:E31))&gt;8,P27&lt;ROWS(ReferralsRange)),Demand!C50,NA())</f>
        <v>#N/A</v>
      </c>
      <c r="G27" s="34">
        <f ca="1"/>
        <v>0</v>
      </c>
      <c r="H27" s="34" t="e">
        <f ca="1">IF(AND(ABS(G35)=8,P27&lt;ROWS(ReferralsRange)),Demand!C50,NA())</f>
        <v>#N/A</v>
      </c>
      <c r="I27" s="34">
        <f ca="1"/>
        <v>186.47064512458758</v>
      </c>
      <c r="J27" s="34">
        <f ca="1"/>
        <v>170.43497553760383</v>
      </c>
      <c r="K27" s="34">
        <f ca="1"/>
        <v>154.39930595062012</v>
      </c>
      <c r="L27" s="34">
        <f ca="1"/>
        <v>138.36363636363637</v>
      </c>
      <c r="M27" s="34">
        <f ca="1"/>
        <v>122.32796677665264</v>
      </c>
      <c r="N27" s="34">
        <f ca="1"/>
        <v>106.29229718966891</v>
      </c>
      <c r="O27" s="34">
        <f ca="1"/>
        <v>90.256627602685171</v>
      </c>
      <c r="P27" s="143">
        <f ca="1"/>
        <v>26</v>
      </c>
      <c r="Q27" s="145"/>
      <c r="R27" s="148"/>
      <c r="S27" s="148"/>
      <c r="T27" s="148"/>
      <c r="U27" s="148"/>
      <c r="V27" s="148"/>
      <c r="W27" s="148"/>
      <c r="X27" s="148"/>
      <c r="Y27" s="148"/>
      <c r="Z27" s="148"/>
      <c r="AA27" s="148"/>
      <c r="AB27" s="148"/>
      <c r="AC27" s="148"/>
      <c r="AD27" s="148"/>
      <c r="AE27" s="149"/>
    </row>
    <row r="28" spans="1:31" x14ac:dyDescent="0.25">
      <c r="A28" s="34">
        <f ca="1"/>
        <v>10</v>
      </c>
      <c r="B28" s="34" t="e">
        <f ca="1">IF(Split=0,IF(OR(Demand!C51&gt;UCL,Demand!C51&lt;LCL),Demand!C51,NA()),IF(Split&gt;=P28,IF(OR(Demand!C51&gt;_UCL1,Demand!C51&lt;_LCL1),Demand!C51,NA()),IF(OR(Demand!C51&gt;_UCL2,Demand!C51&lt;_LCL2),Demand!C51,NA())))</f>
        <v>#N/A</v>
      </c>
      <c r="C28" s="34">
        <f ca="1">IF(Split=0,IF(Demand!C51&gt;Sigma2Plus,2,IF(Demand!C51&lt;Sigma2Minus,-2,IF(Demand!C51&lt;Mean,-1,1))),IF(Split&gt;=P28,IF(Demand!C51&gt;Sigma2Plus1,2,IF(Demand!C51&lt;Sigma2Minus1,-2,IF(Demand!C51&lt;Mean1,-1,1))),IF(Demand!C51&gt;Sigma2Plus2,2,IF(Demand!C51&lt;Sigma2Minus2,-2,IF(Demand!C51&lt;Mean2,-1,1)))))</f>
        <v>-1</v>
      </c>
      <c r="D28" s="34" t="e">
        <f ca="1">IF(AND(ABS(SUM(C28:C30))&gt;4,P28&lt;ROWS(ReferralsRange)),Demand!C51,NA())</f>
        <v>#N/A</v>
      </c>
      <c r="E28" s="34">
        <f ca="1">IF(Split=0,IF(Demand!C51&gt;Sigma1Plus,2,IF(Demand!C51&lt;Sigma1Minus,-2,IF(Demand!C51&lt;Mean,-1,1))),IF(Split&gt;=P28,IF(Demand!C51&gt;Sigma1Plus1,2,IF(Demand!C51&lt;Sigma1Minus1,-2,IF(Demand!C51&lt;Mean1,-1,1))),IF(Demand!C51&gt;Sigma1Plus2,2,IF(Demand!C51&lt;Sigma1Minus2,-2,IF(Demand!C51&lt;Mean,-1,1)))))</f>
        <v>-1</v>
      </c>
      <c r="F28" s="34" t="e">
        <f ca="1">IF(AND(ABS(SUM(E28:E32))&gt;8,P28&lt;ROWS(ReferralsRange)),Demand!C51,NA())</f>
        <v>#N/A</v>
      </c>
      <c r="G28" s="34">
        <f ca="1"/>
        <v>-1</v>
      </c>
      <c r="H28" s="34" t="e">
        <f ca="1">IF(AND(ABS(G36)=8,P28&lt;ROWS(ReferralsRange)),Demand!C51,NA())</f>
        <v>#N/A</v>
      </c>
      <c r="I28" s="34">
        <f ca="1"/>
        <v>186.47064512458758</v>
      </c>
      <c r="J28" s="34">
        <f ca="1"/>
        <v>170.43497553760383</v>
      </c>
      <c r="K28" s="34">
        <f ca="1"/>
        <v>154.39930595062012</v>
      </c>
      <c r="L28" s="34">
        <f ca="1"/>
        <v>138.36363636363637</v>
      </c>
      <c r="M28" s="34">
        <f ca="1"/>
        <v>122.32796677665264</v>
      </c>
      <c r="N28" s="34">
        <f ca="1"/>
        <v>106.29229718966891</v>
      </c>
      <c r="O28" s="34">
        <f ca="1"/>
        <v>90.256627602685171</v>
      </c>
      <c r="P28" s="143">
        <f ca="1"/>
        <v>27</v>
      </c>
      <c r="Q28" s="145"/>
      <c r="R28" s="148"/>
      <c r="S28" s="148"/>
      <c r="T28" s="148"/>
      <c r="U28" s="148"/>
      <c r="V28" s="148"/>
      <c r="W28" s="148"/>
      <c r="X28" s="148"/>
      <c r="Y28" s="148"/>
      <c r="Z28" s="148"/>
      <c r="AA28" s="148"/>
      <c r="AB28" s="148"/>
      <c r="AC28" s="148"/>
      <c r="AD28" s="148"/>
      <c r="AE28" s="149"/>
    </row>
    <row r="29" spans="1:31" x14ac:dyDescent="0.25">
      <c r="A29" s="34">
        <f ca="1"/>
        <v>33</v>
      </c>
      <c r="B29" s="34" t="e">
        <f ca="1">IF(Split=0,IF(OR(Demand!C52&gt;UCL,Demand!C52&lt;LCL),Demand!C52,NA()),IF(Split&gt;=P29,IF(OR(Demand!C52&gt;_UCL1,Demand!C52&lt;_LCL1),Demand!C52,NA()),IF(OR(Demand!C52&gt;_UCL2,Demand!C52&lt;_LCL2),Demand!C52,NA())))</f>
        <v>#N/A</v>
      </c>
      <c r="C29" s="34">
        <f ca="1">IF(Split=0,IF(Demand!C52&gt;Sigma2Plus,2,IF(Demand!C52&lt;Sigma2Minus,-2,IF(Demand!C52&lt;Mean,-1,1))),IF(Split&gt;=P29,IF(Demand!C52&gt;Sigma2Plus1,2,IF(Demand!C52&lt;Sigma2Minus1,-2,IF(Demand!C52&lt;Mean1,-1,1))),IF(Demand!C52&gt;Sigma2Plus2,2,IF(Demand!C52&lt;Sigma2Minus2,-2,IF(Demand!C52&lt;Mean2,-1,1)))))</f>
        <v>2</v>
      </c>
      <c r="D29" s="34" t="e">
        <f ca="1">IF(AND(ABS(SUM(C29:C31))&gt;4,P29&lt;ROWS(ReferralsRange)),Demand!C52,NA())</f>
        <v>#N/A</v>
      </c>
      <c r="E29" s="34">
        <f ca="1">IF(Split=0,IF(Demand!C52&gt;Sigma1Plus,2,IF(Demand!C52&lt;Sigma1Minus,-2,IF(Demand!C52&lt;Mean,-1,1))),IF(Split&gt;=P29,IF(Demand!C52&gt;Sigma1Plus1,2,IF(Demand!C52&lt;Sigma1Minus1,-2,IF(Demand!C52&lt;Mean1,-1,1))),IF(Demand!C52&gt;Sigma1Plus2,2,IF(Demand!C52&lt;Sigma1Minus2,-2,IF(Demand!C52&lt;Mean,-1,1)))))</f>
        <v>2</v>
      </c>
      <c r="F29" s="34" t="e">
        <f ca="1">IF(AND(ABS(SUM(E29:E33))&gt;8,P29&lt;ROWS(ReferralsRange)),Demand!C52,NA())</f>
        <v>#N/A</v>
      </c>
      <c r="G29" s="34">
        <f ca="1"/>
        <v>0</v>
      </c>
      <c r="H29" s="34" t="e">
        <f ca="1">IF(AND(ABS(G37)=8,P29&lt;ROWS(ReferralsRange)),Demand!C52,NA())</f>
        <v>#N/A</v>
      </c>
      <c r="I29" s="34">
        <f ca="1"/>
        <v>186.47064512458758</v>
      </c>
      <c r="J29" s="34">
        <f ca="1"/>
        <v>170.43497553760383</v>
      </c>
      <c r="K29" s="34">
        <f ca="1"/>
        <v>154.39930595062012</v>
      </c>
      <c r="L29" s="34">
        <f ca="1"/>
        <v>138.36363636363637</v>
      </c>
      <c r="M29" s="34">
        <f ca="1"/>
        <v>122.32796677665264</v>
      </c>
      <c r="N29" s="34">
        <f ca="1"/>
        <v>106.29229718966891</v>
      </c>
      <c r="O29" s="34">
        <f ca="1"/>
        <v>90.256627602685171</v>
      </c>
      <c r="P29" s="143">
        <f ca="1"/>
        <v>28</v>
      </c>
      <c r="Q29" s="145"/>
      <c r="R29" s="148"/>
      <c r="S29" s="148"/>
      <c r="T29" s="148"/>
      <c r="U29" s="148"/>
      <c r="V29" s="148"/>
      <c r="W29" s="148"/>
      <c r="X29" s="148"/>
      <c r="Y29" s="148"/>
      <c r="Z29" s="148"/>
      <c r="AA29" s="148"/>
      <c r="AB29" s="148"/>
      <c r="AC29" s="148"/>
      <c r="AD29" s="148"/>
      <c r="AE29" s="149"/>
    </row>
    <row r="30" spans="1:31" x14ac:dyDescent="0.25">
      <c r="A30" s="34">
        <f ca="1"/>
        <v>15</v>
      </c>
      <c r="B30" s="34" t="e">
        <f ca="1">IF(Split=0,IF(OR(Demand!C53&gt;UCL,Demand!C53&lt;LCL),Demand!C53,NA()),IF(Split&gt;=P30,IF(OR(Demand!C53&gt;_UCL1,Demand!C53&lt;_LCL1),Demand!C53,NA()),IF(OR(Demand!C53&gt;_UCL2,Demand!C53&lt;_LCL2),Demand!C53,NA())))</f>
        <v>#N/A</v>
      </c>
      <c r="C30" s="34">
        <f ca="1">IF(Split=0,IF(Demand!C53&gt;Sigma2Plus,2,IF(Demand!C53&lt;Sigma2Minus,-2,IF(Demand!C53&lt;Mean,-1,1))),IF(Split&gt;=P30,IF(Demand!C53&gt;Sigma2Plus1,2,IF(Demand!C53&lt;Sigma2Minus1,-2,IF(Demand!C53&lt;Mean1,-1,1))),IF(Demand!C53&gt;Sigma2Plus2,2,IF(Demand!C53&lt;Sigma2Minus2,-2,IF(Demand!C53&lt;Mean2,-1,1)))))</f>
        <v>1</v>
      </c>
      <c r="D30" s="34" t="e">
        <f ca="1">IF(AND(ABS(SUM(C30:C32))&gt;4,P30&lt;ROWS(ReferralsRange)),Demand!C53,NA())</f>
        <v>#N/A</v>
      </c>
      <c r="E30" s="34">
        <f ca="1">IF(Split=0,IF(Demand!C53&gt;Sigma1Plus,2,IF(Demand!C53&lt;Sigma1Minus,-2,IF(Demand!C53&lt;Mean,-1,1))),IF(Split&gt;=P30,IF(Demand!C53&gt;Sigma1Plus1,2,IF(Demand!C53&lt;Sigma1Minus1,-2,IF(Demand!C53&lt;Mean1,-1,1))),IF(Demand!C53&gt;Sigma1Plus2,2,IF(Demand!C53&lt;Sigma1Minus2,-2,IF(Demand!C53&lt;Mean,-1,1)))))</f>
        <v>2</v>
      </c>
      <c r="F30" s="34" t="e">
        <f ca="1">IF(AND(ABS(SUM(E30:E34))&gt;8,P30&lt;ROWS(ReferralsRange)),Demand!C53,NA())</f>
        <v>#N/A</v>
      </c>
      <c r="G30" s="34">
        <f ca="1"/>
        <v>1</v>
      </c>
      <c r="H30" s="34" t="e">
        <f ca="1">IF(AND(ABS(G38)=8,P30&lt;ROWS(ReferralsRange)),Demand!C53,NA())</f>
        <v>#N/A</v>
      </c>
      <c r="I30" s="34">
        <f ca="1"/>
        <v>186.47064512458758</v>
      </c>
      <c r="J30" s="34">
        <f ca="1"/>
        <v>170.43497553760383</v>
      </c>
      <c r="K30" s="34">
        <f ca="1"/>
        <v>154.39930595062012</v>
      </c>
      <c r="L30" s="34">
        <f ca="1"/>
        <v>138.36363636363637</v>
      </c>
      <c r="M30" s="34">
        <f ca="1"/>
        <v>122.32796677665264</v>
      </c>
      <c r="N30" s="34">
        <f ca="1"/>
        <v>106.29229718966891</v>
      </c>
      <c r="O30" s="34">
        <f ca="1"/>
        <v>90.256627602685171</v>
      </c>
      <c r="P30" s="143">
        <f ca="1"/>
        <v>29</v>
      </c>
      <c r="Q30" s="145"/>
      <c r="R30" s="148"/>
      <c r="S30" s="148"/>
      <c r="T30" s="148"/>
      <c r="U30" s="148"/>
      <c r="V30" s="148"/>
      <c r="W30" s="148"/>
      <c r="X30" s="148"/>
      <c r="Y30" s="148"/>
      <c r="Z30" s="148"/>
      <c r="AA30" s="148"/>
      <c r="AB30" s="148"/>
      <c r="AC30" s="148"/>
      <c r="AD30" s="148"/>
      <c r="AE30" s="149"/>
    </row>
    <row r="31" spans="1:31" x14ac:dyDescent="0.25">
      <c r="A31" s="34">
        <f ca="1"/>
        <v>11</v>
      </c>
      <c r="B31" s="34" t="e">
        <f ca="1">IF(Split=0,IF(OR(Demand!C54&gt;UCL,Demand!C54&lt;LCL),Demand!C54,NA()),IF(Split&gt;=P31,IF(OR(Demand!C54&gt;_UCL1,Demand!C54&lt;_LCL1),Demand!C54,NA()),IF(OR(Demand!C54&gt;_UCL2,Demand!C54&lt;_LCL2),Demand!C54,NA())))</f>
        <v>#N/A</v>
      </c>
      <c r="C31" s="34">
        <f ca="1">IF(Split=0,IF(Demand!C54&gt;Sigma2Plus,2,IF(Demand!C54&lt;Sigma2Minus,-2,IF(Demand!C54&lt;Mean,-1,1))),IF(Split&gt;=P31,IF(Demand!C54&gt;Sigma2Plus1,2,IF(Demand!C54&lt;Sigma2Minus1,-2,IF(Demand!C54&lt;Mean1,-1,1))),IF(Demand!C54&gt;Sigma2Plus2,2,IF(Demand!C54&lt;Sigma2Minus2,-2,IF(Demand!C54&lt;Mean2,-1,1)))))</f>
        <v>1</v>
      </c>
      <c r="D31" s="34" t="e">
        <f ca="1">IF(AND(ABS(SUM(C31:C33))&gt;4,P31&lt;ROWS(ReferralsRange)),Demand!C54,NA())</f>
        <v>#N/A</v>
      </c>
      <c r="E31" s="34">
        <f ca="1">IF(Split=0,IF(Demand!C54&gt;Sigma1Plus,2,IF(Demand!C54&lt;Sigma1Minus,-2,IF(Demand!C54&lt;Mean,-1,1))),IF(Split&gt;=P31,IF(Demand!C54&gt;Sigma1Plus1,2,IF(Demand!C54&lt;Sigma1Minus1,-2,IF(Demand!C54&lt;Mean1,-1,1))),IF(Demand!C54&gt;Sigma1Plus2,2,IF(Demand!C54&lt;Sigma1Minus2,-2,IF(Demand!C54&lt;Mean,-1,1)))))</f>
        <v>1</v>
      </c>
      <c r="F31" s="34" t="e">
        <f ca="1">IF(AND(ABS(SUM(E31:E35))&gt;8,P31&lt;ROWS(ReferralsRange)),Demand!C54,NA())</f>
        <v>#N/A</v>
      </c>
      <c r="G31" s="34">
        <f ca="1"/>
        <v>2</v>
      </c>
      <c r="H31" s="34" t="e">
        <f ca="1">IF(AND(ABS(G39)=8,P31&lt;ROWS(ReferralsRange)),Demand!C54,NA())</f>
        <v>#N/A</v>
      </c>
      <c r="I31" s="34">
        <f ca="1"/>
        <v>186.47064512458758</v>
      </c>
      <c r="J31" s="34">
        <f ca="1"/>
        <v>170.43497553760383</v>
      </c>
      <c r="K31" s="34">
        <f ca="1"/>
        <v>154.39930595062012</v>
      </c>
      <c r="L31" s="34">
        <f ca="1"/>
        <v>138.36363636363637</v>
      </c>
      <c r="M31" s="34">
        <f ca="1"/>
        <v>122.32796677665264</v>
      </c>
      <c r="N31" s="34">
        <f ca="1"/>
        <v>106.29229718966891</v>
      </c>
      <c r="O31" s="34">
        <f ca="1"/>
        <v>90.256627602685171</v>
      </c>
      <c r="P31" s="143">
        <f ca="1"/>
        <v>30</v>
      </c>
      <c r="Q31" s="145"/>
      <c r="R31" s="148"/>
      <c r="S31" s="148"/>
      <c r="T31" s="148"/>
      <c r="U31" s="148"/>
      <c r="V31" s="148"/>
      <c r="W31" s="148"/>
      <c r="X31" s="148"/>
      <c r="Y31" s="148"/>
      <c r="Z31" s="148"/>
      <c r="AA31" s="148"/>
      <c r="AB31" s="148"/>
      <c r="AC31" s="148"/>
      <c r="AD31" s="148"/>
      <c r="AE31" s="149"/>
    </row>
    <row r="32" spans="1:31" x14ac:dyDescent="0.25">
      <c r="A32" s="34">
        <f ca="1"/>
        <v>6</v>
      </c>
      <c r="B32" s="34" t="e">
        <f ca="1">IF(Split=0,IF(OR(Demand!C55&gt;UCL,Demand!C55&lt;LCL),Demand!C55,NA()),IF(Split&gt;=P32,IF(OR(Demand!C55&gt;_UCL1,Demand!C55&lt;_LCL1),Demand!C55,NA()),IF(OR(Demand!C55&gt;_UCL2,Demand!C55&lt;_LCL2),Demand!C55,NA())))</f>
        <v>#N/A</v>
      </c>
      <c r="C32" s="34">
        <f ca="1">IF(Split=0,IF(Demand!C55&gt;Sigma2Plus,2,IF(Demand!C55&lt;Sigma2Minus,-2,IF(Demand!C55&lt;Mean,-1,1))),IF(Split&gt;=P32,IF(Demand!C55&gt;Sigma2Plus1,2,IF(Demand!C55&lt;Sigma2Minus1,-2,IF(Demand!C55&lt;Mean1,-1,1))),IF(Demand!C55&gt;Sigma2Plus2,2,IF(Demand!C55&lt;Sigma2Minus2,-2,IF(Demand!C55&lt;Mean2,-1,1)))))</f>
        <v>1</v>
      </c>
      <c r="D32" s="34" t="e">
        <f ca="1">IF(AND(ABS(SUM(C32:C34))&gt;4,P32&lt;ROWS(ReferralsRange)),Demand!C55,NA())</f>
        <v>#N/A</v>
      </c>
      <c r="E32" s="34">
        <f ca="1">IF(Split=0,IF(Demand!C55&gt;Sigma1Plus,2,IF(Demand!C55&lt;Sigma1Minus,-2,IF(Demand!C55&lt;Mean,-1,1))),IF(Split&gt;=P32,IF(Demand!C55&gt;Sigma1Plus1,2,IF(Demand!C55&lt;Sigma1Minus1,-2,IF(Demand!C55&lt;Mean1,-1,1))),IF(Demand!C55&gt;Sigma1Plus2,2,IF(Demand!C55&lt;Sigma1Minus2,-2,IF(Demand!C55&lt;Mean,-1,1)))))</f>
        <v>1</v>
      </c>
      <c r="F32" s="34" t="e">
        <f ca="1">IF(AND(ABS(SUM(E32:E36))&gt;8,P32&lt;ROWS(ReferralsRange)),Demand!C55,NA())</f>
        <v>#N/A</v>
      </c>
      <c r="G32" s="34">
        <f ca="1"/>
        <v>3</v>
      </c>
      <c r="H32" s="34" t="e">
        <f ca="1">IF(AND(ABS(G40)=8,P32&lt;ROWS(ReferralsRange)),Demand!C55,NA())</f>
        <v>#N/A</v>
      </c>
      <c r="I32" s="34">
        <f ca="1"/>
        <v>186.47064512458758</v>
      </c>
      <c r="J32" s="34">
        <f ca="1"/>
        <v>170.43497553760383</v>
      </c>
      <c r="K32" s="34">
        <f ca="1"/>
        <v>154.39930595062012</v>
      </c>
      <c r="L32" s="34">
        <f ca="1"/>
        <v>138.36363636363637</v>
      </c>
      <c r="M32" s="34">
        <f ca="1"/>
        <v>122.32796677665264</v>
      </c>
      <c r="N32" s="34">
        <f ca="1"/>
        <v>106.29229718966891</v>
      </c>
      <c r="O32" s="34">
        <f ca="1"/>
        <v>90.256627602685171</v>
      </c>
      <c r="P32" s="143">
        <f ca="1"/>
        <v>31</v>
      </c>
      <c r="Q32" s="150" t="s">
        <v>315</v>
      </c>
      <c r="R32" s="148"/>
      <c r="S32" s="151">
        <v>35</v>
      </c>
      <c r="T32" s="152" t="s">
        <v>310</v>
      </c>
      <c r="U32" s="148"/>
      <c r="V32" s="148"/>
      <c r="W32" s="148"/>
      <c r="X32" s="148"/>
      <c r="Y32" s="148"/>
      <c r="Z32" s="148"/>
      <c r="AA32" s="148"/>
      <c r="AB32" s="148"/>
      <c r="AC32" s="148"/>
      <c r="AD32" s="148"/>
      <c r="AE32" s="149"/>
    </row>
    <row r="33" spans="1:31" x14ac:dyDescent="0.25">
      <c r="A33" s="34">
        <f ca="1"/>
        <v>63</v>
      </c>
      <c r="B33" s="34">
        <f ca="1">IF(Split=0,IF(OR(Demand!C56&gt;UCL,Demand!C56&lt;LCL),Demand!C56,NA()),IF(Split&gt;=P33,IF(OR(Demand!C56&gt;_UCL1,Demand!C56&lt;_LCL1),Demand!C56,NA()),IF(OR(Demand!C56&gt;_UCL2,Demand!C56&lt;_LCL2),Demand!C56,NA())))</f>
        <v>88</v>
      </c>
      <c r="C33" s="34">
        <f ca="1">IF(Split=0,IF(Demand!C56&gt;Sigma2Plus,2,IF(Demand!C56&lt;Sigma2Minus,-2,IF(Demand!C56&lt;Mean,-1,1))),IF(Split&gt;=P33,IF(Demand!C56&gt;Sigma2Plus1,2,IF(Demand!C56&lt;Sigma2Minus1,-2,IF(Demand!C56&lt;Mean1,-1,1))),IF(Demand!C56&gt;Sigma2Plus2,2,IF(Demand!C56&lt;Sigma2Minus2,-2,IF(Demand!C56&lt;Mean2,-1,1)))))</f>
        <v>-2</v>
      </c>
      <c r="D33" s="34" t="e">
        <f ca="1">IF(AND(ABS(SUM(C33:C35))&gt;4,P33&lt;ROWS(ReferralsRange)),Demand!C56,NA())</f>
        <v>#N/A</v>
      </c>
      <c r="E33" s="34">
        <f ca="1">IF(Split=0,IF(Demand!C56&gt;Sigma1Plus,2,IF(Demand!C56&lt;Sigma1Minus,-2,IF(Demand!C56&lt;Mean,-1,1))),IF(Split&gt;=P33,IF(Demand!C56&gt;Sigma1Plus1,2,IF(Demand!C56&lt;Sigma1Minus1,-2,IF(Demand!C56&lt;Mean1,-1,1))),IF(Demand!C56&gt;Sigma1Plus2,2,IF(Demand!C56&lt;Sigma1Minus2,-2,IF(Demand!C56&lt;Mean,-1,1)))))</f>
        <v>-2</v>
      </c>
      <c r="F33" s="34" t="e">
        <f ca="1">IF(AND(ABS(SUM(E33:E37))&gt;8,P33&lt;ROWS(ReferralsRange)),Demand!C56,NA())</f>
        <v>#N/A</v>
      </c>
      <c r="G33" s="34">
        <f ca="1"/>
        <v>0</v>
      </c>
      <c r="H33" s="34" t="e">
        <f ca="1">IF(AND(ABS(G41)=8,P33&lt;ROWS(ReferralsRange)),Demand!C56,NA())</f>
        <v>#N/A</v>
      </c>
      <c r="I33" s="34">
        <f ca="1"/>
        <v>186.47064512458758</v>
      </c>
      <c r="J33" s="34">
        <f ca="1"/>
        <v>170.43497553760383</v>
      </c>
      <c r="K33" s="34">
        <f ca="1"/>
        <v>154.39930595062012</v>
      </c>
      <c r="L33" s="34">
        <f ca="1"/>
        <v>138.36363636363637</v>
      </c>
      <c r="M33" s="34">
        <f ca="1"/>
        <v>122.32796677665264</v>
      </c>
      <c r="N33" s="34">
        <f ca="1"/>
        <v>106.29229718966891</v>
      </c>
      <c r="O33" s="34">
        <f ca="1"/>
        <v>90.256627602685171</v>
      </c>
      <c r="P33" s="143">
        <f ca="1"/>
        <v>32</v>
      </c>
      <c r="Q33" s="145"/>
      <c r="R33" s="148"/>
      <c r="S33" s="148"/>
      <c r="T33" s="153" t="s">
        <v>311</v>
      </c>
      <c r="U33" s="148"/>
      <c r="V33" s="148"/>
      <c r="W33" s="148"/>
      <c r="X33" s="148"/>
      <c r="Y33" s="148"/>
      <c r="Z33" s="148"/>
      <c r="AA33" s="148"/>
      <c r="AB33" s="148"/>
      <c r="AC33" s="148"/>
      <c r="AD33" s="148"/>
      <c r="AE33" s="149"/>
    </row>
    <row r="34" spans="1:31" x14ac:dyDescent="0.25">
      <c r="A34" s="34">
        <f ca="1"/>
        <v>40</v>
      </c>
      <c r="B34" s="34" t="e">
        <f ca="1">IF(Split=0,IF(OR(Demand!C57&gt;UCL,Demand!C57&lt;LCL),Demand!C57,NA()),IF(Split&gt;=P34,IF(OR(Demand!C57&gt;_UCL1,Demand!C57&lt;_LCL1),Demand!C57,NA()),IF(OR(Demand!C57&gt;_UCL2,Demand!C57&lt;_LCL2),Demand!C57,NA())))</f>
        <v>#N/A</v>
      </c>
      <c r="C34" s="34">
        <f ca="1">IF(Split=0,IF(Demand!C57&gt;Sigma2Plus,2,IF(Demand!C57&lt;Sigma2Minus,-2,IF(Demand!C57&lt;Mean,-1,1))),IF(Split&gt;=P34,IF(Demand!C57&gt;Sigma2Plus1,2,IF(Demand!C57&lt;Sigma2Minus1,-2,IF(Demand!C57&lt;Mean1,-1,1))),IF(Demand!C57&gt;Sigma2Plus2,2,IF(Demand!C57&lt;Sigma2Minus2,-2,IF(Demand!C57&lt;Mean2,-1,1)))))</f>
        <v>-1</v>
      </c>
      <c r="D34" s="34" t="e">
        <f ca="1">IF(AND(ABS(SUM(C34:C36))&gt;4,P34&lt;ROWS(ReferralsRange)),Demand!C57,NA())</f>
        <v>#N/A</v>
      </c>
      <c r="E34" s="34">
        <f ca="1">IF(Split=0,IF(Demand!C57&gt;Sigma1Plus,2,IF(Demand!C57&lt;Sigma1Minus,-2,IF(Demand!C57&lt;Mean,-1,1))),IF(Split&gt;=P34,IF(Demand!C57&gt;Sigma1Plus1,2,IF(Demand!C57&lt;Sigma1Minus1,-2,IF(Demand!C57&lt;Mean1,-1,1))),IF(Demand!C57&gt;Sigma1Plus2,2,IF(Demand!C57&lt;Sigma1Minus2,-2,IF(Demand!C57&lt;Mean,-1,1)))))</f>
        <v>-1</v>
      </c>
      <c r="F34" s="34" t="e">
        <f ca="1">IF(AND(ABS(SUM(E34:E38))&gt;8,P34&lt;ROWS(ReferralsRange)),Demand!C57,NA())</f>
        <v>#N/A</v>
      </c>
      <c r="G34" s="34">
        <f ca="1"/>
        <v>-1</v>
      </c>
      <c r="H34" s="34" t="e">
        <f ca="1">IF(AND(ABS(G42)=8,P34&lt;ROWS(ReferralsRange)),Demand!C57,NA())</f>
        <v>#N/A</v>
      </c>
      <c r="I34" s="34">
        <f ca="1"/>
        <v>186.47064512458758</v>
      </c>
      <c r="J34" s="34">
        <f ca="1"/>
        <v>170.43497553760383</v>
      </c>
      <c r="K34" s="34">
        <f ca="1"/>
        <v>154.39930595062012</v>
      </c>
      <c r="L34" s="34">
        <f ca="1"/>
        <v>138.36363636363637</v>
      </c>
      <c r="M34" s="34">
        <f ca="1"/>
        <v>122.32796677665264</v>
      </c>
      <c r="N34" s="34">
        <f ca="1"/>
        <v>106.29229718966891</v>
      </c>
      <c r="O34" s="34">
        <f ca="1"/>
        <v>90.256627602685171</v>
      </c>
      <c r="P34" s="143">
        <f ca="1"/>
        <v>33</v>
      </c>
      <c r="Q34" s="145"/>
      <c r="R34" s="148"/>
      <c r="S34" s="148"/>
      <c r="T34" s="153" t="s">
        <v>312</v>
      </c>
      <c r="U34" s="148"/>
      <c r="V34" s="148"/>
      <c r="W34" s="148"/>
      <c r="X34" s="148"/>
      <c r="Y34" s="148"/>
      <c r="Z34" s="148"/>
      <c r="AA34" s="148"/>
      <c r="AB34" s="148"/>
      <c r="AC34" s="148"/>
      <c r="AD34" s="148"/>
      <c r="AE34" s="149"/>
    </row>
    <row r="35" spans="1:31" x14ac:dyDescent="0.25">
      <c r="A35" s="34">
        <f ca="1"/>
        <v>8</v>
      </c>
      <c r="B35" s="34" t="e">
        <f ca="1">IF(Split=0,IF(OR(Demand!C58&gt;UCL,Demand!C58&lt;LCL),Demand!C58,NA()),IF(Split&gt;=P35,IF(OR(Demand!C58&gt;_UCL1,Demand!C58&lt;_LCL1),Demand!C58,NA()),IF(OR(Demand!C58&gt;_UCL2,Demand!C58&lt;_LCL2),Demand!C58,NA())))</f>
        <v>#N/A</v>
      </c>
      <c r="C35" s="34">
        <f ca="1">IF(Split=0,IF(Demand!C58&gt;Sigma2Plus,2,IF(Demand!C58&lt;Sigma2Minus,-2,IF(Demand!C58&lt;Mean,-1,1))),IF(Split&gt;=P35,IF(Demand!C58&gt;Sigma2Plus1,2,IF(Demand!C58&lt;Sigma2Minus1,-2,IF(Demand!C58&lt;Mean1,-1,1))),IF(Demand!C58&gt;Sigma2Plus2,2,IF(Demand!C58&lt;Sigma2Minus2,-2,IF(Demand!C58&lt;Mean2,-1,1)))))</f>
        <v>-1</v>
      </c>
      <c r="D35" s="34" t="e">
        <f ca="1">IF(AND(ABS(SUM(C35:C37))&gt;4,P35&lt;ROWS(ReferralsRange)),Demand!C58,NA())</f>
        <v>#N/A</v>
      </c>
      <c r="E35" s="34">
        <f ca="1">IF(Split=0,IF(Demand!C58&gt;Sigma1Plus,2,IF(Demand!C58&lt;Sigma1Minus,-2,IF(Demand!C58&lt;Mean,-1,1))),IF(Split&gt;=P35,IF(Demand!C58&gt;Sigma1Plus1,2,IF(Demand!C58&lt;Sigma1Minus1,-2,IF(Demand!C58&lt;Mean1,-1,1))),IF(Demand!C58&gt;Sigma1Plus2,2,IF(Demand!C58&lt;Sigma1Minus2,-2,IF(Demand!C58&lt;Mean,-1,1)))))</f>
        <v>-1</v>
      </c>
      <c r="F35" s="34" t="e">
        <f ca="1">IF(AND(ABS(SUM(E35:E39))&gt;8,P35&lt;ROWS(ReferralsRange)),Demand!C58,NA())</f>
        <v>#N/A</v>
      </c>
      <c r="G35" s="34">
        <f ca="1"/>
        <v>-2</v>
      </c>
      <c r="H35" s="34" t="e">
        <f ca="1">IF(AND(ABS(G43)=8,P35&lt;ROWS(ReferralsRange)),Demand!C58,NA())</f>
        <v>#N/A</v>
      </c>
      <c r="I35" s="34">
        <f ca="1"/>
        <v>186.47064512458758</v>
      </c>
      <c r="J35" s="34">
        <f ca="1"/>
        <v>170.43497553760383</v>
      </c>
      <c r="K35" s="34">
        <f ca="1"/>
        <v>154.39930595062012</v>
      </c>
      <c r="L35" s="34">
        <f ca="1"/>
        <v>138.36363636363637</v>
      </c>
      <c r="M35" s="34">
        <f ca="1"/>
        <v>122.32796677665264</v>
      </c>
      <c r="N35" s="34">
        <f ca="1"/>
        <v>106.29229718966891</v>
      </c>
      <c r="O35" s="34">
        <f ca="1"/>
        <v>90.256627602685171</v>
      </c>
      <c r="P35" s="34">
        <f ca="1"/>
        <v>34</v>
      </c>
      <c r="Q35" s="145"/>
      <c r="R35" s="148"/>
      <c r="S35" s="148"/>
      <c r="T35" s="153" t="s">
        <v>313</v>
      </c>
      <c r="U35" s="148"/>
      <c r="V35" s="148"/>
      <c r="W35" s="148"/>
      <c r="X35" s="148"/>
      <c r="Y35" s="148"/>
      <c r="Z35" s="148"/>
      <c r="AA35" s="148"/>
      <c r="AB35" s="148"/>
      <c r="AC35" s="148"/>
      <c r="AD35" s="148"/>
      <c r="AE35" s="149"/>
    </row>
    <row r="36" spans="1:31" x14ac:dyDescent="0.25">
      <c r="A36" s="34">
        <f ca="1"/>
        <v>2</v>
      </c>
      <c r="B36" s="34" t="e">
        <f ca="1">IF(Split=0,IF(OR(Demand!C59&gt;UCL,Demand!C59&lt;LCL),Demand!C59,NA()),IF(Split&gt;=P36,IF(OR(Demand!C59&gt;_UCL1,Demand!C59&lt;_LCL1),Demand!C59,NA()),IF(OR(Demand!C59&gt;_UCL2,Demand!C59&lt;_LCL2),Demand!C59,NA())))</f>
        <v>#N/A</v>
      </c>
      <c r="C36" s="34">
        <f ca="1">IF(Split=0,IF(Demand!C59&gt;Sigma2Plus,2,IF(Demand!C59&lt;Sigma2Minus,-2,IF(Demand!C59&lt;Mean,-1,1))),IF(Split&gt;=P36,IF(Demand!C59&gt;Sigma2Plus1,2,IF(Demand!C59&lt;Sigma2Minus1,-2,IF(Demand!C59&lt;Mean1,-1,1))),IF(Demand!C59&gt;Sigma2Plus2,2,IF(Demand!C59&lt;Sigma2Minus2,-2,IF(Demand!C59&lt;Mean2,-1,1)))))</f>
        <v>-2</v>
      </c>
      <c r="D36" s="34" t="e">
        <f ca="1">IF(AND(ABS(SUM(C36:C38))&gt;4,P36&lt;ROWS(ReferralsRange)),Demand!C59,NA())</f>
        <v>#N/A</v>
      </c>
      <c r="E36" s="34">
        <f ca="1">IF(Split=0,IF(Demand!C59&gt;Sigma1Plus,2,IF(Demand!C59&lt;Sigma1Minus,-2,IF(Demand!C59&lt;Mean,-1,1))),IF(Split&gt;=P36,IF(Demand!C59&gt;Sigma1Plus1,2,IF(Demand!C59&lt;Sigma1Minus1,-2,IF(Demand!C59&lt;Mean1,-1,1))),IF(Demand!C59&gt;Sigma1Plus2,2,IF(Demand!C59&lt;Sigma1Minus2,-2,IF(Demand!C59&lt;Mean,-1,1)))))</f>
        <v>-2</v>
      </c>
      <c r="F36" s="34" t="e">
        <f ca="1">IF(AND(ABS(SUM(E36:E40))&gt;8,P36&lt;ROWS(ReferralsRange)),Demand!C59,NA())</f>
        <v>#N/A</v>
      </c>
      <c r="G36" s="34">
        <f ca="1"/>
        <v>-3</v>
      </c>
      <c r="H36" s="34" t="e">
        <f ca="1">IF(AND(ABS(G44)=8,P36&lt;ROWS(ReferralsRange)),Demand!C59,NA())</f>
        <v>#N/A</v>
      </c>
      <c r="I36" s="34">
        <f ca="1"/>
        <v>248.92540749035709</v>
      </c>
      <c r="J36" s="34">
        <f ca="1"/>
        <v>228.88009622164157</v>
      </c>
      <c r="K36" s="34">
        <f ca="1"/>
        <v>208.83478495292604</v>
      </c>
      <c r="L36" s="34">
        <f ca="1"/>
        <v>188.78947368421052</v>
      </c>
      <c r="M36" s="34">
        <f ca="1"/>
        <v>168.744162415495</v>
      </c>
      <c r="N36" s="34">
        <f ca="1"/>
        <v>148.69885114677948</v>
      </c>
      <c r="O36" s="34">
        <f ca="1"/>
        <v>128.65353987806395</v>
      </c>
      <c r="P36" s="34">
        <f ca="1"/>
        <v>35</v>
      </c>
      <c r="Q36" s="145"/>
      <c r="R36" s="148"/>
      <c r="S36" s="148"/>
      <c r="T36" s="153" t="s">
        <v>314</v>
      </c>
      <c r="U36" s="148"/>
      <c r="V36" s="148"/>
      <c r="W36" s="148"/>
      <c r="X36" s="148"/>
      <c r="Y36" s="148"/>
      <c r="Z36" s="148"/>
      <c r="AA36" s="148"/>
      <c r="AB36" s="148"/>
      <c r="AC36" s="148"/>
      <c r="AD36" s="148"/>
      <c r="AE36" s="149"/>
    </row>
    <row r="37" spans="1:31" x14ac:dyDescent="0.25">
      <c r="A37" s="34">
        <f ca="1"/>
        <v>24</v>
      </c>
      <c r="B37" s="34" t="e">
        <f ca="1">IF(Split=0,IF(OR(Demand!C60&gt;UCL,Demand!C60&lt;LCL),Demand!C60,NA()),IF(Split&gt;=P37,IF(OR(Demand!C60&gt;_UCL1,Demand!C60&lt;_LCL1),Demand!C60,NA()),IF(OR(Demand!C60&gt;_UCL2,Demand!C60&lt;_LCL2),Demand!C60,NA())))</f>
        <v>#N/A</v>
      </c>
      <c r="C37" s="34">
        <f ca="1">IF(Split=0,IF(Demand!C60&gt;Sigma2Plus,2,IF(Demand!C60&lt;Sigma2Minus,-2,IF(Demand!C60&lt;Mean,-1,1))),IF(Split&gt;=P37,IF(Demand!C60&gt;Sigma2Plus1,2,IF(Demand!C60&lt;Sigma2Minus1,-2,IF(Demand!C60&lt;Mean1,-1,1))),IF(Demand!C60&gt;Sigma2Plus2,2,IF(Demand!C60&lt;Sigma2Minus2,-2,IF(Demand!C60&lt;Mean2,-1,1)))))</f>
        <v>-1</v>
      </c>
      <c r="D37" s="34" t="e">
        <f ca="1">IF(AND(ABS(SUM(C37:C39))&gt;4,P37&lt;ROWS(ReferralsRange)),Demand!C60,NA())</f>
        <v>#N/A</v>
      </c>
      <c r="E37" s="34">
        <f ca="1">IF(Split=0,IF(Demand!C60&gt;Sigma1Plus,2,IF(Demand!C60&lt;Sigma1Minus,-2,IF(Demand!C60&lt;Mean,-1,1))),IF(Split&gt;=P37,IF(Demand!C60&gt;Sigma1Plus1,2,IF(Demand!C60&lt;Sigma1Minus1,-2,IF(Demand!C60&lt;Mean1,-1,1))),IF(Demand!C60&gt;Sigma1Plus2,2,IF(Demand!C60&lt;Sigma1Minus2,-2,IF(Demand!C60&lt;Mean,-1,1)))))</f>
        <v>-2</v>
      </c>
      <c r="F37" s="34" t="e">
        <f ca="1">IF(AND(ABS(SUM(E37:E41))&gt;8,P37&lt;ROWS(ReferralsRange)),Demand!C60,NA())</f>
        <v>#N/A</v>
      </c>
      <c r="G37" s="34">
        <f ca="1"/>
        <v>-4</v>
      </c>
      <c r="H37" s="34" t="e">
        <f ca="1">IF(AND(ABS(G45)=8,P37&lt;ROWS(ReferralsRange)),Demand!C60,NA())</f>
        <v>#N/A</v>
      </c>
      <c r="I37" s="34">
        <f ca="1"/>
        <v>248.92540749035709</v>
      </c>
      <c r="J37" s="34">
        <f ca="1"/>
        <v>228.88009622164157</v>
      </c>
      <c r="K37" s="34">
        <f ca="1"/>
        <v>208.83478495292604</v>
      </c>
      <c r="L37" s="34">
        <f ca="1"/>
        <v>188.78947368421052</v>
      </c>
      <c r="M37" s="34">
        <f ca="1"/>
        <v>168.744162415495</v>
      </c>
      <c r="N37" s="34">
        <f ca="1"/>
        <v>148.69885114677948</v>
      </c>
      <c r="O37" s="34">
        <f ca="1"/>
        <v>128.65353987806395</v>
      </c>
      <c r="P37" s="34">
        <f ca="1"/>
        <v>36</v>
      </c>
      <c r="Q37" s="154"/>
      <c r="R37" s="155"/>
      <c r="S37" s="155"/>
      <c r="T37" s="155"/>
      <c r="U37" s="155"/>
      <c r="V37" s="155"/>
      <c r="W37" s="155"/>
      <c r="X37" s="155"/>
      <c r="Y37" s="155"/>
      <c r="Z37" s="155"/>
      <c r="AA37" s="155"/>
      <c r="AB37" s="155"/>
      <c r="AC37" s="155"/>
      <c r="AD37" s="155"/>
      <c r="AE37" s="156"/>
    </row>
    <row r="38" spans="1:31" x14ac:dyDescent="0.25">
      <c r="A38" s="34">
        <f ca="1"/>
        <v>48</v>
      </c>
      <c r="B38" s="34" t="e">
        <f ca="1">IF(Split=0,IF(OR(Demand!C61&gt;UCL,Demand!C61&lt;LCL),Demand!C61,NA()),IF(Split&gt;=P38,IF(OR(Demand!C61&gt;_UCL1,Demand!C61&lt;_LCL1),Demand!C61,NA()),IF(OR(Demand!C61&gt;_UCL2,Demand!C61&lt;_LCL2),Demand!C61,NA())))</f>
        <v>#N/A</v>
      </c>
      <c r="C38" s="34">
        <f ca="1">IF(Split=0,IF(Demand!C61&gt;Sigma2Plus,2,IF(Demand!C61&lt;Sigma2Minus,-2,IF(Demand!C61&lt;Mean,-1,1))),IF(Split&gt;=P38,IF(Demand!C61&gt;Sigma2Plus1,2,IF(Demand!C61&lt;Sigma2Minus1,-2,IF(Demand!C61&lt;Mean1,-1,1))),IF(Demand!C61&gt;Sigma2Plus2,2,IF(Demand!C61&lt;Sigma2Minus2,-2,IF(Demand!C61&lt;Mean2,-1,1)))))</f>
        <v>1</v>
      </c>
      <c r="D38" s="34" t="e">
        <f ca="1">IF(AND(ABS(SUM(C38:C40))&gt;4,P38&lt;ROWS(ReferralsRange)),Demand!C61,NA())</f>
        <v>#N/A</v>
      </c>
      <c r="E38" s="34">
        <f ca="1">IF(Split=0,IF(Demand!C61&gt;Sigma1Plus,2,IF(Demand!C61&lt;Sigma1Minus,-2,IF(Demand!C61&lt;Mean,-1,1))),IF(Split&gt;=P38,IF(Demand!C61&gt;Sigma1Plus1,2,IF(Demand!C61&lt;Sigma1Minus1,-2,IF(Demand!C61&lt;Mean1,-1,1))),IF(Demand!C61&gt;Sigma1Plus2,2,IF(Demand!C61&lt;Sigma1Minus2,-2,IF(Demand!C61&lt;Mean,-1,1)))))</f>
        <v>2</v>
      </c>
      <c r="F38" s="34" t="e">
        <f ca="1">IF(AND(ABS(SUM(E38:E42))&gt;8,P38&lt;ROWS(ReferralsRange)),Demand!C61,NA())</f>
        <v>#N/A</v>
      </c>
      <c r="G38" s="34">
        <f ca="1"/>
        <v>0</v>
      </c>
      <c r="H38" s="34" t="e">
        <f ca="1">IF(AND(ABS(G46)=8,P38&lt;ROWS(ReferralsRange)),Demand!C61,NA())</f>
        <v>#N/A</v>
      </c>
      <c r="I38" s="34">
        <f ca="1"/>
        <v>248.92540749035709</v>
      </c>
      <c r="J38" s="34">
        <f ca="1"/>
        <v>228.88009622164157</v>
      </c>
      <c r="K38" s="34">
        <f ca="1"/>
        <v>208.83478495292604</v>
      </c>
      <c r="L38" s="34">
        <f ca="1"/>
        <v>188.78947368421052</v>
      </c>
      <c r="M38" s="34">
        <f ca="1"/>
        <v>168.744162415495</v>
      </c>
      <c r="N38" s="34">
        <f ca="1"/>
        <v>148.69885114677948</v>
      </c>
      <c r="O38" s="34">
        <f ca="1"/>
        <v>128.65353987806395</v>
      </c>
      <c r="P38" s="34">
        <f ca="1"/>
        <v>37</v>
      </c>
    </row>
    <row r="39" spans="1:31" x14ac:dyDescent="0.25">
      <c r="A39" s="34">
        <f ca="1"/>
        <v>10</v>
      </c>
      <c r="B39" s="34" t="e">
        <f ca="1">IF(Split=0,IF(OR(Demand!C62&gt;UCL,Demand!C62&lt;LCL),Demand!C62,NA()),IF(Split&gt;=P39,IF(OR(Demand!C62&gt;_UCL1,Demand!C62&lt;_LCL1),Demand!C62,NA()),IF(OR(Demand!C62&gt;_UCL2,Demand!C62&lt;_LCL2),Demand!C62,NA())))</f>
        <v>#N/A</v>
      </c>
      <c r="C39" s="34">
        <f ca="1">IF(Split=0,IF(Demand!C62&gt;Sigma2Plus,2,IF(Demand!C62&lt;Sigma2Minus,-2,IF(Demand!C62&lt;Mean,-1,1))),IF(Split&gt;=P39,IF(Demand!C62&gt;Sigma2Plus1,2,IF(Demand!C62&lt;Sigma2Minus1,-2,IF(Demand!C62&lt;Mean1,-1,1))),IF(Demand!C62&gt;Sigma2Plus2,2,IF(Demand!C62&lt;Sigma2Minus2,-2,IF(Demand!C62&lt;Mean2,-1,1)))))</f>
        <v>1</v>
      </c>
      <c r="D39" s="34" t="e">
        <f ca="1">IF(AND(ABS(SUM(C39:C41))&gt;4,P39&lt;ROWS(ReferralsRange)),Demand!C62,NA())</f>
        <v>#N/A</v>
      </c>
      <c r="E39" s="34">
        <f ca="1">IF(Split=0,IF(Demand!C62&gt;Sigma1Plus,2,IF(Demand!C62&lt;Sigma1Minus,-2,IF(Demand!C62&lt;Mean,-1,1))),IF(Split&gt;=P39,IF(Demand!C62&gt;Sigma1Plus1,2,IF(Demand!C62&lt;Sigma1Minus1,-2,IF(Demand!C62&lt;Mean1,-1,1))),IF(Demand!C62&gt;Sigma1Plus2,2,IF(Demand!C62&lt;Sigma1Minus2,-2,IF(Demand!C62&lt;Mean,-1,1)))))</f>
        <v>2</v>
      </c>
      <c r="F39" s="34" t="e">
        <f ca="1">IF(AND(ABS(SUM(E39:E43))&gt;8,P39&lt;ROWS(ReferralsRange)),Demand!C62,NA())</f>
        <v>#N/A</v>
      </c>
      <c r="G39" s="34">
        <f ca="1"/>
        <v>1</v>
      </c>
      <c r="H39" s="34" t="e">
        <f ca="1">IF(AND(ABS(G47)=8,P39&lt;ROWS(ReferralsRange)),Demand!C62,NA())</f>
        <v>#N/A</v>
      </c>
      <c r="I39" s="34">
        <f ca="1"/>
        <v>248.92540749035709</v>
      </c>
      <c r="J39" s="34">
        <f ca="1"/>
        <v>228.88009622164157</v>
      </c>
      <c r="K39" s="34">
        <f ca="1"/>
        <v>208.83478495292604</v>
      </c>
      <c r="L39" s="34">
        <f ca="1"/>
        <v>188.78947368421052</v>
      </c>
      <c r="M39" s="34">
        <f ca="1"/>
        <v>168.744162415495</v>
      </c>
      <c r="N39" s="34">
        <f ca="1"/>
        <v>148.69885114677948</v>
      </c>
      <c r="O39" s="34">
        <f ca="1"/>
        <v>128.65353987806395</v>
      </c>
      <c r="P39" s="34">
        <f ca="1"/>
        <v>38</v>
      </c>
    </row>
    <row r="40" spans="1:31" x14ac:dyDescent="0.25">
      <c r="A40" s="34">
        <f ca="1"/>
        <v>19</v>
      </c>
      <c r="B40" s="34" t="e">
        <f ca="1">IF(Split=0,IF(OR(Demand!C63&gt;UCL,Demand!C63&lt;LCL),Demand!C63,NA()),IF(Split&gt;=P40,IF(OR(Demand!C63&gt;_UCL1,Demand!C63&lt;_LCL1),Demand!C63,NA()),IF(OR(Demand!C63&gt;_UCL2,Demand!C63&lt;_LCL2),Demand!C63,NA())))</f>
        <v>#N/A</v>
      </c>
      <c r="C40" s="34">
        <f ca="1">IF(Split=0,IF(Demand!C63&gt;Sigma2Plus,2,IF(Demand!C63&lt;Sigma2Minus,-2,IF(Demand!C63&lt;Mean,-1,1))),IF(Split&gt;=P40,IF(Demand!C63&gt;Sigma2Plus1,2,IF(Demand!C63&lt;Sigma2Minus1,-2,IF(Demand!C63&lt;Mean1,-1,1))),IF(Demand!C63&gt;Sigma2Plus2,2,IF(Demand!C63&lt;Sigma2Minus2,-2,IF(Demand!C63&lt;Mean2,-1,1)))))</f>
        <v>1</v>
      </c>
      <c r="D40" s="34" t="e">
        <f ca="1">IF(AND(ABS(SUM(C40:C42))&gt;4,P40&lt;ROWS(ReferralsRange)),Demand!C63,NA())</f>
        <v>#N/A</v>
      </c>
      <c r="E40" s="34">
        <f ca="1">IF(Split=0,IF(Demand!C63&gt;Sigma1Plus,2,IF(Demand!C63&lt;Sigma1Minus,-2,IF(Demand!C63&lt;Mean,-1,1))),IF(Split&gt;=P40,IF(Demand!C63&gt;Sigma1Plus1,2,IF(Demand!C63&lt;Sigma1Minus1,-2,IF(Demand!C63&lt;Mean1,-1,1))),IF(Demand!C63&gt;Sigma1Plus2,2,IF(Demand!C63&lt;Sigma1Minus2,-2,IF(Demand!C63&lt;Mean,-1,1)))))</f>
        <v>1</v>
      </c>
      <c r="F40" s="34" t="e">
        <f ca="1">IF(AND(ABS(SUM(E40:E44))&gt;8,P40&lt;ROWS(ReferralsRange)),Demand!C63,NA())</f>
        <v>#N/A</v>
      </c>
      <c r="G40" s="34">
        <f ca="1"/>
        <v>2</v>
      </c>
      <c r="H40" s="34" t="e">
        <f ca="1">IF(AND(ABS(G48)=8,P40&lt;ROWS(ReferralsRange)),Demand!C63,NA())</f>
        <v>#N/A</v>
      </c>
      <c r="I40" s="34">
        <f ca="1"/>
        <v>248.92540749035709</v>
      </c>
      <c r="J40" s="34">
        <f ca="1"/>
        <v>228.88009622164157</v>
      </c>
      <c r="K40" s="34">
        <f ca="1"/>
        <v>208.83478495292604</v>
      </c>
      <c r="L40" s="34">
        <f ca="1"/>
        <v>188.78947368421052</v>
      </c>
      <c r="M40" s="34">
        <f ca="1"/>
        <v>168.744162415495</v>
      </c>
      <c r="N40" s="34">
        <f ca="1"/>
        <v>148.69885114677948</v>
      </c>
      <c r="O40" s="34">
        <f ca="1"/>
        <v>128.65353987806395</v>
      </c>
      <c r="P40" s="34">
        <f ca="1"/>
        <v>39</v>
      </c>
    </row>
    <row r="41" spans="1:31" x14ac:dyDescent="0.25">
      <c r="A41" s="34">
        <f ca="1"/>
        <v>2</v>
      </c>
      <c r="B41" s="34" t="e">
        <f ca="1">IF(Split=0,IF(OR(Demand!C64&gt;UCL,Demand!C64&lt;LCL),Demand!C64,NA()),IF(Split&gt;=P41,IF(OR(Demand!C64&gt;_UCL1,Demand!C64&lt;_LCL1),Demand!C64,NA()),IF(OR(Demand!C64&gt;_UCL2,Demand!C64&lt;_LCL2),Demand!C64,NA())))</f>
        <v>#N/A</v>
      </c>
      <c r="C41" s="34">
        <f ca="1">IF(Split=0,IF(Demand!C64&gt;Sigma2Plus,2,IF(Demand!C64&lt;Sigma2Minus,-2,IF(Demand!C64&lt;Mean,-1,1))),IF(Split&gt;=P41,IF(Demand!C64&gt;Sigma2Plus1,2,IF(Demand!C64&lt;Sigma2Minus1,-2,IF(Demand!C64&lt;Mean1,-1,1))),IF(Demand!C64&gt;Sigma2Plus2,2,IF(Demand!C64&lt;Sigma2Minus2,-2,IF(Demand!C64&lt;Mean2,-1,1)))))</f>
        <v>1</v>
      </c>
      <c r="D41" s="34" t="e">
        <f ca="1">IF(AND(ABS(SUM(C41:C43))&gt;4,P41&lt;ROWS(ReferralsRange)),Demand!C64,NA())</f>
        <v>#N/A</v>
      </c>
      <c r="E41" s="34">
        <f ca="1">IF(Split=0,IF(Demand!C64&gt;Sigma1Plus,2,IF(Demand!C64&lt;Sigma1Minus,-2,IF(Demand!C64&lt;Mean,-1,1))),IF(Split&gt;=P41,IF(Demand!C64&gt;Sigma1Plus1,2,IF(Demand!C64&lt;Sigma1Minus1,-2,IF(Demand!C64&lt;Mean1,-1,1))),IF(Demand!C64&gt;Sigma1Plus2,2,IF(Demand!C64&lt;Sigma1Minus2,-2,IF(Demand!C64&lt;Mean,-1,1)))))</f>
        <v>1</v>
      </c>
      <c r="F41" s="34" t="e">
        <f ca="1">IF(AND(ABS(SUM(E41:E45))&gt;8,P41&lt;ROWS(ReferralsRange)),Demand!C64,NA())</f>
        <v>#N/A</v>
      </c>
      <c r="G41" s="34">
        <f ca="1"/>
        <v>3</v>
      </c>
      <c r="H41" s="34" t="e">
        <f ca="1">IF(AND(ABS(G49)=8,P41&lt;ROWS(ReferralsRange)),Demand!C64,NA())</f>
        <v>#N/A</v>
      </c>
      <c r="I41" s="34">
        <f ca="1"/>
        <v>248.92540749035709</v>
      </c>
      <c r="J41" s="34">
        <f ca="1"/>
        <v>228.88009622164157</v>
      </c>
      <c r="K41" s="34">
        <f ca="1"/>
        <v>208.83478495292604</v>
      </c>
      <c r="L41" s="34">
        <f ca="1"/>
        <v>188.78947368421052</v>
      </c>
      <c r="M41" s="34">
        <f ca="1"/>
        <v>168.744162415495</v>
      </c>
      <c r="N41" s="34">
        <f ca="1"/>
        <v>148.69885114677948</v>
      </c>
      <c r="O41" s="34">
        <f ca="1"/>
        <v>128.65353987806395</v>
      </c>
      <c r="P41" s="34">
        <f ca="1"/>
        <v>40</v>
      </c>
    </row>
    <row r="42" spans="1:31" x14ac:dyDescent="0.25">
      <c r="A42" s="34">
        <f ca="1"/>
        <v>9</v>
      </c>
      <c r="B42" s="34" t="e">
        <f ca="1">IF(Split=0,IF(OR(Demand!C65&gt;UCL,Demand!C65&lt;LCL),Demand!C65,NA()),IF(Split&gt;=P42,IF(OR(Demand!C65&gt;_UCL1,Demand!C65&lt;_LCL1),Demand!C65,NA()),IF(OR(Demand!C65&gt;_UCL2,Demand!C65&lt;_LCL2),Demand!C65,NA())))</f>
        <v>#N/A</v>
      </c>
      <c r="C42" s="34">
        <f ca="1">IF(Split=0,IF(Demand!C65&gt;Sigma2Plus,2,IF(Demand!C65&lt;Sigma2Minus,-2,IF(Demand!C65&lt;Mean,-1,1))),IF(Split&gt;=P42,IF(Demand!C65&gt;Sigma2Plus1,2,IF(Demand!C65&lt;Sigma2Minus1,-2,IF(Demand!C65&lt;Mean1,-1,1))),IF(Demand!C65&gt;Sigma2Plus2,2,IF(Demand!C65&lt;Sigma2Minus2,-2,IF(Demand!C65&lt;Mean2,-1,1)))))</f>
        <v>1</v>
      </c>
      <c r="D42" s="34" t="e">
        <f ca="1">IF(AND(ABS(SUM(C42:C44))&gt;4,P42&lt;ROWS(ReferralsRange)),Demand!C65,NA())</f>
        <v>#N/A</v>
      </c>
      <c r="E42" s="34">
        <f ca="1">IF(Split=0,IF(Demand!C65&gt;Sigma1Plus,2,IF(Demand!C65&lt;Sigma1Minus,-2,IF(Demand!C65&lt;Mean,-1,1))),IF(Split&gt;=P42,IF(Demand!C65&gt;Sigma1Plus1,2,IF(Demand!C65&lt;Sigma1Minus1,-2,IF(Demand!C65&lt;Mean1,-1,1))),IF(Demand!C65&gt;Sigma1Plus2,2,IF(Demand!C65&lt;Sigma1Minus2,-2,IF(Demand!C65&lt;Mean,-1,1)))))</f>
        <v>1</v>
      </c>
      <c r="F42" s="34" t="e">
        <f ca="1">IF(AND(ABS(SUM(E42:E46))&gt;8,P42&lt;ROWS(ReferralsRange)),Demand!C65,NA())</f>
        <v>#N/A</v>
      </c>
      <c r="G42" s="34">
        <f ca="1"/>
        <v>4</v>
      </c>
      <c r="H42" s="34" t="e">
        <f ca="1">IF(AND(ABS(G50)=8,P42&lt;ROWS(ReferralsRange)),Demand!C65,NA())</f>
        <v>#N/A</v>
      </c>
      <c r="I42" s="34">
        <f ca="1"/>
        <v>248.92540749035709</v>
      </c>
      <c r="J42" s="34">
        <f ca="1"/>
        <v>228.88009622164157</v>
      </c>
      <c r="K42" s="34">
        <f ca="1"/>
        <v>208.83478495292604</v>
      </c>
      <c r="L42" s="34">
        <f ca="1"/>
        <v>188.78947368421052</v>
      </c>
      <c r="M42" s="34">
        <f ca="1"/>
        <v>168.744162415495</v>
      </c>
      <c r="N42" s="34">
        <f ca="1"/>
        <v>148.69885114677948</v>
      </c>
      <c r="O42" s="34">
        <f ca="1"/>
        <v>128.65353987806395</v>
      </c>
      <c r="P42" s="34">
        <f ca="1"/>
        <v>41</v>
      </c>
    </row>
    <row r="43" spans="1:31" x14ac:dyDescent="0.25">
      <c r="A43" s="34">
        <f ca="1"/>
        <v>11</v>
      </c>
      <c r="B43" s="34" t="e">
        <f ca="1">IF(Split=0,IF(OR(Demand!C66&gt;UCL,Demand!C66&lt;LCL),Demand!C66,NA()),IF(Split&gt;=P43,IF(OR(Demand!C66&gt;_UCL1,Demand!C66&lt;_LCL1),Demand!C66,NA()),IF(OR(Demand!C66&gt;_UCL2,Demand!C66&lt;_LCL2),Demand!C66,NA())))</f>
        <v>#N/A</v>
      </c>
      <c r="C43" s="34">
        <f ca="1">IF(Split=0,IF(Demand!C66&gt;Sigma2Plus,2,IF(Demand!C66&lt;Sigma2Minus,-2,IF(Demand!C66&lt;Mean,-1,1))),IF(Split&gt;=P43,IF(Demand!C66&gt;Sigma2Plus1,2,IF(Demand!C66&lt;Sigma2Minus1,-2,IF(Demand!C66&lt;Mean1,-1,1))),IF(Demand!C66&gt;Sigma2Plus2,2,IF(Demand!C66&lt;Sigma2Minus2,-2,IF(Demand!C66&lt;Mean2,-1,1)))))</f>
        <v>1</v>
      </c>
      <c r="D43" s="34" t="e">
        <f ca="1">IF(AND(ABS(SUM(C43:C45))&gt;4,P43&lt;ROWS(ReferralsRange)),Demand!C66,NA())</f>
        <v>#N/A</v>
      </c>
      <c r="E43" s="34">
        <f ca="1">IF(Split=0,IF(Demand!C66&gt;Sigma1Plus,2,IF(Demand!C66&lt;Sigma1Minus,-2,IF(Demand!C66&lt;Mean,-1,1))),IF(Split&gt;=P43,IF(Demand!C66&gt;Sigma1Plus1,2,IF(Demand!C66&lt;Sigma1Minus1,-2,IF(Demand!C66&lt;Mean1,-1,1))),IF(Demand!C66&gt;Sigma1Plus2,2,IF(Demand!C66&lt;Sigma1Minus2,-2,IF(Demand!C66&lt;Mean,-1,1)))))</f>
        <v>1</v>
      </c>
      <c r="F43" s="34" t="e">
        <f ca="1">IF(AND(ABS(SUM(E43:E47))&gt;8,P43&lt;ROWS(ReferralsRange)),Demand!C66,NA())</f>
        <v>#N/A</v>
      </c>
      <c r="G43" s="34">
        <f ca="1"/>
        <v>5</v>
      </c>
      <c r="H43" s="34" t="e">
        <f ca="1">IF(AND(ABS(G51)=8,P43&lt;ROWS(ReferralsRange)),Demand!C66,NA())</f>
        <v>#N/A</v>
      </c>
      <c r="I43" s="34">
        <f ca="1"/>
        <v>248.92540749035709</v>
      </c>
      <c r="J43" s="34">
        <f ca="1"/>
        <v>228.88009622164157</v>
      </c>
      <c r="K43" s="34">
        <f ca="1"/>
        <v>208.83478495292604</v>
      </c>
      <c r="L43" s="34">
        <f ca="1"/>
        <v>188.78947368421052</v>
      </c>
      <c r="M43" s="34">
        <f ca="1"/>
        <v>168.744162415495</v>
      </c>
      <c r="N43" s="34">
        <f ca="1"/>
        <v>148.69885114677948</v>
      </c>
      <c r="O43" s="34">
        <f ca="1"/>
        <v>128.65353987806395</v>
      </c>
      <c r="P43" s="34">
        <f ca="1"/>
        <v>42</v>
      </c>
    </row>
    <row r="44" spans="1:31" x14ac:dyDescent="0.25">
      <c r="A44" s="34">
        <f ca="1"/>
        <v>21</v>
      </c>
      <c r="B44" s="34" t="e">
        <f ca="1">IF(Split=0,IF(OR(Demand!C67&gt;UCL,Demand!C67&lt;LCL),Demand!C67,NA()),IF(Split&gt;=P44,IF(OR(Demand!C67&gt;_UCL1,Demand!C67&lt;_LCL1),Demand!C67,NA()),IF(OR(Demand!C67&gt;_UCL2,Demand!C67&lt;_LCL2),Demand!C67,NA())))</f>
        <v>#N/A</v>
      </c>
      <c r="C44" s="34">
        <f ca="1">IF(Split=0,IF(Demand!C67&gt;Sigma2Plus,2,IF(Demand!C67&lt;Sigma2Minus,-2,IF(Demand!C67&lt;Mean,-1,1))),IF(Split&gt;=P44,IF(Demand!C67&gt;Sigma2Plus1,2,IF(Demand!C67&lt;Sigma2Minus1,-2,IF(Demand!C67&lt;Mean1,-1,1))),IF(Demand!C67&gt;Sigma2Plus2,2,IF(Demand!C67&lt;Sigma2Minus2,-2,IF(Demand!C67&lt;Mean2,-1,1)))))</f>
        <v>-1</v>
      </c>
      <c r="D44" s="34" t="e">
        <f ca="1">IF(AND(ABS(SUM(C44:C46))&gt;4,P44&lt;ROWS(ReferralsRange)),Demand!C67,NA())</f>
        <v>#N/A</v>
      </c>
      <c r="E44" s="34">
        <f ca="1">IF(Split=0,IF(Demand!C67&gt;Sigma1Plus,2,IF(Demand!C67&lt;Sigma1Minus,-2,IF(Demand!C67&lt;Mean,-1,1))),IF(Split&gt;=P44,IF(Demand!C67&gt;Sigma1Plus1,2,IF(Demand!C67&lt;Sigma1Minus1,-2,IF(Demand!C67&lt;Mean1,-1,1))),IF(Demand!C67&gt;Sigma1Plus2,2,IF(Demand!C67&lt;Sigma1Minus2,-2,IF(Demand!C67&lt;Mean,-1,1)))))</f>
        <v>1</v>
      </c>
      <c r="F44" s="34" t="e">
        <f ca="1">IF(AND(ABS(SUM(E44:E48))&gt;8,P44&lt;ROWS(ReferralsRange)),Demand!C67,NA())</f>
        <v>#N/A</v>
      </c>
      <c r="G44" s="34">
        <f ca="1"/>
        <v>0</v>
      </c>
      <c r="H44" s="34" t="e">
        <f ca="1">IF(AND(ABS(G52)=8,P44&lt;ROWS(ReferralsRange)),Demand!C67,NA())</f>
        <v>#N/A</v>
      </c>
      <c r="I44" s="34">
        <f ca="1"/>
        <v>248.92540749035709</v>
      </c>
      <c r="J44" s="34">
        <f ca="1"/>
        <v>228.88009622164157</v>
      </c>
      <c r="K44" s="34">
        <f ca="1"/>
        <v>208.83478495292604</v>
      </c>
      <c r="L44" s="34">
        <f ca="1"/>
        <v>188.78947368421052</v>
      </c>
      <c r="M44" s="34">
        <f ca="1"/>
        <v>168.744162415495</v>
      </c>
      <c r="N44" s="34">
        <f ca="1"/>
        <v>148.69885114677948</v>
      </c>
      <c r="O44" s="34">
        <f ca="1"/>
        <v>128.65353987806395</v>
      </c>
      <c r="P44" s="34">
        <f ca="1"/>
        <v>43</v>
      </c>
    </row>
    <row r="45" spans="1:31" x14ac:dyDescent="0.25">
      <c r="A45" s="34">
        <f ca="1"/>
        <v>13</v>
      </c>
      <c r="B45" s="34" t="e">
        <f ca="1">IF(Split=0,IF(OR(Demand!C68&gt;UCL,Demand!C68&lt;LCL),Demand!C68,NA()),IF(Split&gt;=P45,IF(OR(Demand!C68&gt;_UCL1,Demand!C68&lt;_LCL1),Demand!C68,NA()),IF(OR(Demand!C68&gt;_UCL2,Demand!C68&lt;_LCL2),Demand!C68,NA())))</f>
        <v>#N/A</v>
      </c>
      <c r="C45" s="34">
        <f ca="1">IF(Split=0,IF(Demand!C68&gt;Sigma2Plus,2,IF(Demand!C68&lt;Sigma2Minus,-2,IF(Demand!C68&lt;Mean,-1,1))),IF(Split&gt;=P45,IF(Demand!C68&gt;Sigma2Plus1,2,IF(Demand!C68&lt;Sigma2Minus1,-2,IF(Demand!C68&lt;Mean1,-1,1))),IF(Demand!C68&gt;Sigma2Plus2,2,IF(Demand!C68&lt;Sigma2Minus2,-2,IF(Demand!C68&lt;Mean2,-1,1)))))</f>
        <v>1</v>
      </c>
      <c r="D45" s="34" t="e">
        <f ca="1">IF(AND(ABS(SUM(C45:C47))&gt;4,P45&lt;ROWS(ReferralsRange)),Demand!C68,NA())</f>
        <v>#N/A</v>
      </c>
      <c r="E45" s="34">
        <f ca="1">IF(Split=0,IF(Demand!C68&gt;Sigma1Plus,2,IF(Demand!C68&lt;Sigma1Minus,-2,IF(Demand!C68&lt;Mean,-1,1))),IF(Split&gt;=P45,IF(Demand!C68&gt;Sigma1Plus1,2,IF(Demand!C68&lt;Sigma1Minus1,-2,IF(Demand!C68&lt;Mean1,-1,1))),IF(Demand!C68&gt;Sigma1Plus2,2,IF(Demand!C68&lt;Sigma1Minus2,-2,IF(Demand!C68&lt;Mean,-1,1)))))</f>
        <v>1</v>
      </c>
      <c r="F45" s="34" t="e">
        <f ca="1">IF(AND(ABS(SUM(E45:E49))&gt;8,P45&lt;ROWS(ReferralsRange)),Demand!C68,NA())</f>
        <v>#N/A</v>
      </c>
      <c r="G45" s="34">
        <f ca="1"/>
        <v>1</v>
      </c>
      <c r="H45" s="34" t="e">
        <f ca="1">IF(AND(ABS(G53)=8,P45&lt;ROWS(ReferralsRange)),Demand!C68,NA())</f>
        <v>#N/A</v>
      </c>
      <c r="I45" s="34">
        <f ca="1"/>
        <v>248.92540749035709</v>
      </c>
      <c r="J45" s="34">
        <f ca="1"/>
        <v>228.88009622164157</v>
      </c>
      <c r="K45" s="34">
        <f ca="1"/>
        <v>208.83478495292604</v>
      </c>
      <c r="L45" s="34">
        <f ca="1"/>
        <v>188.78947368421052</v>
      </c>
      <c r="M45" s="34">
        <f ca="1"/>
        <v>168.744162415495</v>
      </c>
      <c r="N45" s="34">
        <f ca="1"/>
        <v>148.69885114677948</v>
      </c>
      <c r="O45" s="34">
        <f ca="1"/>
        <v>128.65353987806395</v>
      </c>
      <c r="P45" s="34">
        <f ca="1"/>
        <v>44</v>
      </c>
    </row>
    <row r="46" spans="1:31" x14ac:dyDescent="0.25">
      <c r="A46" s="34">
        <f ca="1"/>
        <v>46</v>
      </c>
      <c r="B46" s="34" t="e">
        <f ca="1">IF(Split=0,IF(OR(Demand!C69&gt;UCL,Demand!C69&lt;LCL),Demand!C69,NA()),IF(Split&gt;=P46,IF(OR(Demand!C69&gt;_UCL1,Demand!C69&lt;_LCL1),Demand!C69,NA()),IF(OR(Demand!C69&gt;_UCL2,Demand!C69&lt;_LCL2),Demand!C69,NA())))</f>
        <v>#N/A</v>
      </c>
      <c r="C46" s="34">
        <f ca="1">IF(Split=0,IF(Demand!C69&gt;Sigma2Plus,2,IF(Demand!C69&lt;Sigma2Minus,-2,IF(Demand!C69&lt;Mean,-1,1))),IF(Split&gt;=P46,IF(Demand!C69&gt;Sigma2Plus1,2,IF(Demand!C69&lt;Sigma2Minus1,-2,IF(Demand!C69&lt;Mean1,-1,1))),IF(Demand!C69&gt;Sigma2Plus2,2,IF(Demand!C69&lt;Sigma2Minus2,-2,IF(Demand!C69&lt;Mean2,-1,1)))))</f>
        <v>2</v>
      </c>
      <c r="D46" s="34" t="e">
        <f ca="1">IF(AND(ABS(SUM(C46:C48))&gt;4,P46&lt;ROWS(ReferralsRange)),Demand!C69,NA())</f>
        <v>#N/A</v>
      </c>
      <c r="E46" s="34">
        <f ca="1">IF(Split=0,IF(Demand!C69&gt;Sigma1Plus,2,IF(Demand!C69&lt;Sigma1Minus,-2,IF(Demand!C69&lt;Mean,-1,1))),IF(Split&gt;=P46,IF(Demand!C69&gt;Sigma1Plus1,2,IF(Demand!C69&lt;Sigma1Minus1,-2,IF(Demand!C69&lt;Mean1,-1,1))),IF(Demand!C69&gt;Sigma1Plus2,2,IF(Demand!C69&lt;Sigma1Minus2,-2,IF(Demand!C69&lt;Mean,-1,1)))))</f>
        <v>2</v>
      </c>
      <c r="F46" s="34" t="e">
        <f ca="1">IF(AND(ABS(SUM(E46:E50))&gt;8,P46&lt;ROWS(ReferralsRange)),Demand!C69,NA())</f>
        <v>#N/A</v>
      </c>
      <c r="G46" s="34">
        <f ca="1"/>
        <v>2</v>
      </c>
      <c r="H46" s="34" t="e">
        <f ca="1">IF(AND(ABS(G54)=8,P46&lt;ROWS(ReferralsRange)),Demand!C69,NA())</f>
        <v>#N/A</v>
      </c>
      <c r="I46" s="34">
        <f ca="1"/>
        <v>248.92540749035709</v>
      </c>
      <c r="J46" s="34">
        <f ca="1"/>
        <v>228.88009622164157</v>
      </c>
      <c r="K46" s="34">
        <f ca="1"/>
        <v>208.83478495292604</v>
      </c>
      <c r="L46" s="34">
        <f ca="1"/>
        <v>188.78947368421052</v>
      </c>
      <c r="M46" s="34">
        <f ca="1"/>
        <v>168.744162415495</v>
      </c>
      <c r="N46" s="34">
        <f ca="1"/>
        <v>148.69885114677948</v>
      </c>
      <c r="O46" s="34">
        <f ca="1"/>
        <v>128.65353987806395</v>
      </c>
      <c r="P46" s="34">
        <f ca="1"/>
        <v>45</v>
      </c>
    </row>
    <row r="47" spans="1:31" x14ac:dyDescent="0.25">
      <c r="A47" s="34">
        <f ca="1"/>
        <v>20</v>
      </c>
      <c r="B47" s="34" t="e">
        <f ca="1">IF(Split=0,IF(OR(Demand!C70&gt;UCL,Demand!C70&lt;LCL),Demand!C70,NA()),IF(Split&gt;=P47,IF(OR(Demand!C70&gt;_UCL1,Demand!C70&lt;_LCL1),Demand!C70,NA()),IF(OR(Demand!C70&gt;_UCL2,Demand!C70&lt;_LCL2),Demand!C70,NA())))</f>
        <v>#N/A</v>
      </c>
      <c r="C47" s="34">
        <f ca="1">IF(Split=0,IF(Demand!C70&gt;Sigma2Plus,2,IF(Demand!C70&lt;Sigma2Minus,-2,IF(Demand!C70&lt;Mean,-1,1))),IF(Split&gt;=P47,IF(Demand!C70&gt;Sigma2Plus1,2,IF(Demand!C70&lt;Sigma2Minus1,-2,IF(Demand!C70&lt;Mean1,-1,1))),IF(Demand!C70&gt;Sigma2Plus2,2,IF(Demand!C70&lt;Sigma2Minus2,-2,IF(Demand!C70&lt;Mean2,-1,1)))))</f>
        <v>1</v>
      </c>
      <c r="D47" s="34" t="e">
        <f ca="1">IF(AND(ABS(SUM(C47:C49))&gt;4,P47&lt;ROWS(ReferralsRange)),Demand!C70,NA())</f>
        <v>#N/A</v>
      </c>
      <c r="E47" s="34">
        <f ca="1">IF(Split=0,IF(Demand!C70&gt;Sigma1Plus,2,IF(Demand!C70&lt;Sigma1Minus,-2,IF(Demand!C70&lt;Mean,-1,1))),IF(Split&gt;=P47,IF(Demand!C70&gt;Sigma1Plus1,2,IF(Demand!C70&lt;Sigma1Minus1,-2,IF(Demand!C70&lt;Mean1,-1,1))),IF(Demand!C70&gt;Sigma1Plus2,2,IF(Demand!C70&lt;Sigma1Minus2,-2,IF(Demand!C70&lt;Mean,-1,1)))))</f>
        <v>2</v>
      </c>
      <c r="F47" s="34" t="e">
        <f ca="1">IF(AND(ABS(SUM(E47:E51))&gt;8,P47&lt;ROWS(ReferralsRange)),Demand!C70,NA())</f>
        <v>#N/A</v>
      </c>
      <c r="G47" s="34">
        <f ca="1"/>
        <v>3</v>
      </c>
      <c r="H47" s="34" t="e">
        <f ca="1">IF(AND(ABS(G55)=8,P47&lt;ROWS(ReferralsRange)),Demand!C70,NA())</f>
        <v>#N/A</v>
      </c>
      <c r="I47" s="34">
        <f ca="1"/>
        <v>248.92540749035709</v>
      </c>
      <c r="J47" s="34">
        <f ca="1"/>
        <v>228.88009622164157</v>
      </c>
      <c r="K47" s="34">
        <f ca="1"/>
        <v>208.83478495292604</v>
      </c>
      <c r="L47" s="34">
        <f ca="1"/>
        <v>188.78947368421052</v>
      </c>
      <c r="M47" s="34">
        <f ca="1"/>
        <v>168.744162415495</v>
      </c>
      <c r="N47" s="34">
        <f ca="1"/>
        <v>148.69885114677948</v>
      </c>
      <c r="O47" s="34">
        <f ca="1"/>
        <v>128.65353987806395</v>
      </c>
      <c r="P47" s="34">
        <f ca="1"/>
        <v>46</v>
      </c>
    </row>
    <row r="48" spans="1:31" x14ac:dyDescent="0.25">
      <c r="A48" s="34">
        <f ca="1"/>
        <v>16</v>
      </c>
      <c r="B48" s="34" t="e">
        <f ca="1">IF(Split=0,IF(OR(Demand!C71&gt;UCL,Demand!C71&lt;LCL),Demand!C71,NA()),IF(Split&gt;=P48,IF(OR(Demand!C71&gt;_UCL1,Demand!C71&lt;_LCL1),Demand!C71,NA()),IF(OR(Demand!C71&gt;_UCL2,Demand!C71&lt;_LCL2),Demand!C71,NA())))</f>
        <v>#N/A</v>
      </c>
      <c r="C48" s="34">
        <f ca="1">IF(Split=0,IF(Demand!C71&gt;Sigma2Plus,2,IF(Demand!C71&lt;Sigma2Minus,-2,IF(Demand!C71&lt;Mean,-1,1))),IF(Split&gt;=P48,IF(Demand!C71&gt;Sigma2Plus1,2,IF(Demand!C71&lt;Sigma2Minus1,-2,IF(Demand!C71&lt;Mean1,-1,1))),IF(Demand!C71&gt;Sigma2Plus2,2,IF(Demand!C71&lt;Sigma2Minus2,-2,IF(Demand!C71&lt;Mean2,-1,1)))))</f>
        <v>1</v>
      </c>
      <c r="D48" s="34" t="e">
        <f ca="1">IF(AND(ABS(SUM(C48:C50))&gt;4,P48&lt;ROWS(ReferralsRange)),Demand!C71,NA())</f>
        <v>#N/A</v>
      </c>
      <c r="E48" s="34">
        <f ca="1">IF(Split=0,IF(Demand!C71&gt;Sigma1Plus,2,IF(Demand!C71&lt;Sigma1Minus,-2,IF(Demand!C71&lt;Mean,-1,1))),IF(Split&gt;=P48,IF(Demand!C71&gt;Sigma1Plus1,2,IF(Demand!C71&lt;Sigma1Minus1,-2,IF(Demand!C71&lt;Mean1,-1,1))),IF(Demand!C71&gt;Sigma1Plus2,2,IF(Demand!C71&lt;Sigma1Minus2,-2,IF(Demand!C71&lt;Mean,-1,1)))))</f>
        <v>1</v>
      </c>
      <c r="F48" s="34" t="e">
        <f ca="1">IF(AND(ABS(SUM(E48:E52))&gt;8,P48&lt;ROWS(ReferralsRange)),Demand!C71,NA())</f>
        <v>#N/A</v>
      </c>
      <c r="G48" s="34">
        <f ca="1"/>
        <v>4</v>
      </c>
      <c r="H48" s="34" t="e">
        <f ca="1">IF(AND(ABS(G56)=8,P48&lt;ROWS(ReferralsRange)),Demand!C71,NA())</f>
        <v>#N/A</v>
      </c>
      <c r="I48" s="34">
        <f ca="1"/>
        <v>248.92540749035709</v>
      </c>
      <c r="J48" s="34">
        <f ca="1"/>
        <v>228.88009622164157</v>
      </c>
      <c r="K48" s="34">
        <f ca="1"/>
        <v>208.83478495292604</v>
      </c>
      <c r="L48" s="34">
        <f ca="1"/>
        <v>188.78947368421052</v>
      </c>
      <c r="M48" s="34">
        <f ca="1"/>
        <v>168.744162415495</v>
      </c>
      <c r="N48" s="34">
        <f ca="1"/>
        <v>148.69885114677948</v>
      </c>
      <c r="O48" s="34">
        <f ca="1"/>
        <v>128.65353987806395</v>
      </c>
      <c r="P48" s="34">
        <f ca="1"/>
        <v>47</v>
      </c>
    </row>
    <row r="49" spans="1:16" x14ac:dyDescent="0.25">
      <c r="A49" s="34">
        <f ca="1"/>
        <v>8</v>
      </c>
      <c r="B49" s="34" t="e">
        <f ca="1">IF(Split=0,IF(OR(Demand!C72&gt;UCL,Demand!C72&lt;LCL),Demand!C72,NA()),IF(Split&gt;=P49,IF(OR(Demand!C72&gt;_UCL1,Demand!C72&lt;_LCL1),Demand!C72,NA()),IF(OR(Demand!C72&gt;_UCL2,Demand!C72&lt;_LCL2),Demand!C72,NA())))</f>
        <v>#N/A</v>
      </c>
      <c r="C49" s="34">
        <f ca="1">IF(Split=0,IF(Demand!C72&gt;Sigma2Plus,2,IF(Demand!C72&lt;Sigma2Minus,-2,IF(Demand!C72&lt;Mean,-1,1))),IF(Split&gt;=P49,IF(Demand!C72&gt;Sigma2Plus1,2,IF(Demand!C72&lt;Sigma2Minus1,-2,IF(Demand!C72&lt;Mean1,-1,1))),IF(Demand!C72&gt;Sigma2Plus2,2,IF(Demand!C72&lt;Sigma2Minus2,-2,IF(Demand!C72&lt;Mean2,-1,1)))))</f>
        <v>1</v>
      </c>
      <c r="D49" s="34" t="e">
        <f ca="1">IF(AND(ABS(SUM(C49:C51))&gt;4,P49&lt;ROWS(ReferralsRange)),Demand!C72,NA())</f>
        <v>#N/A</v>
      </c>
      <c r="E49" s="34">
        <f ca="1">IF(Split=0,IF(Demand!C72&gt;Sigma1Plus,2,IF(Demand!C72&lt;Sigma1Minus,-2,IF(Demand!C72&lt;Mean,-1,1))),IF(Split&gt;=P49,IF(Demand!C72&gt;Sigma1Plus1,2,IF(Demand!C72&lt;Sigma1Minus1,-2,IF(Demand!C72&lt;Mean1,-1,1))),IF(Demand!C72&gt;Sigma1Plus2,2,IF(Demand!C72&lt;Sigma1Minus2,-2,IF(Demand!C72&lt;Mean,-1,1)))))</f>
        <v>2</v>
      </c>
      <c r="F49" s="34" t="e">
        <f ca="1">IF(AND(ABS(SUM(E49:E53))&gt;8,P49&lt;ROWS(ReferralsRange)),Demand!C72,NA())</f>
        <v>#N/A</v>
      </c>
      <c r="G49" s="34">
        <f ca="1"/>
        <v>5</v>
      </c>
      <c r="H49" s="34" t="e">
        <f ca="1">IF(AND(ABS(G57)=8,P49&lt;ROWS(ReferralsRange)),Demand!C72,NA())</f>
        <v>#N/A</v>
      </c>
      <c r="I49" s="34">
        <f ca="1"/>
        <v>248.92540749035709</v>
      </c>
      <c r="J49" s="34">
        <f ca="1"/>
        <v>228.88009622164157</v>
      </c>
      <c r="K49" s="34">
        <f ca="1"/>
        <v>208.83478495292604</v>
      </c>
      <c r="L49" s="34">
        <f ca="1"/>
        <v>188.78947368421052</v>
      </c>
      <c r="M49" s="34">
        <f ca="1"/>
        <v>168.744162415495</v>
      </c>
      <c r="N49" s="34">
        <f ca="1"/>
        <v>148.69885114677948</v>
      </c>
      <c r="O49" s="34">
        <f ca="1"/>
        <v>128.65353987806395</v>
      </c>
      <c r="P49" s="34">
        <f ca="1"/>
        <v>48</v>
      </c>
    </row>
    <row r="50" spans="1:16" x14ac:dyDescent="0.25">
      <c r="A50" s="34">
        <f ca="1"/>
        <v>88</v>
      </c>
      <c r="B50" s="34">
        <f ca="1">IF(Split=0,IF(OR(Demand!C73&gt;UCL,Demand!C73&lt;LCL),Demand!C73,NA()),IF(Split&gt;=P50,IF(OR(Demand!C73&gt;_UCL1,Demand!C73&lt;_LCL1),Demand!C73,NA()),IF(OR(Demand!C73&gt;_UCL2,Demand!C73&lt;_LCL2),Demand!C73,NA())))</f>
        <v>123</v>
      </c>
      <c r="C50" s="34">
        <f ca="1">IF(Split=0,IF(Demand!C73&gt;Sigma2Plus,2,IF(Demand!C73&lt;Sigma2Minus,-2,IF(Demand!C73&lt;Mean,-1,1))),IF(Split&gt;=P50,IF(Demand!C73&gt;Sigma2Plus1,2,IF(Demand!C73&lt;Sigma2Minus1,-2,IF(Demand!C73&lt;Mean1,-1,1))),IF(Demand!C73&gt;Sigma2Plus2,2,IF(Demand!C73&lt;Sigma2Minus2,-2,IF(Demand!C73&lt;Mean2,-1,1)))))</f>
        <v>-2</v>
      </c>
      <c r="D50" s="34" t="e">
        <f ca="1">IF(AND(ABS(SUM(C50:C52))&gt;4,P50&lt;ROWS(ReferralsRange)),Demand!C73,NA())</f>
        <v>#N/A</v>
      </c>
      <c r="E50" s="34">
        <f ca="1">IF(Split=0,IF(Demand!C73&gt;Sigma1Plus,2,IF(Demand!C73&lt;Sigma1Minus,-2,IF(Demand!C73&lt;Mean,-1,1))),IF(Split&gt;=P50,IF(Demand!C73&gt;Sigma1Plus1,2,IF(Demand!C73&lt;Sigma1Minus1,-2,IF(Demand!C73&lt;Mean1,-1,1))),IF(Demand!C73&gt;Sigma1Plus2,2,IF(Demand!C73&lt;Sigma1Minus2,-2,IF(Demand!C73&lt;Mean,-1,1)))))</f>
        <v>-2</v>
      </c>
      <c r="F50" s="34" t="e">
        <f ca="1">IF(AND(ABS(SUM(E50:E54))&gt;8,P50&lt;ROWS(ReferralsRange)),Demand!C73,NA())</f>
        <v>#N/A</v>
      </c>
      <c r="G50" s="34">
        <f ca="1"/>
        <v>0</v>
      </c>
      <c r="H50" s="34" t="e">
        <f ca="1">IF(AND(ABS(G58)=8,P50&lt;ROWS(ReferralsRange)),Demand!C73,NA())</f>
        <v>#N/A</v>
      </c>
      <c r="I50" s="34">
        <f ca="1"/>
        <v>248.92540749035709</v>
      </c>
      <c r="J50" s="34">
        <f ca="1"/>
        <v>228.88009622164157</v>
      </c>
      <c r="K50" s="34">
        <f ca="1"/>
        <v>208.83478495292604</v>
      </c>
      <c r="L50" s="34">
        <f ca="1"/>
        <v>188.78947368421052</v>
      </c>
      <c r="M50" s="34">
        <f ca="1"/>
        <v>168.744162415495</v>
      </c>
      <c r="N50" s="34">
        <f ca="1"/>
        <v>148.69885114677948</v>
      </c>
      <c r="O50" s="34">
        <f ca="1"/>
        <v>128.65353987806395</v>
      </c>
      <c r="P50" s="34">
        <f ca="1"/>
        <v>49</v>
      </c>
    </row>
    <row r="51" spans="1:16" x14ac:dyDescent="0.25">
      <c r="A51" s="34">
        <f ca="1"/>
        <v>56</v>
      </c>
      <c r="B51" s="34" t="e">
        <f ca="1">IF(Split=0,IF(OR(Demand!C74&gt;UCL,Demand!C74&lt;LCL),Demand!C74,NA()),IF(Split&gt;=P51,IF(OR(Demand!C74&gt;_UCL1,Demand!C74&lt;_LCL1),Demand!C74,NA()),IF(OR(Demand!C74&gt;_UCL2,Demand!C74&lt;_LCL2),Demand!C74,NA())))</f>
        <v>#N/A</v>
      </c>
      <c r="C51" s="34">
        <f ca="1">IF(Split=0,IF(Demand!C74&gt;Sigma2Plus,2,IF(Demand!C74&lt;Sigma2Minus,-2,IF(Demand!C74&lt;Mean,-1,1))),IF(Split&gt;=P51,IF(Demand!C74&gt;Sigma2Plus1,2,IF(Demand!C74&lt;Sigma2Minus1,-2,IF(Demand!C74&lt;Mean1,-1,1))),IF(Demand!C74&gt;Sigma2Plus2,2,IF(Demand!C74&lt;Sigma2Minus2,-2,IF(Demand!C74&lt;Mean2,-1,1)))))</f>
        <v>-1</v>
      </c>
      <c r="D51" s="34" t="e">
        <f ca="1">IF(AND(ABS(SUM(C51:C53))&gt;4,P51&lt;ROWS(ReferralsRange)),Demand!C74,NA())</f>
        <v>#N/A</v>
      </c>
      <c r="E51" s="34">
        <f ca="1">IF(Split=0,IF(Demand!C74&gt;Sigma1Plus,2,IF(Demand!C74&lt;Sigma1Minus,-2,IF(Demand!C74&lt;Mean,-1,1))),IF(Split&gt;=P51,IF(Demand!C74&gt;Sigma1Plus1,2,IF(Demand!C74&lt;Sigma1Minus1,-2,IF(Demand!C74&lt;Mean1,-1,1))),IF(Demand!C74&gt;Sigma1Plus2,2,IF(Demand!C74&lt;Sigma1Minus2,-2,IF(Demand!C74&lt;Mean,-1,1)))))</f>
        <v>1</v>
      </c>
      <c r="F51" s="34" t="e">
        <f ca="1">IF(AND(ABS(SUM(E51:E55))&gt;8,P51&lt;ROWS(ReferralsRange)),Demand!C74,NA())</f>
        <v>#N/A</v>
      </c>
      <c r="G51" s="34">
        <f ca="1"/>
        <v>-1</v>
      </c>
      <c r="H51" s="34" t="e">
        <f ca="1">IF(AND(ABS(G59)=8,P51&lt;ROWS(ReferralsRange)),Demand!C74,NA())</f>
        <v>#N/A</v>
      </c>
      <c r="I51" s="34">
        <f ca="1"/>
        <v>248.92540749035709</v>
      </c>
      <c r="J51" s="34">
        <f ca="1"/>
        <v>228.88009622164157</v>
      </c>
      <c r="K51" s="34">
        <f ca="1"/>
        <v>208.83478495292604</v>
      </c>
      <c r="L51" s="34">
        <f ca="1"/>
        <v>188.78947368421052</v>
      </c>
      <c r="M51" s="34">
        <f ca="1"/>
        <v>168.744162415495</v>
      </c>
      <c r="N51" s="34">
        <f ca="1"/>
        <v>148.69885114677948</v>
      </c>
      <c r="O51" s="34">
        <f ca="1"/>
        <v>128.65353987806395</v>
      </c>
      <c r="P51" s="34">
        <f ca="1"/>
        <v>50</v>
      </c>
    </row>
    <row r="52" spans="1:16" x14ac:dyDescent="0.25">
      <c r="A52" s="34">
        <f ca="1"/>
        <v>11</v>
      </c>
      <c r="B52" s="34" t="e">
        <f ca="1">IF(Split=0,IF(OR(Demand!C75&gt;UCL,Demand!C75&lt;LCL),Demand!C75,NA()),IF(Split&gt;=P52,IF(OR(Demand!C75&gt;_UCL1,Demand!C75&lt;_LCL1),Demand!C75,NA()),IF(OR(Demand!C75&gt;_UCL2,Demand!C75&lt;_LCL2),Demand!C75,NA())))</f>
        <v>#N/A</v>
      </c>
      <c r="C52" s="34">
        <f ca="1">IF(Split=0,IF(Demand!C75&gt;Sigma2Plus,2,IF(Demand!C75&lt;Sigma2Minus,-2,IF(Demand!C75&lt;Mean,-1,1))),IF(Split&gt;=P52,IF(Demand!C75&gt;Sigma2Plus1,2,IF(Demand!C75&lt;Sigma2Minus1,-2,IF(Demand!C75&lt;Mean1,-1,1))),IF(Demand!C75&gt;Sigma2Plus2,2,IF(Demand!C75&lt;Sigma2Minus2,-2,IF(Demand!C75&lt;Mean2,-1,1)))))</f>
        <v>1</v>
      </c>
      <c r="D52" s="34" t="e">
        <f ca="1">IF(AND(ABS(SUM(C52:C54))&gt;4,P52&lt;ROWS(ReferralsRange)),Demand!C75,NA())</f>
        <v>#N/A</v>
      </c>
      <c r="E52" s="34">
        <f ca="1">IF(Split=0,IF(Demand!C75&gt;Sigma1Plus,2,IF(Demand!C75&lt;Sigma1Minus,-2,IF(Demand!C75&lt;Mean,-1,1))),IF(Split&gt;=P52,IF(Demand!C75&gt;Sigma1Plus1,2,IF(Demand!C75&lt;Sigma1Minus1,-2,IF(Demand!C75&lt;Mean1,-1,1))),IF(Demand!C75&gt;Sigma1Plus2,2,IF(Demand!C75&lt;Sigma1Minus2,-2,IF(Demand!C75&lt;Mean,-1,1)))))</f>
        <v>1</v>
      </c>
      <c r="F52" s="34" t="e">
        <f ca="1">IF(AND(ABS(SUM(E52:E56))&gt;8,P52&lt;ROWS(ReferralsRange)),Demand!C75,NA())</f>
        <v>#N/A</v>
      </c>
      <c r="G52" s="34">
        <f ca="1"/>
        <v>0</v>
      </c>
      <c r="H52" s="34" t="e">
        <f ca="1">IF(AND(ABS(G60)=8,P52&lt;ROWS(ReferralsRange)),Demand!C75,NA())</f>
        <v>#N/A</v>
      </c>
      <c r="I52" s="34">
        <f ca="1"/>
        <v>248.92540749035709</v>
      </c>
      <c r="J52" s="34">
        <f ca="1"/>
        <v>228.88009622164157</v>
      </c>
      <c r="K52" s="34">
        <f ca="1"/>
        <v>208.83478495292604</v>
      </c>
      <c r="L52" s="34">
        <f ca="1"/>
        <v>188.78947368421052</v>
      </c>
      <c r="M52" s="34">
        <f ca="1"/>
        <v>168.744162415495</v>
      </c>
      <c r="N52" s="34">
        <f ca="1"/>
        <v>148.69885114677948</v>
      </c>
      <c r="O52" s="34">
        <f ca="1"/>
        <v>128.65353987806395</v>
      </c>
      <c r="P52" s="34">
        <f ca="1"/>
        <v>51</v>
      </c>
    </row>
    <row r="53" spans="1:16" x14ac:dyDescent="0.25">
      <c r="A53" s="34">
        <f ca="1"/>
        <v>3</v>
      </c>
      <c r="B53" s="34" t="e">
        <f ca="1">IF(Split=0,IF(OR(Demand!C76&gt;UCL,Demand!C76&lt;LCL),Demand!C76,NA()),IF(Split&gt;=P53,IF(OR(Demand!C76&gt;_UCL1,Demand!C76&lt;_LCL1),Demand!C76,NA()),IF(OR(Demand!C76&gt;_UCL2,Demand!C76&lt;_LCL2),Demand!C76,NA())))</f>
        <v>#N/A</v>
      </c>
      <c r="C53" s="34">
        <f ca="1">IF(Split=0,IF(Demand!C76&gt;Sigma2Plus,2,IF(Demand!C76&lt;Sigma2Minus,-2,IF(Demand!C76&lt;Mean,-1,1))),IF(Split&gt;=P53,IF(Demand!C76&gt;Sigma2Plus1,2,IF(Demand!C76&lt;Sigma2Minus1,-2,IF(Demand!C76&lt;Mean1,-1,1))),IF(Demand!C76&gt;Sigma2Plus2,2,IF(Demand!C76&lt;Sigma2Minus2,-2,IF(Demand!C76&lt;Mean2,-1,1)))))</f>
        <v>1</v>
      </c>
      <c r="D53" s="34" t="e">
        <f ca="1">IF(AND(ABS(SUM(C53:C55))&gt;4,P53&lt;ROWS(ReferralsRange)),Demand!C76,NA())</f>
        <v>#N/A</v>
      </c>
      <c r="E53" s="34">
        <f ca="1">IF(Split=0,IF(Demand!C76&gt;Sigma1Plus,2,IF(Demand!C76&lt;Sigma1Minus,-2,IF(Demand!C76&lt;Mean,-1,1))),IF(Split&gt;=P53,IF(Demand!C76&gt;Sigma1Plus1,2,IF(Demand!C76&lt;Sigma1Minus1,-2,IF(Demand!C76&lt;Mean1,-1,1))),IF(Demand!C76&gt;Sigma1Plus2,2,IF(Demand!C76&lt;Sigma1Minus2,-2,IF(Demand!C76&lt;Mean,-1,1)))))</f>
        <v>1</v>
      </c>
      <c r="F53" s="34" t="e">
        <f ca="1">IF(AND(ABS(SUM(E53:E57))&gt;8,P53&lt;ROWS(ReferralsRange)),Demand!C76,NA())</f>
        <v>#N/A</v>
      </c>
      <c r="G53" s="34">
        <f ca="1"/>
        <v>1</v>
      </c>
      <c r="H53" s="34" t="e">
        <f ca="1">IF(AND(ABS(G61)=8,P53&lt;ROWS(ReferralsRange)),Demand!C76,NA())</f>
        <v>#N/A</v>
      </c>
      <c r="I53" s="34">
        <f ca="1"/>
        <v>248.92540749035709</v>
      </c>
      <c r="J53" s="34">
        <f ca="1"/>
        <v>228.88009622164157</v>
      </c>
      <c r="K53" s="34">
        <f ca="1"/>
        <v>208.83478495292604</v>
      </c>
      <c r="L53" s="34">
        <f ca="1"/>
        <v>188.78947368421052</v>
      </c>
      <c r="M53" s="34">
        <f ca="1"/>
        <v>168.744162415495</v>
      </c>
      <c r="N53" s="34">
        <f ca="1"/>
        <v>148.69885114677948</v>
      </c>
      <c r="O53" s="34">
        <f ca="1"/>
        <v>128.65353987806395</v>
      </c>
      <c r="P53" s="34">
        <f ca="1"/>
        <v>52</v>
      </c>
    </row>
  </sheetData>
  <sheetProtection algorithmName="SHA-512" hashValue="lrRA0SDBFAvBX0tyYw8K4osaGdcIN2AfpPKonC2F4FOwoKXjCHtO3klr5RCkofQJ5z0omC5WdxYEJ4IY8guyuw==" saltValue="QcHRRrVMabVQe3kW5Ze45w==" spinCount="100000" sheet="1" selectLockedCells="1" selectUnlockedCells="1"/>
  <mergeCells count="3">
    <mergeCell ref="Q2:AE2"/>
    <mergeCell ref="Q3:AE3"/>
    <mergeCell ref="Q5:AE5"/>
  </mergeCells>
  <phoneticPr fontId="0" type="noConversion"/>
  <pageMargins left="0.39370078740157483" right="0.39370078740157483" top="0.78740157480314965" bottom="0.59055118110236215" header="0.19685039370078741" footer="0"/>
  <pageSetup paperSize="9" scale="62" orientation="landscape" r:id="rId1"/>
  <colBreaks count="1" manualBreakCount="1">
    <brk id="31"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858117" r:id="rId4" name="Drop Down 5">
              <controlPr defaultSize="0" autoLine="0" autoPict="0">
                <anchor moveWithCells="1">
                  <from>
                    <xdr:col>17</xdr:col>
                    <xdr:colOff>485775</xdr:colOff>
                    <xdr:row>31</xdr:row>
                    <xdr:rowOff>0</xdr:rowOff>
                  </from>
                  <to>
                    <xdr:col>18</xdr:col>
                    <xdr:colOff>514350</xdr:colOff>
                    <xdr:row>32</xdr:row>
                    <xdr:rowOff>9525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A2:P176"/>
  <sheetViews>
    <sheetView showGridLines="0" showRowColHeaders="0" zoomScaleNormal="100" workbookViewId="0">
      <selection activeCell="B18" sqref="B18"/>
    </sheetView>
  </sheetViews>
  <sheetFormatPr defaultRowHeight="15" x14ac:dyDescent="0.25"/>
  <cols>
    <col min="1" max="1" width="9.85546875" customWidth="1"/>
    <col min="2" max="2" width="16.28515625" customWidth="1"/>
    <col min="3" max="3" width="11.7109375" customWidth="1"/>
    <col min="4" max="6" width="7.7109375" customWidth="1"/>
    <col min="7" max="7" width="8.5703125" customWidth="1"/>
    <col min="8" max="8" width="1.140625" style="60" customWidth="1"/>
    <col min="9" max="9" width="5.140625" customWidth="1"/>
    <col min="10" max="10" width="4.85546875" customWidth="1"/>
    <col min="11" max="11" width="16.28515625" customWidth="1"/>
    <col min="12" max="12" width="11.7109375" customWidth="1"/>
    <col min="13" max="15" width="7.7109375" customWidth="1"/>
    <col min="16" max="16" width="8.5703125" customWidth="1"/>
  </cols>
  <sheetData>
    <row r="2" spans="1:16" ht="54" customHeight="1" x14ac:dyDescent="0.25">
      <c r="A2" s="298" t="str">
        <f>"Capacity Calculator - "&amp;ModelName</f>
        <v>Capacity Calculator - The IST IMAS First Outpatients Demand &amp; Capacity Model</v>
      </c>
      <c r="B2" s="299"/>
      <c r="C2" s="299"/>
      <c r="D2" s="299"/>
      <c r="E2" s="299"/>
      <c r="F2" s="299"/>
      <c r="G2" s="299"/>
      <c r="H2" s="299"/>
      <c r="I2" s="299"/>
      <c r="J2" s="299"/>
      <c r="K2" s="299"/>
      <c r="L2" s="299"/>
      <c r="M2" s="299"/>
      <c r="N2" s="299"/>
      <c r="O2" s="299"/>
      <c r="P2" s="300"/>
    </row>
    <row r="3" spans="1:16" s="3" customFormat="1" ht="23.25" customHeight="1" x14ac:dyDescent="0.25">
      <c r="A3" s="323" t="s">
        <v>52</v>
      </c>
      <c r="B3" s="324"/>
      <c r="C3" s="324"/>
      <c r="D3" s="324"/>
      <c r="E3" s="324"/>
      <c r="F3" s="324"/>
      <c r="G3" s="324"/>
      <c r="H3" s="324"/>
      <c r="I3" s="324"/>
      <c r="J3" s="324"/>
      <c r="K3" s="324"/>
      <c r="L3" s="324"/>
      <c r="M3" s="324"/>
      <c r="N3" s="324"/>
      <c r="O3" s="324"/>
      <c r="P3" s="325"/>
    </row>
    <row r="5" spans="1:16" ht="18" x14ac:dyDescent="0.25">
      <c r="A5" s="335" t="str">
        <f>Trust &amp; " - " &amp; Specialty</f>
        <v>5 Boroughs Partnership NHS Foundation Trust - Blood Transfusion</v>
      </c>
      <c r="B5" s="335"/>
      <c r="C5" s="335"/>
      <c r="D5" s="335"/>
      <c r="E5" s="335"/>
      <c r="F5" s="335"/>
      <c r="G5" s="335"/>
      <c r="H5" s="335"/>
      <c r="I5" s="335"/>
      <c r="J5" s="335"/>
      <c r="K5" s="335"/>
      <c r="L5" s="335"/>
      <c r="M5" s="335"/>
      <c r="N5" s="335"/>
      <c r="O5" s="335"/>
      <c r="P5" s="335"/>
    </row>
    <row r="7" spans="1:16" ht="15" customHeight="1" x14ac:dyDescent="0.25">
      <c r="A7" s="336" t="s">
        <v>51</v>
      </c>
      <c r="B7" s="336"/>
      <c r="C7" s="336"/>
      <c r="D7" s="336"/>
      <c r="E7" s="336"/>
      <c r="F7" s="336"/>
      <c r="G7" s="336"/>
      <c r="H7" s="61"/>
      <c r="J7" s="336" t="s">
        <v>50</v>
      </c>
      <c r="K7" s="336"/>
      <c r="L7" s="336"/>
      <c r="M7" s="336"/>
      <c r="N7" s="336"/>
      <c r="O7" s="336"/>
      <c r="P7" s="336"/>
    </row>
    <row r="8" spans="1:16" x14ac:dyDescent="0.25">
      <c r="A8" s="336"/>
      <c r="B8" s="336"/>
      <c r="C8" s="336"/>
      <c r="D8" s="336"/>
      <c r="E8" s="336"/>
      <c r="F8" s="336"/>
      <c r="G8" s="336"/>
      <c r="H8" s="61"/>
      <c r="J8" s="336"/>
      <c r="K8" s="336"/>
      <c r="L8" s="336"/>
      <c r="M8" s="336"/>
      <c r="N8" s="336"/>
      <c r="O8" s="336"/>
      <c r="P8" s="336"/>
    </row>
    <row r="9" spans="1:16" ht="15.75" thickBot="1" x14ac:dyDescent="0.3">
      <c r="A9" s="336"/>
      <c r="B9" s="336"/>
      <c r="C9" s="336"/>
      <c r="D9" s="336"/>
      <c r="E9" s="336"/>
      <c r="F9" s="336"/>
      <c r="G9" s="336"/>
      <c r="H9" s="61"/>
      <c r="J9" s="336"/>
      <c r="K9" s="336"/>
      <c r="L9" s="336"/>
      <c r="M9" s="336"/>
      <c r="N9" s="336"/>
      <c r="O9" s="336"/>
      <c r="P9" s="336"/>
    </row>
    <row r="10" spans="1:16" ht="15" customHeight="1" x14ac:dyDescent="0.25">
      <c r="B10" s="306" t="s">
        <v>48</v>
      </c>
      <c r="C10" s="308"/>
      <c r="E10" s="340" t="s">
        <v>463</v>
      </c>
      <c r="F10" s="340"/>
      <c r="G10" s="340"/>
      <c r="H10" s="340"/>
      <c r="I10" s="340"/>
      <c r="K10" s="306" t="s">
        <v>49</v>
      </c>
      <c r="L10" s="308"/>
    </row>
    <row r="11" spans="1:16" ht="15" customHeight="1" x14ac:dyDescent="0.25">
      <c r="B11" s="309"/>
      <c r="C11" s="311"/>
      <c r="E11" s="340"/>
      <c r="F11" s="340"/>
      <c r="G11" s="340"/>
      <c r="H11" s="340"/>
      <c r="I11" s="340"/>
      <c r="K11" s="309"/>
      <c r="L11" s="311"/>
    </row>
    <row r="12" spans="1:16" s="3" customFormat="1" ht="15" customHeight="1" thickBot="1" x14ac:dyDescent="0.3">
      <c r="A12"/>
      <c r="B12" s="333" t="str">
        <f>IF($C$13=500,IF($I$15=1,$G$15,IF(SUM(CoreCapacityRange)=0,0,AVERAGE(CoreCapacityRange))),$C$13&amp;" ("&amp;TEXT(IF($I$15=1,$G$15,IF(SUM(CoreCapacityRange)=0,0,AVERAGE(CoreCapacityRange))),"0")&amp;")")</f>
        <v>201 (12)</v>
      </c>
      <c r="C12" s="334"/>
      <c r="D12"/>
      <c r="E12" s="340"/>
      <c r="F12" s="340"/>
      <c r="G12" s="340"/>
      <c r="H12" s="340"/>
      <c r="I12" s="340"/>
      <c r="J12"/>
      <c r="K12" s="333" t="str">
        <f>IF($L$13=200,IF($I$15=1,$P$15,IF(SUM(AdHocCapacityRange)=0,0,AVERAGE(AdHocCapacityRange))),$L$13&amp;" ("&amp;TEXT(IF($I$15=1,$P$15,IF(SUM(AdHocCapacityRange)=0,0,AVERAGE(AdHocCapacityRange))),"0")&amp;")")</f>
        <v>32 (25)</v>
      </c>
      <c r="L12" s="334"/>
      <c r="M12"/>
      <c r="N12"/>
      <c r="O12"/>
      <c r="P12"/>
    </row>
    <row r="13" spans="1:16" s="3" customFormat="1" ht="17.25" thickTop="1" thickBot="1" x14ac:dyDescent="0.3">
      <c r="A13"/>
      <c r="B13" s="106">
        <f>IF($C$13=500,IF($I$15=1,$G$15,AVERAGE(CoreCapacityRange)),$C$13)</f>
        <v>201</v>
      </c>
      <c r="C13" s="157">
        <v>201</v>
      </c>
      <c r="D13"/>
      <c r="E13" s="158"/>
      <c r="F13" s="159"/>
      <c r="G13" s="159"/>
      <c r="H13" s="159"/>
      <c r="I13" s="160"/>
      <c r="J13"/>
      <c r="K13" s="106">
        <f>IF($L$13=200,IF($I$15=1,$P$15,IF(SUM(AdHocCapacityRange)=0,0,AVERAGE(AdHocCapacityRange))),$L$13)</f>
        <v>32</v>
      </c>
      <c r="L13" s="157">
        <v>32</v>
      </c>
      <c r="M13"/>
      <c r="N13" s="345" t="s">
        <v>824</v>
      </c>
      <c r="O13" s="345"/>
      <c r="P13" s="345"/>
    </row>
    <row r="14" spans="1:16" ht="15.75" thickBot="1" x14ac:dyDescent="0.3"/>
    <row r="15" spans="1:16" ht="15.75" thickBot="1" x14ac:dyDescent="0.3">
      <c r="E15" s="161" t="s">
        <v>23</v>
      </c>
      <c r="F15" s="162">
        <f>SUM(F17:F118)</f>
        <v>630</v>
      </c>
      <c r="G15" s="163">
        <f>RoutineSlots/52</f>
        <v>12.115384615384615</v>
      </c>
      <c r="I15" s="65">
        <v>1</v>
      </c>
      <c r="N15" s="161" t="s">
        <v>23</v>
      </c>
      <c r="O15" s="162">
        <f>SUM(O17:O118)</f>
        <v>1302</v>
      </c>
      <c r="P15" s="163">
        <f>AdHocSlots/52</f>
        <v>25.03846153846154</v>
      </c>
    </row>
    <row r="16" spans="1:16" ht="53.25" thickBot="1" x14ac:dyDescent="0.3">
      <c r="A16" s="114" t="s">
        <v>26</v>
      </c>
      <c r="B16" s="110" t="s">
        <v>27</v>
      </c>
      <c r="C16" s="110" t="s">
        <v>20</v>
      </c>
      <c r="D16" s="110" t="s">
        <v>24</v>
      </c>
      <c r="E16" s="110" t="s">
        <v>25</v>
      </c>
      <c r="F16" s="110" t="s">
        <v>21</v>
      </c>
      <c r="G16" s="111" t="s">
        <v>22</v>
      </c>
      <c r="H16" s="4"/>
      <c r="I16" s="341" t="s">
        <v>26</v>
      </c>
      <c r="J16" s="342"/>
      <c r="K16" s="110" t="s">
        <v>27</v>
      </c>
      <c r="L16" s="110" t="s">
        <v>20</v>
      </c>
      <c r="M16" s="110" t="s">
        <v>24</v>
      </c>
      <c r="N16" s="110" t="s">
        <v>25</v>
      </c>
      <c r="O16" s="110" t="s">
        <v>21</v>
      </c>
      <c r="P16" s="111" t="s">
        <v>22</v>
      </c>
    </row>
    <row r="17" spans="1:16" ht="15" customHeight="1" x14ac:dyDescent="0.25">
      <c r="A17" s="176" t="s">
        <v>818</v>
      </c>
      <c r="B17" s="164" t="s">
        <v>819</v>
      </c>
      <c r="C17" s="164" t="s">
        <v>820</v>
      </c>
      <c r="D17" s="165">
        <v>42</v>
      </c>
      <c r="E17" s="165">
        <v>15</v>
      </c>
      <c r="F17" s="166">
        <f>IF(D17*E17&gt;0,D17*E17,"")</f>
        <v>630</v>
      </c>
      <c r="G17" s="167">
        <f>IF(F17="",F17,F17/52)</f>
        <v>12.115384615384615</v>
      </c>
      <c r="H17" s="57"/>
      <c r="I17" s="343" t="s">
        <v>821</v>
      </c>
      <c r="J17" s="344"/>
      <c r="K17" s="164" t="s">
        <v>822</v>
      </c>
      <c r="L17" s="164" t="s">
        <v>820</v>
      </c>
      <c r="M17" s="165">
        <v>42</v>
      </c>
      <c r="N17" s="165">
        <v>31</v>
      </c>
      <c r="O17" s="166">
        <f>IF(M17*N17&gt;0,M17*N17,"")</f>
        <v>1302</v>
      </c>
      <c r="P17" s="167">
        <f>IF(O17="",O17,O17/52)</f>
        <v>25.03846153846154</v>
      </c>
    </row>
    <row r="18" spans="1:16" s="54" customFormat="1" ht="15" customHeight="1" x14ac:dyDescent="0.25">
      <c r="A18" s="177"/>
      <c r="B18" s="168"/>
      <c r="C18" s="168"/>
      <c r="D18" s="169"/>
      <c r="E18" s="169"/>
      <c r="F18" s="170" t="str">
        <f t="shared" ref="F18:F67" si="0">IF(D18*E18&gt;0,D18*E18,"")</f>
        <v/>
      </c>
      <c r="G18" s="171" t="str">
        <f t="shared" ref="G18:G67" si="1">IF(F18="",F18,F18/52)</f>
        <v/>
      </c>
      <c r="H18" s="57"/>
      <c r="I18" s="337"/>
      <c r="J18" s="338"/>
      <c r="K18" s="168"/>
      <c r="L18" s="168"/>
      <c r="M18" s="169"/>
      <c r="N18" s="169"/>
      <c r="O18" s="170" t="str">
        <f t="shared" ref="O18:O67" si="2">IF(M18*N18&gt;0,M18*N18,"")</f>
        <v/>
      </c>
      <c r="P18" s="171" t="str">
        <f t="shared" ref="P18:P67" si="3">IF(O18="",O18,O18/52)</f>
        <v/>
      </c>
    </row>
    <row r="19" spans="1:16" s="54" customFormat="1" x14ac:dyDescent="0.25">
      <c r="A19" s="177"/>
      <c r="B19" s="168"/>
      <c r="C19" s="168"/>
      <c r="D19" s="169"/>
      <c r="E19" s="169"/>
      <c r="F19" s="170" t="str">
        <f t="shared" si="0"/>
        <v/>
      </c>
      <c r="G19" s="171" t="str">
        <f t="shared" si="1"/>
        <v/>
      </c>
      <c r="H19" s="57"/>
      <c r="I19" s="337"/>
      <c r="J19" s="338"/>
      <c r="K19" s="168"/>
      <c r="L19" s="168"/>
      <c r="M19" s="169"/>
      <c r="N19" s="169"/>
      <c r="O19" s="170" t="str">
        <f t="shared" si="2"/>
        <v/>
      </c>
      <c r="P19" s="171" t="str">
        <f t="shared" si="3"/>
        <v/>
      </c>
    </row>
    <row r="20" spans="1:16" s="54" customFormat="1" x14ac:dyDescent="0.25">
      <c r="A20" s="177"/>
      <c r="B20" s="168"/>
      <c r="C20" s="168"/>
      <c r="D20" s="169"/>
      <c r="E20" s="169"/>
      <c r="F20" s="170" t="str">
        <f t="shared" si="0"/>
        <v/>
      </c>
      <c r="G20" s="171" t="str">
        <f t="shared" si="1"/>
        <v/>
      </c>
      <c r="H20" s="57"/>
      <c r="I20" s="337"/>
      <c r="J20" s="338"/>
      <c r="K20" s="168"/>
      <c r="L20" s="168"/>
      <c r="M20" s="169"/>
      <c r="N20" s="169"/>
      <c r="O20" s="170" t="str">
        <f t="shared" si="2"/>
        <v/>
      </c>
      <c r="P20" s="171" t="str">
        <f t="shared" si="3"/>
        <v/>
      </c>
    </row>
    <row r="21" spans="1:16" s="54" customFormat="1" x14ac:dyDescent="0.25">
      <c r="A21" s="177"/>
      <c r="B21" s="168"/>
      <c r="C21" s="168"/>
      <c r="D21" s="169"/>
      <c r="E21" s="169"/>
      <c r="F21" s="170" t="str">
        <f t="shared" si="0"/>
        <v/>
      </c>
      <c r="G21" s="171" t="str">
        <f t="shared" si="1"/>
        <v/>
      </c>
      <c r="H21" s="57"/>
      <c r="I21" s="337"/>
      <c r="J21" s="338"/>
      <c r="K21" s="168"/>
      <c r="L21" s="168"/>
      <c r="M21" s="169"/>
      <c r="N21" s="169"/>
      <c r="O21" s="170" t="str">
        <f t="shared" si="2"/>
        <v/>
      </c>
      <c r="P21" s="171" t="str">
        <f t="shared" si="3"/>
        <v/>
      </c>
    </row>
    <row r="22" spans="1:16" s="54" customFormat="1" x14ac:dyDescent="0.25">
      <c r="A22" s="177"/>
      <c r="B22" s="168"/>
      <c r="C22" s="168"/>
      <c r="D22" s="169"/>
      <c r="E22" s="169"/>
      <c r="F22" s="170" t="str">
        <f t="shared" si="0"/>
        <v/>
      </c>
      <c r="G22" s="171" t="str">
        <f t="shared" si="1"/>
        <v/>
      </c>
      <c r="H22" s="57"/>
      <c r="I22" s="337"/>
      <c r="J22" s="338"/>
      <c r="K22" s="168"/>
      <c r="L22" s="168"/>
      <c r="M22" s="169"/>
      <c r="N22" s="169"/>
      <c r="O22" s="170" t="str">
        <f t="shared" si="2"/>
        <v/>
      </c>
      <c r="P22" s="171" t="str">
        <f t="shared" si="3"/>
        <v/>
      </c>
    </row>
    <row r="23" spans="1:16" s="54" customFormat="1" x14ac:dyDescent="0.25">
      <c r="A23" s="177"/>
      <c r="B23" s="168"/>
      <c r="C23" s="168"/>
      <c r="D23" s="169"/>
      <c r="E23" s="169"/>
      <c r="F23" s="170" t="str">
        <f t="shared" si="0"/>
        <v/>
      </c>
      <c r="G23" s="171" t="str">
        <f t="shared" si="1"/>
        <v/>
      </c>
      <c r="H23" s="57"/>
      <c r="I23" s="337"/>
      <c r="J23" s="338"/>
      <c r="K23" s="168"/>
      <c r="L23" s="168"/>
      <c r="M23" s="169"/>
      <c r="N23" s="169"/>
      <c r="O23" s="170" t="str">
        <f t="shared" si="2"/>
        <v/>
      </c>
      <c r="P23" s="171" t="str">
        <f t="shared" si="3"/>
        <v/>
      </c>
    </row>
    <row r="24" spans="1:16" s="54" customFormat="1" x14ac:dyDescent="0.25">
      <c r="A24" s="177"/>
      <c r="B24" s="168"/>
      <c r="C24" s="168"/>
      <c r="D24" s="169"/>
      <c r="E24" s="169"/>
      <c r="F24" s="170" t="str">
        <f t="shared" si="0"/>
        <v/>
      </c>
      <c r="G24" s="171" t="str">
        <f t="shared" si="1"/>
        <v/>
      </c>
      <c r="H24" s="57"/>
      <c r="I24" s="337"/>
      <c r="J24" s="338"/>
      <c r="K24" s="168"/>
      <c r="L24" s="168"/>
      <c r="M24" s="169"/>
      <c r="N24" s="169"/>
      <c r="O24" s="170" t="str">
        <f t="shared" si="2"/>
        <v/>
      </c>
      <c r="P24" s="171" t="str">
        <f t="shared" si="3"/>
        <v/>
      </c>
    </row>
    <row r="25" spans="1:16" s="54" customFormat="1" x14ac:dyDescent="0.25">
      <c r="A25" s="177"/>
      <c r="B25" s="168"/>
      <c r="C25" s="168"/>
      <c r="D25" s="169"/>
      <c r="E25" s="169"/>
      <c r="F25" s="170" t="str">
        <f t="shared" si="0"/>
        <v/>
      </c>
      <c r="G25" s="171" t="str">
        <f t="shared" si="1"/>
        <v/>
      </c>
      <c r="H25" s="57"/>
      <c r="I25" s="337"/>
      <c r="J25" s="338"/>
      <c r="K25" s="168"/>
      <c r="L25" s="168"/>
      <c r="M25" s="169"/>
      <c r="N25" s="169"/>
      <c r="O25" s="170" t="str">
        <f t="shared" si="2"/>
        <v/>
      </c>
      <c r="P25" s="171" t="str">
        <f t="shared" si="3"/>
        <v/>
      </c>
    </row>
    <row r="26" spans="1:16" s="54" customFormat="1" x14ac:dyDescent="0.25">
      <c r="A26" s="177"/>
      <c r="B26" s="168"/>
      <c r="C26" s="168"/>
      <c r="D26" s="169"/>
      <c r="E26" s="169"/>
      <c r="F26" s="170" t="str">
        <f t="shared" si="0"/>
        <v/>
      </c>
      <c r="G26" s="171" t="str">
        <f t="shared" si="1"/>
        <v/>
      </c>
      <c r="H26" s="57"/>
      <c r="I26" s="337"/>
      <c r="J26" s="338"/>
      <c r="K26" s="168"/>
      <c r="L26" s="168"/>
      <c r="M26" s="169"/>
      <c r="N26" s="169"/>
      <c r="O26" s="170" t="str">
        <f t="shared" si="2"/>
        <v/>
      </c>
      <c r="P26" s="171" t="str">
        <f t="shared" si="3"/>
        <v/>
      </c>
    </row>
    <row r="27" spans="1:16" s="54" customFormat="1" x14ac:dyDescent="0.25">
      <c r="A27" s="177"/>
      <c r="B27" s="168"/>
      <c r="C27" s="168"/>
      <c r="D27" s="169"/>
      <c r="E27" s="169"/>
      <c r="F27" s="170" t="str">
        <f t="shared" si="0"/>
        <v/>
      </c>
      <c r="G27" s="171" t="str">
        <f t="shared" si="1"/>
        <v/>
      </c>
      <c r="H27" s="57"/>
      <c r="I27" s="337"/>
      <c r="J27" s="338"/>
      <c r="K27" s="168"/>
      <c r="L27" s="168"/>
      <c r="M27" s="169"/>
      <c r="N27" s="169"/>
      <c r="O27" s="170" t="str">
        <f t="shared" si="2"/>
        <v/>
      </c>
      <c r="P27" s="171" t="str">
        <f t="shared" si="3"/>
        <v/>
      </c>
    </row>
    <row r="28" spans="1:16" s="54" customFormat="1" x14ac:dyDescent="0.25">
      <c r="A28" s="178"/>
      <c r="B28" s="168"/>
      <c r="C28" s="168"/>
      <c r="D28" s="169"/>
      <c r="E28" s="169"/>
      <c r="F28" s="170" t="str">
        <f t="shared" si="0"/>
        <v/>
      </c>
      <c r="G28" s="171" t="str">
        <f t="shared" si="1"/>
        <v/>
      </c>
      <c r="H28" s="57"/>
      <c r="I28" s="337"/>
      <c r="J28" s="338"/>
      <c r="K28" s="168"/>
      <c r="L28" s="168"/>
      <c r="M28" s="169"/>
      <c r="N28" s="169"/>
      <c r="O28" s="170" t="str">
        <f t="shared" si="2"/>
        <v/>
      </c>
      <c r="P28" s="171" t="str">
        <f t="shared" si="3"/>
        <v/>
      </c>
    </row>
    <row r="29" spans="1:16" s="54" customFormat="1" x14ac:dyDescent="0.25">
      <c r="A29" s="177"/>
      <c r="B29" s="168"/>
      <c r="C29" s="168"/>
      <c r="D29" s="169"/>
      <c r="E29" s="169"/>
      <c r="F29" s="170" t="str">
        <f t="shared" si="0"/>
        <v/>
      </c>
      <c r="G29" s="171" t="str">
        <f t="shared" si="1"/>
        <v/>
      </c>
      <c r="H29" s="57"/>
      <c r="I29" s="337"/>
      <c r="J29" s="338"/>
      <c r="K29" s="168"/>
      <c r="L29" s="168"/>
      <c r="M29" s="169"/>
      <c r="N29" s="169"/>
      <c r="O29" s="170" t="str">
        <f t="shared" si="2"/>
        <v/>
      </c>
      <c r="P29" s="171" t="str">
        <f t="shared" si="3"/>
        <v/>
      </c>
    </row>
    <row r="30" spans="1:16" s="54" customFormat="1" x14ac:dyDescent="0.25">
      <c r="A30" s="177"/>
      <c r="B30" s="168"/>
      <c r="C30" s="168"/>
      <c r="D30" s="169"/>
      <c r="E30" s="169"/>
      <c r="F30" s="170" t="str">
        <f t="shared" si="0"/>
        <v/>
      </c>
      <c r="G30" s="171" t="str">
        <f t="shared" si="1"/>
        <v/>
      </c>
      <c r="H30" s="57"/>
      <c r="I30" s="337"/>
      <c r="J30" s="338"/>
      <c r="K30" s="168"/>
      <c r="L30" s="168"/>
      <c r="M30" s="169"/>
      <c r="N30" s="169"/>
      <c r="O30" s="170" t="str">
        <f t="shared" si="2"/>
        <v/>
      </c>
      <c r="P30" s="171" t="str">
        <f t="shared" si="3"/>
        <v/>
      </c>
    </row>
    <row r="31" spans="1:16" s="54" customFormat="1" x14ac:dyDescent="0.25">
      <c r="A31" s="177"/>
      <c r="B31" s="168"/>
      <c r="C31" s="168"/>
      <c r="D31" s="169"/>
      <c r="E31" s="169"/>
      <c r="F31" s="170" t="str">
        <f t="shared" si="0"/>
        <v/>
      </c>
      <c r="G31" s="171" t="str">
        <f t="shared" si="1"/>
        <v/>
      </c>
      <c r="H31" s="57"/>
      <c r="I31" s="337"/>
      <c r="J31" s="338"/>
      <c r="K31" s="168"/>
      <c r="L31" s="168"/>
      <c r="M31" s="169"/>
      <c r="N31" s="169"/>
      <c r="O31" s="170" t="str">
        <f t="shared" si="2"/>
        <v/>
      </c>
      <c r="P31" s="171" t="str">
        <f t="shared" si="3"/>
        <v/>
      </c>
    </row>
    <row r="32" spans="1:16" s="54" customFormat="1" x14ac:dyDescent="0.25">
      <c r="A32" s="177"/>
      <c r="B32" s="168"/>
      <c r="C32" s="168"/>
      <c r="D32" s="169"/>
      <c r="E32" s="169"/>
      <c r="F32" s="170" t="str">
        <f t="shared" si="0"/>
        <v/>
      </c>
      <c r="G32" s="171" t="str">
        <f t="shared" si="1"/>
        <v/>
      </c>
      <c r="H32" s="57"/>
      <c r="I32" s="337"/>
      <c r="J32" s="338"/>
      <c r="K32" s="168"/>
      <c r="L32" s="168"/>
      <c r="M32" s="169"/>
      <c r="N32" s="169"/>
      <c r="O32" s="170" t="str">
        <f t="shared" si="2"/>
        <v/>
      </c>
      <c r="P32" s="171" t="str">
        <f t="shared" si="3"/>
        <v/>
      </c>
    </row>
    <row r="33" spans="1:16" s="54" customFormat="1" x14ac:dyDescent="0.25">
      <c r="A33" s="177"/>
      <c r="B33" s="168"/>
      <c r="C33" s="168"/>
      <c r="D33" s="169"/>
      <c r="E33" s="169"/>
      <c r="F33" s="170" t="str">
        <f t="shared" si="0"/>
        <v/>
      </c>
      <c r="G33" s="171" t="str">
        <f t="shared" si="1"/>
        <v/>
      </c>
      <c r="H33" s="57"/>
      <c r="I33" s="337"/>
      <c r="J33" s="338"/>
      <c r="K33" s="168"/>
      <c r="L33" s="168"/>
      <c r="M33" s="169"/>
      <c r="N33" s="169"/>
      <c r="O33" s="170" t="str">
        <f t="shared" si="2"/>
        <v/>
      </c>
      <c r="P33" s="171" t="str">
        <f t="shared" si="3"/>
        <v/>
      </c>
    </row>
    <row r="34" spans="1:16" s="54" customFormat="1" x14ac:dyDescent="0.25">
      <c r="A34" s="177"/>
      <c r="B34" s="168"/>
      <c r="C34" s="168"/>
      <c r="D34" s="169"/>
      <c r="E34" s="169"/>
      <c r="F34" s="170" t="str">
        <f t="shared" si="0"/>
        <v/>
      </c>
      <c r="G34" s="171" t="str">
        <f t="shared" si="1"/>
        <v/>
      </c>
      <c r="H34" s="57"/>
      <c r="I34" s="337"/>
      <c r="J34" s="338"/>
      <c r="K34" s="168"/>
      <c r="L34" s="168"/>
      <c r="M34" s="169"/>
      <c r="N34" s="169"/>
      <c r="O34" s="170" t="str">
        <f t="shared" si="2"/>
        <v/>
      </c>
      <c r="P34" s="171" t="str">
        <f t="shared" si="3"/>
        <v/>
      </c>
    </row>
    <row r="35" spans="1:16" s="54" customFormat="1" x14ac:dyDescent="0.25">
      <c r="A35" s="177"/>
      <c r="B35" s="168"/>
      <c r="C35" s="168"/>
      <c r="D35" s="169"/>
      <c r="E35" s="169"/>
      <c r="F35" s="170" t="str">
        <f t="shared" si="0"/>
        <v/>
      </c>
      <c r="G35" s="171" t="str">
        <f t="shared" si="1"/>
        <v/>
      </c>
      <c r="H35" s="57"/>
      <c r="I35" s="337"/>
      <c r="J35" s="338"/>
      <c r="K35" s="168"/>
      <c r="L35" s="168"/>
      <c r="M35" s="169"/>
      <c r="N35" s="169"/>
      <c r="O35" s="170" t="str">
        <f t="shared" si="2"/>
        <v/>
      </c>
      <c r="P35" s="171" t="str">
        <f t="shared" si="3"/>
        <v/>
      </c>
    </row>
    <row r="36" spans="1:16" s="54" customFormat="1" x14ac:dyDescent="0.25">
      <c r="A36" s="177"/>
      <c r="B36" s="168"/>
      <c r="C36" s="168"/>
      <c r="D36" s="169"/>
      <c r="E36" s="169"/>
      <c r="F36" s="170" t="str">
        <f t="shared" si="0"/>
        <v/>
      </c>
      <c r="G36" s="171" t="str">
        <f t="shared" si="1"/>
        <v/>
      </c>
      <c r="H36" s="57"/>
      <c r="I36" s="337"/>
      <c r="J36" s="338"/>
      <c r="K36" s="168"/>
      <c r="L36" s="168"/>
      <c r="M36" s="169"/>
      <c r="N36" s="169"/>
      <c r="O36" s="170" t="str">
        <f t="shared" si="2"/>
        <v/>
      </c>
      <c r="P36" s="171" t="str">
        <f t="shared" si="3"/>
        <v/>
      </c>
    </row>
    <row r="37" spans="1:16" s="54" customFormat="1" x14ac:dyDescent="0.25">
      <c r="A37" s="177"/>
      <c r="B37" s="168"/>
      <c r="C37" s="168"/>
      <c r="D37" s="169"/>
      <c r="E37" s="169"/>
      <c r="F37" s="170" t="str">
        <f t="shared" si="0"/>
        <v/>
      </c>
      <c r="G37" s="171" t="str">
        <f t="shared" si="1"/>
        <v/>
      </c>
      <c r="H37" s="57"/>
      <c r="I37" s="337"/>
      <c r="J37" s="338"/>
      <c r="K37" s="168"/>
      <c r="L37" s="168"/>
      <c r="M37" s="169"/>
      <c r="N37" s="169"/>
      <c r="O37" s="170" t="str">
        <f t="shared" si="2"/>
        <v/>
      </c>
      <c r="P37" s="171" t="str">
        <f t="shared" si="3"/>
        <v/>
      </c>
    </row>
    <row r="38" spans="1:16" s="54" customFormat="1" x14ac:dyDescent="0.25">
      <c r="A38" s="177"/>
      <c r="B38" s="168"/>
      <c r="C38" s="168"/>
      <c r="D38" s="169"/>
      <c r="E38" s="169"/>
      <c r="F38" s="170" t="str">
        <f t="shared" si="0"/>
        <v/>
      </c>
      <c r="G38" s="171" t="str">
        <f t="shared" si="1"/>
        <v/>
      </c>
      <c r="H38" s="57"/>
      <c r="I38" s="337"/>
      <c r="J38" s="338"/>
      <c r="K38" s="168"/>
      <c r="L38" s="168"/>
      <c r="M38" s="169"/>
      <c r="N38" s="169"/>
      <c r="O38" s="170" t="str">
        <f t="shared" si="2"/>
        <v/>
      </c>
      <c r="P38" s="171" t="str">
        <f t="shared" si="3"/>
        <v/>
      </c>
    </row>
    <row r="39" spans="1:16" s="54" customFormat="1" x14ac:dyDescent="0.25">
      <c r="A39" s="177"/>
      <c r="B39" s="168"/>
      <c r="C39" s="168"/>
      <c r="D39" s="169"/>
      <c r="E39" s="169"/>
      <c r="F39" s="170" t="str">
        <f t="shared" si="0"/>
        <v/>
      </c>
      <c r="G39" s="171" t="str">
        <f t="shared" si="1"/>
        <v/>
      </c>
      <c r="H39" s="57"/>
      <c r="I39" s="337"/>
      <c r="J39" s="338"/>
      <c r="K39" s="168"/>
      <c r="L39" s="168"/>
      <c r="M39" s="169"/>
      <c r="N39" s="169"/>
      <c r="O39" s="170" t="str">
        <f t="shared" si="2"/>
        <v/>
      </c>
      <c r="P39" s="171" t="str">
        <f t="shared" si="3"/>
        <v/>
      </c>
    </row>
    <row r="40" spans="1:16" s="54" customFormat="1" x14ac:dyDescent="0.25">
      <c r="A40" s="177"/>
      <c r="B40" s="168"/>
      <c r="C40" s="168"/>
      <c r="D40" s="169"/>
      <c r="E40" s="169"/>
      <c r="F40" s="170" t="str">
        <f t="shared" si="0"/>
        <v/>
      </c>
      <c r="G40" s="171" t="str">
        <f t="shared" si="1"/>
        <v/>
      </c>
      <c r="H40" s="57"/>
      <c r="I40" s="337"/>
      <c r="J40" s="338"/>
      <c r="K40" s="168"/>
      <c r="L40" s="168"/>
      <c r="M40" s="169"/>
      <c r="N40" s="169"/>
      <c r="O40" s="170" t="str">
        <f t="shared" si="2"/>
        <v/>
      </c>
      <c r="P40" s="171" t="str">
        <f t="shared" si="3"/>
        <v/>
      </c>
    </row>
    <row r="41" spans="1:16" s="54" customFormat="1" x14ac:dyDescent="0.25">
      <c r="A41" s="177"/>
      <c r="B41" s="168"/>
      <c r="C41" s="168"/>
      <c r="D41" s="169"/>
      <c r="E41" s="169"/>
      <c r="F41" s="170" t="str">
        <f t="shared" si="0"/>
        <v/>
      </c>
      <c r="G41" s="171" t="str">
        <f t="shared" si="1"/>
        <v/>
      </c>
      <c r="H41" s="57"/>
      <c r="I41" s="337"/>
      <c r="J41" s="338"/>
      <c r="K41" s="168"/>
      <c r="L41" s="168"/>
      <c r="M41" s="169"/>
      <c r="N41" s="169"/>
      <c r="O41" s="170" t="str">
        <f t="shared" si="2"/>
        <v/>
      </c>
      <c r="P41" s="171" t="str">
        <f t="shared" si="3"/>
        <v/>
      </c>
    </row>
    <row r="42" spans="1:16" s="54" customFormat="1" x14ac:dyDescent="0.25">
      <c r="A42" s="177"/>
      <c r="B42" s="168"/>
      <c r="C42" s="168"/>
      <c r="D42" s="169"/>
      <c r="E42" s="169"/>
      <c r="F42" s="170" t="str">
        <f t="shared" si="0"/>
        <v/>
      </c>
      <c r="G42" s="171" t="str">
        <f t="shared" si="1"/>
        <v/>
      </c>
      <c r="H42" s="57"/>
      <c r="I42" s="337"/>
      <c r="J42" s="338"/>
      <c r="K42" s="168"/>
      <c r="L42" s="168"/>
      <c r="M42" s="169"/>
      <c r="N42" s="169"/>
      <c r="O42" s="170" t="str">
        <f t="shared" si="2"/>
        <v/>
      </c>
      <c r="P42" s="171" t="str">
        <f t="shared" si="3"/>
        <v/>
      </c>
    </row>
    <row r="43" spans="1:16" s="54" customFormat="1" x14ac:dyDescent="0.25">
      <c r="A43" s="177"/>
      <c r="B43" s="168"/>
      <c r="C43" s="168"/>
      <c r="D43" s="169"/>
      <c r="E43" s="169"/>
      <c r="F43" s="170" t="str">
        <f t="shared" si="0"/>
        <v/>
      </c>
      <c r="G43" s="171" t="str">
        <f t="shared" si="1"/>
        <v/>
      </c>
      <c r="H43" s="57"/>
      <c r="I43" s="337"/>
      <c r="J43" s="338"/>
      <c r="K43" s="168"/>
      <c r="L43" s="168"/>
      <c r="M43" s="169"/>
      <c r="N43" s="169"/>
      <c r="O43" s="170" t="str">
        <f t="shared" si="2"/>
        <v/>
      </c>
      <c r="P43" s="171" t="str">
        <f t="shared" si="3"/>
        <v/>
      </c>
    </row>
    <row r="44" spans="1:16" s="54" customFormat="1" x14ac:dyDescent="0.25">
      <c r="A44" s="177"/>
      <c r="B44" s="168"/>
      <c r="C44" s="168"/>
      <c r="D44" s="169"/>
      <c r="E44" s="169"/>
      <c r="F44" s="170" t="str">
        <f t="shared" si="0"/>
        <v/>
      </c>
      <c r="G44" s="171" t="str">
        <f t="shared" si="1"/>
        <v/>
      </c>
      <c r="H44" s="57"/>
      <c r="I44" s="337"/>
      <c r="J44" s="338"/>
      <c r="K44" s="168"/>
      <c r="L44" s="168"/>
      <c r="M44" s="169"/>
      <c r="N44" s="169"/>
      <c r="O44" s="170" t="str">
        <f t="shared" si="2"/>
        <v/>
      </c>
      <c r="P44" s="171" t="str">
        <f t="shared" si="3"/>
        <v/>
      </c>
    </row>
    <row r="45" spans="1:16" s="54" customFormat="1" x14ac:dyDescent="0.25">
      <c r="A45" s="177"/>
      <c r="B45" s="168"/>
      <c r="C45" s="168"/>
      <c r="D45" s="169"/>
      <c r="E45" s="169"/>
      <c r="F45" s="170" t="str">
        <f t="shared" si="0"/>
        <v/>
      </c>
      <c r="G45" s="171" t="str">
        <f t="shared" si="1"/>
        <v/>
      </c>
      <c r="H45" s="57"/>
      <c r="I45" s="337"/>
      <c r="J45" s="338"/>
      <c r="K45" s="168"/>
      <c r="L45" s="168"/>
      <c r="M45" s="169"/>
      <c r="N45" s="169"/>
      <c r="O45" s="170" t="str">
        <f t="shared" si="2"/>
        <v/>
      </c>
      <c r="P45" s="171" t="str">
        <f t="shared" si="3"/>
        <v/>
      </c>
    </row>
    <row r="46" spans="1:16" s="54" customFormat="1" x14ac:dyDescent="0.25">
      <c r="A46" s="177"/>
      <c r="B46" s="168"/>
      <c r="C46" s="168"/>
      <c r="D46" s="169"/>
      <c r="E46" s="169"/>
      <c r="F46" s="170" t="str">
        <f t="shared" si="0"/>
        <v/>
      </c>
      <c r="G46" s="171" t="str">
        <f t="shared" si="1"/>
        <v/>
      </c>
      <c r="H46" s="57"/>
      <c r="I46" s="337"/>
      <c r="J46" s="338"/>
      <c r="K46" s="168"/>
      <c r="L46" s="168"/>
      <c r="M46" s="169"/>
      <c r="N46" s="169"/>
      <c r="O46" s="170" t="str">
        <f t="shared" si="2"/>
        <v/>
      </c>
      <c r="P46" s="171" t="str">
        <f t="shared" si="3"/>
        <v/>
      </c>
    </row>
    <row r="47" spans="1:16" s="54" customFormat="1" x14ac:dyDescent="0.25">
      <c r="A47" s="177"/>
      <c r="B47" s="168"/>
      <c r="C47" s="168"/>
      <c r="D47" s="169"/>
      <c r="E47" s="169"/>
      <c r="F47" s="170" t="str">
        <f t="shared" si="0"/>
        <v/>
      </c>
      <c r="G47" s="171" t="str">
        <f t="shared" si="1"/>
        <v/>
      </c>
      <c r="H47" s="57"/>
      <c r="I47" s="337"/>
      <c r="J47" s="338"/>
      <c r="K47" s="168"/>
      <c r="L47" s="168"/>
      <c r="M47" s="169"/>
      <c r="N47" s="169"/>
      <c r="O47" s="170" t="str">
        <f t="shared" si="2"/>
        <v/>
      </c>
      <c r="P47" s="171" t="str">
        <f t="shared" si="3"/>
        <v/>
      </c>
    </row>
    <row r="48" spans="1:16" s="54" customFormat="1" x14ac:dyDescent="0.25">
      <c r="A48" s="177"/>
      <c r="B48" s="168"/>
      <c r="C48" s="168"/>
      <c r="D48" s="169"/>
      <c r="E48" s="169"/>
      <c r="F48" s="170" t="str">
        <f t="shared" si="0"/>
        <v/>
      </c>
      <c r="G48" s="171" t="str">
        <f t="shared" si="1"/>
        <v/>
      </c>
      <c r="H48" s="57"/>
      <c r="I48" s="337"/>
      <c r="J48" s="338"/>
      <c r="K48" s="168"/>
      <c r="L48" s="168"/>
      <c r="M48" s="169"/>
      <c r="N48" s="169"/>
      <c r="O48" s="170" t="str">
        <f t="shared" si="2"/>
        <v/>
      </c>
      <c r="P48" s="171" t="str">
        <f t="shared" si="3"/>
        <v/>
      </c>
    </row>
    <row r="49" spans="1:16" s="54" customFormat="1" x14ac:dyDescent="0.25">
      <c r="A49" s="177"/>
      <c r="B49" s="168"/>
      <c r="C49" s="168"/>
      <c r="D49" s="169"/>
      <c r="E49" s="169"/>
      <c r="F49" s="170" t="str">
        <f t="shared" si="0"/>
        <v/>
      </c>
      <c r="G49" s="171" t="str">
        <f t="shared" si="1"/>
        <v/>
      </c>
      <c r="H49" s="57"/>
      <c r="I49" s="337"/>
      <c r="J49" s="338"/>
      <c r="K49" s="168"/>
      <c r="L49" s="168"/>
      <c r="M49" s="169"/>
      <c r="N49" s="169"/>
      <c r="O49" s="170" t="str">
        <f t="shared" si="2"/>
        <v/>
      </c>
      <c r="P49" s="171" t="str">
        <f t="shared" si="3"/>
        <v/>
      </c>
    </row>
    <row r="50" spans="1:16" s="54" customFormat="1" x14ac:dyDescent="0.25">
      <c r="A50" s="177"/>
      <c r="B50" s="168"/>
      <c r="C50" s="168"/>
      <c r="D50" s="169"/>
      <c r="E50" s="169"/>
      <c r="F50" s="170" t="str">
        <f t="shared" si="0"/>
        <v/>
      </c>
      <c r="G50" s="171" t="str">
        <f t="shared" si="1"/>
        <v/>
      </c>
      <c r="H50" s="57"/>
      <c r="I50" s="337"/>
      <c r="J50" s="338"/>
      <c r="K50" s="168"/>
      <c r="L50" s="168"/>
      <c r="M50" s="169"/>
      <c r="N50" s="169"/>
      <c r="O50" s="170" t="str">
        <f t="shared" si="2"/>
        <v/>
      </c>
      <c r="P50" s="171" t="str">
        <f t="shared" si="3"/>
        <v/>
      </c>
    </row>
    <row r="51" spans="1:16" s="54" customFormat="1" x14ac:dyDescent="0.25">
      <c r="A51" s="177"/>
      <c r="B51" s="168"/>
      <c r="C51" s="168"/>
      <c r="D51" s="169"/>
      <c r="E51" s="169"/>
      <c r="F51" s="170" t="str">
        <f t="shared" si="0"/>
        <v/>
      </c>
      <c r="G51" s="171" t="str">
        <f t="shared" si="1"/>
        <v/>
      </c>
      <c r="H51" s="57"/>
      <c r="I51" s="337"/>
      <c r="J51" s="338"/>
      <c r="K51" s="168"/>
      <c r="L51" s="168"/>
      <c r="M51" s="169"/>
      <c r="N51" s="169"/>
      <c r="O51" s="170" t="str">
        <f t="shared" si="2"/>
        <v/>
      </c>
      <c r="P51" s="171" t="str">
        <f t="shared" si="3"/>
        <v/>
      </c>
    </row>
    <row r="52" spans="1:16" s="54" customFormat="1" x14ac:dyDescent="0.25">
      <c r="A52" s="177"/>
      <c r="B52" s="168"/>
      <c r="C52" s="168"/>
      <c r="D52" s="169"/>
      <c r="E52" s="169"/>
      <c r="F52" s="170" t="str">
        <f t="shared" si="0"/>
        <v/>
      </c>
      <c r="G52" s="171" t="str">
        <f t="shared" si="1"/>
        <v/>
      </c>
      <c r="H52" s="57"/>
      <c r="I52" s="337"/>
      <c r="J52" s="338"/>
      <c r="K52" s="168"/>
      <c r="L52" s="168"/>
      <c r="M52" s="169"/>
      <c r="N52" s="169"/>
      <c r="O52" s="170" t="str">
        <f t="shared" si="2"/>
        <v/>
      </c>
      <c r="P52" s="171" t="str">
        <f t="shared" si="3"/>
        <v/>
      </c>
    </row>
    <row r="53" spans="1:16" s="54" customFormat="1" x14ac:dyDescent="0.25">
      <c r="A53" s="177"/>
      <c r="B53" s="168"/>
      <c r="C53" s="168"/>
      <c r="D53" s="169"/>
      <c r="E53" s="169"/>
      <c r="F53" s="170" t="str">
        <f t="shared" si="0"/>
        <v/>
      </c>
      <c r="G53" s="171" t="str">
        <f t="shared" si="1"/>
        <v/>
      </c>
      <c r="H53" s="57"/>
      <c r="I53" s="337"/>
      <c r="J53" s="338"/>
      <c r="K53" s="168"/>
      <c r="L53" s="168"/>
      <c r="M53" s="169"/>
      <c r="N53" s="169"/>
      <c r="O53" s="170" t="str">
        <f t="shared" si="2"/>
        <v/>
      </c>
      <c r="P53" s="171" t="str">
        <f t="shared" si="3"/>
        <v/>
      </c>
    </row>
    <row r="54" spans="1:16" s="54" customFormat="1" x14ac:dyDescent="0.25">
      <c r="A54" s="177"/>
      <c r="B54" s="168"/>
      <c r="C54" s="168"/>
      <c r="D54" s="169"/>
      <c r="E54" s="169"/>
      <c r="F54" s="170" t="str">
        <f t="shared" si="0"/>
        <v/>
      </c>
      <c r="G54" s="171" t="str">
        <f t="shared" si="1"/>
        <v/>
      </c>
      <c r="H54" s="57"/>
      <c r="I54" s="337"/>
      <c r="J54" s="338"/>
      <c r="K54" s="168"/>
      <c r="L54" s="168"/>
      <c r="M54" s="169"/>
      <c r="N54" s="169"/>
      <c r="O54" s="170" t="str">
        <f t="shared" si="2"/>
        <v/>
      </c>
      <c r="P54" s="171" t="str">
        <f t="shared" si="3"/>
        <v/>
      </c>
    </row>
    <row r="55" spans="1:16" s="54" customFormat="1" x14ac:dyDescent="0.25">
      <c r="A55" s="177"/>
      <c r="B55" s="168"/>
      <c r="C55" s="168"/>
      <c r="D55" s="169"/>
      <c r="E55" s="169"/>
      <c r="F55" s="170" t="str">
        <f t="shared" si="0"/>
        <v/>
      </c>
      <c r="G55" s="171" t="str">
        <f t="shared" si="1"/>
        <v/>
      </c>
      <c r="H55" s="57"/>
      <c r="I55" s="337"/>
      <c r="J55" s="338"/>
      <c r="K55" s="168"/>
      <c r="L55" s="168"/>
      <c r="M55" s="169"/>
      <c r="N55" s="169"/>
      <c r="O55" s="170" t="str">
        <f t="shared" si="2"/>
        <v/>
      </c>
      <c r="P55" s="171" t="str">
        <f t="shared" si="3"/>
        <v/>
      </c>
    </row>
    <row r="56" spans="1:16" s="54" customFormat="1" x14ac:dyDescent="0.25">
      <c r="A56" s="177"/>
      <c r="B56" s="168"/>
      <c r="C56" s="168"/>
      <c r="D56" s="169"/>
      <c r="E56" s="169"/>
      <c r="F56" s="170" t="str">
        <f t="shared" si="0"/>
        <v/>
      </c>
      <c r="G56" s="171" t="str">
        <f t="shared" si="1"/>
        <v/>
      </c>
      <c r="H56" s="57"/>
      <c r="I56" s="337"/>
      <c r="J56" s="338"/>
      <c r="K56" s="168"/>
      <c r="L56" s="168"/>
      <c r="M56" s="169"/>
      <c r="N56" s="169"/>
      <c r="O56" s="170" t="str">
        <f t="shared" si="2"/>
        <v/>
      </c>
      <c r="P56" s="171" t="str">
        <f t="shared" si="3"/>
        <v/>
      </c>
    </row>
    <row r="57" spans="1:16" s="54" customFormat="1" x14ac:dyDescent="0.25">
      <c r="A57" s="177"/>
      <c r="B57" s="168"/>
      <c r="C57" s="168"/>
      <c r="D57" s="169"/>
      <c r="E57" s="169"/>
      <c r="F57" s="170" t="str">
        <f t="shared" si="0"/>
        <v/>
      </c>
      <c r="G57" s="171" t="str">
        <f t="shared" si="1"/>
        <v/>
      </c>
      <c r="H57" s="57"/>
      <c r="I57" s="337"/>
      <c r="J57" s="338"/>
      <c r="K57" s="168"/>
      <c r="L57" s="168"/>
      <c r="M57" s="169"/>
      <c r="N57" s="169"/>
      <c r="O57" s="170" t="str">
        <f t="shared" si="2"/>
        <v/>
      </c>
      <c r="P57" s="171" t="str">
        <f t="shared" si="3"/>
        <v/>
      </c>
    </row>
    <row r="58" spans="1:16" s="54" customFormat="1" x14ac:dyDescent="0.25">
      <c r="A58" s="177"/>
      <c r="B58" s="168"/>
      <c r="C58" s="168"/>
      <c r="D58" s="169"/>
      <c r="E58" s="169"/>
      <c r="F58" s="170" t="str">
        <f t="shared" si="0"/>
        <v/>
      </c>
      <c r="G58" s="171" t="str">
        <f t="shared" si="1"/>
        <v/>
      </c>
      <c r="H58" s="57"/>
      <c r="I58" s="337"/>
      <c r="J58" s="338"/>
      <c r="K58" s="168"/>
      <c r="L58" s="168"/>
      <c r="M58" s="169"/>
      <c r="N58" s="169"/>
      <c r="O58" s="170" t="str">
        <f t="shared" si="2"/>
        <v/>
      </c>
      <c r="P58" s="171" t="str">
        <f t="shared" si="3"/>
        <v/>
      </c>
    </row>
    <row r="59" spans="1:16" s="54" customFormat="1" x14ac:dyDescent="0.25">
      <c r="A59" s="177"/>
      <c r="B59" s="168"/>
      <c r="C59" s="168"/>
      <c r="D59" s="169"/>
      <c r="E59" s="169"/>
      <c r="F59" s="170" t="str">
        <f t="shared" si="0"/>
        <v/>
      </c>
      <c r="G59" s="171" t="str">
        <f t="shared" si="1"/>
        <v/>
      </c>
      <c r="H59" s="57"/>
      <c r="I59" s="337"/>
      <c r="J59" s="338"/>
      <c r="K59" s="168"/>
      <c r="L59" s="168"/>
      <c r="M59" s="169"/>
      <c r="N59" s="169"/>
      <c r="O59" s="170" t="str">
        <f t="shared" si="2"/>
        <v/>
      </c>
      <c r="P59" s="171" t="str">
        <f t="shared" si="3"/>
        <v/>
      </c>
    </row>
    <row r="60" spans="1:16" s="54" customFormat="1" x14ac:dyDescent="0.25">
      <c r="A60" s="177"/>
      <c r="B60" s="168"/>
      <c r="C60" s="168"/>
      <c r="D60" s="169"/>
      <c r="E60" s="169"/>
      <c r="F60" s="170" t="str">
        <f t="shared" si="0"/>
        <v/>
      </c>
      <c r="G60" s="171" t="str">
        <f t="shared" si="1"/>
        <v/>
      </c>
      <c r="H60" s="57"/>
      <c r="I60" s="337"/>
      <c r="J60" s="338"/>
      <c r="K60" s="168"/>
      <c r="L60" s="168"/>
      <c r="M60" s="169"/>
      <c r="N60" s="169"/>
      <c r="O60" s="170" t="str">
        <f t="shared" si="2"/>
        <v/>
      </c>
      <c r="P60" s="171" t="str">
        <f t="shared" si="3"/>
        <v/>
      </c>
    </row>
    <row r="61" spans="1:16" s="54" customFormat="1" x14ac:dyDescent="0.25">
      <c r="A61" s="177"/>
      <c r="B61" s="168"/>
      <c r="C61" s="168"/>
      <c r="D61" s="169"/>
      <c r="E61" s="169"/>
      <c r="F61" s="170" t="str">
        <f t="shared" si="0"/>
        <v/>
      </c>
      <c r="G61" s="171" t="str">
        <f t="shared" si="1"/>
        <v/>
      </c>
      <c r="H61" s="57"/>
      <c r="I61" s="337"/>
      <c r="J61" s="338"/>
      <c r="K61" s="168"/>
      <c r="L61" s="168"/>
      <c r="M61" s="169"/>
      <c r="N61" s="169"/>
      <c r="O61" s="170" t="str">
        <f t="shared" si="2"/>
        <v/>
      </c>
      <c r="P61" s="171" t="str">
        <f t="shared" si="3"/>
        <v/>
      </c>
    </row>
    <row r="62" spans="1:16" s="54" customFormat="1" x14ac:dyDescent="0.25">
      <c r="A62" s="177"/>
      <c r="B62" s="168"/>
      <c r="C62" s="168"/>
      <c r="D62" s="169"/>
      <c r="E62" s="169"/>
      <c r="F62" s="170" t="str">
        <f t="shared" si="0"/>
        <v/>
      </c>
      <c r="G62" s="171" t="str">
        <f t="shared" si="1"/>
        <v/>
      </c>
      <c r="H62" s="57"/>
      <c r="I62" s="337"/>
      <c r="J62" s="338"/>
      <c r="K62" s="168"/>
      <c r="L62" s="168"/>
      <c r="M62" s="169"/>
      <c r="N62" s="169"/>
      <c r="O62" s="170" t="str">
        <f t="shared" si="2"/>
        <v/>
      </c>
      <c r="P62" s="171" t="str">
        <f t="shared" si="3"/>
        <v/>
      </c>
    </row>
    <row r="63" spans="1:16" s="54" customFormat="1" x14ac:dyDescent="0.25">
      <c r="A63" s="177"/>
      <c r="B63" s="168"/>
      <c r="C63" s="168"/>
      <c r="D63" s="169"/>
      <c r="E63" s="169"/>
      <c r="F63" s="170" t="str">
        <f t="shared" si="0"/>
        <v/>
      </c>
      <c r="G63" s="171" t="str">
        <f t="shared" si="1"/>
        <v/>
      </c>
      <c r="H63" s="57"/>
      <c r="I63" s="337"/>
      <c r="J63" s="338"/>
      <c r="K63" s="168"/>
      <c r="L63" s="168"/>
      <c r="M63" s="169"/>
      <c r="N63" s="169"/>
      <c r="O63" s="170" t="str">
        <f t="shared" si="2"/>
        <v/>
      </c>
      <c r="P63" s="171" t="str">
        <f t="shared" si="3"/>
        <v/>
      </c>
    </row>
    <row r="64" spans="1:16" s="54" customFormat="1" x14ac:dyDescent="0.25">
      <c r="A64" s="177"/>
      <c r="B64" s="168"/>
      <c r="C64" s="168"/>
      <c r="D64" s="169"/>
      <c r="E64" s="169"/>
      <c r="F64" s="170" t="str">
        <f t="shared" si="0"/>
        <v/>
      </c>
      <c r="G64" s="171" t="str">
        <f t="shared" si="1"/>
        <v/>
      </c>
      <c r="H64" s="57"/>
      <c r="I64" s="337"/>
      <c r="J64" s="338"/>
      <c r="K64" s="168"/>
      <c r="L64" s="168"/>
      <c r="M64" s="169"/>
      <c r="N64" s="169"/>
      <c r="O64" s="170" t="str">
        <f t="shared" si="2"/>
        <v/>
      </c>
      <c r="P64" s="171" t="str">
        <f t="shared" si="3"/>
        <v/>
      </c>
    </row>
    <row r="65" spans="1:16" s="54" customFormat="1" x14ac:dyDescent="0.25">
      <c r="A65" s="177"/>
      <c r="B65" s="168"/>
      <c r="C65" s="168"/>
      <c r="D65" s="169"/>
      <c r="E65" s="169"/>
      <c r="F65" s="170" t="str">
        <f t="shared" si="0"/>
        <v/>
      </c>
      <c r="G65" s="171" t="str">
        <f t="shared" si="1"/>
        <v/>
      </c>
      <c r="H65" s="57"/>
      <c r="I65" s="337"/>
      <c r="J65" s="338"/>
      <c r="K65" s="168"/>
      <c r="L65" s="168"/>
      <c r="M65" s="169"/>
      <c r="N65" s="169"/>
      <c r="O65" s="170" t="str">
        <f t="shared" si="2"/>
        <v/>
      </c>
      <c r="P65" s="171" t="str">
        <f t="shared" si="3"/>
        <v/>
      </c>
    </row>
    <row r="66" spans="1:16" s="54" customFormat="1" x14ac:dyDescent="0.25">
      <c r="A66" s="177"/>
      <c r="B66" s="168"/>
      <c r="C66" s="168"/>
      <c r="D66" s="169"/>
      <c r="E66" s="169"/>
      <c r="F66" s="170" t="str">
        <f t="shared" si="0"/>
        <v/>
      </c>
      <c r="G66" s="171" t="str">
        <f t="shared" si="1"/>
        <v/>
      </c>
      <c r="H66" s="57"/>
      <c r="I66" s="337"/>
      <c r="J66" s="338"/>
      <c r="K66" s="168"/>
      <c r="L66" s="168"/>
      <c r="M66" s="169"/>
      <c r="N66" s="169"/>
      <c r="O66" s="170" t="str">
        <f t="shared" si="2"/>
        <v/>
      </c>
      <c r="P66" s="171" t="str">
        <f t="shared" si="3"/>
        <v/>
      </c>
    </row>
    <row r="67" spans="1:16" s="54" customFormat="1" x14ac:dyDescent="0.25">
      <c r="A67" s="177"/>
      <c r="B67" s="168"/>
      <c r="C67" s="168"/>
      <c r="D67" s="169"/>
      <c r="E67" s="169"/>
      <c r="F67" s="170" t="str">
        <f t="shared" si="0"/>
        <v/>
      </c>
      <c r="G67" s="171" t="str">
        <f t="shared" si="1"/>
        <v/>
      </c>
      <c r="H67" s="57"/>
      <c r="I67" s="337"/>
      <c r="J67" s="338"/>
      <c r="K67" s="168"/>
      <c r="L67" s="168"/>
      <c r="M67" s="169"/>
      <c r="N67" s="169"/>
      <c r="O67" s="170" t="str">
        <f t="shared" si="2"/>
        <v/>
      </c>
      <c r="P67" s="171" t="str">
        <f t="shared" si="3"/>
        <v/>
      </c>
    </row>
    <row r="68" spans="1:16" s="54" customFormat="1" x14ac:dyDescent="0.25">
      <c r="A68" s="177"/>
      <c r="B68" s="168"/>
      <c r="C68" s="168"/>
      <c r="D68" s="169"/>
      <c r="E68" s="169"/>
      <c r="F68" s="170" t="str">
        <f t="shared" ref="F68:F92" si="4">IF(D68*E68&gt;0,D68*E68,"")</f>
        <v/>
      </c>
      <c r="G68" s="171" t="str">
        <f t="shared" ref="G68:G92" si="5">IF(F68="",F68,F68/52)</f>
        <v/>
      </c>
      <c r="H68" s="57"/>
      <c r="I68" s="337"/>
      <c r="J68" s="338"/>
      <c r="K68" s="168"/>
      <c r="L68" s="168"/>
      <c r="M68" s="169"/>
      <c r="N68" s="169"/>
      <c r="O68" s="170" t="str">
        <f t="shared" ref="O68:O92" si="6">IF(M68*N68&gt;0,M68*N68,"")</f>
        <v/>
      </c>
      <c r="P68" s="171" t="str">
        <f t="shared" ref="P68:P92" si="7">IF(O68="",O68,O68/52)</f>
        <v/>
      </c>
    </row>
    <row r="69" spans="1:16" s="54" customFormat="1" x14ac:dyDescent="0.25">
      <c r="A69" s="177"/>
      <c r="B69" s="168"/>
      <c r="C69" s="168"/>
      <c r="D69" s="169"/>
      <c r="E69" s="169"/>
      <c r="F69" s="170" t="str">
        <f t="shared" si="4"/>
        <v/>
      </c>
      <c r="G69" s="171" t="str">
        <f t="shared" si="5"/>
        <v/>
      </c>
      <c r="H69" s="57"/>
      <c r="I69" s="337"/>
      <c r="J69" s="338"/>
      <c r="K69" s="168"/>
      <c r="L69" s="168"/>
      <c r="M69" s="169"/>
      <c r="N69" s="169"/>
      <c r="O69" s="170" t="str">
        <f t="shared" si="6"/>
        <v/>
      </c>
      <c r="P69" s="171" t="str">
        <f t="shared" si="7"/>
        <v/>
      </c>
    </row>
    <row r="70" spans="1:16" s="54" customFormat="1" x14ac:dyDescent="0.25">
      <c r="A70" s="177"/>
      <c r="B70" s="168"/>
      <c r="C70" s="168"/>
      <c r="D70" s="169"/>
      <c r="E70" s="169"/>
      <c r="F70" s="170" t="str">
        <f t="shared" si="4"/>
        <v/>
      </c>
      <c r="G70" s="171" t="str">
        <f t="shared" si="5"/>
        <v/>
      </c>
      <c r="H70" s="57"/>
      <c r="I70" s="337"/>
      <c r="J70" s="338"/>
      <c r="K70" s="168"/>
      <c r="L70" s="168"/>
      <c r="M70" s="169"/>
      <c r="N70" s="169"/>
      <c r="O70" s="170" t="str">
        <f t="shared" si="6"/>
        <v/>
      </c>
      <c r="P70" s="171" t="str">
        <f t="shared" si="7"/>
        <v/>
      </c>
    </row>
    <row r="71" spans="1:16" s="54" customFormat="1" x14ac:dyDescent="0.25">
      <c r="A71" s="177"/>
      <c r="B71" s="168"/>
      <c r="C71" s="168"/>
      <c r="D71" s="169"/>
      <c r="E71" s="169"/>
      <c r="F71" s="170" t="str">
        <f t="shared" si="4"/>
        <v/>
      </c>
      <c r="G71" s="171" t="str">
        <f t="shared" si="5"/>
        <v/>
      </c>
      <c r="H71" s="57"/>
      <c r="I71" s="337"/>
      <c r="J71" s="338"/>
      <c r="K71" s="168"/>
      <c r="L71" s="168"/>
      <c r="M71" s="169"/>
      <c r="N71" s="169"/>
      <c r="O71" s="170" t="str">
        <f t="shared" si="6"/>
        <v/>
      </c>
      <c r="P71" s="171" t="str">
        <f t="shared" si="7"/>
        <v/>
      </c>
    </row>
    <row r="72" spans="1:16" s="54" customFormat="1" x14ac:dyDescent="0.25">
      <c r="A72" s="177"/>
      <c r="B72" s="168"/>
      <c r="C72" s="168"/>
      <c r="D72" s="169"/>
      <c r="E72" s="169"/>
      <c r="F72" s="170" t="str">
        <f t="shared" si="4"/>
        <v/>
      </c>
      <c r="G72" s="171" t="str">
        <f t="shared" si="5"/>
        <v/>
      </c>
      <c r="H72" s="57"/>
      <c r="I72" s="337"/>
      <c r="J72" s="338"/>
      <c r="K72" s="168"/>
      <c r="L72" s="168"/>
      <c r="M72" s="169"/>
      <c r="N72" s="169"/>
      <c r="O72" s="170" t="str">
        <f t="shared" si="6"/>
        <v/>
      </c>
      <c r="P72" s="171" t="str">
        <f t="shared" si="7"/>
        <v/>
      </c>
    </row>
    <row r="73" spans="1:16" s="54" customFormat="1" x14ac:dyDescent="0.25">
      <c r="A73" s="177"/>
      <c r="B73" s="168"/>
      <c r="C73" s="168"/>
      <c r="D73" s="169"/>
      <c r="E73" s="169"/>
      <c r="F73" s="170" t="str">
        <f t="shared" si="4"/>
        <v/>
      </c>
      <c r="G73" s="171" t="str">
        <f t="shared" si="5"/>
        <v/>
      </c>
      <c r="H73" s="57"/>
      <c r="I73" s="337"/>
      <c r="J73" s="338"/>
      <c r="K73" s="168"/>
      <c r="L73" s="168"/>
      <c r="M73" s="169"/>
      <c r="N73" s="169"/>
      <c r="O73" s="170" t="str">
        <f t="shared" si="6"/>
        <v/>
      </c>
      <c r="P73" s="171" t="str">
        <f t="shared" si="7"/>
        <v/>
      </c>
    </row>
    <row r="74" spans="1:16" s="54" customFormat="1" x14ac:dyDescent="0.25">
      <c r="A74" s="177"/>
      <c r="B74" s="168"/>
      <c r="C74" s="168"/>
      <c r="D74" s="169"/>
      <c r="E74" s="169"/>
      <c r="F74" s="170" t="str">
        <f t="shared" si="4"/>
        <v/>
      </c>
      <c r="G74" s="171" t="str">
        <f t="shared" si="5"/>
        <v/>
      </c>
      <c r="H74" s="57"/>
      <c r="I74" s="337"/>
      <c r="J74" s="338"/>
      <c r="K74" s="168"/>
      <c r="L74" s="168"/>
      <c r="M74" s="169"/>
      <c r="N74" s="169"/>
      <c r="O74" s="170" t="str">
        <f t="shared" si="6"/>
        <v/>
      </c>
      <c r="P74" s="171" t="str">
        <f t="shared" si="7"/>
        <v/>
      </c>
    </row>
    <row r="75" spans="1:16" s="54" customFormat="1" x14ac:dyDescent="0.25">
      <c r="A75" s="177"/>
      <c r="B75" s="168"/>
      <c r="C75" s="168"/>
      <c r="D75" s="169"/>
      <c r="E75" s="169"/>
      <c r="F75" s="170" t="str">
        <f t="shared" si="4"/>
        <v/>
      </c>
      <c r="G75" s="171" t="str">
        <f t="shared" si="5"/>
        <v/>
      </c>
      <c r="H75" s="57"/>
      <c r="I75" s="337"/>
      <c r="J75" s="338"/>
      <c r="K75" s="168"/>
      <c r="L75" s="168"/>
      <c r="M75" s="169"/>
      <c r="N75" s="169"/>
      <c r="O75" s="170" t="str">
        <f t="shared" si="6"/>
        <v/>
      </c>
      <c r="P75" s="171" t="str">
        <f t="shared" si="7"/>
        <v/>
      </c>
    </row>
    <row r="76" spans="1:16" s="54" customFormat="1" x14ac:dyDescent="0.25">
      <c r="A76" s="177"/>
      <c r="B76" s="168"/>
      <c r="C76" s="168"/>
      <c r="D76" s="169"/>
      <c r="E76" s="169"/>
      <c r="F76" s="170" t="str">
        <f t="shared" si="4"/>
        <v/>
      </c>
      <c r="G76" s="171" t="str">
        <f t="shared" si="5"/>
        <v/>
      </c>
      <c r="H76" s="57"/>
      <c r="I76" s="337"/>
      <c r="J76" s="338"/>
      <c r="K76" s="168"/>
      <c r="L76" s="168"/>
      <c r="M76" s="169"/>
      <c r="N76" s="169"/>
      <c r="O76" s="170" t="str">
        <f t="shared" si="6"/>
        <v/>
      </c>
      <c r="P76" s="171" t="str">
        <f t="shared" si="7"/>
        <v/>
      </c>
    </row>
    <row r="77" spans="1:16" s="54" customFormat="1" x14ac:dyDescent="0.25">
      <c r="A77" s="177"/>
      <c r="B77" s="168"/>
      <c r="C77" s="168"/>
      <c r="D77" s="169"/>
      <c r="E77" s="169"/>
      <c r="F77" s="170" t="str">
        <f t="shared" si="4"/>
        <v/>
      </c>
      <c r="G77" s="171" t="str">
        <f t="shared" si="5"/>
        <v/>
      </c>
      <c r="H77" s="57"/>
      <c r="I77" s="337"/>
      <c r="J77" s="338"/>
      <c r="K77" s="168"/>
      <c r="L77" s="168"/>
      <c r="M77" s="169"/>
      <c r="N77" s="169"/>
      <c r="O77" s="170" t="str">
        <f t="shared" si="6"/>
        <v/>
      </c>
      <c r="P77" s="171" t="str">
        <f t="shared" si="7"/>
        <v/>
      </c>
    </row>
    <row r="78" spans="1:16" s="54" customFormat="1" x14ac:dyDescent="0.25">
      <c r="A78" s="177"/>
      <c r="B78" s="168"/>
      <c r="C78" s="168"/>
      <c r="D78" s="169"/>
      <c r="E78" s="169"/>
      <c r="F78" s="170" t="str">
        <f t="shared" si="4"/>
        <v/>
      </c>
      <c r="G78" s="171" t="str">
        <f t="shared" si="5"/>
        <v/>
      </c>
      <c r="H78" s="57"/>
      <c r="I78" s="337"/>
      <c r="J78" s="338"/>
      <c r="K78" s="168"/>
      <c r="L78" s="168"/>
      <c r="M78" s="169"/>
      <c r="N78" s="169"/>
      <c r="O78" s="170" t="str">
        <f t="shared" si="6"/>
        <v/>
      </c>
      <c r="P78" s="171" t="str">
        <f t="shared" si="7"/>
        <v/>
      </c>
    </row>
    <row r="79" spans="1:16" s="54" customFormat="1" x14ac:dyDescent="0.25">
      <c r="A79" s="177"/>
      <c r="B79" s="168"/>
      <c r="C79" s="168"/>
      <c r="D79" s="169"/>
      <c r="E79" s="169"/>
      <c r="F79" s="170" t="str">
        <f t="shared" si="4"/>
        <v/>
      </c>
      <c r="G79" s="171" t="str">
        <f t="shared" si="5"/>
        <v/>
      </c>
      <c r="H79" s="57"/>
      <c r="I79" s="337"/>
      <c r="J79" s="338"/>
      <c r="K79" s="168"/>
      <c r="L79" s="168"/>
      <c r="M79" s="169"/>
      <c r="N79" s="169"/>
      <c r="O79" s="170" t="str">
        <f t="shared" si="6"/>
        <v/>
      </c>
      <c r="P79" s="171" t="str">
        <f t="shared" si="7"/>
        <v/>
      </c>
    </row>
    <row r="80" spans="1:16" s="54" customFormat="1" x14ac:dyDescent="0.25">
      <c r="A80" s="177"/>
      <c r="B80" s="168"/>
      <c r="C80" s="168"/>
      <c r="D80" s="169"/>
      <c r="E80" s="169"/>
      <c r="F80" s="170" t="str">
        <f t="shared" si="4"/>
        <v/>
      </c>
      <c r="G80" s="171" t="str">
        <f t="shared" si="5"/>
        <v/>
      </c>
      <c r="H80" s="57"/>
      <c r="I80" s="337"/>
      <c r="J80" s="338"/>
      <c r="K80" s="168"/>
      <c r="L80" s="168"/>
      <c r="M80" s="169"/>
      <c r="N80" s="169"/>
      <c r="O80" s="170" t="str">
        <f t="shared" si="6"/>
        <v/>
      </c>
      <c r="P80" s="171" t="str">
        <f t="shared" si="7"/>
        <v/>
      </c>
    </row>
    <row r="81" spans="1:16" s="54" customFormat="1" x14ac:dyDescent="0.25">
      <c r="A81" s="177"/>
      <c r="B81" s="168"/>
      <c r="C81" s="168"/>
      <c r="D81" s="169"/>
      <c r="E81" s="169"/>
      <c r="F81" s="170" t="str">
        <f t="shared" si="4"/>
        <v/>
      </c>
      <c r="G81" s="171" t="str">
        <f t="shared" si="5"/>
        <v/>
      </c>
      <c r="H81" s="57"/>
      <c r="I81" s="337"/>
      <c r="J81" s="338"/>
      <c r="K81" s="168"/>
      <c r="L81" s="168"/>
      <c r="M81" s="169"/>
      <c r="N81" s="169"/>
      <c r="O81" s="170" t="str">
        <f t="shared" si="6"/>
        <v/>
      </c>
      <c r="P81" s="171" t="str">
        <f t="shared" si="7"/>
        <v/>
      </c>
    </row>
    <row r="82" spans="1:16" s="54" customFormat="1" x14ac:dyDescent="0.25">
      <c r="A82" s="177"/>
      <c r="B82" s="168"/>
      <c r="C82" s="168"/>
      <c r="D82" s="169"/>
      <c r="E82" s="169"/>
      <c r="F82" s="170" t="str">
        <f t="shared" si="4"/>
        <v/>
      </c>
      <c r="G82" s="171" t="str">
        <f t="shared" si="5"/>
        <v/>
      </c>
      <c r="H82" s="57"/>
      <c r="I82" s="337"/>
      <c r="J82" s="338"/>
      <c r="K82" s="168"/>
      <c r="L82" s="168"/>
      <c r="M82" s="169"/>
      <c r="N82" s="169"/>
      <c r="O82" s="170" t="str">
        <f t="shared" si="6"/>
        <v/>
      </c>
      <c r="P82" s="171" t="str">
        <f t="shared" si="7"/>
        <v/>
      </c>
    </row>
    <row r="83" spans="1:16" s="54" customFormat="1" x14ac:dyDescent="0.25">
      <c r="A83" s="177"/>
      <c r="B83" s="168"/>
      <c r="C83" s="168"/>
      <c r="D83" s="169"/>
      <c r="E83" s="169"/>
      <c r="F83" s="170" t="str">
        <f t="shared" si="4"/>
        <v/>
      </c>
      <c r="G83" s="171" t="str">
        <f t="shared" si="5"/>
        <v/>
      </c>
      <c r="H83" s="57"/>
      <c r="I83" s="337"/>
      <c r="J83" s="338"/>
      <c r="K83" s="168"/>
      <c r="L83" s="168"/>
      <c r="M83" s="169"/>
      <c r="N83" s="169"/>
      <c r="O83" s="170" t="str">
        <f t="shared" si="6"/>
        <v/>
      </c>
      <c r="P83" s="171" t="str">
        <f t="shared" si="7"/>
        <v/>
      </c>
    </row>
    <row r="84" spans="1:16" s="54" customFormat="1" x14ac:dyDescent="0.25">
      <c r="A84" s="177"/>
      <c r="B84" s="168"/>
      <c r="C84" s="168"/>
      <c r="D84" s="169"/>
      <c r="E84" s="169"/>
      <c r="F84" s="170" t="str">
        <f t="shared" si="4"/>
        <v/>
      </c>
      <c r="G84" s="171" t="str">
        <f t="shared" si="5"/>
        <v/>
      </c>
      <c r="H84" s="57"/>
      <c r="I84" s="337"/>
      <c r="J84" s="338"/>
      <c r="K84" s="168"/>
      <c r="L84" s="168"/>
      <c r="M84" s="169"/>
      <c r="N84" s="169"/>
      <c r="O84" s="170" t="str">
        <f t="shared" si="6"/>
        <v/>
      </c>
      <c r="P84" s="171" t="str">
        <f t="shared" si="7"/>
        <v/>
      </c>
    </row>
    <row r="85" spans="1:16" s="54" customFormat="1" x14ac:dyDescent="0.25">
      <c r="A85" s="177"/>
      <c r="B85" s="168"/>
      <c r="C85" s="168"/>
      <c r="D85" s="169"/>
      <c r="E85" s="169"/>
      <c r="F85" s="170" t="str">
        <f t="shared" si="4"/>
        <v/>
      </c>
      <c r="G85" s="171" t="str">
        <f t="shared" si="5"/>
        <v/>
      </c>
      <c r="H85" s="57"/>
      <c r="I85" s="337"/>
      <c r="J85" s="338"/>
      <c r="K85" s="168"/>
      <c r="L85" s="168"/>
      <c r="M85" s="169"/>
      <c r="N85" s="169"/>
      <c r="O85" s="170" t="str">
        <f t="shared" si="6"/>
        <v/>
      </c>
      <c r="P85" s="171" t="str">
        <f t="shared" si="7"/>
        <v/>
      </c>
    </row>
    <row r="86" spans="1:16" s="54" customFormat="1" x14ac:dyDescent="0.25">
      <c r="A86" s="177"/>
      <c r="B86" s="168"/>
      <c r="C86" s="168"/>
      <c r="D86" s="169"/>
      <c r="E86" s="169"/>
      <c r="F86" s="170" t="str">
        <f t="shared" si="4"/>
        <v/>
      </c>
      <c r="G86" s="171" t="str">
        <f t="shared" si="5"/>
        <v/>
      </c>
      <c r="H86" s="57"/>
      <c r="I86" s="337"/>
      <c r="J86" s="338"/>
      <c r="K86" s="168"/>
      <c r="L86" s="168"/>
      <c r="M86" s="169"/>
      <c r="N86" s="169"/>
      <c r="O86" s="170" t="str">
        <f t="shared" si="6"/>
        <v/>
      </c>
      <c r="P86" s="171" t="str">
        <f t="shared" si="7"/>
        <v/>
      </c>
    </row>
    <row r="87" spans="1:16" s="54" customFormat="1" x14ac:dyDescent="0.25">
      <c r="A87" s="177"/>
      <c r="B87" s="168"/>
      <c r="C87" s="168"/>
      <c r="D87" s="169"/>
      <c r="E87" s="169"/>
      <c r="F87" s="170" t="str">
        <f t="shared" si="4"/>
        <v/>
      </c>
      <c r="G87" s="171" t="str">
        <f t="shared" si="5"/>
        <v/>
      </c>
      <c r="H87" s="57"/>
      <c r="I87" s="337"/>
      <c r="J87" s="338"/>
      <c r="K87" s="168"/>
      <c r="L87" s="168"/>
      <c r="M87" s="169"/>
      <c r="N87" s="169"/>
      <c r="O87" s="170" t="str">
        <f t="shared" si="6"/>
        <v/>
      </c>
      <c r="P87" s="171" t="str">
        <f t="shared" si="7"/>
        <v/>
      </c>
    </row>
    <row r="88" spans="1:16" s="54" customFormat="1" x14ac:dyDescent="0.25">
      <c r="A88" s="177"/>
      <c r="B88" s="168"/>
      <c r="C88" s="168"/>
      <c r="D88" s="169"/>
      <c r="E88" s="169"/>
      <c r="F88" s="170" t="str">
        <f t="shared" si="4"/>
        <v/>
      </c>
      <c r="G88" s="171" t="str">
        <f t="shared" si="5"/>
        <v/>
      </c>
      <c r="H88" s="57"/>
      <c r="I88" s="337"/>
      <c r="J88" s="338"/>
      <c r="K88" s="168"/>
      <c r="L88" s="168"/>
      <c r="M88" s="169"/>
      <c r="N88" s="169"/>
      <c r="O88" s="170" t="str">
        <f t="shared" si="6"/>
        <v/>
      </c>
      <c r="P88" s="171" t="str">
        <f t="shared" si="7"/>
        <v/>
      </c>
    </row>
    <row r="89" spans="1:16" s="54" customFormat="1" x14ac:dyDescent="0.25">
      <c r="A89" s="177"/>
      <c r="B89" s="168"/>
      <c r="C89" s="168"/>
      <c r="D89" s="169"/>
      <c r="E89" s="169"/>
      <c r="F89" s="170" t="str">
        <f t="shared" si="4"/>
        <v/>
      </c>
      <c r="G89" s="171" t="str">
        <f t="shared" si="5"/>
        <v/>
      </c>
      <c r="H89" s="57"/>
      <c r="I89" s="337"/>
      <c r="J89" s="338"/>
      <c r="K89" s="168"/>
      <c r="L89" s="168"/>
      <c r="M89" s="169"/>
      <c r="N89" s="169"/>
      <c r="O89" s="170" t="str">
        <f t="shared" si="6"/>
        <v/>
      </c>
      <c r="P89" s="171" t="str">
        <f t="shared" si="7"/>
        <v/>
      </c>
    </row>
    <row r="90" spans="1:16" s="54" customFormat="1" x14ac:dyDescent="0.25">
      <c r="A90" s="177"/>
      <c r="B90" s="168"/>
      <c r="C90" s="168"/>
      <c r="D90" s="169"/>
      <c r="E90" s="169"/>
      <c r="F90" s="170" t="str">
        <f t="shared" si="4"/>
        <v/>
      </c>
      <c r="G90" s="171" t="str">
        <f t="shared" si="5"/>
        <v/>
      </c>
      <c r="H90" s="57"/>
      <c r="I90" s="337"/>
      <c r="J90" s="338"/>
      <c r="K90" s="168"/>
      <c r="L90" s="168"/>
      <c r="M90" s="169"/>
      <c r="N90" s="169"/>
      <c r="O90" s="170" t="str">
        <f t="shared" si="6"/>
        <v/>
      </c>
      <c r="P90" s="171" t="str">
        <f t="shared" si="7"/>
        <v/>
      </c>
    </row>
    <row r="91" spans="1:16" s="54" customFormat="1" x14ac:dyDescent="0.25">
      <c r="A91" s="177"/>
      <c r="B91" s="168"/>
      <c r="C91" s="168"/>
      <c r="D91" s="169"/>
      <c r="E91" s="169"/>
      <c r="F91" s="170" t="str">
        <f t="shared" si="4"/>
        <v/>
      </c>
      <c r="G91" s="171" t="str">
        <f t="shared" si="5"/>
        <v/>
      </c>
      <c r="H91" s="57"/>
      <c r="I91" s="337"/>
      <c r="J91" s="338"/>
      <c r="K91" s="168"/>
      <c r="L91" s="168"/>
      <c r="M91" s="169"/>
      <c r="N91" s="169"/>
      <c r="O91" s="170" t="str">
        <f t="shared" si="6"/>
        <v/>
      </c>
      <c r="P91" s="171" t="str">
        <f t="shared" si="7"/>
        <v/>
      </c>
    </row>
    <row r="92" spans="1:16" s="54" customFormat="1" x14ac:dyDescent="0.25">
      <c r="A92" s="177"/>
      <c r="B92" s="168"/>
      <c r="C92" s="168"/>
      <c r="D92" s="169"/>
      <c r="E92" s="169"/>
      <c r="F92" s="170" t="str">
        <f t="shared" si="4"/>
        <v/>
      </c>
      <c r="G92" s="171" t="str">
        <f t="shared" si="5"/>
        <v/>
      </c>
      <c r="H92" s="57"/>
      <c r="I92" s="337"/>
      <c r="J92" s="338"/>
      <c r="K92" s="168"/>
      <c r="L92" s="168"/>
      <c r="M92" s="169"/>
      <c r="N92" s="169"/>
      <c r="O92" s="170" t="str">
        <f t="shared" si="6"/>
        <v/>
      </c>
      <c r="P92" s="171" t="str">
        <f t="shared" si="7"/>
        <v/>
      </c>
    </row>
    <row r="93" spans="1:16" x14ac:dyDescent="0.25">
      <c r="A93" s="177"/>
      <c r="B93" s="168"/>
      <c r="C93" s="168"/>
      <c r="D93" s="169"/>
      <c r="E93" s="169"/>
      <c r="F93" s="170" t="str">
        <f t="shared" ref="F93:F118" si="8">IF(D93*E93&gt;0,D93*E93,"")</f>
        <v/>
      </c>
      <c r="G93" s="171" t="str">
        <f t="shared" ref="G93:G118" si="9">IF(F93="",F93,F93/52)</f>
        <v/>
      </c>
      <c r="H93" s="57"/>
      <c r="I93" s="337"/>
      <c r="J93" s="338"/>
      <c r="K93" s="168"/>
      <c r="L93" s="168"/>
      <c r="M93" s="169"/>
      <c r="N93" s="169"/>
      <c r="O93" s="170" t="str">
        <f t="shared" ref="O93:O118" si="10">IF(M93*N93&gt;0,M93*N93,"")</f>
        <v/>
      </c>
      <c r="P93" s="171" t="str">
        <f t="shared" ref="P93:P118" si="11">IF(O93="",O93,O93/52)</f>
        <v/>
      </c>
    </row>
    <row r="94" spans="1:16" s="54" customFormat="1" x14ac:dyDescent="0.25">
      <c r="A94" s="177"/>
      <c r="B94" s="168"/>
      <c r="C94" s="168"/>
      <c r="D94" s="169"/>
      <c r="E94" s="169"/>
      <c r="F94" s="170" t="str">
        <f t="shared" ref="F94:F104" si="12">IF(D94*E94&gt;0,D94*E94,"")</f>
        <v/>
      </c>
      <c r="G94" s="171" t="str">
        <f t="shared" si="9"/>
        <v/>
      </c>
      <c r="H94" s="57"/>
      <c r="I94" s="337"/>
      <c r="J94" s="338"/>
      <c r="K94" s="168"/>
      <c r="L94" s="168"/>
      <c r="M94" s="169"/>
      <c r="N94" s="169"/>
      <c r="O94" s="170" t="str">
        <f t="shared" ref="O94:O104" si="13">IF(M94*N94&gt;0,M94*N94,"")</f>
        <v/>
      </c>
      <c r="P94" s="171" t="str">
        <f t="shared" si="11"/>
        <v/>
      </c>
    </row>
    <row r="95" spans="1:16" s="54" customFormat="1" x14ac:dyDescent="0.25">
      <c r="A95" s="177"/>
      <c r="B95" s="168"/>
      <c r="C95" s="168"/>
      <c r="D95" s="169"/>
      <c r="E95" s="169"/>
      <c r="F95" s="170" t="str">
        <f t="shared" si="12"/>
        <v/>
      </c>
      <c r="G95" s="171" t="str">
        <f t="shared" si="9"/>
        <v/>
      </c>
      <c r="H95" s="57"/>
      <c r="I95" s="337"/>
      <c r="J95" s="338"/>
      <c r="K95" s="168"/>
      <c r="L95" s="168"/>
      <c r="M95" s="169"/>
      <c r="N95" s="169"/>
      <c r="O95" s="170" t="str">
        <f t="shared" si="13"/>
        <v/>
      </c>
      <c r="P95" s="171" t="str">
        <f t="shared" si="11"/>
        <v/>
      </c>
    </row>
    <row r="96" spans="1:16" s="54" customFormat="1" x14ac:dyDescent="0.25">
      <c r="A96" s="177"/>
      <c r="B96" s="168"/>
      <c r="C96" s="168"/>
      <c r="D96" s="169"/>
      <c r="E96" s="169"/>
      <c r="F96" s="170" t="str">
        <f t="shared" si="12"/>
        <v/>
      </c>
      <c r="G96" s="171" t="str">
        <f t="shared" si="9"/>
        <v/>
      </c>
      <c r="H96" s="57"/>
      <c r="I96" s="337"/>
      <c r="J96" s="338"/>
      <c r="K96" s="168"/>
      <c r="L96" s="168"/>
      <c r="M96" s="169"/>
      <c r="N96" s="169"/>
      <c r="O96" s="170" t="str">
        <f t="shared" si="13"/>
        <v/>
      </c>
      <c r="P96" s="171" t="str">
        <f t="shared" si="11"/>
        <v/>
      </c>
    </row>
    <row r="97" spans="1:16" s="54" customFormat="1" x14ac:dyDescent="0.25">
      <c r="A97" s="177"/>
      <c r="B97" s="168"/>
      <c r="C97" s="168"/>
      <c r="D97" s="169"/>
      <c r="E97" s="169"/>
      <c r="F97" s="170" t="str">
        <f t="shared" si="12"/>
        <v/>
      </c>
      <c r="G97" s="171" t="str">
        <f t="shared" si="9"/>
        <v/>
      </c>
      <c r="H97" s="57"/>
      <c r="I97" s="337"/>
      <c r="J97" s="338"/>
      <c r="K97" s="168"/>
      <c r="L97" s="168"/>
      <c r="M97" s="169"/>
      <c r="N97" s="169"/>
      <c r="O97" s="170" t="str">
        <f t="shared" si="13"/>
        <v/>
      </c>
      <c r="P97" s="171" t="str">
        <f t="shared" si="11"/>
        <v/>
      </c>
    </row>
    <row r="98" spans="1:16" s="54" customFormat="1" x14ac:dyDescent="0.25">
      <c r="A98" s="177"/>
      <c r="B98" s="168"/>
      <c r="C98" s="168"/>
      <c r="D98" s="169"/>
      <c r="E98" s="169"/>
      <c r="F98" s="170" t="str">
        <f t="shared" si="12"/>
        <v/>
      </c>
      <c r="G98" s="171" t="str">
        <f t="shared" si="9"/>
        <v/>
      </c>
      <c r="H98" s="57"/>
      <c r="I98" s="337"/>
      <c r="J98" s="338"/>
      <c r="K98" s="168"/>
      <c r="L98" s="168"/>
      <c r="M98" s="169"/>
      <c r="N98" s="169"/>
      <c r="O98" s="170" t="str">
        <f t="shared" si="13"/>
        <v/>
      </c>
      <c r="P98" s="171" t="str">
        <f t="shared" si="11"/>
        <v/>
      </c>
    </row>
    <row r="99" spans="1:16" s="54" customFormat="1" x14ac:dyDescent="0.25">
      <c r="A99" s="177"/>
      <c r="B99" s="168"/>
      <c r="C99" s="168"/>
      <c r="D99" s="169"/>
      <c r="E99" s="169"/>
      <c r="F99" s="170" t="str">
        <f t="shared" si="12"/>
        <v/>
      </c>
      <c r="G99" s="171" t="str">
        <f t="shared" si="9"/>
        <v/>
      </c>
      <c r="H99" s="57"/>
      <c r="I99" s="337"/>
      <c r="J99" s="338"/>
      <c r="K99" s="168"/>
      <c r="L99" s="168"/>
      <c r="M99" s="169"/>
      <c r="N99" s="169"/>
      <c r="O99" s="170" t="str">
        <f t="shared" si="13"/>
        <v/>
      </c>
      <c r="P99" s="171" t="str">
        <f t="shared" si="11"/>
        <v/>
      </c>
    </row>
    <row r="100" spans="1:16" s="54" customFormat="1" x14ac:dyDescent="0.25">
      <c r="A100" s="177"/>
      <c r="B100" s="168"/>
      <c r="C100" s="168"/>
      <c r="D100" s="169"/>
      <c r="E100" s="169"/>
      <c r="F100" s="170" t="str">
        <f t="shared" si="12"/>
        <v/>
      </c>
      <c r="G100" s="171" t="str">
        <f t="shared" si="9"/>
        <v/>
      </c>
      <c r="H100" s="57"/>
      <c r="I100" s="337"/>
      <c r="J100" s="338"/>
      <c r="K100" s="168"/>
      <c r="L100" s="168"/>
      <c r="M100" s="169"/>
      <c r="N100" s="169"/>
      <c r="O100" s="170" t="str">
        <f t="shared" si="13"/>
        <v/>
      </c>
      <c r="P100" s="171" t="str">
        <f t="shared" si="11"/>
        <v/>
      </c>
    </row>
    <row r="101" spans="1:16" s="54" customFormat="1" x14ac:dyDescent="0.25">
      <c r="A101" s="177"/>
      <c r="B101" s="168"/>
      <c r="C101" s="168"/>
      <c r="D101" s="169"/>
      <c r="E101" s="169"/>
      <c r="F101" s="170" t="str">
        <f t="shared" si="12"/>
        <v/>
      </c>
      <c r="G101" s="171" t="str">
        <f t="shared" si="9"/>
        <v/>
      </c>
      <c r="H101" s="57"/>
      <c r="I101" s="337"/>
      <c r="J101" s="338"/>
      <c r="K101" s="168"/>
      <c r="L101" s="168"/>
      <c r="M101" s="169"/>
      <c r="N101" s="169"/>
      <c r="O101" s="170" t="str">
        <f t="shared" si="13"/>
        <v/>
      </c>
      <c r="P101" s="171" t="str">
        <f t="shared" si="11"/>
        <v/>
      </c>
    </row>
    <row r="102" spans="1:16" s="54" customFormat="1" x14ac:dyDescent="0.25">
      <c r="A102" s="177"/>
      <c r="B102" s="168"/>
      <c r="C102" s="168"/>
      <c r="D102" s="169"/>
      <c r="E102" s="169"/>
      <c r="F102" s="170" t="str">
        <f t="shared" si="12"/>
        <v/>
      </c>
      <c r="G102" s="171" t="str">
        <f t="shared" si="9"/>
        <v/>
      </c>
      <c r="H102" s="57"/>
      <c r="I102" s="337"/>
      <c r="J102" s="338"/>
      <c r="K102" s="168"/>
      <c r="L102" s="168"/>
      <c r="M102" s="169"/>
      <c r="N102" s="169"/>
      <c r="O102" s="170" t="str">
        <f t="shared" si="13"/>
        <v/>
      </c>
      <c r="P102" s="171" t="str">
        <f t="shared" si="11"/>
        <v/>
      </c>
    </row>
    <row r="103" spans="1:16" s="54" customFormat="1" x14ac:dyDescent="0.25">
      <c r="A103" s="177"/>
      <c r="B103" s="168"/>
      <c r="C103" s="168"/>
      <c r="D103" s="169"/>
      <c r="E103" s="169"/>
      <c r="F103" s="170" t="str">
        <f t="shared" si="12"/>
        <v/>
      </c>
      <c r="G103" s="171" t="str">
        <f t="shared" si="9"/>
        <v/>
      </c>
      <c r="H103" s="57"/>
      <c r="I103" s="337"/>
      <c r="J103" s="338"/>
      <c r="K103" s="168"/>
      <c r="L103" s="168"/>
      <c r="M103" s="169"/>
      <c r="N103" s="169"/>
      <c r="O103" s="170" t="str">
        <f t="shared" si="13"/>
        <v/>
      </c>
      <c r="P103" s="171" t="str">
        <f t="shared" si="11"/>
        <v/>
      </c>
    </row>
    <row r="104" spans="1:16" s="54" customFormat="1" x14ac:dyDescent="0.25">
      <c r="A104" s="177"/>
      <c r="B104" s="168"/>
      <c r="C104" s="168"/>
      <c r="D104" s="169"/>
      <c r="E104" s="169"/>
      <c r="F104" s="170" t="str">
        <f t="shared" si="12"/>
        <v/>
      </c>
      <c r="G104" s="171" t="str">
        <f t="shared" si="9"/>
        <v/>
      </c>
      <c r="H104" s="57"/>
      <c r="I104" s="337"/>
      <c r="J104" s="338"/>
      <c r="K104" s="168"/>
      <c r="L104" s="168"/>
      <c r="M104" s="169"/>
      <c r="N104" s="169"/>
      <c r="O104" s="170" t="str">
        <f t="shared" si="13"/>
        <v/>
      </c>
      <c r="P104" s="171" t="str">
        <f t="shared" si="11"/>
        <v/>
      </c>
    </row>
    <row r="105" spans="1:16" x14ac:dyDescent="0.25">
      <c r="A105" s="177"/>
      <c r="B105" s="168"/>
      <c r="C105" s="168"/>
      <c r="D105" s="169"/>
      <c r="E105" s="169"/>
      <c r="F105" s="170" t="str">
        <f t="shared" si="8"/>
        <v/>
      </c>
      <c r="G105" s="171" t="str">
        <f t="shared" si="9"/>
        <v/>
      </c>
      <c r="H105" s="57"/>
      <c r="I105" s="337"/>
      <c r="J105" s="338"/>
      <c r="K105" s="168"/>
      <c r="L105" s="168"/>
      <c r="M105" s="169"/>
      <c r="N105" s="169"/>
      <c r="O105" s="170" t="str">
        <f t="shared" si="10"/>
        <v/>
      </c>
      <c r="P105" s="171" t="str">
        <f t="shared" si="11"/>
        <v/>
      </c>
    </row>
    <row r="106" spans="1:16" x14ac:dyDescent="0.25">
      <c r="A106" s="177"/>
      <c r="B106" s="168"/>
      <c r="C106" s="168"/>
      <c r="D106" s="169"/>
      <c r="E106" s="169"/>
      <c r="F106" s="170" t="str">
        <f t="shared" si="8"/>
        <v/>
      </c>
      <c r="G106" s="171" t="str">
        <f t="shared" si="9"/>
        <v/>
      </c>
      <c r="H106" s="57"/>
      <c r="I106" s="337"/>
      <c r="J106" s="338"/>
      <c r="K106" s="168"/>
      <c r="L106" s="168"/>
      <c r="M106" s="169"/>
      <c r="N106" s="169"/>
      <c r="O106" s="170" t="str">
        <f t="shared" si="10"/>
        <v/>
      </c>
      <c r="P106" s="171" t="str">
        <f t="shared" si="11"/>
        <v/>
      </c>
    </row>
    <row r="107" spans="1:16" x14ac:dyDescent="0.25">
      <c r="A107" s="177"/>
      <c r="B107" s="168"/>
      <c r="C107" s="168"/>
      <c r="D107" s="169"/>
      <c r="E107" s="169"/>
      <c r="F107" s="170" t="str">
        <f t="shared" si="8"/>
        <v/>
      </c>
      <c r="G107" s="171" t="str">
        <f t="shared" si="9"/>
        <v/>
      </c>
      <c r="H107" s="57"/>
      <c r="I107" s="337"/>
      <c r="J107" s="338"/>
      <c r="K107" s="168"/>
      <c r="L107" s="168"/>
      <c r="M107" s="169"/>
      <c r="N107" s="169"/>
      <c r="O107" s="170" t="str">
        <f t="shared" si="10"/>
        <v/>
      </c>
      <c r="P107" s="171" t="str">
        <f t="shared" si="11"/>
        <v/>
      </c>
    </row>
    <row r="108" spans="1:16" x14ac:dyDescent="0.25">
      <c r="A108" s="177"/>
      <c r="B108" s="168"/>
      <c r="C108" s="168"/>
      <c r="D108" s="169"/>
      <c r="E108" s="169"/>
      <c r="F108" s="170" t="str">
        <f t="shared" si="8"/>
        <v/>
      </c>
      <c r="G108" s="171" t="str">
        <f t="shared" si="9"/>
        <v/>
      </c>
      <c r="H108" s="57"/>
      <c r="I108" s="337"/>
      <c r="J108" s="338"/>
      <c r="K108" s="168"/>
      <c r="L108" s="168"/>
      <c r="M108" s="169"/>
      <c r="N108" s="169"/>
      <c r="O108" s="170" t="str">
        <f t="shared" si="10"/>
        <v/>
      </c>
      <c r="P108" s="171" t="str">
        <f t="shared" si="11"/>
        <v/>
      </c>
    </row>
    <row r="109" spans="1:16" x14ac:dyDescent="0.25">
      <c r="A109" s="177"/>
      <c r="B109" s="168"/>
      <c r="C109" s="168"/>
      <c r="D109" s="169"/>
      <c r="E109" s="169"/>
      <c r="F109" s="170" t="str">
        <f t="shared" si="8"/>
        <v/>
      </c>
      <c r="G109" s="171" t="str">
        <f t="shared" si="9"/>
        <v/>
      </c>
      <c r="H109" s="57"/>
      <c r="I109" s="337"/>
      <c r="J109" s="338"/>
      <c r="K109" s="168"/>
      <c r="L109" s="168"/>
      <c r="M109" s="169"/>
      <c r="N109" s="169"/>
      <c r="O109" s="170" t="str">
        <f t="shared" si="10"/>
        <v/>
      </c>
      <c r="P109" s="171" t="str">
        <f t="shared" si="11"/>
        <v/>
      </c>
    </row>
    <row r="110" spans="1:16" x14ac:dyDescent="0.25">
      <c r="A110" s="177"/>
      <c r="B110" s="168"/>
      <c r="C110" s="168"/>
      <c r="D110" s="169"/>
      <c r="E110" s="169"/>
      <c r="F110" s="170" t="str">
        <f t="shared" si="8"/>
        <v/>
      </c>
      <c r="G110" s="171" t="str">
        <f t="shared" si="9"/>
        <v/>
      </c>
      <c r="H110" s="57"/>
      <c r="I110" s="337"/>
      <c r="J110" s="338"/>
      <c r="K110" s="168"/>
      <c r="L110" s="168"/>
      <c r="M110" s="169"/>
      <c r="N110" s="169"/>
      <c r="O110" s="170" t="str">
        <f t="shared" si="10"/>
        <v/>
      </c>
      <c r="P110" s="171" t="str">
        <f t="shared" si="11"/>
        <v/>
      </c>
    </row>
    <row r="111" spans="1:16" x14ac:dyDescent="0.25">
      <c r="A111" s="177"/>
      <c r="B111" s="168"/>
      <c r="C111" s="168"/>
      <c r="D111" s="169"/>
      <c r="E111" s="169"/>
      <c r="F111" s="170" t="str">
        <f t="shared" si="8"/>
        <v/>
      </c>
      <c r="G111" s="171" t="str">
        <f t="shared" si="9"/>
        <v/>
      </c>
      <c r="H111" s="57"/>
      <c r="I111" s="337"/>
      <c r="J111" s="338"/>
      <c r="K111" s="168"/>
      <c r="L111" s="168"/>
      <c r="M111" s="169"/>
      <c r="N111" s="169"/>
      <c r="O111" s="170" t="str">
        <f t="shared" si="10"/>
        <v/>
      </c>
      <c r="P111" s="171" t="str">
        <f t="shared" si="11"/>
        <v/>
      </c>
    </row>
    <row r="112" spans="1:16" x14ac:dyDescent="0.25">
      <c r="A112" s="177"/>
      <c r="B112" s="168"/>
      <c r="C112" s="168"/>
      <c r="D112" s="169"/>
      <c r="E112" s="169"/>
      <c r="F112" s="170" t="str">
        <f t="shared" si="8"/>
        <v/>
      </c>
      <c r="G112" s="171" t="str">
        <f t="shared" si="9"/>
        <v/>
      </c>
      <c r="H112" s="57"/>
      <c r="I112" s="337"/>
      <c r="J112" s="338"/>
      <c r="K112" s="168"/>
      <c r="L112" s="168"/>
      <c r="M112" s="169"/>
      <c r="N112" s="169"/>
      <c r="O112" s="170" t="str">
        <f t="shared" si="10"/>
        <v/>
      </c>
      <c r="P112" s="171" t="str">
        <f t="shared" si="11"/>
        <v/>
      </c>
    </row>
    <row r="113" spans="1:16" x14ac:dyDescent="0.25">
      <c r="A113" s="177"/>
      <c r="B113" s="168"/>
      <c r="C113" s="168"/>
      <c r="D113" s="169"/>
      <c r="E113" s="169"/>
      <c r="F113" s="170" t="str">
        <f t="shared" si="8"/>
        <v/>
      </c>
      <c r="G113" s="171" t="str">
        <f t="shared" si="9"/>
        <v/>
      </c>
      <c r="H113" s="57"/>
      <c r="I113" s="337"/>
      <c r="J113" s="338"/>
      <c r="K113" s="168"/>
      <c r="L113" s="168"/>
      <c r="M113" s="169"/>
      <c r="N113" s="169"/>
      <c r="O113" s="170" t="str">
        <f t="shared" si="10"/>
        <v/>
      </c>
      <c r="P113" s="171" t="str">
        <f t="shared" si="11"/>
        <v/>
      </c>
    </row>
    <row r="114" spans="1:16" x14ac:dyDescent="0.25">
      <c r="A114" s="177"/>
      <c r="B114" s="168"/>
      <c r="C114" s="168"/>
      <c r="D114" s="169"/>
      <c r="E114" s="169"/>
      <c r="F114" s="170" t="str">
        <f t="shared" si="8"/>
        <v/>
      </c>
      <c r="G114" s="171" t="str">
        <f t="shared" si="9"/>
        <v/>
      </c>
      <c r="H114" s="57"/>
      <c r="I114" s="337"/>
      <c r="J114" s="338"/>
      <c r="K114" s="168"/>
      <c r="L114" s="168"/>
      <c r="M114" s="169"/>
      <c r="N114" s="169"/>
      <c r="O114" s="170" t="str">
        <f t="shared" si="10"/>
        <v/>
      </c>
      <c r="P114" s="171" t="str">
        <f t="shared" si="11"/>
        <v/>
      </c>
    </row>
    <row r="115" spans="1:16" x14ac:dyDescent="0.25">
      <c r="A115" s="177"/>
      <c r="B115" s="168"/>
      <c r="C115" s="168"/>
      <c r="D115" s="169"/>
      <c r="E115" s="169"/>
      <c r="F115" s="170" t="str">
        <f t="shared" si="8"/>
        <v/>
      </c>
      <c r="G115" s="171" t="str">
        <f t="shared" si="9"/>
        <v/>
      </c>
      <c r="H115" s="57"/>
      <c r="I115" s="337"/>
      <c r="J115" s="338"/>
      <c r="K115" s="168"/>
      <c r="L115" s="168"/>
      <c r="M115" s="169"/>
      <c r="N115" s="169"/>
      <c r="O115" s="170" t="str">
        <f t="shared" si="10"/>
        <v/>
      </c>
      <c r="P115" s="171" t="str">
        <f t="shared" si="11"/>
        <v/>
      </c>
    </row>
    <row r="116" spans="1:16" x14ac:dyDescent="0.25">
      <c r="A116" s="177"/>
      <c r="B116" s="168"/>
      <c r="C116" s="168"/>
      <c r="D116" s="169"/>
      <c r="E116" s="169"/>
      <c r="F116" s="170" t="str">
        <f t="shared" si="8"/>
        <v/>
      </c>
      <c r="G116" s="171" t="str">
        <f t="shared" si="9"/>
        <v/>
      </c>
      <c r="H116" s="57"/>
      <c r="I116" s="337"/>
      <c r="J116" s="338"/>
      <c r="K116" s="168"/>
      <c r="L116" s="168"/>
      <c r="M116" s="169"/>
      <c r="N116" s="169"/>
      <c r="O116" s="170" t="str">
        <f t="shared" si="10"/>
        <v/>
      </c>
      <c r="P116" s="171" t="str">
        <f t="shared" si="11"/>
        <v/>
      </c>
    </row>
    <row r="117" spans="1:16" x14ac:dyDescent="0.25">
      <c r="A117" s="177"/>
      <c r="B117" s="168"/>
      <c r="C117" s="168"/>
      <c r="D117" s="169"/>
      <c r="E117" s="169"/>
      <c r="F117" s="170" t="str">
        <f t="shared" si="8"/>
        <v/>
      </c>
      <c r="G117" s="171" t="str">
        <f t="shared" si="9"/>
        <v/>
      </c>
      <c r="H117" s="57"/>
      <c r="I117" s="337"/>
      <c r="J117" s="338"/>
      <c r="K117" s="168"/>
      <c r="L117" s="168"/>
      <c r="M117" s="169"/>
      <c r="N117" s="169"/>
      <c r="O117" s="170" t="str">
        <f t="shared" si="10"/>
        <v/>
      </c>
      <c r="P117" s="171" t="str">
        <f t="shared" si="11"/>
        <v/>
      </c>
    </row>
    <row r="118" spans="1:16" ht="15.75" thickBot="1" x14ac:dyDescent="0.3">
      <c r="A118" s="179"/>
      <c r="B118" s="172"/>
      <c r="C118" s="172"/>
      <c r="D118" s="173"/>
      <c r="E118" s="173"/>
      <c r="F118" s="174" t="str">
        <f t="shared" si="8"/>
        <v/>
      </c>
      <c r="G118" s="175" t="str">
        <f t="shared" si="9"/>
        <v/>
      </c>
      <c r="H118" s="57"/>
      <c r="I118" s="346"/>
      <c r="J118" s="347"/>
      <c r="K118" s="172"/>
      <c r="L118" s="172"/>
      <c r="M118" s="173"/>
      <c r="N118" s="173"/>
      <c r="O118" s="174" t="str">
        <f t="shared" si="10"/>
        <v/>
      </c>
      <c r="P118" s="175" t="str">
        <f t="shared" si="11"/>
        <v/>
      </c>
    </row>
    <row r="119" spans="1:16" s="55" customFormat="1" x14ac:dyDescent="0.25">
      <c r="A119" s="58"/>
      <c r="B119" s="58"/>
      <c r="C119" s="58"/>
      <c r="D119" s="56"/>
      <c r="E119" s="56"/>
      <c r="F119" s="56"/>
      <c r="G119" s="57"/>
      <c r="H119" s="57"/>
      <c r="I119" s="24"/>
      <c r="J119" s="58"/>
      <c r="K119" s="58"/>
      <c r="L119" s="58"/>
      <c r="M119" s="56"/>
      <c r="N119" s="56"/>
      <c r="O119" s="56"/>
      <c r="P119" s="57"/>
    </row>
    <row r="120" spans="1:16" s="55" customFormat="1" ht="15" customHeight="1" x14ac:dyDescent="0.25">
      <c r="A120" s="339" t="s">
        <v>802</v>
      </c>
      <c r="B120" s="339"/>
      <c r="C120" s="339"/>
      <c r="D120" s="339"/>
      <c r="E120" s="339"/>
      <c r="F120" s="339"/>
      <c r="G120" s="339"/>
      <c r="H120" s="62"/>
      <c r="I120" s="24"/>
      <c r="J120" s="339" t="s">
        <v>803</v>
      </c>
      <c r="K120" s="339"/>
      <c r="L120" s="339"/>
      <c r="M120" s="339"/>
      <c r="N120" s="339"/>
      <c r="O120" s="339"/>
      <c r="P120" s="339"/>
    </row>
    <row r="121" spans="1:16" s="55" customFormat="1" x14ac:dyDescent="0.25">
      <c r="A121" s="339"/>
      <c r="B121" s="339"/>
      <c r="C121" s="339"/>
      <c r="D121" s="339"/>
      <c r="E121" s="339"/>
      <c r="F121" s="339"/>
      <c r="G121" s="339"/>
      <c r="H121" s="62"/>
      <c r="I121" s="24"/>
      <c r="J121" s="339"/>
      <c r="K121" s="339"/>
      <c r="L121" s="339"/>
      <c r="M121" s="339"/>
      <c r="N121" s="339"/>
      <c r="O121" s="339"/>
      <c r="P121" s="339"/>
    </row>
    <row r="122" spans="1:16" s="55" customFormat="1" ht="25.5" customHeight="1" thickBot="1" x14ac:dyDescent="0.3">
      <c r="A122" s="339"/>
      <c r="B122" s="339"/>
      <c r="C122" s="339"/>
      <c r="D122" s="339"/>
      <c r="E122" s="339"/>
      <c r="F122" s="339"/>
      <c r="G122" s="339"/>
      <c r="H122" s="62"/>
      <c r="I122" s="24"/>
      <c r="J122" s="339"/>
      <c r="K122" s="339"/>
      <c r="L122" s="339"/>
      <c r="M122" s="339"/>
      <c r="N122" s="339"/>
      <c r="O122" s="339"/>
      <c r="P122" s="339"/>
    </row>
    <row r="123" spans="1:16" ht="15.75" thickBot="1" x14ac:dyDescent="0.3">
      <c r="A123" s="55"/>
      <c r="B123" s="266" t="s">
        <v>825</v>
      </c>
      <c r="C123" s="181" t="s">
        <v>460</v>
      </c>
      <c r="D123" s="182">
        <f ca="1">SUM(CoreCapacityRange)</f>
        <v>1063</v>
      </c>
      <c r="K123" s="59"/>
      <c r="L123" s="181" t="s">
        <v>460</v>
      </c>
      <c r="M123" s="182">
        <f ca="1">SUM(AdHocCapacityRange)</f>
        <v>750</v>
      </c>
    </row>
    <row r="124" spans="1:16" ht="21.75" thickBot="1" x14ac:dyDescent="0.3">
      <c r="A124" s="55"/>
      <c r="B124" s="112" t="s">
        <v>65</v>
      </c>
      <c r="C124" s="180" t="s">
        <v>462</v>
      </c>
      <c r="D124" s="113" t="s">
        <v>461</v>
      </c>
      <c r="K124" s="112" t="s">
        <v>65</v>
      </c>
      <c r="L124" s="180" t="s">
        <v>462</v>
      </c>
      <c r="M124" s="113" t="s">
        <v>464</v>
      </c>
    </row>
    <row r="125" spans="1:16" x14ac:dyDescent="0.25">
      <c r="A125" s="55"/>
      <c r="B125" s="131">
        <f t="array" aca="1" ref="B125:B176" ca="1">ROW(INDIRECT("1:52"))</f>
        <v>1</v>
      </c>
      <c r="C125" s="183">
        <f t="array" aca="1" ref="C125:C176" ca="1">ReferralsRange</f>
        <v>153</v>
      </c>
      <c r="D125" s="184"/>
      <c r="K125" s="131">
        <f t="array" aca="1" ref="K125:K176" ca="1">ROW(INDIRECT("1:52"))</f>
        <v>1</v>
      </c>
      <c r="L125" s="183">
        <f t="array" aca="1" ref="L125:L176" ca="1">ReferralsRange</f>
        <v>153</v>
      </c>
      <c r="M125" s="189">
        <v>23</v>
      </c>
    </row>
    <row r="126" spans="1:16" x14ac:dyDescent="0.25">
      <c r="A126" s="55"/>
      <c r="B126" s="135">
        <f ca="1"/>
        <v>2</v>
      </c>
      <c r="C126" s="185">
        <f ca="1"/>
        <v>123</v>
      </c>
      <c r="D126" s="186"/>
      <c r="K126" s="135">
        <f ca="1"/>
        <v>2</v>
      </c>
      <c r="L126" s="185">
        <f ca="1"/>
        <v>123</v>
      </c>
      <c r="M126" s="186"/>
    </row>
    <row r="127" spans="1:16" x14ac:dyDescent="0.25">
      <c r="A127" s="55"/>
      <c r="B127" s="135">
        <f ca="1"/>
        <v>3</v>
      </c>
      <c r="C127" s="185">
        <f ca="1"/>
        <v>127</v>
      </c>
      <c r="D127" s="186"/>
      <c r="K127" s="135">
        <f ca="1"/>
        <v>3</v>
      </c>
      <c r="L127" s="185">
        <f ca="1"/>
        <v>127</v>
      </c>
      <c r="M127" s="186">
        <v>53</v>
      </c>
    </row>
    <row r="128" spans="1:16" x14ac:dyDescent="0.25">
      <c r="A128" s="55"/>
      <c r="B128" s="135">
        <f ca="1"/>
        <v>4</v>
      </c>
      <c r="C128" s="185">
        <f ca="1"/>
        <v>141</v>
      </c>
      <c r="D128" s="186"/>
      <c r="K128" s="135">
        <f ca="1"/>
        <v>4</v>
      </c>
      <c r="L128" s="185">
        <f ca="1"/>
        <v>141</v>
      </c>
      <c r="M128" s="186"/>
    </row>
    <row r="129" spans="1:13" x14ac:dyDescent="0.25">
      <c r="A129" s="55"/>
      <c r="B129" s="135">
        <f ca="1"/>
        <v>5</v>
      </c>
      <c r="C129" s="185">
        <f ca="1"/>
        <v>137</v>
      </c>
      <c r="D129" s="186"/>
      <c r="K129" s="135">
        <f ca="1"/>
        <v>5</v>
      </c>
      <c r="L129" s="185">
        <f ca="1"/>
        <v>137</v>
      </c>
      <c r="M129" s="186">
        <v>1</v>
      </c>
    </row>
    <row r="130" spans="1:13" x14ac:dyDescent="0.25">
      <c r="A130" s="55"/>
      <c r="B130" s="135">
        <f ca="1"/>
        <v>6</v>
      </c>
      <c r="C130" s="185">
        <f ca="1"/>
        <v>128</v>
      </c>
      <c r="D130" s="186">
        <v>2</v>
      </c>
      <c r="K130" s="135">
        <f ca="1"/>
        <v>6</v>
      </c>
      <c r="L130" s="185">
        <f ca="1"/>
        <v>128</v>
      </c>
      <c r="M130" s="186">
        <v>4</v>
      </c>
    </row>
    <row r="131" spans="1:13" x14ac:dyDescent="0.25">
      <c r="A131" s="55"/>
      <c r="B131" s="135">
        <f ca="1"/>
        <v>7</v>
      </c>
      <c r="C131" s="185">
        <f ca="1"/>
        <v>152</v>
      </c>
      <c r="D131" s="186">
        <v>4</v>
      </c>
      <c r="K131" s="135">
        <f ca="1"/>
        <v>7</v>
      </c>
      <c r="L131" s="185">
        <f ca="1"/>
        <v>152</v>
      </c>
      <c r="M131" s="186"/>
    </row>
    <row r="132" spans="1:13" x14ac:dyDescent="0.25">
      <c r="A132" s="55"/>
      <c r="B132" s="135">
        <f ca="1"/>
        <v>8</v>
      </c>
      <c r="C132" s="185">
        <f ca="1"/>
        <v>125</v>
      </c>
      <c r="D132" s="186"/>
      <c r="K132" s="135">
        <f ca="1"/>
        <v>8</v>
      </c>
      <c r="L132" s="185">
        <f ca="1"/>
        <v>125</v>
      </c>
      <c r="M132" s="186">
        <v>434</v>
      </c>
    </row>
    <row r="133" spans="1:13" x14ac:dyDescent="0.25">
      <c r="A133" s="55"/>
      <c r="B133" s="135">
        <f ca="1"/>
        <v>9</v>
      </c>
      <c r="C133" s="185">
        <f ca="1"/>
        <v>134</v>
      </c>
      <c r="D133" s="186">
        <v>523</v>
      </c>
      <c r="K133" s="135">
        <f ca="1"/>
        <v>9</v>
      </c>
      <c r="L133" s="185">
        <f ca="1"/>
        <v>134</v>
      </c>
      <c r="M133" s="186"/>
    </row>
    <row r="134" spans="1:13" x14ac:dyDescent="0.25">
      <c r="A134" s="55"/>
      <c r="B134" s="135">
        <f ca="1"/>
        <v>10</v>
      </c>
      <c r="C134" s="185">
        <f ca="1"/>
        <v>130</v>
      </c>
      <c r="D134" s="186"/>
      <c r="K134" s="135">
        <f ca="1"/>
        <v>10</v>
      </c>
      <c r="L134" s="185">
        <f ca="1"/>
        <v>130</v>
      </c>
      <c r="M134" s="186">
        <v>235</v>
      </c>
    </row>
    <row r="135" spans="1:13" x14ac:dyDescent="0.25">
      <c r="A135" s="55"/>
      <c r="B135" s="135">
        <f ca="1"/>
        <v>11</v>
      </c>
      <c r="C135" s="185">
        <f ca="1"/>
        <v>147</v>
      </c>
      <c r="D135" s="186"/>
      <c r="K135" s="135">
        <f ca="1"/>
        <v>11</v>
      </c>
      <c r="L135" s="185">
        <f ca="1"/>
        <v>147</v>
      </c>
      <c r="M135" s="186"/>
    </row>
    <row r="136" spans="1:13" x14ac:dyDescent="0.25">
      <c r="A136" s="55"/>
      <c r="B136" s="135">
        <f ca="1"/>
        <v>12</v>
      </c>
      <c r="C136" s="185">
        <f ca="1"/>
        <v>133</v>
      </c>
      <c r="D136" s="186">
        <v>64</v>
      </c>
      <c r="K136" s="135">
        <f ca="1"/>
        <v>12</v>
      </c>
      <c r="L136" s="185">
        <f ca="1"/>
        <v>133</v>
      </c>
      <c r="M136" s="186"/>
    </row>
    <row r="137" spans="1:13" x14ac:dyDescent="0.25">
      <c r="A137" s="55"/>
      <c r="B137" s="135">
        <f ca="1"/>
        <v>13</v>
      </c>
      <c r="C137" s="185">
        <f ca="1"/>
        <v>152</v>
      </c>
      <c r="D137" s="186"/>
      <c r="K137" s="135">
        <f ca="1"/>
        <v>13</v>
      </c>
      <c r="L137" s="185">
        <f ca="1"/>
        <v>152</v>
      </c>
      <c r="M137" s="186"/>
    </row>
    <row r="138" spans="1:13" x14ac:dyDescent="0.25">
      <c r="A138" s="55"/>
      <c r="B138" s="135">
        <f ca="1"/>
        <v>14</v>
      </c>
      <c r="C138" s="185">
        <f ca="1"/>
        <v>151</v>
      </c>
      <c r="D138" s="186">
        <v>234</v>
      </c>
      <c r="K138" s="135">
        <f ca="1"/>
        <v>14</v>
      </c>
      <c r="L138" s="185">
        <f ca="1"/>
        <v>151</v>
      </c>
      <c r="M138" s="186"/>
    </row>
    <row r="139" spans="1:13" x14ac:dyDescent="0.25">
      <c r="A139" s="55"/>
      <c r="B139" s="135">
        <f ca="1"/>
        <v>15</v>
      </c>
      <c r="C139" s="185">
        <f ca="1"/>
        <v>127</v>
      </c>
      <c r="D139" s="186"/>
      <c r="K139" s="135">
        <f ca="1"/>
        <v>15</v>
      </c>
      <c r="L139" s="185">
        <f ca="1"/>
        <v>127</v>
      </c>
      <c r="M139" s="186"/>
    </row>
    <row r="140" spans="1:13" x14ac:dyDescent="0.25">
      <c r="A140" s="55"/>
      <c r="B140" s="135">
        <f ca="1"/>
        <v>16</v>
      </c>
      <c r="C140" s="185">
        <f ca="1"/>
        <v>100</v>
      </c>
      <c r="D140" s="186">
        <v>236</v>
      </c>
      <c r="K140" s="135">
        <f ca="1"/>
        <v>16</v>
      </c>
      <c r="L140" s="185">
        <f ca="1"/>
        <v>100</v>
      </c>
      <c r="M140" s="186"/>
    </row>
    <row r="141" spans="1:13" x14ac:dyDescent="0.25">
      <c r="A141" s="55"/>
      <c r="B141" s="135">
        <f ca="1"/>
        <v>17</v>
      </c>
      <c r="C141" s="185">
        <f ca="1"/>
        <v>146</v>
      </c>
      <c r="D141" s="186"/>
      <c r="K141" s="135">
        <f ca="1"/>
        <v>17</v>
      </c>
      <c r="L141" s="185">
        <f ca="1"/>
        <v>146</v>
      </c>
      <c r="M141" s="186"/>
    </row>
    <row r="142" spans="1:13" x14ac:dyDescent="0.25">
      <c r="A142" s="55"/>
      <c r="B142" s="135">
        <f ca="1"/>
        <v>18</v>
      </c>
      <c r="C142" s="185">
        <f ca="1"/>
        <v>167</v>
      </c>
      <c r="D142" s="186"/>
      <c r="K142" s="135">
        <f ca="1"/>
        <v>18</v>
      </c>
      <c r="L142" s="185">
        <f ca="1"/>
        <v>167</v>
      </c>
      <c r="M142" s="186"/>
    </row>
    <row r="143" spans="1:13" x14ac:dyDescent="0.25">
      <c r="A143" s="55"/>
      <c r="B143" s="135">
        <f ca="1"/>
        <v>19</v>
      </c>
      <c r="C143" s="185">
        <f ca="1"/>
        <v>116</v>
      </c>
      <c r="D143" s="186"/>
      <c r="K143" s="135">
        <f ca="1"/>
        <v>19</v>
      </c>
      <c r="L143" s="185">
        <f ca="1"/>
        <v>116</v>
      </c>
      <c r="M143" s="186"/>
    </row>
    <row r="144" spans="1:13" x14ac:dyDescent="0.25">
      <c r="A144" s="55"/>
      <c r="B144" s="135">
        <f ca="1"/>
        <v>20</v>
      </c>
      <c r="C144" s="185">
        <f ca="1"/>
        <v>150</v>
      </c>
      <c r="D144" s="186"/>
      <c r="K144" s="135">
        <f ca="1"/>
        <v>20</v>
      </c>
      <c r="L144" s="185">
        <f ca="1"/>
        <v>150</v>
      </c>
      <c r="M144" s="186"/>
    </row>
    <row r="145" spans="1:13" x14ac:dyDescent="0.25">
      <c r="A145" s="55"/>
      <c r="B145" s="135">
        <f ca="1"/>
        <v>21</v>
      </c>
      <c r="C145" s="185">
        <f ca="1"/>
        <v>157</v>
      </c>
      <c r="D145" s="186"/>
      <c r="K145" s="135">
        <f ca="1"/>
        <v>21</v>
      </c>
      <c r="L145" s="185">
        <f ca="1"/>
        <v>157</v>
      </c>
      <c r="M145" s="186"/>
    </row>
    <row r="146" spans="1:13" x14ac:dyDescent="0.25">
      <c r="A146" s="55"/>
      <c r="B146" s="135">
        <f ca="1"/>
        <v>22</v>
      </c>
      <c r="C146" s="185">
        <f ca="1"/>
        <v>144</v>
      </c>
      <c r="D146" s="186"/>
      <c r="K146" s="135">
        <f ca="1"/>
        <v>22</v>
      </c>
      <c r="L146" s="185">
        <f ca="1"/>
        <v>144</v>
      </c>
      <c r="M146" s="186"/>
    </row>
    <row r="147" spans="1:13" x14ac:dyDescent="0.25">
      <c r="A147" s="55"/>
      <c r="B147" s="135">
        <f ca="1"/>
        <v>23</v>
      </c>
      <c r="C147" s="185">
        <f ca="1"/>
        <v>142</v>
      </c>
      <c r="D147" s="186"/>
      <c r="K147" s="135">
        <f ca="1"/>
        <v>23</v>
      </c>
      <c r="L147" s="185">
        <f ca="1"/>
        <v>142</v>
      </c>
      <c r="M147" s="186"/>
    </row>
    <row r="148" spans="1:13" x14ac:dyDescent="0.25">
      <c r="A148" s="55"/>
      <c r="B148" s="135">
        <f ca="1"/>
        <v>24</v>
      </c>
      <c r="C148" s="185">
        <f ca="1"/>
        <v>136</v>
      </c>
      <c r="D148" s="186"/>
      <c r="K148" s="135">
        <f ca="1"/>
        <v>24</v>
      </c>
      <c r="L148" s="185">
        <f ca="1"/>
        <v>136</v>
      </c>
      <c r="M148" s="186"/>
    </row>
    <row r="149" spans="1:13" x14ac:dyDescent="0.25">
      <c r="A149" s="55"/>
      <c r="B149" s="135">
        <f ca="1"/>
        <v>25</v>
      </c>
      <c r="C149" s="185">
        <f ca="1"/>
        <v>143</v>
      </c>
      <c r="D149" s="186"/>
      <c r="K149" s="135">
        <f ca="1"/>
        <v>25</v>
      </c>
      <c r="L149" s="185">
        <f ca="1"/>
        <v>143</v>
      </c>
      <c r="M149" s="186"/>
    </row>
    <row r="150" spans="1:13" x14ac:dyDescent="0.25">
      <c r="A150" s="55"/>
      <c r="B150" s="135">
        <f ca="1"/>
        <v>26</v>
      </c>
      <c r="C150" s="185">
        <f ca="1"/>
        <v>128</v>
      </c>
      <c r="D150" s="186"/>
      <c r="K150" s="135">
        <f ca="1"/>
        <v>26</v>
      </c>
      <c r="L150" s="185">
        <f ca="1"/>
        <v>128</v>
      </c>
      <c r="M150" s="186"/>
    </row>
    <row r="151" spans="1:13" x14ac:dyDescent="0.25">
      <c r="A151" s="55"/>
      <c r="B151" s="135">
        <f ca="1"/>
        <v>27</v>
      </c>
      <c r="C151" s="185">
        <f ca="1"/>
        <v>138</v>
      </c>
      <c r="D151" s="186"/>
      <c r="K151" s="135">
        <f ca="1"/>
        <v>27</v>
      </c>
      <c r="L151" s="185">
        <f ca="1"/>
        <v>138</v>
      </c>
      <c r="M151" s="186"/>
    </row>
    <row r="152" spans="1:13" x14ac:dyDescent="0.25">
      <c r="A152" s="55"/>
      <c r="B152" s="135">
        <f ca="1"/>
        <v>28</v>
      </c>
      <c r="C152" s="185">
        <f ca="1"/>
        <v>171</v>
      </c>
      <c r="D152" s="186"/>
      <c r="K152" s="135">
        <f ca="1"/>
        <v>28</v>
      </c>
      <c r="L152" s="185">
        <f ca="1"/>
        <v>171</v>
      </c>
      <c r="M152" s="186"/>
    </row>
    <row r="153" spans="1:13" x14ac:dyDescent="0.25">
      <c r="A153" s="55"/>
      <c r="B153" s="135">
        <f ca="1"/>
        <v>29</v>
      </c>
      <c r="C153" s="185">
        <f ca="1"/>
        <v>156</v>
      </c>
      <c r="D153" s="186"/>
      <c r="K153" s="135">
        <f ca="1"/>
        <v>29</v>
      </c>
      <c r="L153" s="185">
        <f ca="1"/>
        <v>156</v>
      </c>
      <c r="M153" s="186"/>
    </row>
    <row r="154" spans="1:13" x14ac:dyDescent="0.25">
      <c r="A154" s="55"/>
      <c r="B154" s="135">
        <f ca="1"/>
        <v>30</v>
      </c>
      <c r="C154" s="185">
        <f ca="1"/>
        <v>145</v>
      </c>
      <c r="D154" s="186"/>
      <c r="K154" s="135">
        <f ca="1"/>
        <v>30</v>
      </c>
      <c r="L154" s="185">
        <f ca="1"/>
        <v>145</v>
      </c>
      <c r="M154" s="186"/>
    </row>
    <row r="155" spans="1:13" x14ac:dyDescent="0.25">
      <c r="A155" s="55"/>
      <c r="B155" s="135">
        <f ca="1"/>
        <v>31</v>
      </c>
      <c r="C155" s="185">
        <f ca="1"/>
        <v>151</v>
      </c>
      <c r="D155" s="186"/>
      <c r="K155" s="135">
        <f ca="1"/>
        <v>31</v>
      </c>
      <c r="L155" s="185">
        <f ca="1"/>
        <v>151</v>
      </c>
      <c r="M155" s="186"/>
    </row>
    <row r="156" spans="1:13" x14ac:dyDescent="0.25">
      <c r="A156" s="55"/>
      <c r="B156" s="135">
        <f ca="1"/>
        <v>32</v>
      </c>
      <c r="C156" s="185">
        <f ca="1"/>
        <v>88</v>
      </c>
      <c r="D156" s="186"/>
      <c r="K156" s="135">
        <f ca="1"/>
        <v>32</v>
      </c>
      <c r="L156" s="185">
        <f ca="1"/>
        <v>88</v>
      </c>
      <c r="M156" s="186"/>
    </row>
    <row r="157" spans="1:13" x14ac:dyDescent="0.25">
      <c r="A157" s="55"/>
      <c r="B157" s="135">
        <f ca="1"/>
        <v>33</v>
      </c>
      <c r="C157" s="185">
        <f ca="1"/>
        <v>128</v>
      </c>
      <c r="D157" s="186"/>
      <c r="K157" s="135">
        <f ca="1"/>
        <v>33</v>
      </c>
      <c r="L157" s="185">
        <f ca="1"/>
        <v>128</v>
      </c>
      <c r="M157" s="186"/>
    </row>
    <row r="158" spans="1:13" x14ac:dyDescent="0.25">
      <c r="A158" s="55"/>
      <c r="B158" s="135">
        <f ca="1"/>
        <v>34</v>
      </c>
      <c r="C158" s="185">
        <f ca="1"/>
        <v>136</v>
      </c>
      <c r="D158" s="186"/>
      <c r="K158" s="135">
        <f ca="1"/>
        <v>34</v>
      </c>
      <c r="L158" s="185">
        <f ca="1"/>
        <v>136</v>
      </c>
      <c r="M158" s="186"/>
    </row>
    <row r="159" spans="1:13" x14ac:dyDescent="0.25">
      <c r="A159" s="55"/>
      <c r="B159" s="135">
        <f ca="1"/>
        <v>35</v>
      </c>
      <c r="C159" s="185">
        <f ca="1"/>
        <v>138</v>
      </c>
      <c r="D159" s="186"/>
      <c r="K159" s="135">
        <f ca="1"/>
        <v>35</v>
      </c>
      <c r="L159" s="185">
        <f ca="1"/>
        <v>138</v>
      </c>
      <c r="M159" s="186"/>
    </row>
    <row r="160" spans="1:13" x14ac:dyDescent="0.25">
      <c r="A160" s="55"/>
      <c r="B160" s="135">
        <f ca="1"/>
        <v>36</v>
      </c>
      <c r="C160" s="185">
        <f ca="1"/>
        <v>162</v>
      </c>
      <c r="D160" s="186"/>
      <c r="K160" s="135">
        <f ca="1"/>
        <v>36</v>
      </c>
      <c r="L160" s="185">
        <f ca="1"/>
        <v>162</v>
      </c>
      <c r="M160" s="186"/>
    </row>
    <row r="161" spans="1:13" x14ac:dyDescent="0.25">
      <c r="A161" s="55"/>
      <c r="B161" s="135">
        <f ca="1"/>
        <v>37</v>
      </c>
      <c r="C161" s="185">
        <f ca="1"/>
        <v>210</v>
      </c>
      <c r="D161" s="186"/>
      <c r="K161" s="135">
        <f ca="1"/>
        <v>37</v>
      </c>
      <c r="L161" s="185">
        <f ca="1"/>
        <v>210</v>
      </c>
      <c r="M161" s="186"/>
    </row>
    <row r="162" spans="1:13" x14ac:dyDescent="0.25">
      <c r="A162" s="55"/>
      <c r="B162" s="135">
        <f ca="1"/>
        <v>38</v>
      </c>
      <c r="C162" s="185">
        <f ca="1"/>
        <v>220</v>
      </c>
      <c r="D162" s="186"/>
      <c r="K162" s="135">
        <f ca="1"/>
        <v>38</v>
      </c>
      <c r="L162" s="185">
        <f ca="1"/>
        <v>220</v>
      </c>
      <c r="M162" s="186"/>
    </row>
    <row r="163" spans="1:13" x14ac:dyDescent="0.25">
      <c r="A163" s="55"/>
      <c r="B163" s="135">
        <f ca="1"/>
        <v>39</v>
      </c>
      <c r="C163" s="185">
        <f ca="1"/>
        <v>201</v>
      </c>
      <c r="D163" s="186"/>
      <c r="K163" s="135">
        <f ca="1"/>
        <v>39</v>
      </c>
      <c r="L163" s="185">
        <f ca="1"/>
        <v>201</v>
      </c>
      <c r="M163" s="186"/>
    </row>
    <row r="164" spans="1:13" x14ac:dyDescent="0.25">
      <c r="A164" s="55"/>
      <c r="B164" s="135">
        <f ca="1"/>
        <v>40</v>
      </c>
      <c r="C164" s="185">
        <f ca="1"/>
        <v>199</v>
      </c>
      <c r="D164" s="186"/>
      <c r="K164" s="135">
        <f ca="1"/>
        <v>40</v>
      </c>
      <c r="L164" s="185">
        <f ca="1"/>
        <v>199</v>
      </c>
      <c r="M164" s="186"/>
    </row>
    <row r="165" spans="1:13" x14ac:dyDescent="0.25">
      <c r="A165" s="55"/>
      <c r="B165" s="135">
        <f ca="1"/>
        <v>41</v>
      </c>
      <c r="C165" s="185">
        <f ca="1"/>
        <v>190</v>
      </c>
      <c r="D165" s="186"/>
      <c r="K165" s="135">
        <f ca="1"/>
        <v>41</v>
      </c>
      <c r="L165" s="185">
        <f ca="1"/>
        <v>190</v>
      </c>
      <c r="M165" s="186"/>
    </row>
    <row r="166" spans="1:13" x14ac:dyDescent="0.25">
      <c r="A166" s="55"/>
      <c r="B166" s="135">
        <f ca="1"/>
        <v>42</v>
      </c>
      <c r="C166" s="185">
        <f ca="1"/>
        <v>201</v>
      </c>
      <c r="D166" s="186"/>
      <c r="K166" s="135">
        <f ca="1"/>
        <v>42</v>
      </c>
      <c r="L166" s="185">
        <f ca="1"/>
        <v>201</v>
      </c>
      <c r="M166" s="186"/>
    </row>
    <row r="167" spans="1:13" x14ac:dyDescent="0.25">
      <c r="A167" s="55"/>
      <c r="B167" s="135">
        <f ca="1"/>
        <v>43</v>
      </c>
      <c r="C167" s="185">
        <f ca="1"/>
        <v>180</v>
      </c>
      <c r="D167" s="186"/>
      <c r="K167" s="135">
        <f ca="1"/>
        <v>43</v>
      </c>
      <c r="L167" s="185">
        <f ca="1"/>
        <v>180</v>
      </c>
      <c r="M167" s="186"/>
    </row>
    <row r="168" spans="1:13" x14ac:dyDescent="0.25">
      <c r="A168" s="55"/>
      <c r="B168" s="135">
        <f ca="1"/>
        <v>44</v>
      </c>
      <c r="C168" s="185">
        <f ca="1"/>
        <v>193</v>
      </c>
      <c r="D168" s="186"/>
      <c r="K168" s="135">
        <f ca="1"/>
        <v>44</v>
      </c>
      <c r="L168" s="185">
        <f ca="1"/>
        <v>193</v>
      </c>
      <c r="M168" s="186"/>
    </row>
    <row r="169" spans="1:13" x14ac:dyDescent="0.25">
      <c r="A169" s="55"/>
      <c r="B169" s="135">
        <f ca="1"/>
        <v>45</v>
      </c>
      <c r="C169" s="185">
        <f ca="1"/>
        <v>239</v>
      </c>
      <c r="D169" s="186"/>
      <c r="K169" s="135">
        <f ca="1"/>
        <v>45</v>
      </c>
      <c r="L169" s="185">
        <f ca="1"/>
        <v>239</v>
      </c>
      <c r="M169" s="186"/>
    </row>
    <row r="170" spans="1:13" x14ac:dyDescent="0.25">
      <c r="A170" s="55"/>
      <c r="B170" s="135">
        <f ca="1"/>
        <v>46</v>
      </c>
      <c r="C170" s="185">
        <f ca="1"/>
        <v>219</v>
      </c>
      <c r="D170" s="186"/>
      <c r="K170" s="135">
        <f ca="1"/>
        <v>46</v>
      </c>
      <c r="L170" s="185">
        <f ca="1"/>
        <v>219</v>
      </c>
      <c r="M170" s="186"/>
    </row>
    <row r="171" spans="1:13" x14ac:dyDescent="0.25">
      <c r="A171" s="55"/>
      <c r="B171" s="135">
        <f ca="1"/>
        <v>47</v>
      </c>
      <c r="C171" s="185">
        <f ca="1"/>
        <v>203</v>
      </c>
      <c r="D171" s="186"/>
      <c r="K171" s="135">
        <f ca="1"/>
        <v>47</v>
      </c>
      <c r="L171" s="185">
        <f ca="1"/>
        <v>203</v>
      </c>
      <c r="M171" s="186"/>
    </row>
    <row r="172" spans="1:13" x14ac:dyDescent="0.25">
      <c r="A172" s="55"/>
      <c r="B172" s="135">
        <f ca="1"/>
        <v>48</v>
      </c>
      <c r="C172" s="185">
        <f ca="1"/>
        <v>211</v>
      </c>
      <c r="D172" s="186"/>
      <c r="K172" s="135">
        <f ca="1"/>
        <v>48</v>
      </c>
      <c r="L172" s="185">
        <f ca="1"/>
        <v>211</v>
      </c>
      <c r="M172" s="186"/>
    </row>
    <row r="173" spans="1:13" x14ac:dyDescent="0.25">
      <c r="A173" s="55"/>
      <c r="B173" s="135">
        <f ca="1"/>
        <v>49</v>
      </c>
      <c r="C173" s="185">
        <f ca="1"/>
        <v>123</v>
      </c>
      <c r="D173" s="186"/>
      <c r="K173" s="135">
        <f ca="1"/>
        <v>49</v>
      </c>
      <c r="L173" s="185">
        <f ca="1"/>
        <v>123</v>
      </c>
      <c r="M173" s="186"/>
    </row>
    <row r="174" spans="1:13" x14ac:dyDescent="0.25">
      <c r="A174" s="55"/>
      <c r="B174" s="135">
        <f ca="1"/>
        <v>50</v>
      </c>
      <c r="C174" s="185">
        <f ca="1"/>
        <v>179</v>
      </c>
      <c r="D174" s="186"/>
      <c r="K174" s="135">
        <f ca="1"/>
        <v>50</v>
      </c>
      <c r="L174" s="185">
        <f ca="1"/>
        <v>179</v>
      </c>
      <c r="M174" s="186"/>
    </row>
    <row r="175" spans="1:13" x14ac:dyDescent="0.25">
      <c r="A175" s="55"/>
      <c r="B175" s="135">
        <f ca="1"/>
        <v>51</v>
      </c>
      <c r="C175" s="185">
        <f ca="1"/>
        <v>190</v>
      </c>
      <c r="D175" s="186"/>
      <c r="K175" s="135">
        <f ca="1"/>
        <v>51</v>
      </c>
      <c r="L175" s="185">
        <f ca="1"/>
        <v>190</v>
      </c>
      <c r="M175" s="186"/>
    </row>
    <row r="176" spans="1:13" ht="15.75" thickBot="1" x14ac:dyDescent="0.3">
      <c r="A176" s="55"/>
      <c r="B176" s="139">
        <f ca="1"/>
        <v>52</v>
      </c>
      <c r="C176" s="187">
        <f ca="1"/>
        <v>193</v>
      </c>
      <c r="D176" s="188"/>
      <c r="K176" s="139">
        <f ca="1"/>
        <v>52</v>
      </c>
      <c r="L176" s="187">
        <f ca="1"/>
        <v>193</v>
      </c>
      <c r="M176" s="190"/>
    </row>
  </sheetData>
  <sheetProtection password="CD36" sheet="1" objects="1" scenarios="1" selectLockedCells="1"/>
  <mergeCells count="116">
    <mergeCell ref="N13:P13"/>
    <mergeCell ref="I113:J113"/>
    <mergeCell ref="I114:J114"/>
    <mergeCell ref="I115:J115"/>
    <mergeCell ref="I116:J116"/>
    <mergeCell ref="I117:J117"/>
    <mergeCell ref="I118:J118"/>
    <mergeCell ref="I107:J107"/>
    <mergeCell ref="I108:J108"/>
    <mergeCell ref="I109:J109"/>
    <mergeCell ref="I110:J110"/>
    <mergeCell ref="I111:J111"/>
    <mergeCell ref="I112:J112"/>
    <mergeCell ref="I101:J101"/>
    <mergeCell ref="I102:J102"/>
    <mergeCell ref="I103:J103"/>
    <mergeCell ref="I104:J104"/>
    <mergeCell ref="I105:J105"/>
    <mergeCell ref="I106:J106"/>
    <mergeCell ref="I95:J95"/>
    <mergeCell ref="I96:J96"/>
    <mergeCell ref="I97:J97"/>
    <mergeCell ref="I98:J98"/>
    <mergeCell ref="I99:J99"/>
    <mergeCell ref="I100:J100"/>
    <mergeCell ref="I89:J89"/>
    <mergeCell ref="I90:J90"/>
    <mergeCell ref="I91:J91"/>
    <mergeCell ref="I92:J92"/>
    <mergeCell ref="I93:J93"/>
    <mergeCell ref="I94:J94"/>
    <mergeCell ref="I83:J83"/>
    <mergeCell ref="I84:J84"/>
    <mergeCell ref="I85:J85"/>
    <mergeCell ref="I86:J86"/>
    <mergeCell ref="I87:J87"/>
    <mergeCell ref="I88:J88"/>
    <mergeCell ref="I77:J77"/>
    <mergeCell ref="I78:J78"/>
    <mergeCell ref="I79:J79"/>
    <mergeCell ref="I80:J80"/>
    <mergeCell ref="I81:J81"/>
    <mergeCell ref="I82:J82"/>
    <mergeCell ref="I71:J71"/>
    <mergeCell ref="I72:J72"/>
    <mergeCell ref="I73:J73"/>
    <mergeCell ref="I74:J74"/>
    <mergeCell ref="I75:J75"/>
    <mergeCell ref="I76:J76"/>
    <mergeCell ref="I65:J65"/>
    <mergeCell ref="I66:J66"/>
    <mergeCell ref="I67:J67"/>
    <mergeCell ref="I68:J68"/>
    <mergeCell ref="I69:J69"/>
    <mergeCell ref="I70:J70"/>
    <mergeCell ref="I59:J59"/>
    <mergeCell ref="I60:J60"/>
    <mergeCell ref="I61:J61"/>
    <mergeCell ref="I62:J62"/>
    <mergeCell ref="I63:J63"/>
    <mergeCell ref="I64:J64"/>
    <mergeCell ref="I53:J53"/>
    <mergeCell ref="I54:J54"/>
    <mergeCell ref="I55:J55"/>
    <mergeCell ref="I56:J56"/>
    <mergeCell ref="I57:J57"/>
    <mergeCell ref="I58:J58"/>
    <mergeCell ref="I47:J47"/>
    <mergeCell ref="I48:J48"/>
    <mergeCell ref="I49:J49"/>
    <mergeCell ref="I50:J50"/>
    <mergeCell ref="I51:J51"/>
    <mergeCell ref="I52:J52"/>
    <mergeCell ref="I43:J43"/>
    <mergeCell ref="I44:J44"/>
    <mergeCell ref="I45:J45"/>
    <mergeCell ref="I46:J46"/>
    <mergeCell ref="I35:J35"/>
    <mergeCell ref="I36:J36"/>
    <mergeCell ref="I37:J37"/>
    <mergeCell ref="I38:J38"/>
    <mergeCell ref="I39:J39"/>
    <mergeCell ref="I40:J40"/>
    <mergeCell ref="I20:J20"/>
    <mergeCell ref="I21:J21"/>
    <mergeCell ref="I22:J22"/>
    <mergeCell ref="A120:G122"/>
    <mergeCell ref="J120:P122"/>
    <mergeCell ref="E10:I12"/>
    <mergeCell ref="I16:J16"/>
    <mergeCell ref="I17:J17"/>
    <mergeCell ref="I18:J18"/>
    <mergeCell ref="I19:J19"/>
    <mergeCell ref="I29:J29"/>
    <mergeCell ref="I30:J30"/>
    <mergeCell ref="I31:J31"/>
    <mergeCell ref="I32:J32"/>
    <mergeCell ref="I33:J33"/>
    <mergeCell ref="I34:J34"/>
    <mergeCell ref="I23:J23"/>
    <mergeCell ref="I24:J24"/>
    <mergeCell ref="I25:J25"/>
    <mergeCell ref="I26:J26"/>
    <mergeCell ref="I27:J27"/>
    <mergeCell ref="I28:J28"/>
    <mergeCell ref="I41:J41"/>
    <mergeCell ref="I42:J42"/>
    <mergeCell ref="A2:P2"/>
    <mergeCell ref="B10:C11"/>
    <mergeCell ref="B12:C12"/>
    <mergeCell ref="K10:L11"/>
    <mergeCell ref="K12:L12"/>
    <mergeCell ref="A5:P5"/>
    <mergeCell ref="A3:P3"/>
    <mergeCell ref="J7:P9"/>
    <mergeCell ref="A7:G9"/>
  </mergeCells>
  <phoneticPr fontId="0" type="noConversion"/>
  <conditionalFormatting sqref="C125:C176 L125:L176">
    <cfRule type="containsErrors" dxfId="12" priority="2" stopIfTrue="1">
      <formula>ISERROR(C125)</formula>
    </cfRule>
  </conditionalFormatting>
  <dataValidations disablePrompts="1" count="1">
    <dataValidation allowBlank="1" errorTitle="Decisions to Admit" error="This must be a whole number greater than zero." promptTitle="Decisions to Admit" prompt="Enter the total number of inpatient, daycase, and diagnostic patients added to the waiting list, but exclude planned patients." sqref="C125:C176 L125:L176"/>
  </dataValidations>
  <hyperlinks>
    <hyperlink ref="N13:P13" location="Capacity!B123" display="Go to 'Historic Activity'"/>
    <hyperlink ref="B123" location="Capacity!N13" display="Go back to top"/>
  </hyperlinks>
  <pageMargins left="0.39370078740157483" right="0.39370078740157483" top="0.78740157480314965" bottom="0.59055118110236215" header="0.19685039370078741" footer="0"/>
  <pageSetup paperSize="9" scale="67" fitToHeight="0" orientation="portrait" errors="blank" r:id="rId1"/>
  <headerFooter>
    <oddHeader>&amp;R&amp;G</oddHeader>
  </headerFooter>
  <drawing r:id="rId2"/>
  <legacyDrawing r:id="rId3"/>
  <legacyDrawingHF r:id="rId4"/>
  <mc:AlternateContent xmlns:mc="http://schemas.openxmlformats.org/markup-compatibility/2006">
    <mc:Choice Requires="x14">
      <controls>
        <mc:AlternateContent xmlns:mc="http://schemas.openxmlformats.org/markup-compatibility/2006">
          <mc:Choice Requires="x14">
            <control shapeId="17489" r:id="rId5" name="Scroll Bar 81">
              <controlPr locked="0" defaultSize="0" print="0" autoPict="0">
                <anchor moveWithCells="1">
                  <from>
                    <xdr:col>1</xdr:col>
                    <xdr:colOff>0</xdr:colOff>
                    <xdr:row>12</xdr:row>
                    <xdr:rowOff>28575</xdr:rowOff>
                  </from>
                  <to>
                    <xdr:col>2</xdr:col>
                    <xdr:colOff>771525</xdr:colOff>
                    <xdr:row>12</xdr:row>
                    <xdr:rowOff>209550</xdr:rowOff>
                  </to>
                </anchor>
              </controlPr>
            </control>
          </mc:Choice>
        </mc:AlternateContent>
        <mc:AlternateContent xmlns:mc="http://schemas.openxmlformats.org/markup-compatibility/2006">
          <mc:Choice Requires="x14">
            <control shapeId="17490" r:id="rId6" name="Scroll Bar 82">
              <controlPr locked="0" defaultSize="0" print="0" autoPict="0">
                <anchor moveWithCells="1">
                  <from>
                    <xdr:col>10</xdr:col>
                    <xdr:colOff>0</xdr:colOff>
                    <xdr:row>12</xdr:row>
                    <xdr:rowOff>28575</xdr:rowOff>
                  </from>
                  <to>
                    <xdr:col>11</xdr:col>
                    <xdr:colOff>771525</xdr:colOff>
                    <xdr:row>12</xdr:row>
                    <xdr:rowOff>209550</xdr:rowOff>
                  </to>
                </anchor>
              </controlPr>
            </control>
          </mc:Choice>
        </mc:AlternateContent>
        <mc:AlternateContent xmlns:mc="http://schemas.openxmlformats.org/markup-compatibility/2006">
          <mc:Choice Requires="x14">
            <control shapeId="17835" r:id="rId7" name="Option Button 427">
              <controlPr defaultSize="0" autoFill="0" autoLine="0" autoPict="0">
                <anchor moveWithCells="1">
                  <from>
                    <xdr:col>4</xdr:col>
                    <xdr:colOff>19050</xdr:colOff>
                    <xdr:row>11</xdr:row>
                    <xdr:rowOff>171450</xdr:rowOff>
                  </from>
                  <to>
                    <xdr:col>6</xdr:col>
                    <xdr:colOff>114300</xdr:colOff>
                    <xdr:row>12</xdr:row>
                    <xdr:rowOff>200025</xdr:rowOff>
                  </to>
                </anchor>
              </controlPr>
            </control>
          </mc:Choice>
        </mc:AlternateContent>
        <mc:AlternateContent xmlns:mc="http://schemas.openxmlformats.org/markup-compatibility/2006">
          <mc:Choice Requires="x14">
            <control shapeId="17836" r:id="rId8" name="Option Button 428">
              <controlPr defaultSize="0" autoFill="0" autoLine="0" autoPict="0">
                <anchor moveWithCells="1">
                  <from>
                    <xdr:col>6</xdr:col>
                    <xdr:colOff>114300</xdr:colOff>
                    <xdr:row>11</xdr:row>
                    <xdr:rowOff>171450</xdr:rowOff>
                  </from>
                  <to>
                    <xdr:col>10</xdr:col>
                    <xdr:colOff>200025</xdr:colOff>
                    <xdr:row>12</xdr:row>
                    <xdr:rowOff>200025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2:Q35"/>
  <sheetViews>
    <sheetView showGridLines="0" showRowColHeaders="0" zoomScaleNormal="100" workbookViewId="0">
      <selection activeCell="H21" sqref="H21"/>
    </sheetView>
  </sheetViews>
  <sheetFormatPr defaultRowHeight="15" x14ac:dyDescent="0.25"/>
  <cols>
    <col min="1" max="1" width="8" customWidth="1"/>
    <col min="2" max="16" width="8.28515625" customWidth="1"/>
    <col min="17" max="17" width="8.140625" customWidth="1"/>
  </cols>
  <sheetData>
    <row r="2" spans="1:17" ht="54" customHeight="1" x14ac:dyDescent="0.25">
      <c r="A2" s="298" t="str">
        <f>"Parameters - "&amp;ModelName</f>
        <v>Parameters - The IST IMAS First Outpatients Demand &amp; Capacity Model</v>
      </c>
      <c r="B2" s="299"/>
      <c r="C2" s="299"/>
      <c r="D2" s="299"/>
      <c r="E2" s="299"/>
      <c r="F2" s="299"/>
      <c r="G2" s="299"/>
      <c r="H2" s="299"/>
      <c r="I2" s="299"/>
      <c r="J2" s="299"/>
      <c r="K2" s="299"/>
      <c r="L2" s="299"/>
      <c r="M2" s="299"/>
      <c r="N2" s="299"/>
      <c r="O2" s="299"/>
      <c r="P2" s="299"/>
      <c r="Q2" s="300"/>
    </row>
    <row r="3" spans="1:17" s="3" customFormat="1" ht="23.25" customHeight="1" x14ac:dyDescent="0.25">
      <c r="A3" s="353" t="s">
        <v>290</v>
      </c>
      <c r="B3" s="354"/>
      <c r="C3" s="354"/>
      <c r="D3" s="354"/>
      <c r="E3" s="354"/>
      <c r="F3" s="354"/>
      <c r="G3" s="354"/>
      <c r="H3" s="354"/>
      <c r="I3" s="354"/>
      <c r="J3" s="354"/>
      <c r="K3" s="354"/>
      <c r="L3" s="354"/>
      <c r="M3" s="354"/>
      <c r="N3" s="354"/>
      <c r="O3" s="354"/>
      <c r="P3" s="354"/>
      <c r="Q3" s="355"/>
    </row>
    <row r="4" spans="1:17" x14ac:dyDescent="0.25">
      <c r="A4" s="101"/>
      <c r="B4" s="8"/>
      <c r="C4" s="8"/>
      <c r="D4" s="8"/>
      <c r="E4" s="8"/>
      <c r="F4" s="9"/>
      <c r="G4" s="9"/>
      <c r="H4" s="9"/>
      <c r="I4" s="9"/>
      <c r="J4" s="9"/>
      <c r="K4" s="9"/>
      <c r="L4" s="9"/>
      <c r="M4" s="9"/>
      <c r="N4" s="9"/>
      <c r="O4" s="9"/>
      <c r="P4" s="8"/>
      <c r="Q4" s="102"/>
    </row>
    <row r="5" spans="1:17" ht="18" x14ac:dyDescent="0.25">
      <c r="A5" s="330" t="str">
        <f>Trust &amp; " - " &amp; Specialty</f>
        <v>5 Boroughs Partnership NHS Foundation Trust - Blood Transfusion</v>
      </c>
      <c r="B5" s="331"/>
      <c r="C5" s="331"/>
      <c r="D5" s="331"/>
      <c r="E5" s="331"/>
      <c r="F5" s="331"/>
      <c r="G5" s="331"/>
      <c r="H5" s="331"/>
      <c r="I5" s="331"/>
      <c r="J5" s="331"/>
      <c r="K5" s="331"/>
      <c r="L5" s="331"/>
      <c r="M5" s="331"/>
      <c r="N5" s="331"/>
      <c r="O5" s="331"/>
      <c r="P5" s="331"/>
      <c r="Q5" s="332"/>
    </row>
    <row r="6" spans="1:17" ht="18" x14ac:dyDescent="0.25">
      <c r="A6" s="101"/>
      <c r="B6" s="146"/>
      <c r="C6" s="146"/>
      <c r="D6" s="146"/>
      <c r="E6" s="146"/>
      <c r="F6" s="146"/>
      <c r="G6" s="146"/>
      <c r="H6" s="146"/>
      <c r="I6" s="146"/>
      <c r="J6" s="146"/>
      <c r="K6" s="146"/>
      <c r="L6" s="146"/>
      <c r="M6" s="146"/>
      <c r="N6" s="146"/>
      <c r="O6" s="146"/>
      <c r="P6" s="146"/>
      <c r="Q6" s="206"/>
    </row>
    <row r="7" spans="1:17" ht="18" x14ac:dyDescent="0.25">
      <c r="A7" s="101"/>
      <c r="B7" s="362" t="s">
        <v>292</v>
      </c>
      <c r="C7" s="363"/>
      <c r="D7" s="363"/>
      <c r="E7" s="363"/>
      <c r="F7" s="363"/>
      <c r="G7" s="363"/>
      <c r="H7" s="363"/>
      <c r="I7" s="146"/>
      <c r="J7" s="362" t="s">
        <v>828</v>
      </c>
      <c r="K7" s="363"/>
      <c r="L7" s="363"/>
      <c r="M7" s="363"/>
      <c r="N7" s="363"/>
      <c r="O7" s="363"/>
      <c r="P7" s="363"/>
      <c r="Q7" s="206"/>
    </row>
    <row r="8" spans="1:17" ht="18" x14ac:dyDescent="0.25">
      <c r="A8" s="101"/>
      <c r="B8" s="363"/>
      <c r="C8" s="363"/>
      <c r="D8" s="363"/>
      <c r="E8" s="363"/>
      <c r="F8" s="363"/>
      <c r="G8" s="363"/>
      <c r="H8" s="363"/>
      <c r="I8" s="146"/>
      <c r="J8" s="363"/>
      <c r="K8" s="363"/>
      <c r="L8" s="363"/>
      <c r="M8" s="363"/>
      <c r="N8" s="363"/>
      <c r="O8" s="363"/>
      <c r="P8" s="363"/>
      <c r="Q8" s="206"/>
    </row>
    <row r="9" spans="1:17" ht="18" x14ac:dyDescent="0.25">
      <c r="A9" s="101"/>
      <c r="B9" s="363"/>
      <c r="C9" s="363"/>
      <c r="D9" s="363"/>
      <c r="E9" s="363"/>
      <c r="F9" s="363"/>
      <c r="G9" s="363"/>
      <c r="H9" s="363"/>
      <c r="I9" s="146"/>
      <c r="J9" s="363"/>
      <c r="K9" s="363"/>
      <c r="L9" s="363"/>
      <c r="M9" s="363"/>
      <c r="N9" s="363"/>
      <c r="O9" s="363"/>
      <c r="P9" s="363"/>
      <c r="Q9" s="206"/>
    </row>
    <row r="10" spans="1:17" ht="18" x14ac:dyDescent="0.25">
      <c r="A10" s="101"/>
      <c r="B10" s="146"/>
      <c r="C10" s="146"/>
      <c r="D10" s="146"/>
      <c r="E10" s="146"/>
      <c r="F10" s="146"/>
      <c r="G10" s="146"/>
      <c r="H10" s="146"/>
      <c r="I10" s="146"/>
      <c r="J10" s="146"/>
      <c r="K10" s="146"/>
      <c r="L10" s="146"/>
      <c r="M10" s="146"/>
      <c r="N10" s="146"/>
      <c r="O10" s="146"/>
      <c r="P10" s="146"/>
      <c r="Q10" s="206"/>
    </row>
    <row r="11" spans="1:17" x14ac:dyDescent="0.25">
      <c r="A11" s="101"/>
      <c r="B11" s="8"/>
      <c r="C11" s="8"/>
      <c r="D11" s="8"/>
      <c r="E11" s="8"/>
      <c r="F11" s="8"/>
      <c r="G11" s="8"/>
      <c r="H11" s="8"/>
      <c r="I11" s="8"/>
      <c r="J11" s="8"/>
      <c r="K11" s="8"/>
      <c r="L11" s="8"/>
      <c r="M11" s="8"/>
      <c r="N11" s="8"/>
      <c r="O11" s="8"/>
      <c r="P11" s="8"/>
      <c r="Q11" s="206"/>
    </row>
    <row r="12" spans="1:17" ht="18.75" customHeight="1" x14ac:dyDescent="0.25">
      <c r="A12" s="101"/>
      <c r="B12" s="356" t="str">
        <f>"Mean Referrals
Per Week"&amp;IF(AND(Split&gt;0,C15=500)," (Based on split at week "&amp;Split&amp;")","")</f>
        <v>Mean Referrals
Per Week (Based on split at week 34)</v>
      </c>
      <c r="C12" s="357"/>
      <c r="D12" s="358"/>
      <c r="E12" s="8"/>
      <c r="F12" s="348" t="s">
        <v>421</v>
      </c>
      <c r="G12" s="349"/>
      <c r="H12" s="350"/>
      <c r="I12" s="8"/>
      <c r="J12" s="348" t="s">
        <v>444</v>
      </c>
      <c r="K12" s="349"/>
      <c r="L12" s="350"/>
      <c r="M12" s="207"/>
      <c r="N12" s="348" t="s">
        <v>445</v>
      </c>
      <c r="O12" s="349"/>
      <c r="P12" s="350"/>
      <c r="Q12" s="206"/>
    </row>
    <row r="13" spans="1:17" ht="18.75" customHeight="1" x14ac:dyDescent="0.25">
      <c r="A13" s="101"/>
      <c r="B13" s="359"/>
      <c r="C13" s="360"/>
      <c r="D13" s="361"/>
      <c r="E13" s="8"/>
      <c r="F13" s="351"/>
      <c r="G13" s="310"/>
      <c r="H13" s="352"/>
      <c r="I13" s="8"/>
      <c r="J13" s="351"/>
      <c r="K13" s="310"/>
      <c r="L13" s="352"/>
      <c r="M13" s="207"/>
      <c r="N13" s="351"/>
      <c r="O13" s="310"/>
      <c r="P13" s="352"/>
      <c r="Q13" s="206"/>
    </row>
    <row r="14" spans="1:17" ht="18.75" customHeight="1" x14ac:dyDescent="0.25">
      <c r="A14" s="101"/>
      <c r="B14" s="364">
        <f ca="1">IF(C15=500,D15,C15&amp;" ("&amp;TEXT(D15,"#")&amp;")")</f>
        <v>188.78947368421052</v>
      </c>
      <c r="C14" s="365"/>
      <c r="D14" s="366">
        <v>1</v>
      </c>
      <c r="E14" s="8"/>
      <c r="F14" s="367">
        <f ca="1">RefsPerWeek/7</f>
        <v>26.969924812030076</v>
      </c>
      <c r="G14" s="368"/>
      <c r="H14" s="369"/>
      <c r="I14" s="8"/>
      <c r="J14" s="370">
        <f>K15/100</f>
        <v>0.1</v>
      </c>
      <c r="K14" s="371"/>
      <c r="L14" s="372"/>
      <c r="M14" s="8"/>
      <c r="N14" s="364">
        <f>$O$15</f>
        <v>2</v>
      </c>
      <c r="O14" s="365"/>
      <c r="P14" s="366"/>
      <c r="Q14" s="206"/>
    </row>
    <row r="15" spans="1:17" x14ac:dyDescent="0.25">
      <c r="A15" s="101"/>
      <c r="B15" s="191">
        <f ca="1">IF(C15=500,D15,C15)</f>
        <v>188.78947368421052</v>
      </c>
      <c r="C15" s="192">
        <v>500</v>
      </c>
      <c r="D15" s="193">
        <f ca="1">IF(Split=0,Mean,Mean2)</f>
        <v>188.78947368421052</v>
      </c>
      <c r="E15" s="8"/>
      <c r="F15" s="194"/>
      <c r="G15" s="195"/>
      <c r="H15" s="196"/>
      <c r="I15" s="8"/>
      <c r="J15" s="200"/>
      <c r="K15" s="201">
        <v>10</v>
      </c>
      <c r="L15" s="202"/>
      <c r="M15" s="8"/>
      <c r="N15" s="203"/>
      <c r="O15" s="204">
        <v>2</v>
      </c>
      <c r="P15" s="205"/>
      <c r="Q15" s="206"/>
    </row>
    <row r="16" spans="1:17" x14ac:dyDescent="0.25">
      <c r="A16" s="101"/>
      <c r="B16" s="8"/>
      <c r="C16" s="8"/>
      <c r="D16" s="8"/>
      <c r="E16" s="8"/>
      <c r="F16" s="8"/>
      <c r="G16" s="8"/>
      <c r="H16" s="8"/>
      <c r="I16" s="8"/>
      <c r="J16" s="8"/>
      <c r="K16" s="8"/>
      <c r="L16" s="8"/>
      <c r="M16" s="8"/>
      <c r="N16" s="8"/>
      <c r="O16" s="8"/>
      <c r="P16" s="8"/>
      <c r="Q16" s="206"/>
    </row>
    <row r="17" spans="1:17" ht="15" customHeight="1" x14ac:dyDescent="0.25">
      <c r="A17" s="101"/>
      <c r="B17" s="348" t="s">
        <v>294</v>
      </c>
      <c r="C17" s="349"/>
      <c r="D17" s="350"/>
      <c r="E17" s="8"/>
      <c r="F17" s="348" t="s">
        <v>807</v>
      </c>
      <c r="G17" s="349"/>
      <c r="H17" s="350"/>
      <c r="I17" s="8"/>
      <c r="J17" s="348" t="s">
        <v>410</v>
      </c>
      <c r="K17" s="349"/>
      <c r="L17" s="350"/>
      <c r="M17" s="8"/>
      <c r="N17" s="348" t="s">
        <v>411</v>
      </c>
      <c r="O17" s="349"/>
      <c r="P17" s="350"/>
      <c r="Q17" s="206"/>
    </row>
    <row r="18" spans="1:17" x14ac:dyDescent="0.25">
      <c r="A18" s="101"/>
      <c r="B18" s="351"/>
      <c r="C18" s="310"/>
      <c r="D18" s="352"/>
      <c r="E18" s="8"/>
      <c r="F18" s="351"/>
      <c r="G18" s="310"/>
      <c r="H18" s="352"/>
      <c r="I18" s="8"/>
      <c r="J18" s="351"/>
      <c r="K18" s="310"/>
      <c r="L18" s="352"/>
      <c r="M18" s="8"/>
      <c r="N18" s="351"/>
      <c r="O18" s="310"/>
      <c r="P18" s="352"/>
      <c r="Q18" s="206"/>
    </row>
    <row r="19" spans="1:17" x14ac:dyDescent="0.25">
      <c r="A19" s="101"/>
      <c r="B19" s="373">
        <f>IF(C20=1000,D20,C20/1000)</f>
        <v>1</v>
      </c>
      <c r="C19" s="374"/>
      <c r="D19" s="375"/>
      <c r="E19" s="8"/>
      <c r="F19" s="373" t="str">
        <f ca="1">IF(G20=1000,H20,TEXT(G20/1000,"0.0%")&amp;" ("&amp;TEXT(H20,"0.0%")&amp;")")</f>
        <v>30.6% (70.8%)</v>
      </c>
      <c r="G19" s="374"/>
      <c r="H19" s="375"/>
      <c r="I19" s="8"/>
      <c r="J19" s="367">
        <f>K20</f>
        <v>2</v>
      </c>
      <c r="K19" s="368"/>
      <c r="L19" s="369"/>
      <c r="M19" s="8"/>
      <c r="N19" s="367">
        <f>O20</f>
        <v>9</v>
      </c>
      <c r="O19" s="368"/>
      <c r="P19" s="369"/>
      <c r="Q19" s="206"/>
    </row>
    <row r="20" spans="1:17" x14ac:dyDescent="0.25">
      <c r="A20" s="101"/>
      <c r="B20" s="194"/>
      <c r="C20" s="192">
        <v>1000</v>
      </c>
      <c r="D20" s="197">
        <f>IF(COUNT(Demand!N25:N1024)&gt;0,1-(COUNTIF(Demand!K25:K1024,"Yes")/COUNT(Demand!N25:N1024)),0)</f>
        <v>1</v>
      </c>
      <c r="E20" s="8"/>
      <c r="F20" s="194">
        <f>IF(G20=1000,H20,G20/1000)</f>
        <v>0.30599999999999999</v>
      </c>
      <c r="G20" s="192">
        <v>306</v>
      </c>
      <c r="H20" s="198">
        <f ca="1">IF(SUM(Demand!C25:C76)&gt;0,SUM(Demand!D25:D76)/SUM(Demand!C25:C76),0)</f>
        <v>0.70796026002698398</v>
      </c>
      <c r="I20" s="8"/>
      <c r="J20" s="200"/>
      <c r="K20" s="201">
        <v>2</v>
      </c>
      <c r="L20" s="202"/>
      <c r="M20" s="8"/>
      <c r="N20" s="200"/>
      <c r="O20" s="201">
        <v>9</v>
      </c>
      <c r="P20" s="202"/>
      <c r="Q20" s="206"/>
    </row>
    <row r="21" spans="1:17" x14ac:dyDescent="0.25">
      <c r="A21" s="101"/>
      <c r="B21" s="8"/>
      <c r="C21" s="8"/>
      <c r="D21" s="8"/>
      <c r="E21" s="8"/>
      <c r="F21" s="8"/>
      <c r="G21" s="8"/>
      <c r="H21" s="8"/>
      <c r="I21" s="8"/>
      <c r="J21" s="8"/>
      <c r="K21" s="8"/>
      <c r="L21" s="8"/>
      <c r="M21" s="8"/>
      <c r="N21" s="8"/>
      <c r="O21" s="8"/>
      <c r="P21" s="8"/>
      <c r="Q21" s="206"/>
    </row>
    <row r="22" spans="1:17" x14ac:dyDescent="0.25">
      <c r="A22" s="101"/>
      <c r="B22" s="348" t="s">
        <v>296</v>
      </c>
      <c r="C22" s="349"/>
      <c r="D22" s="350"/>
      <c r="E22" s="8"/>
      <c r="F22" s="348" t="s">
        <v>295</v>
      </c>
      <c r="G22" s="349"/>
      <c r="H22" s="350"/>
      <c r="I22" s="8"/>
      <c r="J22" s="348" t="s">
        <v>412</v>
      </c>
      <c r="K22" s="349"/>
      <c r="L22" s="350"/>
      <c r="M22" s="8"/>
      <c r="N22" s="8"/>
      <c r="O22" s="8"/>
      <c r="P22" s="8"/>
      <c r="Q22" s="206"/>
    </row>
    <row r="23" spans="1:17" x14ac:dyDescent="0.25">
      <c r="A23" s="101"/>
      <c r="B23" s="351"/>
      <c r="C23" s="310"/>
      <c r="D23" s="352"/>
      <c r="E23" s="8"/>
      <c r="F23" s="351">
        <v>1</v>
      </c>
      <c r="G23" s="310"/>
      <c r="H23" s="352"/>
      <c r="I23" s="8"/>
      <c r="J23" s="351"/>
      <c r="K23" s="310"/>
      <c r="L23" s="352"/>
      <c r="M23" s="8"/>
      <c r="N23" s="8"/>
      <c r="O23" s="8"/>
      <c r="P23" s="8"/>
      <c r="Q23" s="206"/>
    </row>
    <row r="24" spans="1:17" x14ac:dyDescent="0.25">
      <c r="A24" s="101"/>
      <c r="B24" s="373">
        <f>IF(C25=1000,D25,TEXT(C25/1000,"0.0%")&amp;" ("&amp;TEXT(D25,"0.0%")&amp;")")</f>
        <v>0</v>
      </c>
      <c r="C24" s="374"/>
      <c r="D24" s="375"/>
      <c r="E24" s="8"/>
      <c r="F24" s="373" t="str">
        <f>IF(G25=500,H25,TEXT(G25/1000,"0.0%")&amp;" ("&amp;TEXT(H25,"0.0%")&amp;")")</f>
        <v>6.0% (0.0%)</v>
      </c>
      <c r="G24" s="374"/>
      <c r="H24" s="375"/>
      <c r="I24" s="8"/>
      <c r="J24" s="370">
        <f>K25/100</f>
        <v>0.3</v>
      </c>
      <c r="K24" s="371"/>
      <c r="L24" s="372"/>
      <c r="M24" s="8"/>
      <c r="N24" s="8"/>
      <c r="O24" s="8"/>
      <c r="P24" s="8"/>
      <c r="Q24" s="206"/>
    </row>
    <row r="25" spans="1:17" x14ac:dyDescent="0.25">
      <c r="A25" s="101"/>
      <c r="B25" s="194">
        <f>IF(C25=1000,D25,C25/1000)</f>
        <v>0</v>
      </c>
      <c r="C25" s="192">
        <v>1000</v>
      </c>
      <c r="D25" s="198">
        <f>IF(COUNT(Demand!N25:N1024)&gt;0,COUNTIF(Demand!M25:M1024,"&lt;&gt;")/COUNT(Demand!N25:N1024),0)</f>
        <v>0</v>
      </c>
      <c r="E25" s="8"/>
      <c r="F25" s="194">
        <f>IF(G25=500,H25,G25/1000)</f>
        <v>0.06</v>
      </c>
      <c r="G25" s="192">
        <v>60</v>
      </c>
      <c r="H25" s="199">
        <f>IF(COUNT(Demand!N25:N1024)&gt;0,COUNTIF(Demand!L25:L1024,"&lt;&gt;")/COUNT(Demand!N25:N1024),0)</f>
        <v>0</v>
      </c>
      <c r="I25" s="8"/>
      <c r="J25" s="194"/>
      <c r="K25" s="192">
        <v>30</v>
      </c>
      <c r="L25" s="196"/>
      <c r="M25" s="8"/>
      <c r="N25" s="8"/>
      <c r="O25" s="8"/>
      <c r="P25" s="8"/>
      <c r="Q25" s="206"/>
    </row>
    <row r="26" spans="1:17" x14ac:dyDescent="0.25">
      <c r="A26" s="101"/>
      <c r="B26" s="8"/>
      <c r="C26" s="8"/>
      <c r="D26" s="8"/>
      <c r="E26" s="8"/>
      <c r="F26" s="8"/>
      <c r="G26" s="8"/>
      <c r="H26" s="8"/>
      <c r="I26" s="8"/>
      <c r="J26" s="8"/>
      <c r="K26" s="8"/>
      <c r="L26" s="8"/>
      <c r="M26" s="8"/>
      <c r="N26" s="8"/>
      <c r="O26" s="8"/>
      <c r="P26" s="8"/>
      <c r="Q26" s="206"/>
    </row>
    <row r="27" spans="1:17" x14ac:dyDescent="0.25">
      <c r="A27" s="208"/>
      <c r="B27" s="209"/>
      <c r="C27" s="209"/>
      <c r="D27" s="209"/>
      <c r="E27" s="209"/>
      <c r="F27" s="209"/>
      <c r="G27" s="209"/>
      <c r="H27" s="209"/>
      <c r="I27" s="209"/>
      <c r="J27" s="209"/>
      <c r="K27" s="209"/>
      <c r="L27" s="209"/>
      <c r="M27" s="209"/>
      <c r="N27" s="209"/>
      <c r="O27" s="209"/>
      <c r="P27" s="209"/>
      <c r="Q27" s="210"/>
    </row>
    <row r="28" spans="1:17" x14ac:dyDescent="0.25">
      <c r="A28" s="7"/>
      <c r="B28" s="7"/>
      <c r="C28" s="7"/>
      <c r="D28" s="7"/>
      <c r="E28" s="7"/>
      <c r="F28" s="7"/>
      <c r="G28" s="7"/>
      <c r="H28" s="7"/>
      <c r="I28" s="7"/>
      <c r="J28" s="7"/>
      <c r="K28" s="7"/>
      <c r="L28" s="7"/>
      <c r="M28" s="7"/>
      <c r="N28" s="7"/>
      <c r="O28" s="7"/>
    </row>
    <row r="29" spans="1:17" x14ac:dyDescent="0.25">
      <c r="A29" s="7"/>
      <c r="B29" s="7"/>
      <c r="C29" s="7"/>
      <c r="D29" s="7"/>
      <c r="E29" s="7"/>
      <c r="F29" s="7"/>
      <c r="G29" s="7"/>
      <c r="H29" s="7"/>
      <c r="I29" s="7"/>
      <c r="M29" s="7"/>
      <c r="N29" s="7"/>
      <c r="O29" s="7"/>
    </row>
    <row r="30" spans="1:17" x14ac:dyDescent="0.25">
      <c r="A30" s="7"/>
      <c r="B30" s="7"/>
      <c r="C30" s="7"/>
      <c r="D30" s="7"/>
      <c r="E30" s="7"/>
      <c r="F30" s="7"/>
      <c r="G30" s="7"/>
      <c r="H30" s="7"/>
      <c r="I30" s="7"/>
      <c r="M30" s="7"/>
      <c r="N30" s="7"/>
      <c r="O30" s="7"/>
    </row>
    <row r="34" spans="10:12" x14ac:dyDescent="0.25">
      <c r="J34" s="7"/>
      <c r="K34" s="7"/>
      <c r="L34" s="7"/>
    </row>
    <row r="35" spans="10:12" x14ac:dyDescent="0.25">
      <c r="J35" s="7"/>
      <c r="K35" s="7"/>
      <c r="L35" s="7"/>
    </row>
  </sheetData>
  <sheetProtection password="CD36" sheet="1" objects="1" scenarios="1" selectLockedCells="1" selectUnlockedCells="1"/>
  <mergeCells count="27">
    <mergeCell ref="F24:H24"/>
    <mergeCell ref="J24:L24"/>
    <mergeCell ref="B24:D24"/>
    <mergeCell ref="F19:H19"/>
    <mergeCell ref="B22:D23"/>
    <mergeCell ref="J19:L19"/>
    <mergeCell ref="F22:H23"/>
    <mergeCell ref="J22:L23"/>
    <mergeCell ref="N19:P19"/>
    <mergeCell ref="J14:L14"/>
    <mergeCell ref="B19:D19"/>
    <mergeCell ref="B14:D14"/>
    <mergeCell ref="F14:H14"/>
    <mergeCell ref="J12:L13"/>
    <mergeCell ref="N12:P13"/>
    <mergeCell ref="N17:P18"/>
    <mergeCell ref="A5:Q5"/>
    <mergeCell ref="A2:Q2"/>
    <mergeCell ref="F12:H13"/>
    <mergeCell ref="A3:Q3"/>
    <mergeCell ref="B12:D13"/>
    <mergeCell ref="B7:H9"/>
    <mergeCell ref="J7:P9"/>
    <mergeCell ref="N14:P14"/>
    <mergeCell ref="B17:D18"/>
    <mergeCell ref="F17:H18"/>
    <mergeCell ref="J17:L18"/>
  </mergeCells>
  <phoneticPr fontId="0" type="noConversion"/>
  <conditionalFormatting sqref="B14:D14 F14:H14 F19:H19 B19:D19 B24:D24 F24:H24">
    <cfRule type="containsErrors" dxfId="11" priority="1" stopIfTrue="1">
      <formula>ISERROR(B14)</formula>
    </cfRule>
  </conditionalFormatting>
  <pageMargins left="0.39370078740157483" right="0.39370078740157483" top="0.98425196850393704" bottom="0.59055118110236227" header="0.19685039370078741" footer="0"/>
  <pageSetup paperSize="9" scale="99" fitToHeight="0" orientation="landscape" errors="blank" r:id="rId1"/>
  <headerFooter>
    <oddHeader>&amp;R&amp;G</oddHeader>
  </headerFooter>
  <drawing r:id="rId2"/>
  <legacyDrawing r:id="rId3"/>
  <legacyDrawingHF r:id="rId4"/>
  <mc:AlternateContent xmlns:mc="http://schemas.openxmlformats.org/markup-compatibility/2006">
    <mc:Choice Requires="x14">
      <controls>
        <mc:AlternateContent xmlns:mc="http://schemas.openxmlformats.org/markup-compatibility/2006">
          <mc:Choice Requires="x14">
            <control shapeId="16440" r:id="rId5" name="Scroll Bar 56">
              <controlPr locked="0" defaultSize="0" print="0" autoPict="0">
                <anchor moveWithCells="1">
                  <from>
                    <xdr:col>1</xdr:col>
                    <xdr:colOff>0</xdr:colOff>
                    <xdr:row>13</xdr:row>
                    <xdr:rowOff>228600</xdr:rowOff>
                  </from>
                  <to>
                    <xdr:col>3</xdr:col>
                    <xdr:colOff>542925</xdr:colOff>
                    <xdr:row>15</xdr:row>
                    <xdr:rowOff>0</xdr:rowOff>
                  </to>
                </anchor>
              </controlPr>
            </control>
          </mc:Choice>
        </mc:AlternateContent>
        <mc:AlternateContent xmlns:mc="http://schemas.openxmlformats.org/markup-compatibility/2006">
          <mc:Choice Requires="x14">
            <control shapeId="16441" r:id="rId6" name="Scroll Bar 57">
              <controlPr locked="0" defaultSize="0" print="0" autoPict="0">
                <anchor moveWithCells="1">
                  <from>
                    <xdr:col>5</xdr:col>
                    <xdr:colOff>0</xdr:colOff>
                    <xdr:row>23</xdr:row>
                    <xdr:rowOff>180975</xdr:rowOff>
                  </from>
                  <to>
                    <xdr:col>7</xdr:col>
                    <xdr:colOff>542925</xdr:colOff>
                    <xdr:row>25</xdr:row>
                    <xdr:rowOff>0</xdr:rowOff>
                  </to>
                </anchor>
              </controlPr>
            </control>
          </mc:Choice>
        </mc:AlternateContent>
        <mc:AlternateContent xmlns:mc="http://schemas.openxmlformats.org/markup-compatibility/2006">
          <mc:Choice Requires="x14">
            <control shapeId="16442" r:id="rId7" name="Scroll Bar 58">
              <controlPr locked="0" defaultSize="0" print="0" autoPict="0">
                <anchor moveWithCells="1">
                  <from>
                    <xdr:col>9</xdr:col>
                    <xdr:colOff>0</xdr:colOff>
                    <xdr:row>23</xdr:row>
                    <xdr:rowOff>180975</xdr:rowOff>
                  </from>
                  <to>
                    <xdr:col>11</xdr:col>
                    <xdr:colOff>542925</xdr:colOff>
                    <xdr:row>25</xdr:row>
                    <xdr:rowOff>0</xdr:rowOff>
                  </to>
                </anchor>
              </controlPr>
            </control>
          </mc:Choice>
        </mc:AlternateContent>
        <mc:AlternateContent xmlns:mc="http://schemas.openxmlformats.org/markup-compatibility/2006">
          <mc:Choice Requires="x14">
            <control shapeId="16447" r:id="rId8" name="Scroll Bar 63">
              <controlPr locked="0" defaultSize="0" print="0" autoPict="0">
                <anchor moveWithCells="1">
                  <from>
                    <xdr:col>1</xdr:col>
                    <xdr:colOff>0</xdr:colOff>
                    <xdr:row>18</xdr:row>
                    <xdr:rowOff>180975</xdr:rowOff>
                  </from>
                  <to>
                    <xdr:col>3</xdr:col>
                    <xdr:colOff>542925</xdr:colOff>
                    <xdr:row>20</xdr:row>
                    <xdr:rowOff>0</xdr:rowOff>
                  </to>
                </anchor>
              </controlPr>
            </control>
          </mc:Choice>
        </mc:AlternateContent>
        <mc:AlternateContent xmlns:mc="http://schemas.openxmlformats.org/markup-compatibility/2006">
          <mc:Choice Requires="x14">
            <control shapeId="16448" r:id="rId9" name="Scroll Bar 64">
              <controlPr locked="0" defaultSize="0" print="0" autoPict="0">
                <anchor moveWithCells="1">
                  <from>
                    <xdr:col>1</xdr:col>
                    <xdr:colOff>0</xdr:colOff>
                    <xdr:row>23</xdr:row>
                    <xdr:rowOff>180975</xdr:rowOff>
                  </from>
                  <to>
                    <xdr:col>3</xdr:col>
                    <xdr:colOff>542925</xdr:colOff>
                    <xdr:row>25</xdr:row>
                    <xdr:rowOff>0</xdr:rowOff>
                  </to>
                </anchor>
              </controlPr>
            </control>
          </mc:Choice>
        </mc:AlternateContent>
        <mc:AlternateContent xmlns:mc="http://schemas.openxmlformats.org/markup-compatibility/2006">
          <mc:Choice Requires="x14">
            <control shapeId="16489" r:id="rId10" name="Scroll Bar 105">
              <controlPr locked="0" defaultSize="0" print="0" autoPict="0">
                <anchor moveWithCells="1">
                  <from>
                    <xdr:col>5</xdr:col>
                    <xdr:colOff>0</xdr:colOff>
                    <xdr:row>18</xdr:row>
                    <xdr:rowOff>180975</xdr:rowOff>
                  </from>
                  <to>
                    <xdr:col>7</xdr:col>
                    <xdr:colOff>542925</xdr:colOff>
                    <xdr:row>20</xdr:row>
                    <xdr:rowOff>0</xdr:rowOff>
                  </to>
                </anchor>
              </controlPr>
            </control>
          </mc:Choice>
        </mc:AlternateContent>
        <mc:AlternateContent xmlns:mc="http://schemas.openxmlformats.org/markup-compatibility/2006">
          <mc:Choice Requires="x14">
            <control shapeId="16598" r:id="rId11" name="Scroll Bar 214">
              <controlPr locked="0" defaultSize="0" print="0" autoPict="0">
                <anchor moveWithCells="1">
                  <from>
                    <xdr:col>9</xdr:col>
                    <xdr:colOff>0</xdr:colOff>
                    <xdr:row>13</xdr:row>
                    <xdr:rowOff>228600</xdr:rowOff>
                  </from>
                  <to>
                    <xdr:col>11</xdr:col>
                    <xdr:colOff>542925</xdr:colOff>
                    <xdr:row>15</xdr:row>
                    <xdr:rowOff>0</xdr:rowOff>
                  </to>
                </anchor>
              </controlPr>
            </control>
          </mc:Choice>
        </mc:AlternateContent>
        <mc:AlternateContent xmlns:mc="http://schemas.openxmlformats.org/markup-compatibility/2006">
          <mc:Choice Requires="x14">
            <control shapeId="16792" r:id="rId12" name="Scroll Bar 408">
              <controlPr locked="0" defaultSize="0" print="0" autoPict="0">
                <anchor moveWithCells="1">
                  <from>
                    <xdr:col>13</xdr:col>
                    <xdr:colOff>0</xdr:colOff>
                    <xdr:row>18</xdr:row>
                    <xdr:rowOff>180975</xdr:rowOff>
                  </from>
                  <to>
                    <xdr:col>15</xdr:col>
                    <xdr:colOff>542925</xdr:colOff>
                    <xdr:row>20</xdr:row>
                    <xdr:rowOff>0</xdr:rowOff>
                  </to>
                </anchor>
              </controlPr>
            </control>
          </mc:Choice>
        </mc:AlternateContent>
        <mc:AlternateContent xmlns:mc="http://schemas.openxmlformats.org/markup-compatibility/2006">
          <mc:Choice Requires="x14">
            <control shapeId="16802" r:id="rId13" name="Scroll Bar 418">
              <controlPr locked="0" defaultSize="0" print="0" autoPict="0">
                <anchor moveWithCells="1">
                  <from>
                    <xdr:col>9</xdr:col>
                    <xdr:colOff>0</xdr:colOff>
                    <xdr:row>18</xdr:row>
                    <xdr:rowOff>180975</xdr:rowOff>
                  </from>
                  <to>
                    <xdr:col>11</xdr:col>
                    <xdr:colOff>542925</xdr:colOff>
                    <xdr:row>20</xdr:row>
                    <xdr:rowOff>0</xdr:rowOff>
                  </to>
                </anchor>
              </controlPr>
            </control>
          </mc:Choice>
        </mc:AlternateContent>
        <mc:AlternateContent xmlns:mc="http://schemas.openxmlformats.org/markup-compatibility/2006">
          <mc:Choice Requires="x14">
            <control shapeId="17085" r:id="rId14" name="Scroll Bar 701">
              <controlPr locked="0" defaultSize="0" print="0" autoPict="0">
                <anchor moveWithCells="1">
                  <from>
                    <xdr:col>13</xdr:col>
                    <xdr:colOff>0</xdr:colOff>
                    <xdr:row>13</xdr:row>
                    <xdr:rowOff>228600</xdr:rowOff>
                  </from>
                  <to>
                    <xdr:col>15</xdr:col>
                    <xdr:colOff>542925</xdr:colOff>
                    <xdr:row>15</xdr:row>
                    <xdr:rowOff>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2:P96"/>
  <sheetViews>
    <sheetView showGridLines="0" showRowColHeaders="0" zoomScaleNormal="100" zoomScaleSheetLayoutView="80" workbookViewId="0">
      <selection activeCell="B1" sqref="B1"/>
    </sheetView>
  </sheetViews>
  <sheetFormatPr defaultRowHeight="15" x14ac:dyDescent="0.25"/>
  <cols>
    <col min="1" max="3" width="9.140625" style="33"/>
    <col min="4" max="4" width="10.140625" style="33" customWidth="1"/>
    <col min="5" max="5" width="12.28515625" style="33" customWidth="1"/>
    <col min="6" max="6" width="5" style="33" customWidth="1"/>
    <col min="7" max="14" width="9.140625" style="33"/>
    <col min="15" max="15" width="12.42578125" style="33" customWidth="1"/>
    <col min="16" max="16384" width="9.140625" style="33"/>
  </cols>
  <sheetData>
    <row r="2" spans="1:15" ht="54" customHeight="1" x14ac:dyDescent="0.25">
      <c r="A2" s="379" t="str">
        <f>"Trust Summary - "&amp;ModelName</f>
        <v>Trust Summary - The IST IMAS First Outpatients Demand &amp; Capacity Model</v>
      </c>
      <c r="B2" s="380"/>
      <c r="C2" s="380"/>
      <c r="D2" s="380"/>
      <c r="E2" s="380"/>
      <c r="F2" s="380"/>
      <c r="G2" s="380"/>
      <c r="H2" s="380"/>
      <c r="I2" s="380"/>
      <c r="J2" s="380"/>
      <c r="K2" s="380"/>
      <c r="L2" s="380"/>
      <c r="M2" s="380"/>
      <c r="N2" s="380"/>
      <c r="O2" s="381"/>
    </row>
    <row r="3" spans="1:15" s="73" customFormat="1" ht="23.25" customHeight="1" x14ac:dyDescent="0.25">
      <c r="A3" s="382" t="s">
        <v>293</v>
      </c>
      <c r="B3" s="288"/>
      <c r="C3" s="288"/>
      <c r="D3" s="288"/>
      <c r="E3" s="288"/>
      <c r="F3" s="288"/>
      <c r="G3" s="288"/>
      <c r="H3" s="288"/>
      <c r="I3" s="288"/>
      <c r="J3" s="288"/>
      <c r="K3" s="288"/>
      <c r="L3" s="288"/>
      <c r="M3" s="288"/>
      <c r="N3" s="288"/>
      <c r="O3" s="383"/>
    </row>
    <row r="4" spans="1:15" ht="15" customHeight="1" x14ac:dyDescent="0.25"/>
    <row r="5" spans="1:15" ht="18" x14ac:dyDescent="0.25">
      <c r="A5" s="388" t="str">
        <f>Trust &amp; " - " &amp; Specialty</f>
        <v>5 Boroughs Partnership NHS Foundation Trust - Blood Transfusion</v>
      </c>
      <c r="B5" s="388"/>
      <c r="C5" s="388"/>
      <c r="D5" s="388"/>
      <c r="E5" s="388"/>
      <c r="F5" s="388"/>
      <c r="G5" s="388"/>
      <c r="H5" s="388"/>
      <c r="I5" s="388"/>
      <c r="J5" s="388"/>
      <c r="K5" s="388"/>
      <c r="L5" s="388"/>
      <c r="M5" s="388"/>
      <c r="N5" s="388"/>
      <c r="O5" s="388"/>
    </row>
    <row r="6" spans="1:15" ht="8.25" customHeight="1" x14ac:dyDescent="0.25"/>
    <row r="7" spans="1:15" ht="23.25" customHeight="1" x14ac:dyDescent="0.25">
      <c r="B7" s="384" t="str">
        <f>"Indicator"&amp;IF(Split=0,""," (based on split at week "&amp;Split&amp;")")</f>
        <v>Indicator (based on split at week 34)</v>
      </c>
      <c r="C7" s="384"/>
      <c r="D7" s="384"/>
      <c r="E7" s="220" t="s">
        <v>64</v>
      </c>
    </row>
    <row r="8" spans="1:15" x14ac:dyDescent="0.25">
      <c r="B8" s="386" t="s">
        <v>317</v>
      </c>
      <c r="C8" s="386"/>
      <c r="D8" s="386"/>
      <c r="E8" s="221">
        <f ca="1">RefsPerWeek</f>
        <v>188.78947368421052</v>
      </c>
    </row>
    <row r="9" spans="1:15" x14ac:dyDescent="0.25">
      <c r="B9" s="389" t="s">
        <v>439</v>
      </c>
      <c r="C9" s="389"/>
      <c r="D9" s="389"/>
      <c r="E9" s="212">
        <f ca="1">RefsPerWeekUrgent</f>
        <v>18.878947368421052</v>
      </c>
    </row>
    <row r="10" spans="1:15" x14ac:dyDescent="0.25">
      <c r="B10" s="389" t="s">
        <v>420</v>
      </c>
      <c r="C10" s="389"/>
      <c r="D10" s="389"/>
      <c r="E10" s="212">
        <f ca="1">(RefsPerWeek-RefsPerWeekUrgent)*(1-EReferral)</f>
        <v>117.91790526315788</v>
      </c>
    </row>
    <row r="11" spans="1:15" x14ac:dyDescent="0.25">
      <c r="B11" s="389" t="s">
        <v>808</v>
      </c>
      <c r="C11" s="389"/>
      <c r="D11" s="389"/>
      <c r="E11" s="212">
        <f ca="1">(RefsPerWeek-RefsPerWeekUrgent)*EReferral</f>
        <v>51.992621052631577</v>
      </c>
    </row>
    <row r="12" spans="1:15" x14ac:dyDescent="0.25">
      <c r="B12" s="385" t="s">
        <v>1</v>
      </c>
      <c r="C12" s="385"/>
      <c r="D12" s="385"/>
      <c r="E12" s="222">
        <f ca="1">DNARate*RefsPerWeek*(1-ProportionUrgent)</f>
        <v>10.194631578947368</v>
      </c>
    </row>
    <row r="13" spans="1:15" x14ac:dyDescent="0.25">
      <c r="B13" s="389" t="s">
        <v>47</v>
      </c>
      <c r="C13" s="389"/>
      <c r="D13" s="389"/>
      <c r="E13" s="222">
        <f ca="1">DNARebooked</f>
        <v>7.1362421052631566</v>
      </c>
    </row>
    <row r="14" spans="1:15" x14ac:dyDescent="0.25">
      <c r="B14" s="389" t="s">
        <v>46</v>
      </c>
      <c r="C14" s="389"/>
      <c r="D14" s="389"/>
      <c r="E14" s="222">
        <f ca="1">DNADischarged</f>
        <v>3.0583894736842101</v>
      </c>
    </row>
    <row r="15" spans="1:15" x14ac:dyDescent="0.25">
      <c r="A15" s="74"/>
      <c r="B15" s="387" t="s">
        <v>74</v>
      </c>
      <c r="C15" s="387"/>
      <c r="D15" s="387"/>
      <c r="E15" s="216">
        <f ca="1">RefsPerWeek*RearrangedRate</f>
        <v>0</v>
      </c>
      <c r="F15" s="74"/>
      <c r="G15" s="74"/>
      <c r="H15" s="74"/>
    </row>
    <row r="16" spans="1:15" x14ac:dyDescent="0.25">
      <c r="A16" s="74"/>
      <c r="B16" s="74"/>
      <c r="C16" s="74"/>
      <c r="D16" s="74"/>
      <c r="E16" s="74"/>
      <c r="F16" s="74"/>
      <c r="G16" s="74"/>
      <c r="H16" s="74"/>
    </row>
    <row r="17" spans="1:15" x14ac:dyDescent="0.25">
      <c r="A17" s="74"/>
      <c r="B17" s="392" t="s">
        <v>80</v>
      </c>
      <c r="C17" s="393"/>
      <c r="D17" s="393"/>
      <c r="E17" s="393"/>
      <c r="F17" s="74"/>
      <c r="G17" s="74"/>
      <c r="H17" s="74"/>
    </row>
    <row r="18" spans="1:15" x14ac:dyDescent="0.25">
      <c r="A18" s="74"/>
      <c r="B18" s="390" t="s">
        <v>78</v>
      </c>
      <c r="C18" s="390"/>
      <c r="D18" s="390"/>
      <c r="E18" s="217" t="str">
        <f ca="1">CONCATENATE(TEXT(MeanWait,"#")," Weeks")</f>
        <v>4 Weeks</v>
      </c>
      <c r="F18" s="74"/>
      <c r="G18" s="74"/>
      <c r="H18" s="75"/>
    </row>
    <row r="19" spans="1:15" x14ac:dyDescent="0.25">
      <c r="A19" s="74"/>
      <c r="B19" s="385" t="s">
        <v>79</v>
      </c>
      <c r="C19" s="385"/>
      <c r="D19" s="385"/>
      <c r="E19" s="212" t="str">
        <f ca="1">CONCATENATE(TEXT(MedianWait,"#")," Weeks")</f>
        <v>5 Weeks</v>
      </c>
      <c r="F19" s="74"/>
      <c r="G19" s="75"/>
      <c r="H19" s="75"/>
    </row>
    <row r="20" spans="1:15" x14ac:dyDescent="0.25">
      <c r="A20" s="74"/>
      <c r="B20" s="385" t="str">
        <f>CONCATENATE("After planned mid-point (week ",TEXT((ROUNDUP(MinWait*7+(MaxWait-MinWait)*7*0.5,0))/7,"#"),")")</f>
        <v>After planned mid-point (week 6)</v>
      </c>
      <c r="C20" s="385"/>
      <c r="D20" s="385"/>
      <c r="E20" s="218">
        <f ca="1">OverMidPoint</f>
        <v>0.24399999999999999</v>
      </c>
      <c r="F20" s="74"/>
      <c r="G20" s="75"/>
      <c r="H20" s="75"/>
    </row>
    <row r="21" spans="1:15" x14ac:dyDescent="0.25">
      <c r="A21" s="74"/>
      <c r="B21" s="387" t="str">
        <f>CONCATENATE("In planned final week (week ",TEXT(MaxWait,"#"),")")</f>
        <v>In planned final week (week 9)</v>
      </c>
      <c r="C21" s="387"/>
      <c r="D21" s="387"/>
      <c r="E21" s="219">
        <f ca="1">InLastWeek</f>
        <v>0</v>
      </c>
      <c r="F21" s="74"/>
      <c r="G21" s="74"/>
      <c r="H21" s="74"/>
    </row>
    <row r="22" spans="1:15" x14ac:dyDescent="0.25">
      <c r="A22" s="74"/>
      <c r="F22" s="74"/>
      <c r="G22" s="74"/>
      <c r="H22" s="74"/>
    </row>
    <row r="23" spans="1:15" s="73" customFormat="1" ht="23.25" customHeight="1" x14ac:dyDescent="0.25">
      <c r="A23" s="382" t="s">
        <v>44</v>
      </c>
      <c r="B23" s="288"/>
      <c r="C23" s="288"/>
      <c r="D23" s="288"/>
      <c r="E23" s="288"/>
      <c r="F23" s="288"/>
      <c r="G23" s="288"/>
      <c r="H23" s="288"/>
      <c r="I23" s="288"/>
      <c r="J23" s="288"/>
      <c r="K23" s="288"/>
      <c r="L23" s="288"/>
      <c r="M23" s="288"/>
      <c r="N23" s="288"/>
      <c r="O23" s="383"/>
    </row>
    <row r="24" spans="1:15" ht="15" customHeight="1" x14ac:dyDescent="0.25">
      <c r="A24" s="74"/>
      <c r="B24" s="74"/>
      <c r="C24" s="74"/>
      <c r="D24" s="74"/>
      <c r="E24" s="74"/>
      <c r="F24" s="74"/>
      <c r="G24" s="74"/>
      <c r="H24" s="74"/>
      <c r="I24" s="74"/>
      <c r="J24" s="74"/>
      <c r="K24" s="74"/>
      <c r="L24" s="74"/>
      <c r="M24" s="74"/>
      <c r="N24" s="74"/>
      <c r="O24" s="74"/>
    </row>
    <row r="25" spans="1:15" ht="15" customHeight="1" x14ac:dyDescent="0.25">
      <c r="B25" s="395" t="s">
        <v>43</v>
      </c>
      <c r="C25" s="395"/>
      <c r="D25" s="395"/>
      <c r="E25" s="211" t="s">
        <v>64</v>
      </c>
      <c r="F25" s="74"/>
      <c r="G25" s="394" t="s">
        <v>447</v>
      </c>
      <c r="H25" s="394"/>
      <c r="I25" s="394"/>
      <c r="J25" s="394"/>
      <c r="K25" s="394"/>
      <c r="L25" s="394"/>
      <c r="M25" s="394"/>
      <c r="N25" s="394"/>
      <c r="O25" s="394"/>
    </row>
    <row r="26" spans="1:15" ht="15" customHeight="1" x14ac:dyDescent="0.25">
      <c r="B26" s="385" t="s">
        <v>468</v>
      </c>
      <c r="C26" s="385"/>
      <c r="D26" s="385"/>
      <c r="E26" s="212">
        <f>SlotsPerWeek</f>
        <v>201</v>
      </c>
      <c r="F26" s="74"/>
      <c r="G26" s="394"/>
      <c r="H26" s="394"/>
      <c r="I26" s="394"/>
      <c r="J26" s="394"/>
      <c r="K26" s="394"/>
      <c r="L26" s="394"/>
      <c r="M26" s="394"/>
      <c r="N26" s="394"/>
      <c r="O26" s="394"/>
    </row>
    <row r="27" spans="1:15" ht="15" customHeight="1" x14ac:dyDescent="0.25">
      <c r="B27" s="385" t="s">
        <v>469</v>
      </c>
      <c r="C27" s="385"/>
      <c r="D27" s="385"/>
      <c r="E27" s="212">
        <f>AdHocSlotsPerWeek</f>
        <v>32</v>
      </c>
      <c r="F27" s="74"/>
      <c r="G27" s="394"/>
      <c r="H27" s="394"/>
      <c r="I27" s="394"/>
      <c r="J27" s="394"/>
      <c r="K27" s="394"/>
      <c r="L27" s="394"/>
      <c r="M27" s="394"/>
      <c r="N27" s="394"/>
      <c r="O27" s="394"/>
    </row>
    <row r="28" spans="1:15" ht="15" customHeight="1" x14ac:dyDescent="0.25">
      <c r="B28" s="385" t="s">
        <v>83</v>
      </c>
      <c r="C28" s="385"/>
      <c r="D28" s="385"/>
      <c r="E28" s="215">
        <f>SUM(SlotsPerWeek,AdHocSlotsPerWeek)</f>
        <v>233</v>
      </c>
      <c r="F28" s="74"/>
      <c r="G28" s="394"/>
      <c r="H28" s="394"/>
      <c r="I28" s="394"/>
      <c r="J28" s="394"/>
      <c r="K28" s="394"/>
      <c r="L28" s="394"/>
      <c r="M28" s="394"/>
      <c r="N28" s="394"/>
      <c r="O28" s="394"/>
    </row>
    <row r="29" spans="1:15" x14ac:dyDescent="0.25">
      <c r="A29" s="74"/>
      <c r="B29" s="387" t="s">
        <v>467</v>
      </c>
      <c r="C29" s="387"/>
      <c r="D29" s="387"/>
      <c r="E29" s="216" t="str">
        <f ca="1">IF(MeanNetChange&gt;0,"+","") &amp; TEXT(MeanNetChange,0)</f>
        <v>-37</v>
      </c>
      <c r="F29" s="74"/>
      <c r="G29" s="394"/>
      <c r="H29" s="394"/>
      <c r="I29" s="394"/>
      <c r="J29" s="394"/>
      <c r="K29" s="394"/>
      <c r="L29" s="394"/>
      <c r="M29" s="394"/>
      <c r="N29" s="394"/>
      <c r="O29" s="394"/>
    </row>
    <row r="30" spans="1:15" ht="15" customHeight="1" x14ac:dyDescent="0.25">
      <c r="B30" s="76"/>
      <c r="C30" s="76"/>
      <c r="D30" s="76"/>
      <c r="E30" s="77"/>
      <c r="F30" s="74"/>
      <c r="G30" s="78"/>
      <c r="H30" s="78"/>
      <c r="I30" s="78"/>
      <c r="J30" s="78"/>
      <c r="K30" s="78"/>
      <c r="L30" s="78"/>
      <c r="M30" s="78"/>
      <c r="N30" s="78"/>
      <c r="O30" s="78"/>
    </row>
    <row r="31" spans="1:15" s="73" customFormat="1" ht="23.25" customHeight="1" x14ac:dyDescent="0.25">
      <c r="A31" s="382" t="str">
        <f>"Required Capacity"&amp;IF(Split=0,""," (based on split at week "&amp;Split&amp;")")</f>
        <v>Required Capacity (based on split at week 34)</v>
      </c>
      <c r="B31" s="288"/>
      <c r="C31" s="288"/>
      <c r="D31" s="288"/>
      <c r="E31" s="288"/>
      <c r="F31" s="288"/>
      <c r="G31" s="288"/>
      <c r="H31" s="288"/>
      <c r="I31" s="288"/>
      <c r="J31" s="288"/>
      <c r="K31" s="288"/>
      <c r="L31" s="288"/>
      <c r="M31" s="288"/>
      <c r="N31" s="288"/>
      <c r="O31" s="383"/>
    </row>
    <row r="32" spans="1:15" ht="15" customHeight="1" x14ac:dyDescent="0.25">
      <c r="A32" s="79"/>
      <c r="B32" s="79"/>
      <c r="C32" s="79"/>
      <c r="D32" s="79"/>
      <c r="E32" s="79"/>
      <c r="F32" s="79"/>
      <c r="G32" s="79"/>
      <c r="H32" s="79"/>
      <c r="I32" s="79"/>
      <c r="J32" s="79"/>
    </row>
    <row r="33" spans="1:15" x14ac:dyDescent="0.25">
      <c r="B33" s="391" t="s">
        <v>43</v>
      </c>
      <c r="C33" s="391"/>
      <c r="D33" s="391"/>
      <c r="E33" s="211" t="s">
        <v>31</v>
      </c>
      <c r="G33" s="80"/>
    </row>
    <row r="34" spans="1:15" x14ac:dyDescent="0.25">
      <c r="B34" s="385" t="s">
        <v>60</v>
      </c>
      <c r="C34" s="385"/>
      <c r="D34" s="385"/>
      <c r="E34" s="212" t="str">
        <f ca="1">CONCATENATE(TEXT(Percentile65,"#")," to ",TEXT(Percentile85,"#"))</f>
        <v>209 to 222</v>
      </c>
      <c r="G34" s="81"/>
    </row>
    <row r="35" spans="1:15" x14ac:dyDescent="0.25">
      <c r="B35" s="385" t="s">
        <v>465</v>
      </c>
      <c r="C35" s="385"/>
      <c r="D35" s="385"/>
      <c r="E35" s="212">
        <f ca="1">RefsPerWeek</f>
        <v>188.78947368421052</v>
      </c>
      <c r="F35" s="407" t="str">
        <f ca="1">"You currently have " &amp; IF(RefsPerWeek+DNARebooked-SUM(SlotsPerWeek,AdHocSlotsPerWeek)&lt;0,CONCATENATE(TEXT(ABS(RefsPerWeek+DNARebooked-SUM(SlotsPerWeek,AdHocSlotsPerWeek)),"#")," more slot(s) than referrals coming in plus reappointed DNAs"),CONCATENATE(TEXT(RefsPerWeek+DNARebooked-SUM(SlotsPerWeek,AdHocSlotsPerWeek),"#")," fewer slot(s) available than referrals coming in plus reappointed DNAs"))</f>
        <v>You currently have 37 more slot(s) than referrals coming in plus reappointed DNAs</v>
      </c>
      <c r="G35" s="407"/>
      <c r="H35" s="407"/>
      <c r="I35" s="407"/>
      <c r="J35" s="407"/>
      <c r="K35" s="407"/>
      <c r="L35" s="407"/>
      <c r="M35" s="407"/>
      <c r="N35" s="407"/>
      <c r="O35" s="407"/>
    </row>
    <row r="36" spans="1:15" x14ac:dyDescent="0.25">
      <c r="B36" s="385" t="s">
        <v>466</v>
      </c>
      <c r="C36" s="385"/>
      <c r="D36" s="385"/>
      <c r="E36" s="212">
        <f ca="1">DNARebooked</f>
        <v>7.1362421052631566</v>
      </c>
      <c r="F36" s="407"/>
      <c r="G36" s="407"/>
      <c r="H36" s="407"/>
      <c r="I36" s="407"/>
      <c r="J36" s="407"/>
      <c r="K36" s="407"/>
      <c r="L36" s="407"/>
      <c r="M36" s="407"/>
      <c r="N36" s="407"/>
      <c r="O36" s="407"/>
    </row>
    <row r="37" spans="1:15" x14ac:dyDescent="0.25">
      <c r="B37" s="385" t="s">
        <v>2</v>
      </c>
      <c r="C37" s="385"/>
      <c r="D37" s="385"/>
      <c r="E37" s="212">
        <f ca="1">Percentile65</f>
        <v>209.44200000000001</v>
      </c>
      <c r="F37" s="398" t="str">
        <f ca="1">"You currently have " &amp; IF(Percentile65-SUM(SlotsPerWeek,AdHocSlotsPerWeek)&lt;0,CONCATENATE(TEXT(SUM(SlotsPerWeek,AdHocSlotsPerWeek)-Percentile65,"#")," more slot(s) than might be needed to sustain the service at a minimum level"),CONCATENATE(TEXT(Percentile65-SUM(SlotsPerWeek,AdHocSlotsPerWeek),"#")," fewer slot(s) than required to sustain the service at a minimum level (65th percentile)"))</f>
        <v>You currently have 24 more slot(s) than might be needed to sustain the service at a minimum level</v>
      </c>
      <c r="G37" s="398"/>
      <c r="H37" s="398"/>
      <c r="I37" s="398"/>
      <c r="J37" s="398"/>
      <c r="K37" s="398"/>
      <c r="L37" s="398"/>
      <c r="M37" s="398"/>
      <c r="N37" s="398"/>
      <c r="O37" s="398"/>
    </row>
    <row r="38" spans="1:15" x14ac:dyDescent="0.25">
      <c r="B38" s="387" t="s">
        <v>57</v>
      </c>
      <c r="C38" s="387"/>
      <c r="D38" s="387"/>
      <c r="E38" s="214">
        <f ca="1">Percentile85</f>
        <v>222.36279999999999</v>
      </c>
      <c r="F38" s="398" t="str">
        <f ca="1">"You currently have " &amp; IF(Percentile85-SUM(SlotsPerWeek,AdHocSlotsPerWeek)&lt;0,CONCATENATE(TEXT(SUM(SlotsPerWeek,AdHocSlotsPerWeek)-Percentile85,"#")," more slot(s) than might be needed to sustain the service at a comfortable level"),CONCATENATE(TEXT(Percentile85-SUM(SlotsPerWeek,AdHocSlotsPerWeek),"#")," fewer slot(s) than required to sustain the service at a comfortable level (85th percentile)"))</f>
        <v>You currently have 11 more slot(s) than might be needed to sustain the service at a comfortable level</v>
      </c>
      <c r="G38" s="398"/>
      <c r="H38" s="398"/>
      <c r="I38" s="398"/>
      <c r="J38" s="398"/>
      <c r="K38" s="398"/>
      <c r="L38" s="398"/>
      <c r="M38" s="398"/>
      <c r="N38" s="398"/>
      <c r="O38" s="398"/>
    </row>
    <row r="39" spans="1:15" x14ac:dyDescent="0.25">
      <c r="A39" s="82"/>
      <c r="B39" s="83"/>
      <c r="C39" s="84"/>
      <c r="D39" s="84"/>
      <c r="E39" s="84"/>
      <c r="F39" s="84"/>
    </row>
    <row r="40" spans="1:15" x14ac:dyDescent="0.25">
      <c r="A40" s="402" t="s">
        <v>0</v>
      </c>
      <c r="B40" s="402"/>
      <c r="C40" s="402"/>
      <c r="D40" s="402"/>
      <c r="E40" s="402"/>
      <c r="F40" s="402"/>
      <c r="G40" s="402"/>
      <c r="H40" s="402"/>
    </row>
    <row r="41" spans="1:15" x14ac:dyDescent="0.25">
      <c r="A41" s="402"/>
      <c r="B41" s="402"/>
      <c r="C41" s="402"/>
      <c r="D41" s="402"/>
      <c r="E41" s="402"/>
      <c r="F41" s="402"/>
      <c r="G41" s="402"/>
      <c r="H41" s="402"/>
    </row>
    <row r="42" spans="1:15" x14ac:dyDescent="0.25">
      <c r="A42" s="402"/>
      <c r="B42" s="402"/>
      <c r="C42" s="402"/>
      <c r="D42" s="402"/>
      <c r="E42" s="402"/>
      <c r="F42" s="402"/>
      <c r="G42" s="402"/>
      <c r="H42" s="402"/>
    </row>
    <row r="43" spans="1:15" x14ac:dyDescent="0.25">
      <c r="A43" s="402"/>
      <c r="B43" s="402"/>
      <c r="C43" s="402"/>
      <c r="D43" s="402"/>
      <c r="E43" s="402"/>
      <c r="F43" s="402"/>
      <c r="G43" s="402"/>
      <c r="H43" s="402"/>
    </row>
    <row r="44" spans="1:15" x14ac:dyDescent="0.25">
      <c r="A44" s="402"/>
      <c r="B44" s="402"/>
      <c r="C44" s="402"/>
      <c r="D44" s="402"/>
      <c r="E44" s="402"/>
      <c r="F44" s="402"/>
      <c r="G44" s="402"/>
      <c r="H44" s="402"/>
    </row>
    <row r="45" spans="1:15" x14ac:dyDescent="0.25">
      <c r="A45" s="402"/>
      <c r="B45" s="402"/>
      <c r="C45" s="402"/>
      <c r="D45" s="402"/>
      <c r="E45" s="402"/>
      <c r="F45" s="402"/>
      <c r="G45" s="402"/>
      <c r="H45" s="402"/>
    </row>
    <row r="46" spans="1:15" x14ac:dyDescent="0.25">
      <c r="A46" s="402"/>
      <c r="B46" s="402"/>
      <c r="C46" s="402"/>
      <c r="D46" s="402"/>
      <c r="E46" s="402"/>
      <c r="F46" s="402"/>
      <c r="G46" s="402"/>
      <c r="H46" s="402"/>
    </row>
    <row r="47" spans="1:15" x14ac:dyDescent="0.25">
      <c r="A47" s="74"/>
      <c r="B47" s="74"/>
      <c r="C47" s="74"/>
      <c r="D47" s="74"/>
      <c r="E47" s="74"/>
      <c r="F47" s="74"/>
      <c r="G47" s="74"/>
      <c r="H47" s="74"/>
      <c r="I47" s="74"/>
      <c r="J47" s="74"/>
      <c r="K47" s="74"/>
      <c r="L47" s="74"/>
      <c r="M47" s="74"/>
      <c r="N47" s="74"/>
      <c r="O47" s="74"/>
    </row>
    <row r="48" spans="1:15" x14ac:dyDescent="0.25">
      <c r="A48" s="394" t="s">
        <v>448</v>
      </c>
      <c r="B48" s="399"/>
      <c r="C48" s="399"/>
      <c r="D48" s="399"/>
      <c r="E48" s="399"/>
      <c r="F48" s="399"/>
      <c r="G48" s="399"/>
      <c r="H48" s="399"/>
      <c r="I48" s="74"/>
      <c r="J48" s="74"/>
      <c r="K48" s="74"/>
      <c r="L48" s="74"/>
      <c r="M48" s="74"/>
      <c r="N48" s="74"/>
      <c r="O48" s="74"/>
    </row>
    <row r="49" spans="1:16" x14ac:dyDescent="0.25">
      <c r="A49" s="399"/>
      <c r="B49" s="399"/>
      <c r="C49" s="399"/>
      <c r="D49" s="399"/>
      <c r="E49" s="399"/>
      <c r="F49" s="399"/>
      <c r="G49" s="399"/>
      <c r="H49" s="399"/>
      <c r="I49" s="74"/>
      <c r="J49" s="74"/>
      <c r="K49" s="74"/>
      <c r="L49" s="74"/>
      <c r="M49" s="74"/>
      <c r="N49" s="74"/>
      <c r="O49" s="74"/>
    </row>
    <row r="50" spans="1:16" x14ac:dyDescent="0.25">
      <c r="A50" s="399"/>
      <c r="B50" s="399"/>
      <c r="C50" s="399"/>
      <c r="D50" s="399"/>
      <c r="E50" s="399"/>
      <c r="F50" s="399"/>
      <c r="G50" s="399"/>
      <c r="H50" s="399"/>
      <c r="I50" s="74"/>
      <c r="J50" s="74"/>
      <c r="K50" s="74"/>
      <c r="L50" s="74"/>
      <c r="M50" s="74"/>
      <c r="N50" s="74"/>
      <c r="O50" s="74"/>
    </row>
    <row r="51" spans="1:16" x14ac:dyDescent="0.25">
      <c r="A51" s="399"/>
      <c r="B51" s="399"/>
      <c r="C51" s="399"/>
      <c r="D51" s="399"/>
      <c r="E51" s="399"/>
      <c r="F51" s="399"/>
      <c r="G51" s="399"/>
      <c r="H51" s="399"/>
      <c r="I51" s="74"/>
      <c r="J51" s="74"/>
      <c r="K51" s="74"/>
      <c r="L51" s="74"/>
      <c r="M51" s="74"/>
      <c r="N51" s="74"/>
      <c r="O51" s="74"/>
    </row>
    <row r="52" spans="1:16" x14ac:dyDescent="0.25">
      <c r="A52" s="399"/>
      <c r="B52" s="399"/>
      <c r="C52" s="399"/>
      <c r="D52" s="399"/>
      <c r="E52" s="399"/>
      <c r="F52" s="399"/>
      <c r="G52" s="399"/>
      <c r="H52" s="399"/>
      <c r="I52" s="74"/>
      <c r="J52" s="74"/>
      <c r="K52" s="74"/>
      <c r="L52" s="74"/>
      <c r="M52" s="74"/>
      <c r="N52" s="74"/>
      <c r="O52" s="74"/>
    </row>
    <row r="53" spans="1:16" x14ac:dyDescent="0.25">
      <c r="A53" s="399"/>
      <c r="B53" s="399"/>
      <c r="C53" s="399"/>
      <c r="D53" s="399"/>
      <c r="E53" s="399"/>
      <c r="F53" s="399"/>
      <c r="G53" s="399"/>
      <c r="H53" s="399"/>
      <c r="I53" s="74"/>
      <c r="J53" s="74"/>
      <c r="K53" s="74"/>
      <c r="L53" s="74"/>
      <c r="M53" s="74"/>
      <c r="N53" s="74"/>
      <c r="O53" s="74"/>
    </row>
    <row r="54" spans="1:16" x14ac:dyDescent="0.25">
      <c r="A54" s="399"/>
      <c r="B54" s="399"/>
      <c r="C54" s="399"/>
      <c r="D54" s="399"/>
      <c r="E54" s="399"/>
      <c r="F54" s="399"/>
      <c r="G54" s="399"/>
      <c r="H54" s="399"/>
      <c r="I54" s="74"/>
      <c r="J54" s="74"/>
      <c r="K54" s="74"/>
      <c r="L54" s="74"/>
      <c r="M54" s="74"/>
      <c r="N54" s="74"/>
      <c r="O54" s="74"/>
    </row>
    <row r="55" spans="1:16" ht="15" customHeight="1" x14ac:dyDescent="0.25">
      <c r="A55" s="400" t="s">
        <v>449</v>
      </c>
      <c r="B55" s="401"/>
      <c r="C55" s="401"/>
      <c r="D55" s="401"/>
      <c r="E55" s="401"/>
      <c r="F55" s="401"/>
      <c r="G55" s="401"/>
      <c r="H55" s="401"/>
      <c r="I55" s="401"/>
      <c r="J55" s="401"/>
      <c r="K55" s="401"/>
      <c r="L55" s="401"/>
      <c r="M55" s="401"/>
      <c r="N55" s="401"/>
      <c r="O55" s="401"/>
    </row>
    <row r="56" spans="1:16" x14ac:dyDescent="0.25">
      <c r="A56" s="401"/>
      <c r="B56" s="401"/>
      <c r="C56" s="401"/>
      <c r="D56" s="401"/>
      <c r="E56" s="401"/>
      <c r="F56" s="401"/>
      <c r="G56" s="401"/>
      <c r="H56" s="401"/>
      <c r="I56" s="401"/>
      <c r="J56" s="401"/>
      <c r="K56" s="401"/>
      <c r="L56" s="401"/>
      <c r="M56" s="401"/>
      <c r="N56" s="401"/>
      <c r="O56" s="401"/>
    </row>
    <row r="57" spans="1:16" x14ac:dyDescent="0.25">
      <c r="A57" s="401"/>
      <c r="B57" s="401"/>
      <c r="C57" s="401"/>
      <c r="D57" s="401"/>
      <c r="E57" s="401"/>
      <c r="F57" s="401"/>
      <c r="G57" s="401"/>
      <c r="H57" s="401"/>
      <c r="I57" s="401"/>
      <c r="J57" s="401"/>
      <c r="K57" s="401"/>
      <c r="L57" s="401"/>
      <c r="M57" s="401"/>
      <c r="N57" s="401"/>
      <c r="O57" s="401"/>
    </row>
    <row r="58" spans="1:16" x14ac:dyDescent="0.25">
      <c r="A58" s="401"/>
      <c r="B58" s="401"/>
      <c r="C58" s="401"/>
      <c r="D58" s="401"/>
      <c r="E58" s="401"/>
      <c r="F58" s="401"/>
      <c r="G58" s="401"/>
      <c r="H58" s="401"/>
      <c r="I58" s="401"/>
      <c r="J58" s="401"/>
      <c r="K58" s="401"/>
      <c r="L58" s="401"/>
      <c r="M58" s="401"/>
      <c r="N58" s="401"/>
      <c r="O58" s="401"/>
    </row>
    <row r="59" spans="1:16" x14ac:dyDescent="0.25">
      <c r="A59" s="401"/>
      <c r="B59" s="401"/>
      <c r="C59" s="401"/>
      <c r="D59" s="401"/>
      <c r="E59" s="401"/>
      <c r="F59" s="401"/>
      <c r="G59" s="401"/>
      <c r="H59" s="401"/>
      <c r="I59" s="401"/>
      <c r="J59" s="401"/>
      <c r="K59" s="401"/>
      <c r="L59" s="401"/>
      <c r="M59" s="401"/>
      <c r="N59" s="401"/>
      <c r="O59" s="401"/>
    </row>
    <row r="60" spans="1:16" x14ac:dyDescent="0.25">
      <c r="A60" s="401"/>
      <c r="B60" s="401"/>
      <c r="C60" s="401"/>
      <c r="D60" s="401"/>
      <c r="E60" s="401"/>
      <c r="F60" s="401"/>
      <c r="G60" s="401"/>
      <c r="H60" s="401"/>
      <c r="I60" s="401"/>
      <c r="J60" s="401"/>
      <c r="K60" s="401"/>
      <c r="L60" s="401"/>
      <c r="M60" s="401"/>
      <c r="N60" s="401"/>
      <c r="O60" s="401"/>
    </row>
    <row r="61" spans="1:16" x14ac:dyDescent="0.25">
      <c r="A61" s="79"/>
      <c r="B61" s="79"/>
      <c r="C61" s="79"/>
      <c r="D61" s="79"/>
      <c r="E61" s="79"/>
      <c r="F61" s="79"/>
      <c r="G61" s="79"/>
      <c r="H61" s="79"/>
      <c r="I61" s="79"/>
      <c r="J61" s="79"/>
      <c r="K61" s="79"/>
      <c r="L61" s="79"/>
      <c r="M61" s="79"/>
      <c r="N61" s="79"/>
      <c r="O61" s="79"/>
    </row>
    <row r="62" spans="1:16" x14ac:dyDescent="0.25">
      <c r="A62" s="376" t="s">
        <v>45</v>
      </c>
      <c r="B62" s="377"/>
      <c r="C62" s="377"/>
      <c r="D62" s="377"/>
      <c r="E62" s="377"/>
      <c r="F62" s="377"/>
      <c r="G62" s="377"/>
      <c r="H62" s="377"/>
      <c r="I62" s="377"/>
      <c r="J62" s="377"/>
      <c r="K62" s="377"/>
      <c r="L62" s="377"/>
      <c r="M62" s="377"/>
      <c r="N62" s="377"/>
      <c r="O62" s="378"/>
      <c r="P62" s="73"/>
    </row>
    <row r="64" spans="1:16" ht="15" customHeight="1" x14ac:dyDescent="0.25">
      <c r="B64" s="384" t="s">
        <v>43</v>
      </c>
      <c r="C64" s="384"/>
      <c r="D64" s="384"/>
      <c r="E64" s="384"/>
    </row>
    <row r="65" spans="1:16" x14ac:dyDescent="0.25">
      <c r="B65" s="386" t="s">
        <v>417</v>
      </c>
      <c r="C65" s="386"/>
      <c r="D65" s="386"/>
      <c r="E65" s="386"/>
    </row>
    <row r="66" spans="1:16" x14ac:dyDescent="0.25">
      <c r="B66" s="397" t="s">
        <v>3</v>
      </c>
      <c r="C66" s="397"/>
      <c r="D66" s="397"/>
      <c r="E66" s="212">
        <v>1</v>
      </c>
    </row>
    <row r="67" spans="1:16" x14ac:dyDescent="0.25">
      <c r="B67" s="397" t="s">
        <v>4</v>
      </c>
      <c r="C67" s="397"/>
      <c r="D67" s="397"/>
      <c r="E67" s="212">
        <f>MinWait</f>
        <v>2</v>
      </c>
    </row>
    <row r="68" spans="1:16" x14ac:dyDescent="0.25">
      <c r="B68" s="385" t="s">
        <v>5</v>
      </c>
      <c r="C68" s="385"/>
      <c r="D68" s="385"/>
      <c r="E68" s="385"/>
    </row>
    <row r="69" spans="1:16" x14ac:dyDescent="0.25">
      <c r="B69" s="397" t="s">
        <v>3</v>
      </c>
      <c r="C69" s="397"/>
      <c r="D69" s="397"/>
      <c r="E69" s="212">
        <f>TargetUrgent</f>
        <v>2</v>
      </c>
    </row>
    <row r="70" spans="1:16" s="73" customFormat="1" x14ac:dyDescent="0.25">
      <c r="A70" s="33"/>
      <c r="B70" s="405" t="s">
        <v>4</v>
      </c>
      <c r="C70" s="405"/>
      <c r="D70" s="405"/>
      <c r="E70" s="214">
        <f>MaxWait</f>
        <v>9</v>
      </c>
      <c r="F70" s="33"/>
      <c r="G70" s="33"/>
      <c r="H70" s="33"/>
      <c r="I70" s="33"/>
      <c r="J70" s="33"/>
      <c r="K70" s="33"/>
      <c r="L70" s="33"/>
      <c r="M70" s="33"/>
      <c r="N70" s="33"/>
      <c r="O70" s="33"/>
      <c r="P70" s="33"/>
    </row>
    <row r="71" spans="1:16" x14ac:dyDescent="0.25">
      <c r="B71" s="76"/>
      <c r="C71" s="76"/>
      <c r="D71" s="76"/>
      <c r="E71" s="77"/>
    </row>
    <row r="72" spans="1:16" ht="15" customHeight="1" x14ac:dyDescent="0.25">
      <c r="A72" s="403" t="s">
        <v>450</v>
      </c>
      <c r="B72" s="404"/>
      <c r="C72" s="404"/>
      <c r="D72" s="404"/>
      <c r="E72" s="404"/>
      <c r="F72" s="404"/>
      <c r="G72" s="404"/>
      <c r="H72" s="404"/>
      <c r="I72" s="404"/>
    </row>
    <row r="73" spans="1:16" x14ac:dyDescent="0.25">
      <c r="A73" s="404"/>
      <c r="B73" s="404"/>
      <c r="C73" s="404"/>
      <c r="D73" s="404"/>
      <c r="E73" s="404"/>
      <c r="F73" s="404"/>
      <c r="G73" s="404"/>
      <c r="H73" s="404"/>
      <c r="I73" s="404"/>
    </row>
    <row r="74" spans="1:16" x14ac:dyDescent="0.25">
      <c r="A74" s="404"/>
      <c r="B74" s="404"/>
      <c r="C74" s="404"/>
      <c r="D74" s="404"/>
      <c r="E74" s="404"/>
      <c r="F74" s="404"/>
      <c r="G74" s="404"/>
      <c r="H74" s="404"/>
      <c r="I74" s="404"/>
    </row>
    <row r="75" spans="1:16" x14ac:dyDescent="0.25">
      <c r="A75" s="404"/>
      <c r="B75" s="404"/>
      <c r="C75" s="404"/>
      <c r="D75" s="404"/>
      <c r="E75" s="404"/>
      <c r="F75" s="404"/>
      <c r="G75" s="404"/>
      <c r="H75" s="404"/>
      <c r="I75" s="404"/>
    </row>
    <row r="76" spans="1:16" x14ac:dyDescent="0.25">
      <c r="A76" s="404"/>
      <c r="B76" s="404"/>
      <c r="C76" s="404"/>
      <c r="D76" s="404"/>
      <c r="E76" s="404"/>
      <c r="F76" s="404"/>
      <c r="G76" s="404"/>
      <c r="H76" s="404"/>
      <c r="I76" s="404"/>
    </row>
    <row r="77" spans="1:16" ht="15" customHeight="1" x14ac:dyDescent="0.25">
      <c r="A77" s="382" t="str">
        <f>"Clearing a Backlog"&amp;IF(Split&gt;0," (based on split at week "&amp;Split&amp;")","")</f>
        <v>Clearing a Backlog (based on split at week 34)</v>
      </c>
      <c r="B77" s="288"/>
      <c r="C77" s="288"/>
      <c r="D77" s="288"/>
      <c r="E77" s="288"/>
      <c r="F77" s="288"/>
      <c r="G77" s="288"/>
      <c r="H77" s="288"/>
      <c r="I77" s="288"/>
      <c r="J77" s="288"/>
      <c r="K77" s="288"/>
      <c r="L77" s="288"/>
      <c r="M77" s="288"/>
      <c r="N77" s="288"/>
      <c r="O77" s="383"/>
      <c r="P77" s="73"/>
    </row>
    <row r="78" spans="1:16" x14ac:dyDescent="0.25">
      <c r="B78" s="406"/>
      <c r="C78" s="406"/>
      <c r="D78" s="406"/>
    </row>
    <row r="79" spans="1:16" x14ac:dyDescent="0.25">
      <c r="B79" s="395" t="s">
        <v>43</v>
      </c>
      <c r="C79" s="395"/>
      <c r="D79" s="395"/>
      <c r="E79" s="211" t="s">
        <v>31</v>
      </c>
      <c r="G79" s="394" t="s">
        <v>470</v>
      </c>
      <c r="H79" s="399"/>
      <c r="I79" s="399"/>
      <c r="J79" s="399"/>
      <c r="K79" s="399"/>
      <c r="L79" s="399"/>
      <c r="M79" s="399"/>
      <c r="N79" s="399"/>
      <c r="O79" s="399"/>
    </row>
    <row r="80" spans="1:16" x14ac:dyDescent="0.25">
      <c r="B80" s="385" t="s">
        <v>58</v>
      </c>
      <c r="C80" s="385"/>
      <c r="D80" s="385"/>
      <c r="E80" s="212" t="str">
        <f ca="1">CONCATENATE(TEXT(MaxWaitingList*0.95,"#")," to ",TEXT(MaxWaitingList*1.05,"#"))</f>
        <v>929 to 1027</v>
      </c>
      <c r="G80" s="399"/>
      <c r="H80" s="399"/>
      <c r="I80" s="399"/>
      <c r="J80" s="399"/>
      <c r="K80" s="399"/>
      <c r="L80" s="399"/>
      <c r="M80" s="399"/>
      <c r="N80" s="399"/>
      <c r="O80" s="399"/>
    </row>
    <row r="81" spans="1:16" x14ac:dyDescent="0.25">
      <c r="B81" s="385" t="s">
        <v>291</v>
      </c>
      <c r="C81" s="385"/>
      <c r="D81" s="385"/>
      <c r="E81" s="212">
        <f>WaitingList</f>
        <v>2401</v>
      </c>
      <c r="G81" s="399"/>
      <c r="H81" s="399"/>
      <c r="I81" s="399"/>
      <c r="J81" s="399"/>
      <c r="K81" s="399"/>
      <c r="L81" s="399"/>
      <c r="M81" s="399"/>
      <c r="N81" s="399"/>
      <c r="O81" s="399"/>
    </row>
    <row r="82" spans="1:16" x14ac:dyDescent="0.25">
      <c r="B82" s="385" t="s">
        <v>59</v>
      </c>
      <c r="C82" s="385"/>
      <c r="D82" s="385"/>
      <c r="E82" s="212" t="str">
        <f ca="1">IF(WaitingList&gt;MaxWaitingList*1.05,CONCATENATE(TEXT(WaitingList-MaxWaitingList*1.05,"#")," to ",TEXT(WaitingList-MaxWaitingList*0.95,"#")),"n/a")</f>
        <v>1374 to 1472</v>
      </c>
      <c r="G82" s="399"/>
      <c r="H82" s="399"/>
      <c r="I82" s="399"/>
      <c r="J82" s="399"/>
      <c r="K82" s="399"/>
      <c r="L82" s="399"/>
      <c r="M82" s="399"/>
      <c r="N82" s="399"/>
      <c r="O82" s="399"/>
    </row>
    <row r="83" spans="1:16" x14ac:dyDescent="0.25">
      <c r="B83" s="385" t="s">
        <v>6</v>
      </c>
      <c r="C83" s="385"/>
      <c r="D83" s="385"/>
      <c r="E83" s="212">
        <f ca="1">IF(MeanNetChange&gt;=0,"n/a",-MeanNetChange)</f>
        <v>37</v>
      </c>
      <c r="G83" s="399"/>
      <c r="H83" s="399"/>
      <c r="I83" s="399"/>
      <c r="J83" s="399"/>
      <c r="K83" s="399"/>
      <c r="L83" s="399"/>
      <c r="M83" s="399"/>
      <c r="N83" s="399"/>
      <c r="O83" s="399"/>
    </row>
    <row r="84" spans="1:16" x14ac:dyDescent="0.25">
      <c r="B84" s="397" t="s">
        <v>7</v>
      </c>
      <c r="C84" s="397"/>
      <c r="D84" s="397"/>
      <c r="E84" s="213">
        <f ca="1">IF(CoreNetChange&gt;=0,"n/a",-CoreNetChange)</f>
        <v>8</v>
      </c>
      <c r="G84" s="399"/>
      <c r="H84" s="399"/>
      <c r="I84" s="399"/>
      <c r="J84" s="399"/>
      <c r="K84" s="399"/>
      <c r="L84" s="399"/>
      <c r="M84" s="399"/>
      <c r="N84" s="399"/>
      <c r="O84" s="399"/>
    </row>
    <row r="85" spans="1:16" x14ac:dyDescent="0.25">
      <c r="B85" s="397" t="s">
        <v>8</v>
      </c>
      <c r="C85" s="397"/>
      <c r="D85" s="397"/>
      <c r="E85" s="213">
        <f ca="1">IF(AdditionalNetChange&gt;=0,"n/a",-AdditionalNetChange)</f>
        <v>32</v>
      </c>
      <c r="G85" s="399"/>
      <c r="H85" s="399"/>
      <c r="I85" s="399"/>
      <c r="J85" s="399"/>
      <c r="K85" s="399"/>
      <c r="L85" s="399"/>
      <c r="M85" s="399"/>
      <c r="N85" s="399"/>
      <c r="O85" s="399"/>
    </row>
    <row r="86" spans="1:16" x14ac:dyDescent="0.25">
      <c r="B86" s="387" t="s">
        <v>9</v>
      </c>
      <c r="C86" s="387"/>
      <c r="D86" s="387"/>
      <c r="E86" s="214" t="str">
        <f ca="1">IF(MeanNetChange&gt;=0,"n/a",IF(WaitingList&gt;MaxWaitingList*1.05,CONCATENATE(TEXT((WaitingList-MaxWaitingList*1.05)/-MeanNetChange,"#")," to ",TEXT((WaitingList-MaxWaitingList*0.95)/-MeanNetChange,"#")),"n/a") &amp; " Weeks")</f>
        <v>37 to 40 Weeks</v>
      </c>
      <c r="G86" s="399"/>
      <c r="H86" s="399"/>
      <c r="I86" s="399"/>
      <c r="J86" s="399"/>
      <c r="K86" s="399"/>
      <c r="L86" s="399"/>
      <c r="M86" s="399"/>
      <c r="N86" s="399"/>
      <c r="O86" s="399"/>
    </row>
    <row r="87" spans="1:16" s="89" customFormat="1" x14ac:dyDescent="0.25">
      <c r="B87" s="91"/>
      <c r="C87" s="91"/>
      <c r="D87" s="91"/>
      <c r="E87" s="77"/>
      <c r="G87" s="88"/>
      <c r="H87" s="88"/>
      <c r="I87" s="88"/>
      <c r="J87" s="88"/>
      <c r="K87" s="88"/>
      <c r="L87" s="88"/>
      <c r="M87" s="88"/>
      <c r="N87" s="88"/>
      <c r="O87" s="88"/>
    </row>
    <row r="88" spans="1:16" x14ac:dyDescent="0.25">
      <c r="A88" s="376" t="s">
        <v>81</v>
      </c>
      <c r="B88" s="377"/>
      <c r="C88" s="377"/>
      <c r="D88" s="377"/>
      <c r="E88" s="377"/>
      <c r="F88" s="377"/>
      <c r="G88" s="377"/>
      <c r="H88" s="377"/>
      <c r="I88" s="377"/>
      <c r="J88" s="377"/>
      <c r="K88" s="377"/>
      <c r="L88" s="377"/>
      <c r="M88" s="377"/>
      <c r="N88" s="377"/>
      <c r="O88" s="378"/>
      <c r="P88" s="73"/>
    </row>
    <row r="89" spans="1:16" x14ac:dyDescent="0.25">
      <c r="A89" s="85"/>
      <c r="B89" s="85"/>
      <c r="C89" s="85"/>
      <c r="D89" s="85"/>
      <c r="E89" s="85"/>
      <c r="F89" s="85"/>
      <c r="G89" s="85"/>
      <c r="H89" s="85"/>
      <c r="I89" s="85"/>
      <c r="J89" s="85"/>
      <c r="K89" s="85"/>
      <c r="L89" s="85"/>
      <c r="M89" s="85"/>
      <c r="N89" s="85"/>
      <c r="O89" s="85"/>
    </row>
    <row r="90" spans="1:16" ht="15" customHeight="1" x14ac:dyDescent="0.25">
      <c r="A90" s="396" t="s">
        <v>451</v>
      </c>
      <c r="B90" s="396"/>
      <c r="C90" s="396"/>
      <c r="D90" s="396"/>
      <c r="E90" s="396"/>
      <c r="F90" s="396"/>
      <c r="G90" s="396"/>
      <c r="H90" s="396"/>
      <c r="I90" s="396"/>
      <c r="J90" s="396"/>
      <c r="K90" s="396"/>
      <c r="L90" s="396"/>
      <c r="M90" s="396"/>
      <c r="N90" s="396"/>
      <c r="O90" s="396"/>
    </row>
    <row r="91" spans="1:16" x14ac:dyDescent="0.25">
      <c r="A91" s="396"/>
      <c r="B91" s="396"/>
      <c r="C91" s="396"/>
      <c r="D91" s="396"/>
      <c r="E91" s="396"/>
      <c r="F91" s="396"/>
      <c r="G91" s="396"/>
      <c r="H91" s="396"/>
      <c r="I91" s="396"/>
      <c r="J91" s="396"/>
      <c r="K91" s="396"/>
      <c r="L91" s="396"/>
      <c r="M91" s="396"/>
      <c r="N91" s="396"/>
      <c r="O91" s="396"/>
    </row>
    <row r="92" spans="1:16" x14ac:dyDescent="0.25">
      <c r="A92" s="396"/>
      <c r="B92" s="396"/>
      <c r="C92" s="396"/>
      <c r="D92" s="396"/>
      <c r="E92" s="396"/>
      <c r="F92" s="396"/>
      <c r="G92" s="396"/>
      <c r="H92" s="396"/>
      <c r="I92" s="396"/>
      <c r="J92" s="396"/>
      <c r="K92" s="396"/>
      <c r="L92" s="396"/>
      <c r="M92" s="396"/>
      <c r="N92" s="396"/>
      <c r="O92" s="396"/>
    </row>
    <row r="93" spans="1:16" x14ac:dyDescent="0.25">
      <c r="A93" s="396"/>
      <c r="B93" s="396"/>
      <c r="C93" s="396"/>
      <c r="D93" s="396"/>
      <c r="E93" s="396"/>
      <c r="F93" s="396"/>
      <c r="G93" s="396"/>
      <c r="H93" s="396"/>
      <c r="I93" s="396"/>
      <c r="J93" s="396"/>
      <c r="K93" s="396"/>
      <c r="L93" s="396"/>
      <c r="M93" s="396"/>
      <c r="N93" s="396"/>
      <c r="O93" s="396"/>
    </row>
    <row r="94" spans="1:16" s="73" customFormat="1" ht="23.25" customHeight="1" x14ac:dyDescent="0.25">
      <c r="A94" s="396"/>
      <c r="B94" s="396"/>
      <c r="C94" s="396"/>
      <c r="D94" s="396"/>
      <c r="E94" s="396"/>
      <c r="F94" s="396"/>
      <c r="G94" s="396"/>
      <c r="H94" s="396"/>
      <c r="I94" s="396"/>
      <c r="J94" s="396"/>
      <c r="K94" s="396"/>
      <c r="L94" s="396"/>
      <c r="M94" s="396"/>
      <c r="N94" s="396"/>
      <c r="O94" s="396"/>
      <c r="P94" s="33"/>
    </row>
    <row r="95" spans="1:16" x14ac:dyDescent="0.25">
      <c r="A95" s="396"/>
      <c r="B95" s="396"/>
      <c r="C95" s="396"/>
      <c r="D95" s="396"/>
      <c r="E95" s="396"/>
      <c r="F95" s="396"/>
      <c r="G95" s="396"/>
      <c r="H95" s="396"/>
      <c r="I95" s="396"/>
      <c r="J95" s="396"/>
      <c r="K95" s="396"/>
      <c r="L95" s="396"/>
      <c r="M95" s="396"/>
      <c r="N95" s="396"/>
      <c r="O95" s="396"/>
    </row>
    <row r="96" spans="1:16" ht="15" customHeight="1" x14ac:dyDescent="0.25"/>
  </sheetData>
  <sheetProtection password="CD36" sheet="1" objects="1" scenarios="1"/>
  <mergeCells count="59">
    <mergeCell ref="B36:D36"/>
    <mergeCell ref="B35:D35"/>
    <mergeCell ref="F35:O36"/>
    <mergeCell ref="B66:D66"/>
    <mergeCell ref="B64:E64"/>
    <mergeCell ref="A62:O62"/>
    <mergeCell ref="B67:D67"/>
    <mergeCell ref="A77:O77"/>
    <mergeCell ref="B70:D70"/>
    <mergeCell ref="B86:D86"/>
    <mergeCell ref="G79:O86"/>
    <mergeCell ref="B78:D78"/>
    <mergeCell ref="B82:D82"/>
    <mergeCell ref="B83:D83"/>
    <mergeCell ref="B84:D84"/>
    <mergeCell ref="A90:O95"/>
    <mergeCell ref="B85:D85"/>
    <mergeCell ref="F37:O37"/>
    <mergeCell ref="F38:O38"/>
    <mergeCell ref="B81:D81"/>
    <mergeCell ref="B80:D80"/>
    <mergeCell ref="B79:D79"/>
    <mergeCell ref="A48:H54"/>
    <mergeCell ref="A55:O60"/>
    <mergeCell ref="A40:H46"/>
    <mergeCell ref="B37:D37"/>
    <mergeCell ref="B38:D38"/>
    <mergeCell ref="B65:E65"/>
    <mergeCell ref="A72:I76"/>
    <mergeCell ref="B69:D69"/>
    <mergeCell ref="B68:E68"/>
    <mergeCell ref="B34:D34"/>
    <mergeCell ref="A31:O31"/>
    <mergeCell ref="G25:O29"/>
    <mergeCell ref="B25:D25"/>
    <mergeCell ref="B26:D26"/>
    <mergeCell ref="B27:D27"/>
    <mergeCell ref="B29:D29"/>
    <mergeCell ref="B18:D18"/>
    <mergeCell ref="B21:D21"/>
    <mergeCell ref="B33:D33"/>
    <mergeCell ref="B28:D28"/>
    <mergeCell ref="B17:E17"/>
    <mergeCell ref="A88:O88"/>
    <mergeCell ref="A2:O2"/>
    <mergeCell ref="A23:O23"/>
    <mergeCell ref="B7:D7"/>
    <mergeCell ref="B12:D12"/>
    <mergeCell ref="B8:D8"/>
    <mergeCell ref="B19:D19"/>
    <mergeCell ref="A3:O3"/>
    <mergeCell ref="B15:D15"/>
    <mergeCell ref="A5:O5"/>
    <mergeCell ref="B20:D20"/>
    <mergeCell ref="B9:D9"/>
    <mergeCell ref="B10:D10"/>
    <mergeCell ref="B11:D11"/>
    <mergeCell ref="B13:D13"/>
    <mergeCell ref="B14:D14"/>
  </mergeCells>
  <phoneticPr fontId="0" type="noConversion"/>
  <conditionalFormatting sqref="F37">
    <cfRule type="expression" dxfId="10" priority="9" stopIfTrue="1">
      <formula>$E$37-SUM(SlotsPerWeek,AdHocSlotsPerWeek)&gt;0</formula>
    </cfRule>
  </conditionalFormatting>
  <conditionalFormatting sqref="F38">
    <cfRule type="expression" dxfId="9" priority="8" stopIfTrue="1">
      <formula>$E$38-SUM(SlotsPerWeek,AdHocSlotsPerWeek)&gt;0</formula>
    </cfRule>
  </conditionalFormatting>
  <conditionalFormatting sqref="E8:E15 E18:E21 E29 E80 E82:E87 E34:E38">
    <cfRule type="containsErrors" dxfId="8" priority="3" stopIfTrue="1">
      <formula>ISERROR(E8)</formula>
    </cfRule>
  </conditionalFormatting>
  <conditionalFormatting sqref="F35:O36">
    <cfRule type="expression" dxfId="7" priority="2" stopIfTrue="1">
      <formula>RefsPerWeek+DNARebooked-SUM(SlotsPerWeek,AdHocSlotsPerWeek)&gt;0</formula>
    </cfRule>
  </conditionalFormatting>
  <printOptions horizontalCentered="1"/>
  <pageMargins left="0.39370078740157483" right="0.39370078740157483" top="0.59055118110236227" bottom="0.59055118110236227" header="0.19685039370078741" footer="0"/>
  <pageSetup paperSize="9" scale="94" fitToWidth="0" fitToHeight="0" orientation="landscape" errors="blank" r:id="rId1"/>
  <headerFooter>
    <oddHeader>&amp;R&amp;G</oddHeader>
  </headerFooter>
  <rowBreaks count="2" manualBreakCount="2">
    <brk id="30" max="14" man="1"/>
    <brk id="61" max="14" man="1"/>
  </rowBreaks>
  <drawing r:id="rId2"/>
  <legacyDrawingHF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2:BA73"/>
  <sheetViews>
    <sheetView showGridLines="0" showRowColHeaders="0" zoomScaleNormal="100" workbookViewId="0"/>
  </sheetViews>
  <sheetFormatPr defaultRowHeight="15" x14ac:dyDescent="0.25"/>
  <cols>
    <col min="15" max="15" width="12.42578125" customWidth="1"/>
  </cols>
  <sheetData>
    <row r="2" spans="1:15" ht="54" customHeight="1" x14ac:dyDescent="0.25">
      <c r="A2" s="408" t="str">
        <f>"Graphs - "&amp;ModelName</f>
        <v>Graphs - The IST IMAS First Outpatients Demand &amp; Capacity Model</v>
      </c>
      <c r="B2" s="409"/>
      <c r="C2" s="409"/>
      <c r="D2" s="409"/>
      <c r="E2" s="409"/>
      <c r="F2" s="409"/>
      <c r="G2" s="409"/>
      <c r="H2" s="409"/>
      <c r="I2" s="409"/>
      <c r="J2" s="409"/>
      <c r="K2" s="409"/>
      <c r="L2" s="409"/>
      <c r="M2" s="409"/>
      <c r="N2" s="409"/>
      <c r="O2" s="410"/>
    </row>
    <row r="3" spans="1:15" s="3" customFormat="1" ht="23.25" customHeight="1" x14ac:dyDescent="0.25">
      <c r="A3" s="411" t="s">
        <v>53</v>
      </c>
      <c r="B3" s="328"/>
      <c r="C3" s="328"/>
      <c r="D3" s="328"/>
      <c r="E3" s="328"/>
      <c r="F3" s="328"/>
      <c r="G3" s="328"/>
      <c r="H3" s="328"/>
      <c r="I3" s="328"/>
      <c r="J3" s="328"/>
      <c r="K3" s="328"/>
      <c r="L3" s="328"/>
      <c r="M3" s="328"/>
      <c r="N3" s="328"/>
      <c r="O3" s="412"/>
    </row>
    <row r="4" spans="1:15" s="45" customFormat="1" ht="15" customHeight="1" x14ac:dyDescent="0.25">
      <c r="A4" s="44"/>
      <c r="B4" s="44"/>
      <c r="C4" s="44"/>
      <c r="D4" s="44"/>
      <c r="E4" s="44"/>
      <c r="F4" s="44"/>
      <c r="G4" s="44"/>
      <c r="H4" s="44"/>
      <c r="I4" s="44"/>
      <c r="J4" s="44"/>
      <c r="K4" s="44"/>
      <c r="L4" s="44"/>
      <c r="M4" s="44"/>
      <c r="N4" s="44"/>
      <c r="O4" s="44"/>
    </row>
    <row r="5" spans="1:15" s="13" customFormat="1" ht="18" x14ac:dyDescent="0.25">
      <c r="A5" s="335" t="str">
        <f>Trust &amp; " - " &amp; Specialty</f>
        <v>5 Boroughs Partnership NHS Foundation Trust - Blood Transfusion</v>
      </c>
      <c r="B5" s="335"/>
      <c r="C5" s="335"/>
      <c r="D5" s="335"/>
      <c r="E5" s="335"/>
      <c r="F5" s="335"/>
      <c r="G5" s="335"/>
      <c r="H5" s="335"/>
      <c r="I5" s="335"/>
      <c r="J5" s="335"/>
      <c r="K5" s="335"/>
      <c r="L5" s="335"/>
      <c r="M5" s="335"/>
      <c r="N5" s="335"/>
      <c r="O5" s="335"/>
    </row>
    <row r="6" spans="1:15" s="13" customFormat="1" x14ac:dyDescent="0.25"/>
    <row r="7" spans="1:15" s="46" customFormat="1" x14ac:dyDescent="0.25">
      <c r="A7" s="13"/>
      <c r="B7" s="13"/>
      <c r="C7" s="13"/>
      <c r="D7" s="13"/>
      <c r="E7" s="13"/>
      <c r="F7" s="13"/>
      <c r="G7" s="13"/>
      <c r="H7" s="13"/>
      <c r="I7" s="13"/>
      <c r="J7" s="13"/>
      <c r="K7" s="13"/>
      <c r="L7" s="13"/>
      <c r="M7" s="13"/>
      <c r="N7" s="13"/>
      <c r="O7" s="13"/>
    </row>
    <row r="8" spans="1:15" s="46" customFormat="1" x14ac:dyDescent="0.25">
      <c r="A8" s="13"/>
      <c r="B8" s="413"/>
      <c r="C8" s="413"/>
      <c r="D8" s="413"/>
      <c r="E8" s="413"/>
      <c r="F8" s="413"/>
      <c r="G8" s="13"/>
      <c r="H8" s="13"/>
      <c r="I8" s="13"/>
      <c r="J8" s="13"/>
      <c r="K8" s="13"/>
      <c r="L8" s="13"/>
      <c r="M8" s="13"/>
      <c r="N8" s="13"/>
      <c r="O8" s="13"/>
    </row>
    <row r="9" spans="1:15" s="46" customFormat="1" x14ac:dyDescent="0.25">
      <c r="A9" s="13"/>
      <c r="B9" s="413"/>
      <c r="C9" s="413"/>
      <c r="D9" s="413"/>
      <c r="E9" s="413"/>
      <c r="F9" s="413"/>
      <c r="G9" s="13"/>
      <c r="H9" s="13"/>
      <c r="I9" s="13"/>
      <c r="J9" s="13"/>
      <c r="K9" s="13"/>
      <c r="L9" s="13"/>
      <c r="M9" s="13"/>
      <c r="N9" s="13"/>
      <c r="O9" s="13"/>
    </row>
    <row r="10" spans="1:15" s="46" customFormat="1" x14ac:dyDescent="0.25">
      <c r="A10" s="13"/>
      <c r="B10" s="413"/>
      <c r="C10" s="413"/>
      <c r="D10" s="413"/>
      <c r="E10" s="413"/>
      <c r="F10" s="413"/>
      <c r="G10" s="13"/>
      <c r="H10" s="13"/>
      <c r="I10" s="13"/>
      <c r="J10" s="13"/>
      <c r="K10" s="13"/>
      <c r="L10" s="13"/>
      <c r="M10" s="13"/>
      <c r="N10" s="13"/>
      <c r="O10" s="13"/>
    </row>
    <row r="11" spans="1:15" s="46" customFormat="1" x14ac:dyDescent="0.25">
      <c r="A11" s="13"/>
      <c r="B11" s="413"/>
      <c r="C11" s="413"/>
      <c r="D11" s="413"/>
      <c r="E11" s="413"/>
      <c r="F11" s="413"/>
      <c r="G11" s="13"/>
      <c r="H11" s="13"/>
      <c r="I11" s="13"/>
      <c r="J11" s="13"/>
      <c r="K11" s="13"/>
      <c r="L11" s="13"/>
      <c r="M11" s="13"/>
      <c r="N11" s="13"/>
      <c r="O11" s="13"/>
    </row>
    <row r="12" spans="1:15" s="13" customFormat="1" x14ac:dyDescent="0.25">
      <c r="B12" s="413"/>
      <c r="C12" s="413"/>
      <c r="D12" s="413"/>
      <c r="E12" s="413"/>
      <c r="F12" s="413"/>
    </row>
    <row r="13" spans="1:15" s="13" customFormat="1" x14ac:dyDescent="0.25">
      <c r="B13" s="413"/>
      <c r="C13" s="413"/>
      <c r="D13" s="413"/>
      <c r="E13" s="413"/>
      <c r="F13" s="413"/>
    </row>
    <row r="14" spans="1:15" s="13" customFormat="1" x14ac:dyDescent="0.25">
      <c r="B14" s="413"/>
      <c r="C14" s="413"/>
      <c r="D14" s="413"/>
      <c r="E14" s="413"/>
      <c r="F14" s="413"/>
    </row>
    <row r="15" spans="1:15" s="13" customFormat="1" x14ac:dyDescent="0.25">
      <c r="B15" s="413"/>
      <c r="C15" s="413"/>
      <c r="D15" s="413"/>
      <c r="E15" s="413"/>
      <c r="F15" s="413"/>
    </row>
    <row r="16" spans="1:15" s="13" customFormat="1" x14ac:dyDescent="0.25">
      <c r="B16" s="413"/>
      <c r="C16" s="413"/>
      <c r="D16" s="413"/>
      <c r="E16" s="413"/>
      <c r="F16" s="413"/>
    </row>
    <row r="17" spans="1:53" s="13" customFormat="1" x14ac:dyDescent="0.25">
      <c r="B17" s="413"/>
      <c r="C17" s="413"/>
      <c r="D17" s="413"/>
      <c r="E17" s="413"/>
      <c r="F17" s="413"/>
    </row>
    <row r="18" spans="1:53" s="13" customFormat="1" x14ac:dyDescent="0.25">
      <c r="B18" s="413"/>
      <c r="C18" s="413"/>
      <c r="D18" s="413"/>
      <c r="E18" s="413"/>
      <c r="F18" s="413"/>
    </row>
    <row r="19" spans="1:53" s="13" customFormat="1" x14ac:dyDescent="0.25">
      <c r="B19" s="413"/>
      <c r="C19" s="413"/>
      <c r="D19" s="413"/>
      <c r="E19" s="413"/>
      <c r="F19" s="413"/>
    </row>
    <row r="20" spans="1:53" s="13" customFormat="1" x14ac:dyDescent="0.25"/>
    <row r="21" spans="1:53" s="70" customFormat="1" x14ac:dyDescent="0.25"/>
    <row r="22" spans="1:53" s="70" customFormat="1" x14ac:dyDescent="0.25"/>
    <row r="23" spans="1:53" s="70" customFormat="1" x14ac:dyDescent="0.25"/>
    <row r="24" spans="1:53" s="69" customFormat="1" ht="15" customHeight="1" x14ac:dyDescent="0.25">
      <c r="B24" s="93"/>
      <c r="C24" s="93"/>
      <c r="D24" s="93"/>
      <c r="E24" s="93"/>
      <c r="F24" s="93"/>
      <c r="G24" s="93"/>
      <c r="H24" s="93"/>
      <c r="I24" s="93"/>
      <c r="J24" s="93"/>
      <c r="K24" s="93"/>
      <c r="L24" s="93"/>
      <c r="M24" s="93"/>
      <c r="N24" s="93"/>
      <c r="O24" s="93"/>
      <c r="P24" s="93"/>
    </row>
    <row r="25" spans="1:53" s="69" customFormat="1" ht="15" customHeight="1" x14ac:dyDescent="0.25">
      <c r="B25" s="93"/>
      <c r="C25" s="93"/>
      <c r="D25" s="93"/>
      <c r="E25" s="93"/>
      <c r="F25" s="93"/>
      <c r="G25" s="93"/>
      <c r="H25" s="93"/>
      <c r="I25" s="93"/>
      <c r="J25" s="93"/>
      <c r="K25" s="93"/>
      <c r="L25" s="93"/>
      <c r="M25" s="93"/>
      <c r="N25" s="93"/>
      <c r="O25" s="93"/>
      <c r="P25" s="93"/>
    </row>
    <row r="26" spans="1:53" s="69" customFormat="1" ht="15" customHeight="1" x14ac:dyDescent="0.25">
      <c r="A26" s="94"/>
      <c r="B26" s="93"/>
      <c r="C26" s="93"/>
      <c r="D26" s="93"/>
      <c r="E26" s="93"/>
      <c r="F26" s="93"/>
      <c r="G26" s="93"/>
      <c r="H26" s="93"/>
      <c r="I26" s="93"/>
      <c r="J26" s="93"/>
      <c r="K26" s="93"/>
      <c r="L26" s="93"/>
      <c r="M26" s="93"/>
      <c r="N26" s="93"/>
      <c r="O26" s="93"/>
      <c r="P26" s="93"/>
    </row>
    <row r="27" spans="1:53" s="96" customFormat="1" x14ac:dyDescent="0.25">
      <c r="A27" s="95"/>
      <c r="B27" s="93"/>
      <c r="C27" s="93"/>
      <c r="D27" s="93"/>
      <c r="E27" s="93"/>
      <c r="F27" s="93"/>
      <c r="G27" s="93"/>
      <c r="H27" s="93"/>
      <c r="I27" s="93"/>
      <c r="J27" s="93"/>
      <c r="K27" s="93"/>
      <c r="L27" s="93"/>
      <c r="M27" s="93"/>
      <c r="N27" s="93"/>
      <c r="O27" s="93"/>
      <c r="P27" s="93"/>
      <c r="Q27" s="69"/>
      <c r="R27" s="69"/>
      <c r="S27" s="69"/>
      <c r="T27" s="69"/>
      <c r="U27" s="69"/>
      <c r="V27" s="69"/>
      <c r="W27" s="69"/>
      <c r="X27" s="69"/>
      <c r="Y27" s="69"/>
      <c r="Z27" s="69"/>
      <c r="AA27" s="69"/>
      <c r="AB27" s="69"/>
      <c r="AC27" s="69"/>
      <c r="AD27" s="69"/>
      <c r="AE27" s="69"/>
      <c r="AF27" s="69"/>
      <c r="AG27" s="69"/>
      <c r="AH27" s="69"/>
      <c r="AI27" s="69"/>
      <c r="AJ27" s="69"/>
      <c r="AK27" s="69"/>
      <c r="AL27" s="69"/>
      <c r="AM27" s="69"/>
      <c r="AN27" s="69"/>
      <c r="AO27" s="69"/>
      <c r="AP27" s="69"/>
      <c r="AQ27" s="69"/>
      <c r="AR27" s="69"/>
      <c r="AS27" s="69"/>
      <c r="AT27" s="69"/>
      <c r="AU27" s="69"/>
      <c r="AV27" s="69"/>
      <c r="AW27" s="69"/>
      <c r="AX27" s="69"/>
      <c r="AY27" s="69"/>
      <c r="AZ27" s="69"/>
      <c r="BA27" s="69"/>
    </row>
    <row r="28" spans="1:53" s="70" customFormat="1" ht="15" customHeight="1" x14ac:dyDescent="0.25">
      <c r="A28" s="97"/>
    </row>
    <row r="29" spans="1:53" s="70" customFormat="1" x14ac:dyDescent="0.25"/>
    <row r="30" spans="1:53" s="13" customFormat="1" x14ac:dyDescent="0.25">
      <c r="B30" s="105">
        <f t="shared" ref="B30:AG30" si="0">SlotsPerWeek</f>
        <v>201</v>
      </c>
      <c r="C30" s="105">
        <f t="shared" si="0"/>
        <v>201</v>
      </c>
      <c r="D30" s="105">
        <f t="shared" si="0"/>
        <v>201</v>
      </c>
      <c r="E30" s="105">
        <f t="shared" si="0"/>
        <v>201</v>
      </c>
      <c r="F30" s="105">
        <f t="shared" si="0"/>
        <v>201</v>
      </c>
      <c r="G30" s="105">
        <f t="shared" si="0"/>
        <v>201</v>
      </c>
      <c r="H30" s="105">
        <f t="shared" si="0"/>
        <v>201</v>
      </c>
      <c r="I30" s="105">
        <f t="shared" si="0"/>
        <v>201</v>
      </c>
      <c r="J30" s="105">
        <f t="shared" si="0"/>
        <v>201</v>
      </c>
      <c r="K30" s="105">
        <f t="shared" si="0"/>
        <v>201</v>
      </c>
      <c r="L30" s="105">
        <f t="shared" si="0"/>
        <v>201</v>
      </c>
      <c r="M30" s="105">
        <f t="shared" si="0"/>
        <v>201</v>
      </c>
      <c r="N30" s="105">
        <f t="shared" si="0"/>
        <v>201</v>
      </c>
      <c r="O30" s="105">
        <f t="shared" si="0"/>
        <v>201</v>
      </c>
      <c r="P30" s="105">
        <f t="shared" si="0"/>
        <v>201</v>
      </c>
      <c r="Q30" s="105">
        <f t="shared" si="0"/>
        <v>201</v>
      </c>
      <c r="R30" s="105">
        <f t="shared" si="0"/>
        <v>201</v>
      </c>
      <c r="S30" s="105">
        <f t="shared" si="0"/>
        <v>201</v>
      </c>
      <c r="T30" s="105">
        <f t="shared" si="0"/>
        <v>201</v>
      </c>
      <c r="U30" s="105">
        <f t="shared" si="0"/>
        <v>201</v>
      </c>
      <c r="V30" s="105">
        <f t="shared" si="0"/>
        <v>201</v>
      </c>
      <c r="W30" s="105">
        <f t="shared" si="0"/>
        <v>201</v>
      </c>
      <c r="X30" s="105">
        <f t="shared" si="0"/>
        <v>201</v>
      </c>
      <c r="Y30" s="105">
        <f t="shared" si="0"/>
        <v>201</v>
      </c>
      <c r="Z30" s="105">
        <f t="shared" si="0"/>
        <v>201</v>
      </c>
      <c r="AA30" s="105">
        <f t="shared" si="0"/>
        <v>201</v>
      </c>
      <c r="AB30" s="105">
        <f t="shared" si="0"/>
        <v>201</v>
      </c>
      <c r="AC30" s="105">
        <f t="shared" si="0"/>
        <v>201</v>
      </c>
      <c r="AD30" s="105">
        <f t="shared" si="0"/>
        <v>201</v>
      </c>
      <c r="AE30" s="105">
        <f t="shared" si="0"/>
        <v>201</v>
      </c>
      <c r="AF30" s="105">
        <f t="shared" si="0"/>
        <v>201</v>
      </c>
      <c r="AG30" s="105">
        <f t="shared" si="0"/>
        <v>201</v>
      </c>
      <c r="AH30" s="105">
        <f t="shared" ref="AH30:BA30" si="1">SlotsPerWeek</f>
        <v>201</v>
      </c>
      <c r="AI30" s="105">
        <f t="shared" si="1"/>
        <v>201</v>
      </c>
      <c r="AJ30" s="105">
        <f t="shared" si="1"/>
        <v>201</v>
      </c>
      <c r="AK30" s="105">
        <f t="shared" si="1"/>
        <v>201</v>
      </c>
      <c r="AL30" s="105">
        <f t="shared" si="1"/>
        <v>201</v>
      </c>
      <c r="AM30" s="105">
        <f t="shared" si="1"/>
        <v>201</v>
      </c>
      <c r="AN30" s="105">
        <f t="shared" si="1"/>
        <v>201</v>
      </c>
      <c r="AO30" s="105">
        <f t="shared" si="1"/>
        <v>201</v>
      </c>
      <c r="AP30" s="105">
        <f t="shared" si="1"/>
        <v>201</v>
      </c>
      <c r="AQ30" s="105">
        <f t="shared" si="1"/>
        <v>201</v>
      </c>
      <c r="AR30" s="105">
        <f t="shared" si="1"/>
        <v>201</v>
      </c>
      <c r="AS30" s="105">
        <f t="shared" si="1"/>
        <v>201</v>
      </c>
      <c r="AT30" s="105">
        <f t="shared" si="1"/>
        <v>201</v>
      </c>
      <c r="AU30" s="105">
        <f t="shared" si="1"/>
        <v>201</v>
      </c>
      <c r="AV30" s="105">
        <f t="shared" si="1"/>
        <v>201</v>
      </c>
      <c r="AW30" s="105">
        <f t="shared" si="1"/>
        <v>201</v>
      </c>
      <c r="AX30" s="105">
        <f t="shared" si="1"/>
        <v>201</v>
      </c>
      <c r="AY30" s="105">
        <f t="shared" si="1"/>
        <v>201</v>
      </c>
      <c r="AZ30" s="105">
        <f t="shared" si="1"/>
        <v>201</v>
      </c>
      <c r="BA30" s="105">
        <f t="shared" si="1"/>
        <v>201</v>
      </c>
    </row>
    <row r="31" spans="1:53" s="13" customFormat="1" x14ac:dyDescent="0.25">
      <c r="B31" s="105">
        <f t="shared" ref="B31:AG31" si="2">AdHocSlotsPerWeek</f>
        <v>32</v>
      </c>
      <c r="C31" s="105">
        <f t="shared" si="2"/>
        <v>32</v>
      </c>
      <c r="D31" s="105">
        <f t="shared" si="2"/>
        <v>32</v>
      </c>
      <c r="E31" s="105">
        <f t="shared" si="2"/>
        <v>32</v>
      </c>
      <c r="F31" s="105">
        <f t="shared" si="2"/>
        <v>32</v>
      </c>
      <c r="G31" s="105">
        <f t="shared" si="2"/>
        <v>32</v>
      </c>
      <c r="H31" s="105">
        <f t="shared" si="2"/>
        <v>32</v>
      </c>
      <c r="I31" s="105">
        <f t="shared" si="2"/>
        <v>32</v>
      </c>
      <c r="J31" s="105">
        <f t="shared" si="2"/>
        <v>32</v>
      </c>
      <c r="K31" s="105">
        <f t="shared" si="2"/>
        <v>32</v>
      </c>
      <c r="L31" s="105">
        <f t="shared" si="2"/>
        <v>32</v>
      </c>
      <c r="M31" s="105">
        <f t="shared" si="2"/>
        <v>32</v>
      </c>
      <c r="N31" s="105">
        <f t="shared" si="2"/>
        <v>32</v>
      </c>
      <c r="O31" s="105">
        <f t="shared" si="2"/>
        <v>32</v>
      </c>
      <c r="P31" s="105">
        <f t="shared" si="2"/>
        <v>32</v>
      </c>
      <c r="Q31" s="105">
        <f t="shared" si="2"/>
        <v>32</v>
      </c>
      <c r="R31" s="105">
        <f t="shared" si="2"/>
        <v>32</v>
      </c>
      <c r="S31" s="105">
        <f t="shared" si="2"/>
        <v>32</v>
      </c>
      <c r="T31" s="105">
        <f t="shared" si="2"/>
        <v>32</v>
      </c>
      <c r="U31" s="105">
        <f t="shared" si="2"/>
        <v>32</v>
      </c>
      <c r="V31" s="105">
        <f t="shared" si="2"/>
        <v>32</v>
      </c>
      <c r="W31" s="105">
        <f t="shared" si="2"/>
        <v>32</v>
      </c>
      <c r="X31" s="105">
        <f t="shared" si="2"/>
        <v>32</v>
      </c>
      <c r="Y31" s="105">
        <f t="shared" si="2"/>
        <v>32</v>
      </c>
      <c r="Z31" s="105">
        <f t="shared" si="2"/>
        <v>32</v>
      </c>
      <c r="AA31" s="105">
        <f t="shared" si="2"/>
        <v>32</v>
      </c>
      <c r="AB31" s="105">
        <f t="shared" si="2"/>
        <v>32</v>
      </c>
      <c r="AC31" s="105">
        <f t="shared" si="2"/>
        <v>32</v>
      </c>
      <c r="AD31" s="105">
        <f t="shared" si="2"/>
        <v>32</v>
      </c>
      <c r="AE31" s="105">
        <f t="shared" si="2"/>
        <v>32</v>
      </c>
      <c r="AF31" s="105">
        <f t="shared" si="2"/>
        <v>32</v>
      </c>
      <c r="AG31" s="105">
        <f t="shared" si="2"/>
        <v>32</v>
      </c>
      <c r="AH31" s="105">
        <f t="shared" ref="AH31:BA31" si="3">AdHocSlotsPerWeek</f>
        <v>32</v>
      </c>
      <c r="AI31" s="105">
        <f t="shared" si="3"/>
        <v>32</v>
      </c>
      <c r="AJ31" s="105">
        <f t="shared" si="3"/>
        <v>32</v>
      </c>
      <c r="AK31" s="105">
        <f t="shared" si="3"/>
        <v>32</v>
      </c>
      <c r="AL31" s="105">
        <f t="shared" si="3"/>
        <v>32</v>
      </c>
      <c r="AM31" s="105">
        <f t="shared" si="3"/>
        <v>32</v>
      </c>
      <c r="AN31" s="105">
        <f t="shared" si="3"/>
        <v>32</v>
      </c>
      <c r="AO31" s="105">
        <f t="shared" si="3"/>
        <v>32</v>
      </c>
      <c r="AP31" s="105">
        <f t="shared" si="3"/>
        <v>32</v>
      </c>
      <c r="AQ31" s="105">
        <f t="shared" si="3"/>
        <v>32</v>
      </c>
      <c r="AR31" s="105">
        <f t="shared" si="3"/>
        <v>32</v>
      </c>
      <c r="AS31" s="105">
        <f t="shared" si="3"/>
        <v>32</v>
      </c>
      <c r="AT31" s="105">
        <f t="shared" si="3"/>
        <v>32</v>
      </c>
      <c r="AU31" s="105">
        <f t="shared" si="3"/>
        <v>32</v>
      </c>
      <c r="AV31" s="105">
        <f t="shared" si="3"/>
        <v>32</v>
      </c>
      <c r="AW31" s="105">
        <f t="shared" si="3"/>
        <v>32</v>
      </c>
      <c r="AX31" s="105">
        <f t="shared" si="3"/>
        <v>32</v>
      </c>
      <c r="AY31" s="105">
        <f t="shared" si="3"/>
        <v>32</v>
      </c>
      <c r="AZ31" s="105">
        <f t="shared" si="3"/>
        <v>32</v>
      </c>
      <c r="BA31" s="105">
        <f t="shared" si="3"/>
        <v>32</v>
      </c>
    </row>
    <row r="32" spans="1:53" s="13" customFormat="1" x14ac:dyDescent="0.25"/>
    <row r="33" spans="2:6" s="13" customFormat="1" x14ac:dyDescent="0.25">
      <c r="B33" s="413" t="s">
        <v>289</v>
      </c>
      <c r="C33" s="413"/>
      <c r="D33" s="413"/>
      <c r="E33" s="413"/>
      <c r="F33" s="413"/>
    </row>
    <row r="34" spans="2:6" s="13" customFormat="1" x14ac:dyDescent="0.25">
      <c r="B34" s="413"/>
      <c r="C34" s="413"/>
      <c r="D34" s="413"/>
      <c r="E34" s="413"/>
      <c r="F34" s="413"/>
    </row>
    <row r="35" spans="2:6" s="13" customFormat="1" x14ac:dyDescent="0.25">
      <c r="B35" s="413"/>
      <c r="C35" s="413"/>
      <c r="D35" s="413"/>
      <c r="E35" s="413"/>
      <c r="F35" s="413"/>
    </row>
    <row r="36" spans="2:6" s="13" customFormat="1" x14ac:dyDescent="0.25">
      <c r="B36" s="413"/>
      <c r="C36" s="413"/>
      <c r="D36" s="413"/>
      <c r="E36" s="413"/>
      <c r="F36" s="413"/>
    </row>
    <row r="37" spans="2:6" s="13" customFormat="1" x14ac:dyDescent="0.25">
      <c r="B37" s="413"/>
      <c r="C37" s="413"/>
      <c r="D37" s="413"/>
      <c r="E37" s="413"/>
      <c r="F37" s="413"/>
    </row>
    <row r="38" spans="2:6" s="13" customFormat="1" x14ac:dyDescent="0.25">
      <c r="B38" s="413"/>
      <c r="C38" s="413"/>
      <c r="D38" s="413"/>
      <c r="E38" s="413"/>
      <c r="F38" s="413"/>
    </row>
    <row r="39" spans="2:6" s="13" customFormat="1" x14ac:dyDescent="0.25">
      <c r="B39" s="413"/>
      <c r="C39" s="413"/>
      <c r="D39" s="413"/>
      <c r="E39" s="413"/>
      <c r="F39" s="413"/>
    </row>
    <row r="40" spans="2:6" s="13" customFormat="1" x14ac:dyDescent="0.25">
      <c r="B40" s="413"/>
      <c r="C40" s="413"/>
      <c r="D40" s="413"/>
      <c r="E40" s="413"/>
      <c r="F40" s="413"/>
    </row>
    <row r="41" spans="2:6" s="13" customFormat="1" x14ac:dyDescent="0.25">
      <c r="B41" s="413"/>
      <c r="C41" s="413"/>
      <c r="D41" s="413"/>
      <c r="E41" s="413"/>
      <c r="F41" s="413"/>
    </row>
    <row r="42" spans="2:6" s="13" customFormat="1" x14ac:dyDescent="0.25">
      <c r="B42" s="413"/>
      <c r="C42" s="413"/>
      <c r="D42" s="413"/>
      <c r="E42" s="413"/>
      <c r="F42" s="413"/>
    </row>
    <row r="43" spans="2:6" s="13" customFormat="1" x14ac:dyDescent="0.25">
      <c r="B43" s="413"/>
      <c r="C43" s="413"/>
      <c r="D43" s="413"/>
      <c r="E43" s="413"/>
      <c r="F43" s="413"/>
    </row>
    <row r="44" spans="2:6" s="13" customFormat="1" x14ac:dyDescent="0.25">
      <c r="B44" s="413"/>
      <c r="C44" s="413"/>
      <c r="D44" s="413"/>
      <c r="E44" s="413"/>
      <c r="F44" s="413"/>
    </row>
    <row r="45" spans="2:6" s="13" customFormat="1" x14ac:dyDescent="0.25"/>
    <row r="46" spans="2:6" s="13" customFormat="1" x14ac:dyDescent="0.25"/>
    <row r="47" spans="2:6" s="13" customFormat="1" x14ac:dyDescent="0.25"/>
    <row r="48" spans="2:6" s="13" customFormat="1" x14ac:dyDescent="0.25"/>
    <row r="49" s="13" customFormat="1" x14ac:dyDescent="0.25"/>
    <row r="50" s="13" customFormat="1" x14ac:dyDescent="0.25"/>
    <row r="51" s="13" customFormat="1" x14ac:dyDescent="0.25"/>
    <row r="52" s="13" customFormat="1" x14ac:dyDescent="0.25"/>
    <row r="53" s="13" customFormat="1" x14ac:dyDescent="0.25"/>
    <row r="54" s="13" customFormat="1" x14ac:dyDescent="0.25"/>
    <row r="55" s="13" customFormat="1" x14ac:dyDescent="0.25"/>
    <row r="56" s="13" customFormat="1" x14ac:dyDescent="0.25"/>
    <row r="57" s="13" customFormat="1" x14ac:dyDescent="0.25"/>
    <row r="58" s="13" customFormat="1" x14ac:dyDescent="0.25"/>
    <row r="59" s="13" customFormat="1" x14ac:dyDescent="0.25"/>
    <row r="60" s="13" customFormat="1" x14ac:dyDescent="0.25"/>
    <row r="61" s="13" customFormat="1" x14ac:dyDescent="0.25"/>
    <row r="62" s="13" customFormat="1" x14ac:dyDescent="0.25"/>
    <row r="63" s="13" customFormat="1" x14ac:dyDescent="0.25"/>
    <row r="64" s="13" customFormat="1" x14ac:dyDescent="0.25"/>
    <row r="65" s="13" customFormat="1" x14ac:dyDescent="0.25"/>
    <row r="66" s="13" customFormat="1" x14ac:dyDescent="0.25"/>
    <row r="67" s="13" customFormat="1" x14ac:dyDescent="0.25"/>
    <row r="68" s="13" customFormat="1" x14ac:dyDescent="0.25"/>
    <row r="69" s="13" customFormat="1" x14ac:dyDescent="0.25"/>
    <row r="70" s="13" customFormat="1" x14ac:dyDescent="0.25"/>
    <row r="71" s="13" customFormat="1" x14ac:dyDescent="0.25"/>
    <row r="72" s="13" customFormat="1" x14ac:dyDescent="0.25"/>
    <row r="73" s="13" customFormat="1" x14ac:dyDescent="0.25"/>
  </sheetData>
  <sheetProtection password="CD36" sheet="1" objects="1" scenarios="1" selectLockedCells="1" selectUnlockedCells="1"/>
  <mergeCells count="5">
    <mergeCell ref="A2:O2"/>
    <mergeCell ref="A3:O3"/>
    <mergeCell ref="B8:F19"/>
    <mergeCell ref="A5:O5"/>
    <mergeCell ref="B33:F44"/>
  </mergeCells>
  <phoneticPr fontId="0" type="noConversion"/>
  <pageMargins left="0.39370078740157483" right="0.39370078740157483" top="0.59055118110236215" bottom="0.59055118110236215" header="0.19685039370078741" footer="0"/>
  <pageSetup paperSize="9" scale="99" fitToWidth="0" fitToHeight="0" orientation="landscape" errors="blank" r:id="rId1"/>
  <headerFooter>
    <oddHeader>&amp;R&amp;G</oddHeader>
  </headerFooter>
  <rowBreaks count="2" manualBreakCount="2">
    <brk id="25" max="14" man="1"/>
    <brk id="50" max="14" man="1"/>
  </rowBreaks>
  <drawing r:id="rId2"/>
  <legacyDrawingHF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2:S44"/>
  <sheetViews>
    <sheetView showGridLines="0" showRowColHeaders="0" zoomScaleNormal="100" workbookViewId="0">
      <selection activeCell="A4" sqref="A4"/>
    </sheetView>
  </sheetViews>
  <sheetFormatPr defaultRowHeight="15" x14ac:dyDescent="0.25"/>
  <cols>
    <col min="1" max="1" width="6.140625" customWidth="1"/>
    <col min="2" max="2" width="13.7109375" customWidth="1"/>
    <col min="3" max="6" width="14.7109375" customWidth="1"/>
    <col min="7" max="7" width="7.140625" customWidth="1"/>
    <col min="8" max="8" width="8.28515625" customWidth="1"/>
    <col min="9" max="9" width="13.42578125" customWidth="1"/>
    <col min="10" max="10" width="2" customWidth="1"/>
    <col min="11" max="11" width="7.140625" customWidth="1"/>
    <col min="12" max="12" width="8.28515625" customWidth="1"/>
    <col min="13" max="13" width="5.140625" customWidth="1"/>
    <col min="14" max="14" width="10.28515625" customWidth="1"/>
  </cols>
  <sheetData>
    <row r="2" spans="1:19" ht="54" customHeight="1" x14ac:dyDescent="0.25">
      <c r="A2" s="298" t="str">
        <f>"Calculations - "&amp;ModelName</f>
        <v>Calculations - The IST IMAS First Outpatients Demand &amp; Capacity Model</v>
      </c>
      <c r="B2" s="299"/>
      <c r="C2" s="299"/>
      <c r="D2" s="299"/>
      <c r="E2" s="299"/>
      <c r="F2" s="299"/>
      <c r="G2" s="299"/>
      <c r="H2" s="299"/>
      <c r="I2" s="299"/>
      <c r="J2" s="299"/>
      <c r="K2" s="299"/>
      <c r="L2" s="299"/>
      <c r="M2" s="299"/>
      <c r="N2" s="300"/>
    </row>
    <row r="3" spans="1:19" s="3" customFormat="1" ht="23.25" customHeight="1" x14ac:dyDescent="0.25">
      <c r="A3" s="323" t="str">
        <f>"Calculating Your Maximum Waiting List Dimensions"&amp;IF(Split&gt;0," (Based on split at week "&amp;Split&amp;")","")</f>
        <v>Calculating Your Maximum Waiting List Dimensions (Based on split at week 34)</v>
      </c>
      <c r="B3" s="324"/>
      <c r="C3" s="324"/>
      <c r="D3" s="324"/>
      <c r="E3" s="324"/>
      <c r="F3" s="324"/>
      <c r="G3" s="324"/>
      <c r="H3" s="324"/>
      <c r="I3" s="324"/>
      <c r="J3" s="324"/>
      <c r="K3" s="324"/>
      <c r="L3" s="324"/>
      <c r="M3" s="324"/>
      <c r="N3" s="325"/>
    </row>
    <row r="4" spans="1:19" x14ac:dyDescent="0.25">
      <c r="A4" s="18"/>
      <c r="H4" s="13"/>
      <c r="I4" s="13"/>
      <c r="J4" s="13"/>
      <c r="K4" s="13"/>
      <c r="L4" s="13"/>
      <c r="M4" s="13"/>
      <c r="N4" s="13"/>
    </row>
    <row r="5" spans="1:19" ht="18" x14ac:dyDescent="0.25">
      <c r="A5" s="335" t="str">
        <f>Trust &amp; " - " &amp; Specialty</f>
        <v>5 Boroughs Partnership NHS Foundation Trust - Blood Transfusion</v>
      </c>
      <c r="B5" s="335"/>
      <c r="C5" s="335"/>
      <c r="D5" s="335"/>
      <c r="E5" s="335"/>
      <c r="F5" s="335"/>
      <c r="G5" s="335"/>
      <c r="H5" s="335"/>
      <c r="I5" s="335"/>
      <c r="J5" s="335"/>
      <c r="K5" s="335"/>
      <c r="L5" s="335"/>
      <c r="M5" s="335"/>
      <c r="N5" s="335"/>
      <c r="O5" s="32"/>
    </row>
    <row r="6" spans="1:19" ht="15.75" thickBot="1" x14ac:dyDescent="0.3">
      <c r="A6" s="18"/>
      <c r="H6" s="13"/>
      <c r="I6" s="13"/>
      <c r="J6" s="13"/>
      <c r="K6" s="13"/>
      <c r="L6" s="13"/>
      <c r="M6" s="13"/>
      <c r="N6" s="13"/>
    </row>
    <row r="7" spans="1:19" s="3" customFormat="1" ht="36.75" customHeight="1" x14ac:dyDescent="0.25">
      <c r="B7" s="10"/>
      <c r="C7" s="10"/>
      <c r="D7" s="225" t="str">
        <f>" Per Week"&amp;IF(Split&gt;0,", based on split at week "&amp;Split,"")</f>
        <v xml:space="preserve"> Per Week, based on split at week 34</v>
      </c>
      <c r="E7" s="223"/>
      <c r="F7" s="306" t="s">
        <v>441</v>
      </c>
      <c r="G7" s="308"/>
      <c r="I7" s="306" t="s">
        <v>442</v>
      </c>
      <c r="J7" s="307"/>
      <c r="K7" s="308"/>
    </row>
    <row r="8" spans="1:19" x14ac:dyDescent="0.25">
      <c r="B8" s="11" t="s">
        <v>39</v>
      </c>
      <c r="C8" s="12"/>
      <c r="D8" s="226">
        <f ca="1">RefsPerWeek</f>
        <v>188.78947368421052</v>
      </c>
      <c r="E8" s="17"/>
      <c r="F8" s="309"/>
      <c r="G8" s="311"/>
      <c r="I8" s="309"/>
      <c r="J8" s="310"/>
      <c r="K8" s="311"/>
    </row>
    <row r="9" spans="1:19" ht="15.75" thickBot="1" x14ac:dyDescent="0.3">
      <c r="B9" s="36" t="s">
        <v>443</v>
      </c>
      <c r="C9" s="12"/>
      <c r="D9" s="226">
        <f ca="1">RefsPerWeekUrgent</f>
        <v>18.878947368421052</v>
      </c>
      <c r="E9" s="17"/>
      <c r="F9" s="423">
        <v>1</v>
      </c>
      <c r="G9" s="424"/>
      <c r="I9" s="425">
        <f>TargetUrgent</f>
        <v>2</v>
      </c>
      <c r="J9" s="426"/>
      <c r="K9" s="427"/>
    </row>
    <row r="10" spans="1:19" ht="15.75" thickBot="1" x14ac:dyDescent="0.3">
      <c r="B10" s="36" t="s">
        <v>414</v>
      </c>
      <c r="C10" s="12"/>
      <c r="D10" s="226">
        <f ca="1">RefsPerWeekRoutine</f>
        <v>169.91052631578947</v>
      </c>
      <c r="E10" s="17"/>
      <c r="F10" s="17"/>
      <c r="G10" s="26"/>
      <c r="H10" s="27"/>
      <c r="I10" s="27"/>
      <c r="J10" s="28"/>
      <c r="K10" s="29"/>
      <c r="L10" s="30"/>
      <c r="M10" s="31"/>
    </row>
    <row r="11" spans="1:19" x14ac:dyDescent="0.25">
      <c r="B11" s="11" t="s">
        <v>29</v>
      </c>
      <c r="C11" s="12"/>
      <c r="D11" s="226">
        <f ca="1">DNADischarged</f>
        <v>3.0583894736842101</v>
      </c>
      <c r="E11" s="224"/>
      <c r="F11" s="306" t="s">
        <v>416</v>
      </c>
      <c r="G11" s="308"/>
      <c r="H11" s="3"/>
      <c r="I11" s="306" t="s">
        <v>415</v>
      </c>
      <c r="J11" s="307"/>
      <c r="K11" s="308"/>
    </row>
    <row r="12" spans="1:19" x14ac:dyDescent="0.25">
      <c r="B12" s="11" t="s">
        <v>30</v>
      </c>
      <c r="C12" s="12"/>
      <c r="D12" s="226">
        <f ca="1">DNARebooked</f>
        <v>7.1362421052631566</v>
      </c>
      <c r="E12" s="224"/>
      <c r="F12" s="309"/>
      <c r="G12" s="311"/>
      <c r="I12" s="309"/>
      <c r="J12" s="310"/>
      <c r="K12" s="311"/>
    </row>
    <row r="13" spans="1:19" ht="15.75" thickBot="1" x14ac:dyDescent="0.3">
      <c r="B13" s="11" t="s">
        <v>42</v>
      </c>
      <c r="C13" s="12"/>
      <c r="D13" s="227" t="str">
        <f>BookingPeriod &amp; " weeks"</f>
        <v>8 weeks</v>
      </c>
      <c r="E13" s="224"/>
      <c r="F13" s="423">
        <f>MinWait</f>
        <v>2</v>
      </c>
      <c r="G13" s="424"/>
      <c r="I13" s="425">
        <f>MaxWait</f>
        <v>9</v>
      </c>
      <c r="J13" s="426"/>
      <c r="K13" s="427"/>
    </row>
    <row r="14" spans="1:19" x14ac:dyDescent="0.25">
      <c r="H14" s="14"/>
    </row>
    <row r="15" spans="1:19" ht="27.75" customHeight="1" x14ac:dyDescent="0.25">
      <c r="A15" s="235" t="s">
        <v>31</v>
      </c>
      <c r="B15" s="235" t="s">
        <v>54</v>
      </c>
      <c r="C15" s="235" t="s">
        <v>37</v>
      </c>
      <c r="D15" s="235" t="s">
        <v>28</v>
      </c>
      <c r="E15" s="235" t="s">
        <v>413</v>
      </c>
      <c r="F15" s="235" t="s">
        <v>32</v>
      </c>
      <c r="G15" s="422" t="s">
        <v>440</v>
      </c>
      <c r="H15" s="422"/>
      <c r="I15" s="422" t="s">
        <v>33</v>
      </c>
      <c r="J15" s="422"/>
      <c r="K15" s="422" t="s">
        <v>34</v>
      </c>
      <c r="L15" s="422"/>
      <c r="M15" s="422" t="s">
        <v>35</v>
      </c>
      <c r="N15" s="422"/>
      <c r="P15" s="15"/>
      <c r="Q15" s="15"/>
      <c r="R15" s="15"/>
      <c r="S15" s="15"/>
    </row>
    <row r="16" spans="1:19" x14ac:dyDescent="0.25">
      <c r="A16" s="234">
        <f t="array" aca="1" ref="A16:A41" ca="1">ROW(INDIRECT("1:26"))-1</f>
        <v>0</v>
      </c>
      <c r="B16" s="228">
        <f ca="1">RefsPerWeek</f>
        <v>188.78947368421052</v>
      </c>
      <c r="C16" s="229"/>
      <c r="D16" s="229"/>
      <c r="E16" s="229"/>
      <c r="F16" s="229"/>
      <c r="G16" s="419"/>
      <c r="H16" s="419"/>
      <c r="I16" s="420"/>
      <c r="J16" s="420"/>
      <c r="K16" s="419">
        <f ca="1">B16</f>
        <v>188.78947368421052</v>
      </c>
      <c r="L16" s="419"/>
      <c r="M16" s="421">
        <f ca="1">K16</f>
        <v>188.78947368421052</v>
      </c>
      <c r="N16" s="421"/>
      <c r="P16" s="37"/>
      <c r="Q16" s="15"/>
      <c r="R16" s="15"/>
      <c r="S16" s="15"/>
    </row>
    <row r="17" spans="1:19" x14ac:dyDescent="0.25">
      <c r="A17" s="230">
        <f ca="1"/>
        <v>1</v>
      </c>
      <c r="B17" s="231"/>
      <c r="C17" s="232">
        <f t="shared" ref="C17:C41" ca="1" si="0">IF(AND(A17&gt;=MinWait,A17&lt;=MaxWait),RefsPerWeekRoutine/BookingPeriod,0)</f>
        <v>0</v>
      </c>
      <c r="D17" s="232">
        <f ca="1">IF($A17&gt;MaxWait,0,IF($A17&gt;=MinWait,DNADischarged/BookingPeriod,0))</f>
        <v>0</v>
      </c>
      <c r="E17" s="232">
        <f t="shared" ref="E17:E41" ca="1" si="1">IF($A17&gt;MaxWait,0,IF($A17&gt;=MinWait,DNARebooked/BookingPeriod,0))</f>
        <v>0</v>
      </c>
      <c r="F17" s="232">
        <f t="shared" ref="F17:F41" ca="1" si="2">IF(AND($A17&gt;=(MinWait+MinWait),$A17&lt;=(MinWait+MaxWait)),DNARebooked/BookingPeriod,0)</f>
        <v>0</v>
      </c>
      <c r="G17" s="417">
        <f t="shared" ref="G17:G41" ca="1" si="3">IF(AND(A17&gt;=1,A17&lt;=TargetUrgent),RefsPerWeekUrgent/TargetUrgent,0)</f>
        <v>9.439473684210526</v>
      </c>
      <c r="H17" s="417"/>
      <c r="I17" s="417">
        <f ca="1">C17+F17+G17-E17</f>
        <v>9.439473684210526</v>
      </c>
      <c r="J17" s="417"/>
      <c r="K17" s="417">
        <f t="shared" ref="K17:K41" ca="1" si="4">IF(DNARate=0,IF($A17&gt;MaxWait,NA(),K16-I17),IF($A17&gt;MaxWait+MinWait,NA(),K16-I17))</f>
        <v>179.35</v>
      </c>
      <c r="L17" s="417"/>
      <c r="M17" s="417">
        <f t="shared" ref="M17:M41" ca="1" si="5">IF(DNARate=0,IF($A17&gt;MaxWait,"",M16+K17),IF($A17&gt;MaxWait+MinWait,"",M16+K17))</f>
        <v>368.13947368421054</v>
      </c>
      <c r="N17" s="417"/>
      <c r="P17" s="38"/>
      <c r="Q17" s="15"/>
      <c r="R17" s="15"/>
      <c r="S17" s="15"/>
    </row>
    <row r="18" spans="1:19" x14ac:dyDescent="0.25">
      <c r="A18" s="230">
        <f ca="1"/>
        <v>2</v>
      </c>
      <c r="B18" s="231"/>
      <c r="C18" s="232">
        <f t="shared" ca="1" si="0"/>
        <v>21.238815789473684</v>
      </c>
      <c r="D18" s="232">
        <f t="shared" ref="D18:D41" ca="1" si="6">IF($A18&gt;MaxWait,0,IF($A18&gt;=MinWait,DNADischarged/BookingPeriod,0))</f>
        <v>0.38229868421052626</v>
      </c>
      <c r="E18" s="232">
        <f t="shared" ca="1" si="1"/>
        <v>0.89203026315789458</v>
      </c>
      <c r="F18" s="232">
        <f t="shared" ca="1" si="2"/>
        <v>0</v>
      </c>
      <c r="G18" s="417">
        <f t="shared" ca="1" si="3"/>
        <v>9.439473684210526</v>
      </c>
      <c r="H18" s="417"/>
      <c r="I18" s="417">
        <f t="shared" ref="I18:I41" ca="1" si="7">C18+F18+G18-E18</f>
        <v>29.786259210526314</v>
      </c>
      <c r="J18" s="417"/>
      <c r="K18" s="417">
        <f t="shared" ca="1" si="4"/>
        <v>149.56374078947368</v>
      </c>
      <c r="L18" s="417"/>
      <c r="M18" s="417">
        <f t="shared" ca="1" si="5"/>
        <v>517.70321447368428</v>
      </c>
      <c r="N18" s="417"/>
      <c r="P18" s="15"/>
      <c r="Q18" s="15"/>
      <c r="R18" s="15"/>
      <c r="S18" s="15"/>
    </row>
    <row r="19" spans="1:19" x14ac:dyDescent="0.25">
      <c r="A19" s="230">
        <f ca="1"/>
        <v>3</v>
      </c>
      <c r="B19" s="231"/>
      <c r="C19" s="232">
        <f t="shared" ca="1" si="0"/>
        <v>21.238815789473684</v>
      </c>
      <c r="D19" s="232">
        <f t="shared" ca="1" si="6"/>
        <v>0.38229868421052626</v>
      </c>
      <c r="E19" s="232">
        <f t="shared" ca="1" si="1"/>
        <v>0.89203026315789458</v>
      </c>
      <c r="F19" s="232">
        <f t="shared" ca="1" si="2"/>
        <v>0</v>
      </c>
      <c r="G19" s="417">
        <f t="shared" ca="1" si="3"/>
        <v>0</v>
      </c>
      <c r="H19" s="417"/>
      <c r="I19" s="417">
        <f t="shared" ca="1" si="7"/>
        <v>20.346785526315788</v>
      </c>
      <c r="J19" s="417"/>
      <c r="K19" s="417">
        <f t="shared" ca="1" si="4"/>
        <v>129.2169552631579</v>
      </c>
      <c r="L19" s="417"/>
      <c r="M19" s="417">
        <f t="shared" ca="1" si="5"/>
        <v>646.92016973684213</v>
      </c>
      <c r="N19" s="417"/>
      <c r="P19" s="15"/>
      <c r="Q19" s="15"/>
      <c r="R19" s="15"/>
      <c r="S19" s="15"/>
    </row>
    <row r="20" spans="1:19" x14ac:dyDescent="0.25">
      <c r="A20" s="230">
        <f ca="1"/>
        <v>4</v>
      </c>
      <c r="B20" s="231"/>
      <c r="C20" s="232">
        <f t="shared" ca="1" si="0"/>
        <v>21.238815789473684</v>
      </c>
      <c r="D20" s="232">
        <f t="shared" ca="1" si="6"/>
        <v>0.38229868421052626</v>
      </c>
      <c r="E20" s="232">
        <f t="shared" ca="1" si="1"/>
        <v>0.89203026315789458</v>
      </c>
      <c r="F20" s="232">
        <f t="shared" ca="1" si="2"/>
        <v>0.89203026315789458</v>
      </c>
      <c r="G20" s="417">
        <f t="shared" ca="1" si="3"/>
        <v>0</v>
      </c>
      <c r="H20" s="417"/>
      <c r="I20" s="417">
        <f t="shared" ca="1" si="7"/>
        <v>21.238815789473684</v>
      </c>
      <c r="J20" s="417"/>
      <c r="K20" s="417">
        <f t="shared" ca="1" si="4"/>
        <v>107.97813947368422</v>
      </c>
      <c r="L20" s="417"/>
      <c r="M20" s="417">
        <f t="shared" ca="1" si="5"/>
        <v>754.89830921052635</v>
      </c>
      <c r="N20" s="417"/>
      <c r="P20" s="15"/>
      <c r="Q20" s="15"/>
      <c r="R20" s="15"/>
      <c r="S20" s="15"/>
    </row>
    <row r="21" spans="1:19" x14ac:dyDescent="0.25">
      <c r="A21" s="230">
        <f ca="1"/>
        <v>5</v>
      </c>
      <c r="B21" s="231"/>
      <c r="C21" s="232">
        <f t="shared" ca="1" si="0"/>
        <v>21.238815789473684</v>
      </c>
      <c r="D21" s="232">
        <f t="shared" ca="1" si="6"/>
        <v>0.38229868421052626</v>
      </c>
      <c r="E21" s="232">
        <f t="shared" ca="1" si="1"/>
        <v>0.89203026315789458</v>
      </c>
      <c r="F21" s="232">
        <f t="shared" ca="1" si="2"/>
        <v>0.89203026315789458</v>
      </c>
      <c r="G21" s="417">
        <f t="shared" ca="1" si="3"/>
        <v>0</v>
      </c>
      <c r="H21" s="417"/>
      <c r="I21" s="417">
        <f t="shared" ca="1" si="7"/>
        <v>21.238815789473684</v>
      </c>
      <c r="J21" s="417"/>
      <c r="K21" s="417">
        <f t="shared" ca="1" si="4"/>
        <v>86.739323684210547</v>
      </c>
      <c r="L21" s="417"/>
      <c r="M21" s="417">
        <f t="shared" ca="1" si="5"/>
        <v>841.63763289473695</v>
      </c>
      <c r="N21" s="417"/>
      <c r="P21" s="15"/>
      <c r="Q21" s="15"/>
      <c r="R21" s="15"/>
      <c r="S21" s="15"/>
    </row>
    <row r="22" spans="1:19" x14ac:dyDescent="0.25">
      <c r="A22" s="230">
        <f ca="1"/>
        <v>6</v>
      </c>
      <c r="B22" s="231"/>
      <c r="C22" s="232">
        <f t="shared" ca="1" si="0"/>
        <v>21.238815789473684</v>
      </c>
      <c r="D22" s="232">
        <f t="shared" ca="1" si="6"/>
        <v>0.38229868421052626</v>
      </c>
      <c r="E22" s="232">
        <f t="shared" ca="1" si="1"/>
        <v>0.89203026315789458</v>
      </c>
      <c r="F22" s="232">
        <f t="shared" ca="1" si="2"/>
        <v>0.89203026315789458</v>
      </c>
      <c r="G22" s="417">
        <f t="shared" ca="1" si="3"/>
        <v>0</v>
      </c>
      <c r="H22" s="417"/>
      <c r="I22" s="417">
        <f t="shared" ca="1" si="7"/>
        <v>21.238815789473684</v>
      </c>
      <c r="J22" s="417"/>
      <c r="K22" s="417">
        <f t="shared" ca="1" si="4"/>
        <v>65.50050789473687</v>
      </c>
      <c r="L22" s="417"/>
      <c r="M22" s="417">
        <f t="shared" ca="1" si="5"/>
        <v>907.13814078947382</v>
      </c>
      <c r="N22" s="417"/>
      <c r="P22" s="15"/>
      <c r="Q22" s="15"/>
      <c r="R22" s="15"/>
      <c r="S22" s="15"/>
    </row>
    <row r="23" spans="1:19" x14ac:dyDescent="0.25">
      <c r="A23" s="230">
        <f ca="1"/>
        <v>7</v>
      </c>
      <c r="B23" s="231"/>
      <c r="C23" s="232">
        <f t="shared" ca="1" si="0"/>
        <v>21.238815789473684</v>
      </c>
      <c r="D23" s="232">
        <f t="shared" ca="1" si="6"/>
        <v>0.38229868421052626</v>
      </c>
      <c r="E23" s="232">
        <f t="shared" ca="1" si="1"/>
        <v>0.89203026315789458</v>
      </c>
      <c r="F23" s="232">
        <f t="shared" ca="1" si="2"/>
        <v>0.89203026315789458</v>
      </c>
      <c r="G23" s="417">
        <f t="shared" ca="1" si="3"/>
        <v>0</v>
      </c>
      <c r="H23" s="417"/>
      <c r="I23" s="417">
        <f t="shared" ca="1" si="7"/>
        <v>21.238815789473684</v>
      </c>
      <c r="J23" s="417"/>
      <c r="K23" s="417">
        <f t="shared" ca="1" si="4"/>
        <v>44.261692105263187</v>
      </c>
      <c r="L23" s="417"/>
      <c r="M23" s="417">
        <f t="shared" ca="1" si="5"/>
        <v>951.39983289473696</v>
      </c>
      <c r="N23" s="417"/>
      <c r="P23" s="15"/>
      <c r="Q23" s="15"/>
      <c r="R23" s="15"/>
      <c r="S23" s="15"/>
    </row>
    <row r="24" spans="1:19" x14ac:dyDescent="0.25">
      <c r="A24" s="230">
        <f ca="1"/>
        <v>8</v>
      </c>
      <c r="B24" s="231"/>
      <c r="C24" s="232">
        <f t="shared" ca="1" si="0"/>
        <v>21.238815789473684</v>
      </c>
      <c r="D24" s="232">
        <f t="shared" ca="1" si="6"/>
        <v>0.38229868421052626</v>
      </c>
      <c r="E24" s="232">
        <f t="shared" ca="1" si="1"/>
        <v>0.89203026315789458</v>
      </c>
      <c r="F24" s="232">
        <f t="shared" ca="1" si="2"/>
        <v>0.89203026315789458</v>
      </c>
      <c r="G24" s="417">
        <f t="shared" ca="1" si="3"/>
        <v>0</v>
      </c>
      <c r="H24" s="417"/>
      <c r="I24" s="417">
        <f t="shared" ca="1" si="7"/>
        <v>21.238815789473684</v>
      </c>
      <c r="J24" s="417"/>
      <c r="K24" s="417">
        <f t="shared" ca="1" si="4"/>
        <v>23.022876315789503</v>
      </c>
      <c r="L24" s="417"/>
      <c r="M24" s="417">
        <f t="shared" ca="1" si="5"/>
        <v>974.42270921052648</v>
      </c>
      <c r="N24" s="417"/>
    </row>
    <row r="25" spans="1:19" x14ac:dyDescent="0.25">
      <c r="A25" s="230">
        <f ca="1"/>
        <v>9</v>
      </c>
      <c r="B25" s="231"/>
      <c r="C25" s="232">
        <f t="shared" ca="1" si="0"/>
        <v>21.238815789473684</v>
      </c>
      <c r="D25" s="232">
        <f t="shared" ca="1" si="6"/>
        <v>0.38229868421052626</v>
      </c>
      <c r="E25" s="232">
        <f t="shared" ca="1" si="1"/>
        <v>0.89203026315789458</v>
      </c>
      <c r="F25" s="232">
        <f t="shared" ca="1" si="2"/>
        <v>0.89203026315789458</v>
      </c>
      <c r="G25" s="417">
        <f t="shared" ca="1" si="3"/>
        <v>0</v>
      </c>
      <c r="H25" s="417"/>
      <c r="I25" s="417">
        <f t="shared" ca="1" si="7"/>
        <v>21.238815789473684</v>
      </c>
      <c r="J25" s="417"/>
      <c r="K25" s="417">
        <f t="shared" ca="1" si="4"/>
        <v>1.7840605263158196</v>
      </c>
      <c r="L25" s="417"/>
      <c r="M25" s="417">
        <f t="shared" ca="1" si="5"/>
        <v>976.20676973684226</v>
      </c>
      <c r="N25" s="417"/>
    </row>
    <row r="26" spans="1:19" x14ac:dyDescent="0.25">
      <c r="A26" s="230">
        <f ca="1"/>
        <v>10</v>
      </c>
      <c r="B26" s="231"/>
      <c r="C26" s="232">
        <f t="shared" ca="1" si="0"/>
        <v>0</v>
      </c>
      <c r="D26" s="232">
        <f t="shared" ca="1" si="6"/>
        <v>0</v>
      </c>
      <c r="E26" s="232">
        <f t="shared" ca="1" si="1"/>
        <v>0</v>
      </c>
      <c r="F26" s="232">
        <f t="shared" ca="1" si="2"/>
        <v>0.89203026315789458</v>
      </c>
      <c r="G26" s="417">
        <f t="shared" ca="1" si="3"/>
        <v>0</v>
      </c>
      <c r="H26" s="417"/>
      <c r="I26" s="417">
        <f t="shared" ca="1" si="7"/>
        <v>0.89203026315789458</v>
      </c>
      <c r="J26" s="417"/>
      <c r="K26" s="417">
        <f t="shared" ca="1" si="4"/>
        <v>0.892030263157925</v>
      </c>
      <c r="L26" s="417"/>
      <c r="M26" s="417">
        <f t="shared" ca="1" si="5"/>
        <v>977.09880000000021</v>
      </c>
      <c r="N26" s="417"/>
    </row>
    <row r="27" spans="1:19" x14ac:dyDescent="0.25">
      <c r="A27" s="230">
        <f ca="1"/>
        <v>11</v>
      </c>
      <c r="B27" s="231"/>
      <c r="C27" s="232">
        <f t="shared" ca="1" si="0"/>
        <v>0</v>
      </c>
      <c r="D27" s="232">
        <f t="shared" ca="1" si="6"/>
        <v>0</v>
      </c>
      <c r="E27" s="232">
        <f t="shared" ca="1" si="1"/>
        <v>0</v>
      </c>
      <c r="F27" s="232">
        <f t="shared" ca="1" si="2"/>
        <v>0.89203026315789458</v>
      </c>
      <c r="G27" s="417">
        <f t="shared" ca="1" si="3"/>
        <v>0</v>
      </c>
      <c r="H27" s="417"/>
      <c r="I27" s="417">
        <f t="shared" ca="1" si="7"/>
        <v>0.89203026315789458</v>
      </c>
      <c r="J27" s="417"/>
      <c r="K27" s="417">
        <f t="shared" ca="1" si="4"/>
        <v>3.0420110874729289E-14</v>
      </c>
      <c r="L27" s="417"/>
      <c r="M27" s="417">
        <f t="shared" ca="1" si="5"/>
        <v>977.09880000000021</v>
      </c>
      <c r="N27" s="417"/>
    </row>
    <row r="28" spans="1:19" x14ac:dyDescent="0.25">
      <c r="A28" s="230">
        <f ca="1"/>
        <v>12</v>
      </c>
      <c r="B28" s="231"/>
      <c r="C28" s="232">
        <f t="shared" ca="1" si="0"/>
        <v>0</v>
      </c>
      <c r="D28" s="232">
        <f t="shared" ca="1" si="6"/>
        <v>0</v>
      </c>
      <c r="E28" s="232">
        <f t="shared" ca="1" si="1"/>
        <v>0</v>
      </c>
      <c r="F28" s="232">
        <f t="shared" ca="1" si="2"/>
        <v>0</v>
      </c>
      <c r="G28" s="417">
        <f t="shared" ca="1" si="3"/>
        <v>0</v>
      </c>
      <c r="H28" s="417"/>
      <c r="I28" s="417">
        <f t="shared" ca="1" si="7"/>
        <v>0</v>
      </c>
      <c r="J28" s="417"/>
      <c r="K28" s="417" t="e">
        <f t="shared" ca="1" si="4"/>
        <v>#N/A</v>
      </c>
      <c r="L28" s="417"/>
      <c r="M28" s="417" t="str">
        <f t="shared" ca="1" si="5"/>
        <v/>
      </c>
      <c r="N28" s="417"/>
    </row>
    <row r="29" spans="1:19" x14ac:dyDescent="0.25">
      <c r="A29" s="230">
        <f ca="1"/>
        <v>13</v>
      </c>
      <c r="B29" s="231"/>
      <c r="C29" s="232">
        <f t="shared" ca="1" si="0"/>
        <v>0</v>
      </c>
      <c r="D29" s="232">
        <f t="shared" ca="1" si="6"/>
        <v>0</v>
      </c>
      <c r="E29" s="232">
        <f t="shared" ca="1" si="1"/>
        <v>0</v>
      </c>
      <c r="F29" s="232">
        <f t="shared" ca="1" si="2"/>
        <v>0</v>
      </c>
      <c r="G29" s="417">
        <f t="shared" ca="1" si="3"/>
        <v>0</v>
      </c>
      <c r="H29" s="417"/>
      <c r="I29" s="417">
        <f t="shared" ca="1" si="7"/>
        <v>0</v>
      </c>
      <c r="J29" s="417"/>
      <c r="K29" s="417" t="e">
        <f t="shared" ca="1" si="4"/>
        <v>#N/A</v>
      </c>
      <c r="L29" s="417"/>
      <c r="M29" s="417" t="str">
        <f t="shared" ca="1" si="5"/>
        <v/>
      </c>
      <c r="N29" s="417"/>
    </row>
    <row r="30" spans="1:19" x14ac:dyDescent="0.25">
      <c r="A30" s="230">
        <f ca="1"/>
        <v>14</v>
      </c>
      <c r="B30" s="231"/>
      <c r="C30" s="232">
        <f t="shared" ca="1" si="0"/>
        <v>0</v>
      </c>
      <c r="D30" s="232">
        <f t="shared" ca="1" si="6"/>
        <v>0</v>
      </c>
      <c r="E30" s="232">
        <f t="shared" ca="1" si="1"/>
        <v>0</v>
      </c>
      <c r="F30" s="232">
        <f t="shared" ca="1" si="2"/>
        <v>0</v>
      </c>
      <c r="G30" s="417">
        <f t="shared" ca="1" si="3"/>
        <v>0</v>
      </c>
      <c r="H30" s="417"/>
      <c r="I30" s="417">
        <f t="shared" ca="1" si="7"/>
        <v>0</v>
      </c>
      <c r="J30" s="417"/>
      <c r="K30" s="417" t="e">
        <f t="shared" ca="1" si="4"/>
        <v>#N/A</v>
      </c>
      <c r="L30" s="417"/>
      <c r="M30" s="417" t="str">
        <f t="shared" ca="1" si="5"/>
        <v/>
      </c>
      <c r="N30" s="417"/>
    </row>
    <row r="31" spans="1:19" x14ac:dyDescent="0.25">
      <c r="A31" s="230">
        <f ca="1"/>
        <v>15</v>
      </c>
      <c r="B31" s="231"/>
      <c r="C31" s="232">
        <f t="shared" ca="1" si="0"/>
        <v>0</v>
      </c>
      <c r="D31" s="232">
        <f t="shared" ca="1" si="6"/>
        <v>0</v>
      </c>
      <c r="E31" s="232">
        <f t="shared" ca="1" si="1"/>
        <v>0</v>
      </c>
      <c r="F31" s="232">
        <f t="shared" ca="1" si="2"/>
        <v>0</v>
      </c>
      <c r="G31" s="417">
        <f t="shared" ca="1" si="3"/>
        <v>0</v>
      </c>
      <c r="H31" s="417"/>
      <c r="I31" s="417">
        <f t="shared" ca="1" si="7"/>
        <v>0</v>
      </c>
      <c r="J31" s="417"/>
      <c r="K31" s="417" t="e">
        <f t="shared" ca="1" si="4"/>
        <v>#N/A</v>
      </c>
      <c r="L31" s="417"/>
      <c r="M31" s="417" t="str">
        <f t="shared" ca="1" si="5"/>
        <v/>
      </c>
      <c r="N31" s="417"/>
    </row>
    <row r="32" spans="1:19" x14ac:dyDescent="0.25">
      <c r="A32" s="230">
        <f ca="1"/>
        <v>16</v>
      </c>
      <c r="B32" s="231"/>
      <c r="C32" s="232">
        <f t="shared" ca="1" si="0"/>
        <v>0</v>
      </c>
      <c r="D32" s="232">
        <f t="shared" ca="1" si="6"/>
        <v>0</v>
      </c>
      <c r="E32" s="232">
        <f t="shared" ca="1" si="1"/>
        <v>0</v>
      </c>
      <c r="F32" s="232">
        <f t="shared" ca="1" si="2"/>
        <v>0</v>
      </c>
      <c r="G32" s="417">
        <f t="shared" ca="1" si="3"/>
        <v>0</v>
      </c>
      <c r="H32" s="417"/>
      <c r="I32" s="417">
        <f t="shared" ca="1" si="7"/>
        <v>0</v>
      </c>
      <c r="J32" s="417"/>
      <c r="K32" s="417" t="e">
        <f t="shared" ca="1" si="4"/>
        <v>#N/A</v>
      </c>
      <c r="L32" s="417"/>
      <c r="M32" s="417" t="str">
        <f t="shared" ca="1" si="5"/>
        <v/>
      </c>
      <c r="N32" s="417"/>
    </row>
    <row r="33" spans="1:14" x14ac:dyDescent="0.25">
      <c r="A33" s="230">
        <f ca="1"/>
        <v>17</v>
      </c>
      <c r="B33" s="231"/>
      <c r="C33" s="232">
        <f t="shared" ca="1" si="0"/>
        <v>0</v>
      </c>
      <c r="D33" s="232">
        <f t="shared" ca="1" si="6"/>
        <v>0</v>
      </c>
      <c r="E33" s="232">
        <f t="shared" ca="1" si="1"/>
        <v>0</v>
      </c>
      <c r="F33" s="232">
        <f t="shared" ca="1" si="2"/>
        <v>0</v>
      </c>
      <c r="G33" s="417">
        <f t="shared" ca="1" si="3"/>
        <v>0</v>
      </c>
      <c r="H33" s="417"/>
      <c r="I33" s="417">
        <f t="shared" ca="1" si="7"/>
        <v>0</v>
      </c>
      <c r="J33" s="417"/>
      <c r="K33" s="417" t="e">
        <f t="shared" ca="1" si="4"/>
        <v>#N/A</v>
      </c>
      <c r="L33" s="417"/>
      <c r="M33" s="417" t="str">
        <f t="shared" ca="1" si="5"/>
        <v/>
      </c>
      <c r="N33" s="417"/>
    </row>
    <row r="34" spans="1:14" x14ac:dyDescent="0.25">
      <c r="A34" s="230">
        <f ca="1"/>
        <v>18</v>
      </c>
      <c r="B34" s="231"/>
      <c r="C34" s="232">
        <f t="shared" ca="1" si="0"/>
        <v>0</v>
      </c>
      <c r="D34" s="232">
        <f t="shared" ca="1" si="6"/>
        <v>0</v>
      </c>
      <c r="E34" s="232">
        <f t="shared" ca="1" si="1"/>
        <v>0</v>
      </c>
      <c r="F34" s="232">
        <f t="shared" ca="1" si="2"/>
        <v>0</v>
      </c>
      <c r="G34" s="417">
        <f t="shared" ca="1" si="3"/>
        <v>0</v>
      </c>
      <c r="H34" s="417"/>
      <c r="I34" s="417">
        <f t="shared" ca="1" si="7"/>
        <v>0</v>
      </c>
      <c r="J34" s="417"/>
      <c r="K34" s="417" t="e">
        <f t="shared" ca="1" si="4"/>
        <v>#N/A</v>
      </c>
      <c r="L34" s="417"/>
      <c r="M34" s="417" t="str">
        <f t="shared" ca="1" si="5"/>
        <v/>
      </c>
      <c r="N34" s="417"/>
    </row>
    <row r="35" spans="1:14" x14ac:dyDescent="0.25">
      <c r="A35" s="230">
        <f ca="1"/>
        <v>19</v>
      </c>
      <c r="B35" s="231"/>
      <c r="C35" s="232">
        <f t="shared" ca="1" si="0"/>
        <v>0</v>
      </c>
      <c r="D35" s="232">
        <f t="shared" ca="1" si="6"/>
        <v>0</v>
      </c>
      <c r="E35" s="232">
        <f t="shared" ca="1" si="1"/>
        <v>0</v>
      </c>
      <c r="F35" s="232">
        <f t="shared" ca="1" si="2"/>
        <v>0</v>
      </c>
      <c r="G35" s="417">
        <f t="shared" ca="1" si="3"/>
        <v>0</v>
      </c>
      <c r="H35" s="417"/>
      <c r="I35" s="417">
        <f t="shared" ca="1" si="7"/>
        <v>0</v>
      </c>
      <c r="J35" s="417"/>
      <c r="K35" s="417" t="e">
        <f t="shared" ca="1" si="4"/>
        <v>#N/A</v>
      </c>
      <c r="L35" s="417"/>
      <c r="M35" s="417" t="str">
        <f t="shared" ca="1" si="5"/>
        <v/>
      </c>
      <c r="N35" s="417"/>
    </row>
    <row r="36" spans="1:14" x14ac:dyDescent="0.25">
      <c r="A36" s="230">
        <f ca="1"/>
        <v>20</v>
      </c>
      <c r="B36" s="231"/>
      <c r="C36" s="232">
        <f t="shared" ca="1" si="0"/>
        <v>0</v>
      </c>
      <c r="D36" s="232">
        <f t="shared" ca="1" si="6"/>
        <v>0</v>
      </c>
      <c r="E36" s="232">
        <f t="shared" ca="1" si="1"/>
        <v>0</v>
      </c>
      <c r="F36" s="232">
        <f t="shared" ca="1" si="2"/>
        <v>0</v>
      </c>
      <c r="G36" s="417">
        <f t="shared" ca="1" si="3"/>
        <v>0</v>
      </c>
      <c r="H36" s="417"/>
      <c r="I36" s="417">
        <f t="shared" ca="1" si="7"/>
        <v>0</v>
      </c>
      <c r="J36" s="417"/>
      <c r="K36" s="417" t="e">
        <f t="shared" ca="1" si="4"/>
        <v>#N/A</v>
      </c>
      <c r="L36" s="417"/>
      <c r="M36" s="417" t="str">
        <f t="shared" ca="1" si="5"/>
        <v/>
      </c>
      <c r="N36" s="417"/>
    </row>
    <row r="37" spans="1:14" x14ac:dyDescent="0.25">
      <c r="A37" s="230">
        <f ca="1"/>
        <v>21</v>
      </c>
      <c r="B37" s="231"/>
      <c r="C37" s="232">
        <f t="shared" ca="1" si="0"/>
        <v>0</v>
      </c>
      <c r="D37" s="232">
        <f t="shared" ca="1" si="6"/>
        <v>0</v>
      </c>
      <c r="E37" s="232">
        <f t="shared" ca="1" si="1"/>
        <v>0</v>
      </c>
      <c r="F37" s="232">
        <f t="shared" ca="1" si="2"/>
        <v>0</v>
      </c>
      <c r="G37" s="417">
        <f t="shared" ca="1" si="3"/>
        <v>0</v>
      </c>
      <c r="H37" s="417"/>
      <c r="I37" s="417">
        <f t="shared" ca="1" si="7"/>
        <v>0</v>
      </c>
      <c r="J37" s="417"/>
      <c r="K37" s="417" t="e">
        <f t="shared" ca="1" si="4"/>
        <v>#N/A</v>
      </c>
      <c r="L37" s="417"/>
      <c r="M37" s="417" t="str">
        <f t="shared" ca="1" si="5"/>
        <v/>
      </c>
      <c r="N37" s="417"/>
    </row>
    <row r="38" spans="1:14" x14ac:dyDescent="0.25">
      <c r="A38" s="230">
        <f ca="1"/>
        <v>22</v>
      </c>
      <c r="B38" s="231"/>
      <c r="C38" s="232">
        <f t="shared" ca="1" si="0"/>
        <v>0</v>
      </c>
      <c r="D38" s="232">
        <f t="shared" ca="1" si="6"/>
        <v>0</v>
      </c>
      <c r="E38" s="232">
        <f t="shared" ca="1" si="1"/>
        <v>0</v>
      </c>
      <c r="F38" s="232">
        <f t="shared" ca="1" si="2"/>
        <v>0</v>
      </c>
      <c r="G38" s="417">
        <f t="shared" ca="1" si="3"/>
        <v>0</v>
      </c>
      <c r="H38" s="417"/>
      <c r="I38" s="417">
        <f t="shared" ca="1" si="7"/>
        <v>0</v>
      </c>
      <c r="J38" s="417"/>
      <c r="K38" s="417" t="e">
        <f t="shared" ca="1" si="4"/>
        <v>#N/A</v>
      </c>
      <c r="L38" s="417"/>
      <c r="M38" s="417" t="str">
        <f t="shared" ca="1" si="5"/>
        <v/>
      </c>
      <c r="N38" s="417"/>
    </row>
    <row r="39" spans="1:14" x14ac:dyDescent="0.25">
      <c r="A39" s="230">
        <f ca="1"/>
        <v>23</v>
      </c>
      <c r="B39" s="231"/>
      <c r="C39" s="232">
        <f t="shared" ca="1" si="0"/>
        <v>0</v>
      </c>
      <c r="D39" s="232">
        <f t="shared" ca="1" si="6"/>
        <v>0</v>
      </c>
      <c r="E39" s="232">
        <f t="shared" ca="1" si="1"/>
        <v>0</v>
      </c>
      <c r="F39" s="232">
        <f t="shared" ca="1" si="2"/>
        <v>0</v>
      </c>
      <c r="G39" s="417">
        <f t="shared" ca="1" si="3"/>
        <v>0</v>
      </c>
      <c r="H39" s="417"/>
      <c r="I39" s="417">
        <f t="shared" ca="1" si="7"/>
        <v>0</v>
      </c>
      <c r="J39" s="417"/>
      <c r="K39" s="417" t="e">
        <f t="shared" ca="1" si="4"/>
        <v>#N/A</v>
      </c>
      <c r="L39" s="417"/>
      <c r="M39" s="417" t="str">
        <f t="shared" ca="1" si="5"/>
        <v/>
      </c>
      <c r="N39" s="417"/>
    </row>
    <row r="40" spans="1:14" x14ac:dyDescent="0.25">
      <c r="A40" s="230">
        <f ca="1"/>
        <v>24</v>
      </c>
      <c r="B40" s="231"/>
      <c r="C40" s="232">
        <f t="shared" ca="1" si="0"/>
        <v>0</v>
      </c>
      <c r="D40" s="232">
        <f t="shared" ca="1" si="6"/>
        <v>0</v>
      </c>
      <c r="E40" s="232">
        <f t="shared" ca="1" si="1"/>
        <v>0</v>
      </c>
      <c r="F40" s="232">
        <f t="shared" ca="1" si="2"/>
        <v>0</v>
      </c>
      <c r="G40" s="417">
        <f t="shared" ca="1" si="3"/>
        <v>0</v>
      </c>
      <c r="H40" s="417"/>
      <c r="I40" s="417">
        <f t="shared" ca="1" si="7"/>
        <v>0</v>
      </c>
      <c r="J40" s="417"/>
      <c r="K40" s="417" t="e">
        <f t="shared" ca="1" si="4"/>
        <v>#N/A</v>
      </c>
      <c r="L40" s="417"/>
      <c r="M40" s="417" t="str">
        <f t="shared" ca="1" si="5"/>
        <v/>
      </c>
      <c r="N40" s="417"/>
    </row>
    <row r="41" spans="1:14" x14ac:dyDescent="0.25">
      <c r="A41" s="233">
        <f ca="1"/>
        <v>25</v>
      </c>
      <c r="B41" s="231"/>
      <c r="C41" s="232">
        <f t="shared" ca="1" si="0"/>
        <v>0</v>
      </c>
      <c r="D41" s="232">
        <f t="shared" ca="1" si="6"/>
        <v>0</v>
      </c>
      <c r="E41" s="232">
        <f t="shared" ca="1" si="1"/>
        <v>0</v>
      </c>
      <c r="F41" s="232">
        <f t="shared" ca="1" si="2"/>
        <v>0</v>
      </c>
      <c r="G41" s="417">
        <f t="shared" ca="1" si="3"/>
        <v>0</v>
      </c>
      <c r="H41" s="417"/>
      <c r="I41" s="417">
        <f t="shared" ca="1" si="7"/>
        <v>0</v>
      </c>
      <c r="J41" s="417"/>
      <c r="K41" s="417" t="e">
        <f t="shared" ca="1" si="4"/>
        <v>#N/A</v>
      </c>
      <c r="L41" s="417"/>
      <c r="M41" s="417" t="str">
        <f t="shared" ca="1" si="5"/>
        <v/>
      </c>
      <c r="N41" s="417"/>
    </row>
    <row r="42" spans="1:14" x14ac:dyDescent="0.25">
      <c r="A42" s="236" t="s">
        <v>36</v>
      </c>
      <c r="B42" s="237"/>
      <c r="C42" s="238">
        <f ca="1">SUM(C16:C41)</f>
        <v>169.91052631578944</v>
      </c>
      <c r="D42" s="238">
        <f ca="1">SUM(D16:D41)</f>
        <v>3.0583894736842101</v>
      </c>
      <c r="E42" s="238">
        <f ca="1">SUM(E16:E41)</f>
        <v>7.1362421052631566</v>
      </c>
      <c r="F42" s="238">
        <f ca="1">SUM(F16:F41)</f>
        <v>7.1362421052631566</v>
      </c>
      <c r="G42" s="418">
        <f ca="1">SUM(G16:G41)</f>
        <v>18.878947368421052</v>
      </c>
      <c r="H42" s="418"/>
      <c r="I42" s="418">
        <f ca="1">SUM(I16:I41)</f>
        <v>188.78947368421046</v>
      </c>
      <c r="J42" s="418"/>
      <c r="K42" s="418"/>
      <c r="L42" s="418"/>
      <c r="M42" s="414">
        <f ca="1">MAX(M16:N41)</f>
        <v>977.09880000000021</v>
      </c>
      <c r="N42" s="414"/>
    </row>
    <row r="43" spans="1:14" ht="24" customHeight="1" x14ac:dyDescent="0.25">
      <c r="A43" s="415" t="s">
        <v>38</v>
      </c>
      <c r="B43" s="415"/>
      <c r="C43" s="415"/>
      <c r="D43" s="415"/>
      <c r="E43" s="415"/>
      <c r="F43" s="415"/>
      <c r="G43" s="415"/>
      <c r="H43" s="415"/>
      <c r="I43" s="415"/>
      <c r="J43" s="415"/>
      <c r="K43" s="416" t="str">
        <f ca="1">IFERROR(CEILING(MAX(M16:N41),1) &amp; " patients*","")</f>
        <v>978 patients*</v>
      </c>
      <c r="L43" s="416"/>
      <c r="M43" s="239"/>
      <c r="N43" s="239"/>
    </row>
    <row r="44" spans="1:14" x14ac:dyDescent="0.25">
      <c r="N44" s="92" t="s">
        <v>809</v>
      </c>
    </row>
  </sheetData>
  <sheetProtection algorithmName="SHA-512" hashValue="eio4M5OhCs9J+5f5neD9m0Kb7Th79TjUFK8IJI0qJ0vHuTTuZPIig7GiZEXKNryJyQRK/OElA9bd/q12CMoF4w==" saltValue="i/HJsdnq+FyeGdbC2WSfnw==" spinCount="100000" sheet="1" selectLockedCells="1" selectUnlockedCells="1"/>
  <mergeCells count="125">
    <mergeCell ref="A5:N5"/>
    <mergeCell ref="A2:N2"/>
    <mergeCell ref="A3:N3"/>
    <mergeCell ref="F7:G8"/>
    <mergeCell ref="I7:K8"/>
    <mergeCell ref="G15:H15"/>
    <mergeCell ref="I15:J15"/>
    <mergeCell ref="K15:L15"/>
    <mergeCell ref="M15:N15"/>
    <mergeCell ref="F9:G9"/>
    <mergeCell ref="F11:G12"/>
    <mergeCell ref="I11:K12"/>
    <mergeCell ref="I9:K9"/>
    <mergeCell ref="F13:G13"/>
    <mergeCell ref="I13:K13"/>
    <mergeCell ref="G18:H18"/>
    <mergeCell ref="K18:L18"/>
    <mergeCell ref="M18:N18"/>
    <mergeCell ref="G16:H16"/>
    <mergeCell ref="I16:J16"/>
    <mergeCell ref="K16:L16"/>
    <mergeCell ref="M16:N16"/>
    <mergeCell ref="G17:H17"/>
    <mergeCell ref="K17:L17"/>
    <mergeCell ref="M17:N17"/>
    <mergeCell ref="I17:J17"/>
    <mergeCell ref="I18:J18"/>
    <mergeCell ref="G19:H19"/>
    <mergeCell ref="K19:L19"/>
    <mergeCell ref="M19:N19"/>
    <mergeCell ref="G20:H20"/>
    <mergeCell ref="K20:L20"/>
    <mergeCell ref="M20:N20"/>
    <mergeCell ref="I19:J19"/>
    <mergeCell ref="I20:J20"/>
    <mergeCell ref="G21:H21"/>
    <mergeCell ref="K21:L21"/>
    <mergeCell ref="M21:N21"/>
    <mergeCell ref="G22:H22"/>
    <mergeCell ref="K22:L22"/>
    <mergeCell ref="M22:N22"/>
    <mergeCell ref="I21:J21"/>
    <mergeCell ref="I22:J22"/>
    <mergeCell ref="G23:H23"/>
    <mergeCell ref="K23:L23"/>
    <mergeCell ref="M23:N23"/>
    <mergeCell ref="G24:H24"/>
    <mergeCell ref="K24:L24"/>
    <mergeCell ref="M24:N24"/>
    <mergeCell ref="I23:J23"/>
    <mergeCell ref="I24:J24"/>
    <mergeCell ref="G25:H25"/>
    <mergeCell ref="K25:L25"/>
    <mergeCell ref="M25:N25"/>
    <mergeCell ref="G26:H26"/>
    <mergeCell ref="K26:L26"/>
    <mergeCell ref="M26:N26"/>
    <mergeCell ref="I25:J25"/>
    <mergeCell ref="I26:J26"/>
    <mergeCell ref="G27:H27"/>
    <mergeCell ref="K27:L27"/>
    <mergeCell ref="M27:N27"/>
    <mergeCell ref="G28:H28"/>
    <mergeCell ref="K28:L28"/>
    <mergeCell ref="M28:N28"/>
    <mergeCell ref="I27:J27"/>
    <mergeCell ref="I28:J28"/>
    <mergeCell ref="G29:H29"/>
    <mergeCell ref="K29:L29"/>
    <mergeCell ref="M29:N29"/>
    <mergeCell ref="G30:H30"/>
    <mergeCell ref="K30:L30"/>
    <mergeCell ref="M30:N30"/>
    <mergeCell ref="I29:J29"/>
    <mergeCell ref="I30:J30"/>
    <mergeCell ref="K34:L34"/>
    <mergeCell ref="M34:N34"/>
    <mergeCell ref="G35:H35"/>
    <mergeCell ref="K35:L35"/>
    <mergeCell ref="G31:H31"/>
    <mergeCell ref="K31:L31"/>
    <mergeCell ref="M31:N31"/>
    <mergeCell ref="G32:H32"/>
    <mergeCell ref="K32:L32"/>
    <mergeCell ref="M32:N32"/>
    <mergeCell ref="M35:N35"/>
    <mergeCell ref="G33:H33"/>
    <mergeCell ref="K33:L33"/>
    <mergeCell ref="M33:N33"/>
    <mergeCell ref="G34:H34"/>
    <mergeCell ref="I31:J31"/>
    <mergeCell ref="I32:J32"/>
    <mergeCell ref="I33:J33"/>
    <mergeCell ref="I34:J34"/>
    <mergeCell ref="I35:J35"/>
    <mergeCell ref="G39:H39"/>
    <mergeCell ref="K39:L39"/>
    <mergeCell ref="M39:N39"/>
    <mergeCell ref="G36:H36"/>
    <mergeCell ref="K40:L40"/>
    <mergeCell ref="M40:N40"/>
    <mergeCell ref="K36:L36"/>
    <mergeCell ref="M36:N36"/>
    <mergeCell ref="G37:H37"/>
    <mergeCell ref="G40:H40"/>
    <mergeCell ref="G38:H38"/>
    <mergeCell ref="K38:L38"/>
    <mergeCell ref="M38:N38"/>
    <mergeCell ref="K37:L37"/>
    <mergeCell ref="M37:N37"/>
    <mergeCell ref="I36:J36"/>
    <mergeCell ref="I37:J37"/>
    <mergeCell ref="I38:J38"/>
    <mergeCell ref="I39:J39"/>
    <mergeCell ref="I40:J40"/>
    <mergeCell ref="M42:N42"/>
    <mergeCell ref="A43:J43"/>
    <mergeCell ref="K43:L43"/>
    <mergeCell ref="G41:H41"/>
    <mergeCell ref="K41:L41"/>
    <mergeCell ref="G42:H42"/>
    <mergeCell ref="I42:J42"/>
    <mergeCell ref="K42:L42"/>
    <mergeCell ref="M41:N41"/>
    <mergeCell ref="I41:J41"/>
  </mergeCells>
  <phoneticPr fontId="0" type="noConversion"/>
  <conditionalFormatting sqref="M17:N42 C17:I42">
    <cfRule type="cellIs" dxfId="6" priority="4" stopIfTrue="1" operator="equal">
      <formula>0</formula>
    </cfRule>
  </conditionalFormatting>
  <conditionalFormatting sqref="L16 K16:K41">
    <cfRule type="containsErrors" dxfId="5" priority="3" stopIfTrue="1">
      <formula>ISERROR(K16)</formula>
    </cfRule>
  </conditionalFormatting>
  <conditionalFormatting sqref="K16:N42 B16:I42">
    <cfRule type="containsErrors" dxfId="4" priority="2" stopIfTrue="1">
      <formula>ISERROR(B16)</formula>
    </cfRule>
  </conditionalFormatting>
  <conditionalFormatting sqref="D8:D12">
    <cfRule type="containsErrors" dxfId="3" priority="1" stopIfTrue="1">
      <formula>ISERROR(D8)</formula>
    </cfRule>
  </conditionalFormatting>
  <pageMargins left="0.39370078740157483" right="0.39370078740157483" top="0.78740157480314965" bottom="0.59055118110236227" header="0.19685039370078741" footer="0"/>
  <pageSetup paperSize="9" scale="67" orientation="portrait" errors="blank" r:id="rId1"/>
  <headerFooter>
    <oddHeader>&amp;R&amp;G</oddHeader>
  </headerFooter>
  <drawing r:id="rId2"/>
  <legacyDrawingHF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A2:AK42"/>
  <sheetViews>
    <sheetView showGridLines="0" showRowColHeaders="0" zoomScaleNormal="100" zoomScaleSheetLayoutView="40" workbookViewId="0">
      <pane xSplit="4" topLeftCell="E1" activePane="topRight" state="frozen"/>
      <selection pane="topRight" activeCell="K26" sqref="K26"/>
    </sheetView>
  </sheetViews>
  <sheetFormatPr defaultRowHeight="15" x14ac:dyDescent="0.25"/>
  <cols>
    <col min="1" max="1" width="4.7109375" customWidth="1"/>
    <col min="2" max="2" width="17.140625" customWidth="1"/>
    <col min="3" max="3" width="12" customWidth="1"/>
    <col min="4" max="37" width="9.85546875" customWidth="1"/>
  </cols>
  <sheetData>
    <row r="2" spans="1:37" ht="54" customHeight="1" x14ac:dyDescent="0.25">
      <c r="A2" s="298" t="str">
        <f>"Planning - "&amp;ModelName</f>
        <v>Planning - The IST IMAS First Outpatients Demand &amp; Capacity Model</v>
      </c>
      <c r="B2" s="299"/>
      <c r="C2" s="299"/>
      <c r="D2" s="299"/>
      <c r="E2" s="299"/>
      <c r="F2" s="299"/>
      <c r="G2" s="299"/>
      <c r="H2" s="299"/>
      <c r="I2" s="299"/>
      <c r="J2" s="299"/>
      <c r="K2" s="299"/>
      <c r="L2" s="299"/>
      <c r="M2" s="299"/>
      <c r="N2" s="300"/>
    </row>
    <row r="3" spans="1:37" s="3" customFormat="1" ht="23.25" customHeight="1" x14ac:dyDescent="0.25">
      <c r="A3" s="323" t="s">
        <v>422</v>
      </c>
      <c r="B3" s="324"/>
      <c r="C3" s="324"/>
      <c r="D3" s="324"/>
      <c r="E3" s="324"/>
      <c r="F3" s="324"/>
      <c r="G3" s="324"/>
      <c r="H3" s="324"/>
      <c r="I3" s="324"/>
      <c r="J3" s="324"/>
      <c r="K3" s="324"/>
      <c r="L3" s="324"/>
      <c r="M3" s="324"/>
      <c r="N3" s="325"/>
    </row>
    <row r="4" spans="1:37" x14ac:dyDescent="0.25">
      <c r="A4" s="24"/>
      <c r="H4" s="13"/>
      <c r="I4" s="13"/>
      <c r="J4" s="13"/>
      <c r="K4" s="13"/>
      <c r="L4" s="13"/>
      <c r="M4" s="13"/>
      <c r="N4" s="13"/>
    </row>
    <row r="5" spans="1:37" ht="18" x14ac:dyDescent="0.25">
      <c r="A5" s="438" t="str">
        <f>Trust &amp; " - " &amp; Specialty</f>
        <v>5 Boroughs Partnership NHS Foundation Trust - Blood Transfusion</v>
      </c>
      <c r="B5" s="438"/>
      <c r="C5" s="438"/>
      <c r="D5" s="438"/>
      <c r="E5" s="438"/>
      <c r="F5" s="438"/>
      <c r="G5" s="438"/>
      <c r="H5" s="438"/>
      <c r="I5" s="438"/>
      <c r="J5" s="438"/>
      <c r="K5" s="438"/>
      <c r="L5" s="438"/>
      <c r="M5" s="438"/>
      <c r="N5" s="438"/>
      <c r="O5" s="32"/>
    </row>
    <row r="6" spans="1:37" s="87" customFormat="1" ht="18" x14ac:dyDescent="0.25">
      <c r="A6" s="90"/>
      <c r="B6" s="90"/>
      <c r="C6" s="90"/>
      <c r="D6" s="90"/>
      <c r="E6" s="90"/>
      <c r="F6" s="90"/>
      <c r="G6" s="90"/>
      <c r="H6" s="90"/>
      <c r="I6" s="90"/>
      <c r="J6" s="90"/>
      <c r="K6" s="90"/>
      <c r="L6" s="90"/>
      <c r="M6" s="90"/>
      <c r="N6" s="90"/>
      <c r="O6" s="32"/>
    </row>
    <row r="7" spans="1:37" s="87" customFormat="1" ht="18.75" customHeight="1" x14ac:dyDescent="0.25">
      <c r="A7" s="442" t="s">
        <v>10</v>
      </c>
      <c r="B7" s="328"/>
      <c r="C7" s="328"/>
      <c r="D7" s="328"/>
      <c r="E7" s="328"/>
      <c r="F7" s="328"/>
      <c r="G7" s="328"/>
      <c r="H7" s="328"/>
      <c r="I7" s="328"/>
      <c r="J7" s="328"/>
      <c r="K7" s="328"/>
      <c r="L7" s="328"/>
      <c r="M7" s="328"/>
      <c r="N7" s="412"/>
    </row>
    <row r="8" spans="1:37" s="87" customFormat="1" ht="36.75" customHeight="1" x14ac:dyDescent="0.25">
      <c r="A8" s="440" t="s">
        <v>804</v>
      </c>
      <c r="B8" s="440"/>
      <c r="C8" s="440"/>
      <c r="D8" s="440"/>
      <c r="E8" s="440"/>
      <c r="F8" s="440"/>
      <c r="G8" s="440"/>
      <c r="H8" s="440"/>
      <c r="I8" s="440"/>
      <c r="J8" s="440"/>
      <c r="K8" s="441"/>
      <c r="L8" s="441"/>
      <c r="M8" s="441"/>
      <c r="N8" s="441"/>
    </row>
    <row r="9" spans="1:37" ht="15.75" thickBot="1" x14ac:dyDescent="0.3">
      <c r="A9" s="24"/>
      <c r="H9" s="13"/>
      <c r="I9" s="13"/>
      <c r="J9" s="13"/>
      <c r="K9" s="13"/>
      <c r="L9" s="13"/>
      <c r="M9" s="13"/>
      <c r="N9" s="13"/>
    </row>
    <row r="10" spans="1:37" s="3" customFormat="1" ht="15" customHeight="1" thickBot="1" x14ac:dyDescent="0.3">
      <c r="B10" s="10"/>
      <c r="C10" s="225" t="s">
        <v>73</v>
      </c>
      <c r="D10" s="104"/>
      <c r="E10" s="439" t="s">
        <v>456</v>
      </c>
      <c r="F10" s="439"/>
      <c r="G10" s="439"/>
      <c r="H10" s="258"/>
    </row>
    <row r="11" spans="1:37" x14ac:dyDescent="0.25">
      <c r="B11" s="11" t="s">
        <v>423</v>
      </c>
      <c r="C11" s="240">
        <f>WaitingList</f>
        <v>2401</v>
      </c>
      <c r="D11" s="103"/>
      <c r="E11" s="49"/>
      <c r="F11" s="24"/>
      <c r="I11" s="39"/>
    </row>
    <row r="12" spans="1:37" x14ac:dyDescent="0.25">
      <c r="B12" s="40" t="s">
        <v>424</v>
      </c>
      <c r="C12" s="240" t="str">
        <f ca="1">CONCATENATE(TEXT(MaxWaitingList*0.95,"#")," to ",TEXT(MaxWaitingList*1.05,"#"))</f>
        <v>929 to 1027</v>
      </c>
      <c r="E12" s="449" t="s">
        <v>829</v>
      </c>
      <c r="F12" s="449"/>
      <c r="G12" s="449"/>
      <c r="H12" s="449"/>
      <c r="I12" s="449"/>
      <c r="J12" s="449"/>
      <c r="K12" s="449"/>
      <c r="L12" s="449"/>
      <c r="M12" s="449"/>
      <c r="N12" s="449"/>
    </row>
    <row r="13" spans="1:37" ht="15.75" thickBot="1" x14ac:dyDescent="0.3">
      <c r="B13" s="11" t="s">
        <v>425</v>
      </c>
      <c r="C13" s="227" t="str">
        <f ca="1">IF(WaitingList&gt;MaxWaitingList*1.05,CONCATENATE(TEXT(WaitingList-MaxWaitingList*1.05,"#")," to ",TEXT(WaitingList-MaxWaitingList*0.95,"#")),"n/a")</f>
        <v>1374 to 1472</v>
      </c>
      <c r="E13" s="449"/>
      <c r="F13" s="449"/>
      <c r="G13" s="449"/>
      <c r="H13" s="449"/>
      <c r="I13" s="449"/>
      <c r="J13" s="449"/>
      <c r="K13" s="449"/>
      <c r="L13" s="449"/>
      <c r="M13" s="449"/>
      <c r="N13" s="449"/>
    </row>
    <row r="14" spans="1:37" ht="15.75" thickBot="1" x14ac:dyDescent="0.3">
      <c r="E14" s="450"/>
      <c r="F14" s="450"/>
      <c r="G14" s="450"/>
      <c r="H14" s="450"/>
      <c r="I14" s="450"/>
      <c r="J14" s="450"/>
      <c r="K14" s="450"/>
      <c r="L14" s="450"/>
      <c r="M14" s="450"/>
      <c r="N14" s="450"/>
    </row>
    <row r="15" spans="1:37" ht="27.75" customHeight="1" x14ac:dyDescent="0.25">
      <c r="A15" s="432" t="s">
        <v>426</v>
      </c>
      <c r="B15" s="433"/>
      <c r="C15" s="433"/>
      <c r="D15" s="241">
        <f>$H$10</f>
        <v>0</v>
      </c>
      <c r="E15" s="241">
        <f t="array" ref="E15:AK15">D15:AJ15+7</f>
        <v>7</v>
      </c>
      <c r="F15" s="241">
        <v>14</v>
      </c>
      <c r="G15" s="241">
        <v>21</v>
      </c>
      <c r="H15" s="241">
        <v>28</v>
      </c>
      <c r="I15" s="241">
        <v>35</v>
      </c>
      <c r="J15" s="241">
        <v>42</v>
      </c>
      <c r="K15" s="241">
        <v>49</v>
      </c>
      <c r="L15" s="241">
        <v>56</v>
      </c>
      <c r="M15" s="241">
        <v>63</v>
      </c>
      <c r="N15" s="241">
        <v>70</v>
      </c>
      <c r="O15" s="241">
        <v>77</v>
      </c>
      <c r="P15" s="241">
        <v>84</v>
      </c>
      <c r="Q15" s="241">
        <v>91</v>
      </c>
      <c r="R15" s="241">
        <v>98</v>
      </c>
      <c r="S15" s="241">
        <v>105</v>
      </c>
      <c r="T15" s="241">
        <v>112</v>
      </c>
      <c r="U15" s="241">
        <v>119</v>
      </c>
      <c r="V15" s="241">
        <v>126</v>
      </c>
      <c r="W15" s="241">
        <v>133</v>
      </c>
      <c r="X15" s="241">
        <v>140</v>
      </c>
      <c r="Y15" s="241">
        <v>147</v>
      </c>
      <c r="Z15" s="241">
        <v>154</v>
      </c>
      <c r="AA15" s="241">
        <v>161</v>
      </c>
      <c r="AB15" s="241">
        <v>168</v>
      </c>
      <c r="AC15" s="241">
        <v>175</v>
      </c>
      <c r="AD15" s="241">
        <v>182</v>
      </c>
      <c r="AE15" s="241">
        <v>189</v>
      </c>
      <c r="AF15" s="241">
        <v>196</v>
      </c>
      <c r="AG15" s="241">
        <v>203</v>
      </c>
      <c r="AH15" s="241">
        <v>210</v>
      </c>
      <c r="AI15" s="241">
        <v>217</v>
      </c>
      <c r="AJ15" s="241">
        <v>224</v>
      </c>
      <c r="AK15" s="242">
        <v>231</v>
      </c>
    </row>
    <row r="16" spans="1:37" s="41" customFormat="1" x14ac:dyDescent="0.25">
      <c r="A16" s="434" t="s">
        <v>433</v>
      </c>
      <c r="B16" s="435"/>
      <c r="C16" s="435"/>
      <c r="D16" s="243">
        <f t="array" ref="D16:AK16">SlotsPerWeek+AdHocSlotsPerWeek</f>
        <v>233</v>
      </c>
      <c r="E16" s="243">
        <v>233</v>
      </c>
      <c r="F16" s="243">
        <v>233</v>
      </c>
      <c r="G16" s="243">
        <v>233</v>
      </c>
      <c r="H16" s="243">
        <v>233</v>
      </c>
      <c r="I16" s="243">
        <v>233</v>
      </c>
      <c r="J16" s="243">
        <v>233</v>
      </c>
      <c r="K16" s="243">
        <v>233</v>
      </c>
      <c r="L16" s="243">
        <v>233</v>
      </c>
      <c r="M16" s="243">
        <v>233</v>
      </c>
      <c r="N16" s="243">
        <v>233</v>
      </c>
      <c r="O16" s="243">
        <v>233</v>
      </c>
      <c r="P16" s="243">
        <v>233</v>
      </c>
      <c r="Q16" s="243">
        <v>233</v>
      </c>
      <c r="R16" s="243">
        <v>233</v>
      </c>
      <c r="S16" s="243">
        <v>233</v>
      </c>
      <c r="T16" s="243">
        <v>233</v>
      </c>
      <c r="U16" s="243">
        <v>233</v>
      </c>
      <c r="V16" s="243">
        <v>233</v>
      </c>
      <c r="W16" s="243">
        <v>233</v>
      </c>
      <c r="X16" s="243">
        <v>233</v>
      </c>
      <c r="Y16" s="243">
        <v>233</v>
      </c>
      <c r="Z16" s="243">
        <v>233</v>
      </c>
      <c r="AA16" s="243">
        <v>233</v>
      </c>
      <c r="AB16" s="243">
        <v>233</v>
      </c>
      <c r="AC16" s="243">
        <v>233</v>
      </c>
      <c r="AD16" s="243">
        <v>233</v>
      </c>
      <c r="AE16" s="243">
        <v>233</v>
      </c>
      <c r="AF16" s="243">
        <v>233</v>
      </c>
      <c r="AG16" s="243">
        <v>233</v>
      </c>
      <c r="AH16" s="243">
        <v>233</v>
      </c>
      <c r="AI16" s="243">
        <v>233</v>
      </c>
      <c r="AJ16" s="243">
        <v>233</v>
      </c>
      <c r="AK16" s="244">
        <v>233</v>
      </c>
    </row>
    <row r="17" spans="1:37" s="52" customFormat="1" x14ac:dyDescent="0.25">
      <c r="A17" s="445" t="s">
        <v>427</v>
      </c>
      <c r="B17" s="446"/>
      <c r="C17" s="446"/>
      <c r="D17" s="245">
        <v>120</v>
      </c>
      <c r="E17" s="245">
        <v>120</v>
      </c>
      <c r="F17" s="245">
        <v>120</v>
      </c>
      <c r="G17" s="245">
        <v>120</v>
      </c>
      <c r="H17" s="245">
        <v>120</v>
      </c>
      <c r="I17" s="245">
        <v>120</v>
      </c>
      <c r="J17" s="245">
        <v>120</v>
      </c>
      <c r="K17" s="245">
        <v>120</v>
      </c>
      <c r="L17" s="245">
        <v>120</v>
      </c>
      <c r="M17" s="245"/>
      <c r="N17" s="245"/>
      <c r="O17" s="245"/>
      <c r="P17" s="245"/>
      <c r="Q17" s="245"/>
      <c r="R17" s="245"/>
      <c r="S17" s="245"/>
      <c r="T17" s="245"/>
      <c r="U17" s="245"/>
      <c r="V17" s="245"/>
      <c r="W17" s="245"/>
      <c r="X17" s="245"/>
      <c r="Y17" s="245"/>
      <c r="Z17" s="245"/>
      <c r="AA17" s="245"/>
      <c r="AB17" s="245"/>
      <c r="AC17" s="245"/>
      <c r="AD17" s="245"/>
      <c r="AE17" s="245"/>
      <c r="AF17" s="245"/>
      <c r="AG17" s="245"/>
      <c r="AH17" s="245"/>
      <c r="AI17" s="245"/>
      <c r="AJ17" s="245"/>
      <c r="AK17" s="246"/>
    </row>
    <row r="18" spans="1:37" s="53" customFormat="1" x14ac:dyDescent="0.25">
      <c r="A18" s="445" t="s">
        <v>428</v>
      </c>
      <c r="B18" s="446"/>
      <c r="C18" s="446"/>
      <c r="D18" s="245"/>
      <c r="E18" s="245"/>
      <c r="F18" s="245"/>
      <c r="G18" s="245"/>
      <c r="H18" s="245"/>
      <c r="I18" s="245"/>
      <c r="J18" s="245"/>
      <c r="K18" s="245"/>
      <c r="L18" s="245"/>
      <c r="M18" s="245"/>
      <c r="N18" s="245"/>
      <c r="O18" s="245"/>
      <c r="P18" s="245"/>
      <c r="Q18" s="245"/>
      <c r="R18" s="245"/>
      <c r="S18" s="245"/>
      <c r="T18" s="245"/>
      <c r="U18" s="245"/>
      <c r="V18" s="245"/>
      <c r="W18" s="245"/>
      <c r="X18" s="245"/>
      <c r="Y18" s="245"/>
      <c r="Z18" s="245"/>
      <c r="AA18" s="245"/>
      <c r="AB18" s="245"/>
      <c r="AC18" s="245"/>
      <c r="AD18" s="245"/>
      <c r="AE18" s="245"/>
      <c r="AF18" s="245"/>
      <c r="AG18" s="245"/>
      <c r="AH18" s="245"/>
      <c r="AI18" s="245"/>
      <c r="AJ18" s="245"/>
      <c r="AK18" s="246"/>
    </row>
    <row r="19" spans="1:37" s="53" customFormat="1" x14ac:dyDescent="0.25">
      <c r="A19" s="445" t="s">
        <v>429</v>
      </c>
      <c r="B19" s="446"/>
      <c r="C19" s="446"/>
      <c r="D19" s="245"/>
      <c r="E19" s="245"/>
      <c r="F19" s="245"/>
      <c r="G19" s="245"/>
      <c r="H19" s="245"/>
      <c r="I19" s="245"/>
      <c r="J19" s="245"/>
      <c r="K19" s="245"/>
      <c r="L19" s="245"/>
      <c r="M19" s="245"/>
      <c r="N19" s="245"/>
      <c r="O19" s="245"/>
      <c r="P19" s="245"/>
      <c r="Q19" s="245"/>
      <c r="R19" s="245"/>
      <c r="S19" s="245"/>
      <c r="T19" s="245"/>
      <c r="U19" s="245"/>
      <c r="V19" s="245"/>
      <c r="W19" s="245"/>
      <c r="X19" s="245"/>
      <c r="Y19" s="245"/>
      <c r="Z19" s="245"/>
      <c r="AA19" s="245"/>
      <c r="AB19" s="245"/>
      <c r="AC19" s="245"/>
      <c r="AD19" s="245"/>
      <c r="AE19" s="245"/>
      <c r="AF19" s="245"/>
      <c r="AG19" s="245"/>
      <c r="AH19" s="245"/>
      <c r="AI19" s="245"/>
      <c r="AJ19" s="245"/>
      <c r="AK19" s="246"/>
    </row>
    <row r="20" spans="1:37" s="52" customFormat="1" x14ac:dyDescent="0.25">
      <c r="A20" s="445" t="s">
        <v>430</v>
      </c>
      <c r="B20" s="446"/>
      <c r="C20" s="446"/>
      <c r="D20" s="245"/>
      <c r="E20" s="245"/>
      <c r="F20" s="245"/>
      <c r="G20" s="245"/>
      <c r="H20" s="245"/>
      <c r="I20" s="245"/>
      <c r="J20" s="245"/>
      <c r="K20" s="245"/>
      <c r="L20" s="245"/>
      <c r="M20" s="245"/>
      <c r="N20" s="245"/>
      <c r="O20" s="245"/>
      <c r="P20" s="245"/>
      <c r="Q20" s="245"/>
      <c r="R20" s="245"/>
      <c r="S20" s="245"/>
      <c r="T20" s="245"/>
      <c r="U20" s="245"/>
      <c r="V20" s="245"/>
      <c r="W20" s="245"/>
      <c r="X20" s="245"/>
      <c r="Y20" s="245"/>
      <c r="Z20" s="245"/>
      <c r="AA20" s="245"/>
      <c r="AB20" s="245"/>
      <c r="AC20" s="245"/>
      <c r="AD20" s="245"/>
      <c r="AE20" s="245"/>
      <c r="AF20" s="245"/>
      <c r="AG20" s="245"/>
      <c r="AH20" s="245"/>
      <c r="AI20" s="245"/>
      <c r="AJ20" s="245"/>
      <c r="AK20" s="246"/>
    </row>
    <row r="21" spans="1:37" s="41" customFormat="1" x14ac:dyDescent="0.25">
      <c r="A21" s="430" t="str">
        <f>"Total " &amp; Specialty &amp; " Capacity"</f>
        <v>Total Blood Transfusion Capacity</v>
      </c>
      <c r="B21" s="431"/>
      <c r="C21" s="431"/>
      <c r="D21" s="243">
        <f>SUM(D16:D20)</f>
        <v>353</v>
      </c>
      <c r="E21" s="243">
        <f t="shared" ref="E21:AK21" si="0">SUM(E16:E20)</f>
        <v>353</v>
      </c>
      <c r="F21" s="243">
        <f t="shared" si="0"/>
        <v>353</v>
      </c>
      <c r="G21" s="243">
        <f t="shared" si="0"/>
        <v>353</v>
      </c>
      <c r="H21" s="243">
        <f t="shared" si="0"/>
        <v>353</v>
      </c>
      <c r="I21" s="243">
        <f t="shared" si="0"/>
        <v>353</v>
      </c>
      <c r="J21" s="243">
        <f t="shared" si="0"/>
        <v>353</v>
      </c>
      <c r="K21" s="243">
        <f t="shared" si="0"/>
        <v>353</v>
      </c>
      <c r="L21" s="243">
        <f t="shared" si="0"/>
        <v>353</v>
      </c>
      <c r="M21" s="243">
        <f t="shared" si="0"/>
        <v>233</v>
      </c>
      <c r="N21" s="243">
        <f t="shared" si="0"/>
        <v>233</v>
      </c>
      <c r="O21" s="243">
        <f t="shared" si="0"/>
        <v>233</v>
      </c>
      <c r="P21" s="243">
        <f t="shared" si="0"/>
        <v>233</v>
      </c>
      <c r="Q21" s="243">
        <f t="shared" si="0"/>
        <v>233</v>
      </c>
      <c r="R21" s="243">
        <f t="shared" si="0"/>
        <v>233</v>
      </c>
      <c r="S21" s="243">
        <f t="shared" si="0"/>
        <v>233</v>
      </c>
      <c r="T21" s="243">
        <f t="shared" si="0"/>
        <v>233</v>
      </c>
      <c r="U21" s="243">
        <f t="shared" si="0"/>
        <v>233</v>
      </c>
      <c r="V21" s="243">
        <f t="shared" si="0"/>
        <v>233</v>
      </c>
      <c r="W21" s="243">
        <f t="shared" si="0"/>
        <v>233</v>
      </c>
      <c r="X21" s="243">
        <f t="shared" si="0"/>
        <v>233</v>
      </c>
      <c r="Y21" s="243">
        <f t="shared" si="0"/>
        <v>233</v>
      </c>
      <c r="Z21" s="243">
        <f t="shared" si="0"/>
        <v>233</v>
      </c>
      <c r="AA21" s="243">
        <f t="shared" si="0"/>
        <v>233</v>
      </c>
      <c r="AB21" s="243">
        <f t="shared" si="0"/>
        <v>233</v>
      </c>
      <c r="AC21" s="243">
        <f t="shared" si="0"/>
        <v>233</v>
      </c>
      <c r="AD21" s="243">
        <f t="shared" si="0"/>
        <v>233</v>
      </c>
      <c r="AE21" s="243">
        <f t="shared" si="0"/>
        <v>233</v>
      </c>
      <c r="AF21" s="243">
        <f t="shared" si="0"/>
        <v>233</v>
      </c>
      <c r="AG21" s="243">
        <f t="shared" si="0"/>
        <v>233</v>
      </c>
      <c r="AH21" s="243">
        <f t="shared" si="0"/>
        <v>233</v>
      </c>
      <c r="AI21" s="243">
        <f t="shared" si="0"/>
        <v>233</v>
      </c>
      <c r="AJ21" s="243">
        <f t="shared" si="0"/>
        <v>233</v>
      </c>
      <c r="AK21" s="244">
        <f t="shared" si="0"/>
        <v>233</v>
      </c>
    </row>
    <row r="22" spans="1:37" s="41" customFormat="1" ht="15" customHeight="1" thickBot="1" x14ac:dyDescent="0.3">
      <c r="A22" s="428" t="str">
        <f>Specialty &amp; " PTL"</f>
        <v>Blood Transfusion PTL</v>
      </c>
      <c r="B22" s="429"/>
      <c r="C22" s="429"/>
      <c r="D22" s="247">
        <f ca="1">IF(WaitingList-D21+RefsPerWeek+DNARebooked&lt;0,0,WaitingList-D21+RefsPerWeek+DNARebooked)</f>
        <v>2243.9257157894735</v>
      </c>
      <c r="E22" s="247">
        <f t="array" ref="E22:AK22" ca="1">IF((D22:AJ22+RefsPerWeek-E21:AK21+DNARebooked)&gt;0,D22:AJ22+RefsPerWeek-E21:AK21+DNARebooked,0)</f>
        <v>2086.8514315789471</v>
      </c>
      <c r="F22" s="247">
        <f ca="1"/>
        <v>1929.7771473684206</v>
      </c>
      <c r="G22" s="247">
        <f ca="1"/>
        <v>1772.7028631578942</v>
      </c>
      <c r="H22" s="247">
        <f ca="1"/>
        <v>1615.6285789473677</v>
      </c>
      <c r="I22" s="247">
        <f ca="1"/>
        <v>1458.5542947368413</v>
      </c>
      <c r="J22" s="247">
        <f ca="1"/>
        <v>1301.4800105263148</v>
      </c>
      <c r="K22" s="247">
        <f ca="1"/>
        <v>1144.4057263157883</v>
      </c>
      <c r="L22" s="247">
        <f ca="1"/>
        <v>987.33144210526189</v>
      </c>
      <c r="M22" s="247">
        <f ca="1"/>
        <v>950.25715789473543</v>
      </c>
      <c r="N22" s="247">
        <f ca="1"/>
        <v>913.18287368420897</v>
      </c>
      <c r="O22" s="247">
        <f ca="1"/>
        <v>876.10858947368251</v>
      </c>
      <c r="P22" s="247">
        <f ca="1"/>
        <v>839.03430526315606</v>
      </c>
      <c r="Q22" s="247">
        <f ca="1"/>
        <v>801.9600210526296</v>
      </c>
      <c r="R22" s="247">
        <f ca="1"/>
        <v>764.88573684210326</v>
      </c>
      <c r="S22" s="247">
        <f ca="1"/>
        <v>727.81145263157691</v>
      </c>
      <c r="T22" s="247">
        <f ca="1"/>
        <v>690.73716842105057</v>
      </c>
      <c r="U22" s="247">
        <f ca="1"/>
        <v>653.66288421052423</v>
      </c>
      <c r="V22" s="247">
        <f ca="1"/>
        <v>616.58859999999788</v>
      </c>
      <c r="W22" s="247">
        <f ca="1"/>
        <v>579.51431578947154</v>
      </c>
      <c r="X22" s="247">
        <f ca="1"/>
        <v>542.4400315789452</v>
      </c>
      <c r="Y22" s="247">
        <f ca="1"/>
        <v>505.36574736841885</v>
      </c>
      <c r="Z22" s="247">
        <f ca="1"/>
        <v>468.29146315789251</v>
      </c>
      <c r="AA22" s="247">
        <f ca="1"/>
        <v>431.21717894736616</v>
      </c>
      <c r="AB22" s="247">
        <f ca="1"/>
        <v>394.14289473683982</v>
      </c>
      <c r="AC22" s="247">
        <f ca="1"/>
        <v>357.06861052631348</v>
      </c>
      <c r="AD22" s="247">
        <f ca="1"/>
        <v>319.99432631578713</v>
      </c>
      <c r="AE22" s="247">
        <f ca="1"/>
        <v>282.92004210526079</v>
      </c>
      <c r="AF22" s="247">
        <f ca="1"/>
        <v>245.84575789473448</v>
      </c>
      <c r="AG22" s="247">
        <f ca="1"/>
        <v>208.77147368420813</v>
      </c>
      <c r="AH22" s="247">
        <f ca="1"/>
        <v>171.69718947368179</v>
      </c>
      <c r="AI22" s="247">
        <f ca="1"/>
        <v>134.62290526315545</v>
      </c>
      <c r="AJ22" s="247">
        <f ca="1"/>
        <v>97.548621052629088</v>
      </c>
      <c r="AK22" s="248">
        <f ca="1"/>
        <v>60.474336842102751</v>
      </c>
    </row>
    <row r="23" spans="1:37" s="16" customFormat="1" ht="15.75" thickBot="1" x14ac:dyDescent="0.3">
      <c r="D23" s="16">
        <f t="array" aca="1" ref="D23:AK23" ca="1">MaxWaitingList*0.95</f>
        <v>929.09999999999991</v>
      </c>
      <c r="E23" s="16">
        <f ca="1"/>
        <v>929.09999999999991</v>
      </c>
      <c r="F23" s="16">
        <f ca="1"/>
        <v>929.09999999999991</v>
      </c>
      <c r="G23" s="16">
        <f ca="1"/>
        <v>929.09999999999991</v>
      </c>
      <c r="H23" s="16">
        <f ca="1"/>
        <v>929.09999999999991</v>
      </c>
      <c r="I23" s="16">
        <f ca="1"/>
        <v>929.09999999999991</v>
      </c>
      <c r="J23" s="16">
        <f ca="1"/>
        <v>929.09999999999991</v>
      </c>
      <c r="K23" s="16">
        <f ca="1"/>
        <v>929.09999999999991</v>
      </c>
      <c r="L23" s="16">
        <f ca="1"/>
        <v>929.09999999999991</v>
      </c>
      <c r="M23" s="16">
        <f ca="1"/>
        <v>929.09999999999991</v>
      </c>
      <c r="N23" s="16">
        <f ca="1"/>
        <v>929.09999999999991</v>
      </c>
      <c r="O23" s="16">
        <f ca="1"/>
        <v>929.09999999999991</v>
      </c>
      <c r="P23" s="16">
        <f ca="1"/>
        <v>929.09999999999991</v>
      </c>
      <c r="Q23" s="16">
        <f ca="1"/>
        <v>929.09999999999991</v>
      </c>
      <c r="R23" s="16">
        <f ca="1"/>
        <v>929.09999999999991</v>
      </c>
      <c r="S23" s="16">
        <f ca="1"/>
        <v>929.09999999999991</v>
      </c>
      <c r="T23" s="16">
        <f ca="1"/>
        <v>929.09999999999991</v>
      </c>
      <c r="U23" s="16">
        <f ca="1"/>
        <v>929.09999999999991</v>
      </c>
      <c r="V23" s="16">
        <f ca="1"/>
        <v>929.09999999999991</v>
      </c>
      <c r="W23" s="16">
        <f ca="1"/>
        <v>929.09999999999991</v>
      </c>
      <c r="X23" s="16">
        <f ca="1"/>
        <v>929.09999999999991</v>
      </c>
      <c r="Y23" s="16">
        <f ca="1"/>
        <v>929.09999999999991</v>
      </c>
      <c r="Z23" s="16">
        <f ca="1"/>
        <v>929.09999999999991</v>
      </c>
      <c r="AA23" s="16">
        <f ca="1"/>
        <v>929.09999999999991</v>
      </c>
      <c r="AB23" s="16">
        <f ca="1"/>
        <v>929.09999999999991</v>
      </c>
      <c r="AC23" s="16">
        <f ca="1"/>
        <v>929.09999999999991</v>
      </c>
      <c r="AD23" s="16">
        <f ca="1"/>
        <v>929.09999999999991</v>
      </c>
      <c r="AE23" s="16">
        <f ca="1"/>
        <v>929.09999999999991</v>
      </c>
      <c r="AF23" s="16">
        <f ca="1"/>
        <v>929.09999999999991</v>
      </c>
      <c r="AG23" s="16">
        <f ca="1"/>
        <v>929.09999999999991</v>
      </c>
      <c r="AH23" s="16">
        <f ca="1"/>
        <v>929.09999999999991</v>
      </c>
      <c r="AI23" s="16">
        <f ca="1"/>
        <v>929.09999999999991</v>
      </c>
      <c r="AJ23" s="16">
        <f ca="1"/>
        <v>929.09999999999991</v>
      </c>
      <c r="AK23" s="16">
        <f ca="1"/>
        <v>929.09999999999991</v>
      </c>
    </row>
    <row r="24" spans="1:37" ht="27.75" customHeight="1" thickBot="1" x14ac:dyDescent="0.3">
      <c r="A24" s="447" t="s">
        <v>431</v>
      </c>
      <c r="B24" s="448"/>
      <c r="C24" s="448"/>
      <c r="D24" s="249">
        <f t="array" ref="D24:AK24">D15:AK15</f>
        <v>0</v>
      </c>
      <c r="E24" s="249">
        <v>7</v>
      </c>
      <c r="F24" s="249">
        <v>14</v>
      </c>
      <c r="G24" s="249">
        <v>21</v>
      </c>
      <c r="H24" s="249">
        <v>28</v>
      </c>
      <c r="I24" s="249">
        <v>35</v>
      </c>
      <c r="J24" s="249">
        <v>42</v>
      </c>
      <c r="K24" s="249">
        <v>49</v>
      </c>
      <c r="L24" s="249">
        <v>56</v>
      </c>
      <c r="M24" s="249">
        <v>63</v>
      </c>
      <c r="N24" s="249">
        <v>70</v>
      </c>
      <c r="O24" s="249">
        <v>77</v>
      </c>
      <c r="P24" s="249">
        <v>84</v>
      </c>
      <c r="Q24" s="249">
        <v>91</v>
      </c>
      <c r="R24" s="249">
        <v>98</v>
      </c>
      <c r="S24" s="249">
        <v>105</v>
      </c>
      <c r="T24" s="249">
        <v>112</v>
      </c>
      <c r="U24" s="249">
        <v>119</v>
      </c>
      <c r="V24" s="249">
        <v>126</v>
      </c>
      <c r="W24" s="249">
        <v>133</v>
      </c>
      <c r="X24" s="249">
        <v>140</v>
      </c>
      <c r="Y24" s="249">
        <v>147</v>
      </c>
      <c r="Z24" s="249">
        <v>154</v>
      </c>
      <c r="AA24" s="249">
        <v>161</v>
      </c>
      <c r="AB24" s="249">
        <v>168</v>
      </c>
      <c r="AC24" s="249">
        <v>175</v>
      </c>
      <c r="AD24" s="249">
        <v>182</v>
      </c>
      <c r="AE24" s="249">
        <v>189</v>
      </c>
      <c r="AF24" s="249">
        <v>196</v>
      </c>
      <c r="AG24" s="249">
        <v>203</v>
      </c>
      <c r="AH24" s="249">
        <v>210</v>
      </c>
      <c r="AI24" s="249">
        <v>217</v>
      </c>
      <c r="AJ24" s="249">
        <v>224</v>
      </c>
      <c r="AK24" s="250">
        <v>231</v>
      </c>
    </row>
    <row r="25" spans="1:37" s="41" customFormat="1" x14ac:dyDescent="0.25">
      <c r="A25" s="434" t="s">
        <v>433</v>
      </c>
      <c r="B25" s="435"/>
      <c r="C25" s="435"/>
      <c r="D25" s="251">
        <f t="array" ref="D25:AK25">SlotsPerWeek+AdHocSlotsPerWeek</f>
        <v>233</v>
      </c>
      <c r="E25" s="251">
        <v>233</v>
      </c>
      <c r="F25" s="251">
        <v>233</v>
      </c>
      <c r="G25" s="251">
        <v>233</v>
      </c>
      <c r="H25" s="251">
        <v>233</v>
      </c>
      <c r="I25" s="251">
        <v>233</v>
      </c>
      <c r="J25" s="251">
        <v>233</v>
      </c>
      <c r="K25" s="251">
        <v>233</v>
      </c>
      <c r="L25" s="251">
        <v>233</v>
      </c>
      <c r="M25" s="251">
        <v>233</v>
      </c>
      <c r="N25" s="251">
        <v>233</v>
      </c>
      <c r="O25" s="251">
        <v>233</v>
      </c>
      <c r="P25" s="251">
        <v>233</v>
      </c>
      <c r="Q25" s="251">
        <v>233</v>
      </c>
      <c r="R25" s="251">
        <v>233</v>
      </c>
      <c r="S25" s="251">
        <v>233</v>
      </c>
      <c r="T25" s="251">
        <v>233</v>
      </c>
      <c r="U25" s="251">
        <v>233</v>
      </c>
      <c r="V25" s="251">
        <v>233</v>
      </c>
      <c r="W25" s="251">
        <v>233</v>
      </c>
      <c r="X25" s="251">
        <v>233</v>
      </c>
      <c r="Y25" s="251">
        <v>233</v>
      </c>
      <c r="Z25" s="251">
        <v>233</v>
      </c>
      <c r="AA25" s="251">
        <v>233</v>
      </c>
      <c r="AB25" s="251">
        <v>233</v>
      </c>
      <c r="AC25" s="251">
        <v>233</v>
      </c>
      <c r="AD25" s="251">
        <v>233</v>
      </c>
      <c r="AE25" s="251">
        <v>233</v>
      </c>
      <c r="AF25" s="251">
        <v>233</v>
      </c>
      <c r="AG25" s="251">
        <v>233</v>
      </c>
      <c r="AH25" s="251">
        <v>233</v>
      </c>
      <c r="AI25" s="251">
        <v>233</v>
      </c>
      <c r="AJ25" s="251">
        <v>233</v>
      </c>
      <c r="AK25" s="252">
        <v>233</v>
      </c>
    </row>
    <row r="26" spans="1:37" s="42" customFormat="1" x14ac:dyDescent="0.25">
      <c r="A26" s="445" t="s">
        <v>427</v>
      </c>
      <c r="B26" s="446"/>
      <c r="C26" s="446"/>
      <c r="D26" s="245"/>
      <c r="E26" s="245"/>
      <c r="F26" s="245"/>
      <c r="G26" s="245"/>
      <c r="H26" s="245"/>
      <c r="I26" s="245"/>
      <c r="J26" s="245"/>
      <c r="K26" s="245"/>
      <c r="L26" s="245"/>
      <c r="M26" s="245"/>
      <c r="N26" s="245"/>
      <c r="O26" s="245"/>
      <c r="P26" s="245"/>
      <c r="Q26" s="245"/>
      <c r="R26" s="245"/>
      <c r="S26" s="245"/>
      <c r="T26" s="245"/>
      <c r="U26" s="245"/>
      <c r="V26" s="245"/>
      <c r="W26" s="245"/>
      <c r="X26" s="245"/>
      <c r="Y26" s="245"/>
      <c r="Z26" s="245"/>
      <c r="AA26" s="245"/>
      <c r="AB26" s="245"/>
      <c r="AC26" s="245"/>
      <c r="AD26" s="245"/>
      <c r="AE26" s="245"/>
      <c r="AF26" s="245"/>
      <c r="AG26" s="245"/>
      <c r="AH26" s="245"/>
      <c r="AI26" s="245"/>
      <c r="AJ26" s="245"/>
      <c r="AK26" s="246"/>
    </row>
    <row r="27" spans="1:37" s="43" customFormat="1" x14ac:dyDescent="0.25">
      <c r="A27" s="445" t="s">
        <v>428</v>
      </c>
      <c r="B27" s="446"/>
      <c r="C27" s="446"/>
      <c r="D27" s="245"/>
      <c r="E27" s="245"/>
      <c r="F27" s="245"/>
      <c r="G27" s="245"/>
      <c r="H27" s="245"/>
      <c r="I27" s="245"/>
      <c r="J27" s="245"/>
      <c r="K27" s="245"/>
      <c r="L27" s="245"/>
      <c r="M27" s="245"/>
      <c r="N27" s="245"/>
      <c r="O27" s="245"/>
      <c r="P27" s="245"/>
      <c r="Q27" s="245"/>
      <c r="R27" s="245"/>
      <c r="S27" s="245"/>
      <c r="T27" s="245"/>
      <c r="U27" s="245"/>
      <c r="V27" s="245"/>
      <c r="W27" s="245"/>
      <c r="X27" s="245"/>
      <c r="Y27" s="245"/>
      <c r="Z27" s="245"/>
      <c r="AA27" s="245"/>
      <c r="AB27" s="245"/>
      <c r="AC27" s="245"/>
      <c r="AD27" s="245"/>
      <c r="AE27" s="245"/>
      <c r="AF27" s="245"/>
      <c r="AG27" s="245"/>
      <c r="AH27" s="245"/>
      <c r="AI27" s="245"/>
      <c r="AJ27" s="245"/>
      <c r="AK27" s="246"/>
    </row>
    <row r="28" spans="1:37" s="43" customFormat="1" x14ac:dyDescent="0.25">
      <c r="A28" s="445" t="s">
        <v>429</v>
      </c>
      <c r="B28" s="446"/>
      <c r="C28" s="446"/>
      <c r="D28" s="245"/>
      <c r="E28" s="245"/>
      <c r="F28" s="245"/>
      <c r="G28" s="245"/>
      <c r="H28" s="245"/>
      <c r="I28" s="245"/>
      <c r="J28" s="245"/>
      <c r="K28" s="245"/>
      <c r="L28" s="245"/>
      <c r="M28" s="245"/>
      <c r="N28" s="245"/>
      <c r="O28" s="245"/>
      <c r="P28" s="245"/>
      <c r="Q28" s="245"/>
      <c r="R28" s="245"/>
      <c r="S28" s="245"/>
      <c r="T28" s="245"/>
      <c r="U28" s="245"/>
      <c r="V28" s="245"/>
      <c r="W28" s="245"/>
      <c r="X28" s="245"/>
      <c r="Y28" s="245"/>
      <c r="Z28" s="245"/>
      <c r="AA28" s="245"/>
      <c r="AB28" s="245"/>
      <c r="AC28" s="245"/>
      <c r="AD28" s="245"/>
      <c r="AE28" s="245"/>
      <c r="AF28" s="245"/>
      <c r="AG28" s="245"/>
      <c r="AH28" s="245"/>
      <c r="AI28" s="245"/>
      <c r="AJ28" s="245"/>
      <c r="AK28" s="246"/>
    </row>
    <row r="29" spans="1:37" s="42" customFormat="1" x14ac:dyDescent="0.25">
      <c r="A29" s="445" t="s">
        <v>430</v>
      </c>
      <c r="B29" s="446"/>
      <c r="C29" s="446"/>
      <c r="D29" s="245"/>
      <c r="E29" s="245"/>
      <c r="F29" s="245"/>
      <c r="G29" s="245"/>
      <c r="H29" s="245"/>
      <c r="I29" s="245"/>
      <c r="J29" s="245"/>
      <c r="K29" s="245"/>
      <c r="L29" s="245"/>
      <c r="M29" s="245"/>
      <c r="N29" s="245"/>
      <c r="O29" s="245"/>
      <c r="P29" s="245"/>
      <c r="Q29" s="245"/>
      <c r="R29" s="245"/>
      <c r="S29" s="245"/>
      <c r="T29" s="245"/>
      <c r="U29" s="245"/>
      <c r="V29" s="245"/>
      <c r="W29" s="245"/>
      <c r="X29" s="245"/>
      <c r="Y29" s="245"/>
      <c r="Z29" s="245"/>
      <c r="AA29" s="245"/>
      <c r="AB29" s="245"/>
      <c r="AC29" s="245"/>
      <c r="AD29" s="245"/>
      <c r="AE29" s="245"/>
      <c r="AF29" s="245"/>
      <c r="AG29" s="245"/>
      <c r="AH29" s="245"/>
      <c r="AI29" s="245"/>
      <c r="AJ29" s="245"/>
      <c r="AK29" s="246"/>
    </row>
    <row r="30" spans="1:37" s="41" customFormat="1" x14ac:dyDescent="0.25">
      <c r="A30" s="430" t="str">
        <f>"Total " &amp; Specialty &amp; " Capacity"</f>
        <v>Total Blood Transfusion Capacity</v>
      </c>
      <c r="B30" s="431"/>
      <c r="C30" s="431"/>
      <c r="D30" s="243">
        <f t="shared" ref="D30:AK30" si="1">SUM(D25:D29)</f>
        <v>233</v>
      </c>
      <c r="E30" s="243">
        <f t="shared" si="1"/>
        <v>233</v>
      </c>
      <c r="F30" s="243">
        <f t="shared" si="1"/>
        <v>233</v>
      </c>
      <c r="G30" s="243">
        <f t="shared" si="1"/>
        <v>233</v>
      </c>
      <c r="H30" s="243">
        <f t="shared" si="1"/>
        <v>233</v>
      </c>
      <c r="I30" s="243">
        <f t="shared" si="1"/>
        <v>233</v>
      </c>
      <c r="J30" s="243">
        <f t="shared" si="1"/>
        <v>233</v>
      </c>
      <c r="K30" s="243">
        <f t="shared" si="1"/>
        <v>233</v>
      </c>
      <c r="L30" s="243">
        <f t="shared" si="1"/>
        <v>233</v>
      </c>
      <c r="M30" s="243">
        <f t="shared" si="1"/>
        <v>233</v>
      </c>
      <c r="N30" s="243">
        <f t="shared" si="1"/>
        <v>233</v>
      </c>
      <c r="O30" s="243">
        <f t="shared" si="1"/>
        <v>233</v>
      </c>
      <c r="P30" s="243">
        <f t="shared" si="1"/>
        <v>233</v>
      </c>
      <c r="Q30" s="243">
        <f t="shared" si="1"/>
        <v>233</v>
      </c>
      <c r="R30" s="243">
        <f t="shared" si="1"/>
        <v>233</v>
      </c>
      <c r="S30" s="243">
        <f t="shared" si="1"/>
        <v>233</v>
      </c>
      <c r="T30" s="243">
        <f t="shared" si="1"/>
        <v>233</v>
      </c>
      <c r="U30" s="243">
        <f t="shared" si="1"/>
        <v>233</v>
      </c>
      <c r="V30" s="243">
        <f t="shared" si="1"/>
        <v>233</v>
      </c>
      <c r="W30" s="243">
        <f t="shared" si="1"/>
        <v>233</v>
      </c>
      <c r="X30" s="243">
        <f t="shared" si="1"/>
        <v>233</v>
      </c>
      <c r="Y30" s="243">
        <f t="shared" si="1"/>
        <v>233</v>
      </c>
      <c r="Z30" s="243">
        <f t="shared" si="1"/>
        <v>233</v>
      </c>
      <c r="AA30" s="243">
        <f t="shared" si="1"/>
        <v>233</v>
      </c>
      <c r="AB30" s="243">
        <f t="shared" si="1"/>
        <v>233</v>
      </c>
      <c r="AC30" s="243">
        <f t="shared" si="1"/>
        <v>233</v>
      </c>
      <c r="AD30" s="243">
        <f t="shared" si="1"/>
        <v>233</v>
      </c>
      <c r="AE30" s="243">
        <f t="shared" si="1"/>
        <v>233</v>
      </c>
      <c r="AF30" s="243">
        <f t="shared" si="1"/>
        <v>233</v>
      </c>
      <c r="AG30" s="243">
        <f t="shared" si="1"/>
        <v>233</v>
      </c>
      <c r="AH30" s="243">
        <f t="shared" si="1"/>
        <v>233</v>
      </c>
      <c r="AI30" s="243">
        <f t="shared" si="1"/>
        <v>233</v>
      </c>
      <c r="AJ30" s="243">
        <f t="shared" si="1"/>
        <v>233</v>
      </c>
      <c r="AK30" s="244">
        <f t="shared" si="1"/>
        <v>233</v>
      </c>
    </row>
    <row r="31" spans="1:37" s="41" customFormat="1" ht="15" customHeight="1" thickBot="1" x14ac:dyDescent="0.3">
      <c r="A31" s="428" t="str">
        <f>Specialty &amp; " PTL"</f>
        <v>Blood Transfusion PTL</v>
      </c>
      <c r="B31" s="429"/>
      <c r="C31" s="429"/>
      <c r="D31" s="247">
        <f ca="1">IF(WaitingList-D30+RefsPerWeek+DNARebooked&lt;0,0,WaitingList-D30+RefsPerWeek+DNARebooked)</f>
        <v>2363.9257157894735</v>
      </c>
      <c r="E31" s="247">
        <f t="array" ref="E31:AK31" ca="1">IF((D31:AJ31+RefsPerWeek-E30:AK30+DNARebooked)&gt;0,D31:AJ31+RefsPerWeek-E30:AK30+DNARebooked,0)</f>
        <v>2326.8514315789471</v>
      </c>
      <c r="F31" s="247">
        <f ca="1"/>
        <v>2289.7771473684206</v>
      </c>
      <c r="G31" s="247">
        <f ca="1"/>
        <v>2252.7028631578942</v>
      </c>
      <c r="H31" s="247">
        <f ca="1"/>
        <v>2215.6285789473677</v>
      </c>
      <c r="I31" s="247">
        <f ca="1"/>
        <v>2178.5542947368413</v>
      </c>
      <c r="J31" s="247">
        <f ca="1"/>
        <v>2141.4800105263148</v>
      </c>
      <c r="K31" s="247">
        <f ca="1"/>
        <v>2104.4057263157883</v>
      </c>
      <c r="L31" s="247">
        <f ca="1"/>
        <v>2067.3314421052619</v>
      </c>
      <c r="M31" s="247">
        <f ca="1"/>
        <v>2030.2571578947354</v>
      </c>
      <c r="N31" s="247">
        <f ca="1"/>
        <v>1993.182873684209</v>
      </c>
      <c r="O31" s="247">
        <f ca="1"/>
        <v>1956.1085894736825</v>
      </c>
      <c r="P31" s="247">
        <f ca="1"/>
        <v>1919.0343052631561</v>
      </c>
      <c r="Q31" s="247">
        <f ca="1"/>
        <v>1881.9600210526296</v>
      </c>
      <c r="R31" s="247">
        <f ca="1"/>
        <v>1844.8857368421031</v>
      </c>
      <c r="S31" s="247">
        <f ca="1"/>
        <v>1807.8114526315767</v>
      </c>
      <c r="T31" s="247">
        <f ca="1"/>
        <v>1770.7371684210502</v>
      </c>
      <c r="U31" s="247">
        <f ca="1"/>
        <v>1733.6628842105238</v>
      </c>
      <c r="V31" s="247">
        <f ca="1"/>
        <v>1696.5885999999973</v>
      </c>
      <c r="W31" s="247">
        <f ca="1"/>
        <v>1659.5143157894709</v>
      </c>
      <c r="X31" s="247">
        <f ca="1"/>
        <v>1622.4400315789444</v>
      </c>
      <c r="Y31" s="247">
        <f ca="1"/>
        <v>1585.3657473684179</v>
      </c>
      <c r="Z31" s="247">
        <f ca="1"/>
        <v>1548.2914631578915</v>
      </c>
      <c r="AA31" s="247">
        <f ca="1"/>
        <v>1511.217178947365</v>
      </c>
      <c r="AB31" s="247">
        <f ca="1"/>
        <v>1474.1428947368386</v>
      </c>
      <c r="AC31" s="247">
        <f ca="1"/>
        <v>1437.0686105263121</v>
      </c>
      <c r="AD31" s="247">
        <f ca="1"/>
        <v>1399.9943263157857</v>
      </c>
      <c r="AE31" s="247">
        <f ca="1"/>
        <v>1362.9200421052592</v>
      </c>
      <c r="AF31" s="247">
        <f ca="1"/>
        <v>1325.8457578947327</v>
      </c>
      <c r="AG31" s="247">
        <f ca="1"/>
        <v>1288.7714736842063</v>
      </c>
      <c r="AH31" s="247">
        <f ca="1"/>
        <v>1251.6971894736798</v>
      </c>
      <c r="AI31" s="247">
        <f ca="1"/>
        <v>1214.6229052631534</v>
      </c>
      <c r="AJ31" s="247">
        <f ca="1"/>
        <v>1177.5486210526269</v>
      </c>
      <c r="AK31" s="248">
        <f ca="1"/>
        <v>1140.4743368421005</v>
      </c>
    </row>
    <row r="32" spans="1:37" s="16" customFormat="1" ht="15.75" thickBot="1" x14ac:dyDescent="0.3">
      <c r="D32" s="16">
        <f t="array" aca="1" ref="D32:AK32" ca="1">MaxWaitingList*1.05</f>
        <v>1026.9000000000001</v>
      </c>
      <c r="E32" s="16">
        <f ca="1"/>
        <v>1026.9000000000001</v>
      </c>
      <c r="F32" s="16">
        <f ca="1"/>
        <v>1026.9000000000001</v>
      </c>
      <c r="G32" s="16">
        <f ca="1"/>
        <v>1026.9000000000001</v>
      </c>
      <c r="H32" s="16">
        <f ca="1"/>
        <v>1026.9000000000001</v>
      </c>
      <c r="I32" s="16">
        <f ca="1"/>
        <v>1026.9000000000001</v>
      </c>
      <c r="J32" s="16">
        <f ca="1"/>
        <v>1026.9000000000001</v>
      </c>
      <c r="K32" s="16">
        <f ca="1"/>
        <v>1026.9000000000001</v>
      </c>
      <c r="L32" s="16">
        <f ca="1"/>
        <v>1026.9000000000001</v>
      </c>
      <c r="M32" s="16">
        <f ca="1"/>
        <v>1026.9000000000001</v>
      </c>
      <c r="N32" s="16">
        <f ca="1"/>
        <v>1026.9000000000001</v>
      </c>
      <c r="O32" s="16">
        <f ca="1"/>
        <v>1026.9000000000001</v>
      </c>
      <c r="P32" s="16">
        <f ca="1"/>
        <v>1026.9000000000001</v>
      </c>
      <c r="Q32" s="16">
        <f ca="1"/>
        <v>1026.9000000000001</v>
      </c>
      <c r="R32" s="16">
        <f ca="1"/>
        <v>1026.9000000000001</v>
      </c>
      <c r="S32" s="16">
        <f ca="1"/>
        <v>1026.9000000000001</v>
      </c>
      <c r="T32" s="16">
        <f ca="1"/>
        <v>1026.9000000000001</v>
      </c>
      <c r="U32" s="16">
        <f ca="1"/>
        <v>1026.9000000000001</v>
      </c>
      <c r="V32" s="16">
        <f ca="1"/>
        <v>1026.9000000000001</v>
      </c>
      <c r="W32" s="16">
        <f ca="1"/>
        <v>1026.9000000000001</v>
      </c>
      <c r="X32" s="16">
        <f ca="1"/>
        <v>1026.9000000000001</v>
      </c>
      <c r="Y32" s="16">
        <f ca="1"/>
        <v>1026.9000000000001</v>
      </c>
      <c r="Z32" s="16">
        <f ca="1"/>
        <v>1026.9000000000001</v>
      </c>
      <c r="AA32" s="16">
        <f ca="1"/>
        <v>1026.9000000000001</v>
      </c>
      <c r="AB32" s="16">
        <f ca="1"/>
        <v>1026.9000000000001</v>
      </c>
      <c r="AC32" s="16">
        <f ca="1"/>
        <v>1026.9000000000001</v>
      </c>
      <c r="AD32" s="16">
        <f ca="1"/>
        <v>1026.9000000000001</v>
      </c>
      <c r="AE32" s="16">
        <f ca="1"/>
        <v>1026.9000000000001</v>
      </c>
      <c r="AF32" s="16">
        <f ca="1"/>
        <v>1026.9000000000001</v>
      </c>
      <c r="AG32" s="16">
        <f ca="1"/>
        <v>1026.9000000000001</v>
      </c>
      <c r="AH32" s="16">
        <f ca="1"/>
        <v>1026.9000000000001</v>
      </c>
      <c r="AI32" s="16">
        <f ca="1"/>
        <v>1026.9000000000001</v>
      </c>
      <c r="AJ32" s="16">
        <f ca="1"/>
        <v>1026.9000000000001</v>
      </c>
      <c r="AK32" s="16">
        <f ca="1"/>
        <v>1026.9000000000001</v>
      </c>
    </row>
    <row r="33" spans="1:37" ht="27.75" customHeight="1" x14ac:dyDescent="0.25">
      <c r="A33" s="432" t="s">
        <v>432</v>
      </c>
      <c r="B33" s="433"/>
      <c r="C33" s="433"/>
      <c r="D33" s="253">
        <f t="array" ref="D33:AK33">D15:AK15</f>
        <v>0</v>
      </c>
      <c r="E33" s="253">
        <v>7</v>
      </c>
      <c r="F33" s="253">
        <v>14</v>
      </c>
      <c r="G33" s="253">
        <v>21</v>
      </c>
      <c r="H33" s="253">
        <v>28</v>
      </c>
      <c r="I33" s="253">
        <v>35</v>
      </c>
      <c r="J33" s="253">
        <v>42</v>
      </c>
      <c r="K33" s="253">
        <v>49</v>
      </c>
      <c r="L33" s="253">
        <v>56</v>
      </c>
      <c r="M33" s="253">
        <v>63</v>
      </c>
      <c r="N33" s="253">
        <v>70</v>
      </c>
      <c r="O33" s="253">
        <v>77</v>
      </c>
      <c r="P33" s="253">
        <v>84</v>
      </c>
      <c r="Q33" s="253">
        <v>91</v>
      </c>
      <c r="R33" s="253">
        <v>98</v>
      </c>
      <c r="S33" s="253">
        <v>105</v>
      </c>
      <c r="T33" s="253">
        <v>112</v>
      </c>
      <c r="U33" s="253">
        <v>119</v>
      </c>
      <c r="V33" s="253">
        <v>126</v>
      </c>
      <c r="W33" s="253">
        <v>133</v>
      </c>
      <c r="X33" s="253">
        <v>140</v>
      </c>
      <c r="Y33" s="253">
        <v>147</v>
      </c>
      <c r="Z33" s="253">
        <v>154</v>
      </c>
      <c r="AA33" s="253">
        <v>161</v>
      </c>
      <c r="AB33" s="253">
        <v>168</v>
      </c>
      <c r="AC33" s="253">
        <v>175</v>
      </c>
      <c r="AD33" s="253">
        <v>182</v>
      </c>
      <c r="AE33" s="253">
        <v>189</v>
      </c>
      <c r="AF33" s="253">
        <v>196</v>
      </c>
      <c r="AG33" s="253">
        <v>203</v>
      </c>
      <c r="AH33" s="253">
        <v>210</v>
      </c>
      <c r="AI33" s="253">
        <v>217</v>
      </c>
      <c r="AJ33" s="253">
        <v>224</v>
      </c>
      <c r="AK33" s="254">
        <v>231</v>
      </c>
    </row>
    <row r="34" spans="1:37" s="41" customFormat="1" x14ac:dyDescent="0.25">
      <c r="A34" s="434" t="s">
        <v>434</v>
      </c>
      <c r="B34" s="435"/>
      <c r="C34" s="435"/>
      <c r="D34" s="245"/>
      <c r="E34" s="245"/>
      <c r="F34" s="245"/>
      <c r="G34" s="245"/>
      <c r="H34" s="245"/>
      <c r="I34" s="245"/>
      <c r="J34" s="245"/>
      <c r="K34" s="245"/>
      <c r="L34" s="245"/>
      <c r="M34" s="245"/>
      <c r="N34" s="245"/>
      <c r="O34" s="245"/>
      <c r="P34" s="245"/>
      <c r="Q34" s="245"/>
      <c r="R34" s="245"/>
      <c r="S34" s="245"/>
      <c r="T34" s="245"/>
      <c r="U34" s="245"/>
      <c r="V34" s="245"/>
      <c r="W34" s="245"/>
      <c r="X34" s="245"/>
      <c r="Y34" s="245"/>
      <c r="Z34" s="245"/>
      <c r="AA34" s="245"/>
      <c r="AB34" s="245"/>
      <c r="AC34" s="245"/>
      <c r="AD34" s="245"/>
      <c r="AE34" s="245"/>
      <c r="AF34" s="245"/>
      <c r="AG34" s="245"/>
      <c r="AH34" s="245"/>
      <c r="AI34" s="245"/>
      <c r="AJ34" s="245"/>
      <c r="AK34" s="246"/>
    </row>
    <row r="35" spans="1:37" s="41" customFormat="1" x14ac:dyDescent="0.25">
      <c r="A35" s="443" t="s">
        <v>459</v>
      </c>
      <c r="B35" s="444"/>
      <c r="C35" s="444"/>
      <c r="D35" s="245"/>
      <c r="E35" s="245"/>
      <c r="F35" s="245"/>
      <c r="G35" s="245"/>
      <c r="H35" s="245"/>
      <c r="I35" s="245"/>
      <c r="J35" s="245"/>
      <c r="K35" s="245"/>
      <c r="L35" s="245"/>
      <c r="M35" s="245"/>
      <c r="N35" s="245"/>
      <c r="O35" s="245"/>
      <c r="P35" s="245"/>
      <c r="Q35" s="245"/>
      <c r="R35" s="245"/>
      <c r="S35" s="245"/>
      <c r="T35" s="245"/>
      <c r="U35" s="245"/>
      <c r="V35" s="245"/>
      <c r="W35" s="245"/>
      <c r="X35" s="245"/>
      <c r="Y35" s="245"/>
      <c r="Z35" s="245"/>
      <c r="AA35" s="245"/>
      <c r="AB35" s="245"/>
      <c r="AC35" s="245"/>
      <c r="AD35" s="245"/>
      <c r="AE35" s="245"/>
      <c r="AF35" s="245"/>
      <c r="AG35" s="245"/>
      <c r="AH35" s="245"/>
      <c r="AI35" s="245"/>
      <c r="AJ35" s="245"/>
      <c r="AK35" s="246"/>
    </row>
    <row r="36" spans="1:37" s="42" customFormat="1" x14ac:dyDescent="0.25">
      <c r="A36" s="445" t="s">
        <v>435</v>
      </c>
      <c r="B36" s="446"/>
      <c r="C36" s="446"/>
      <c r="D36" s="245"/>
      <c r="E36" s="245"/>
      <c r="F36" s="245"/>
      <c r="G36" s="245"/>
      <c r="H36" s="245"/>
      <c r="I36" s="245"/>
      <c r="J36" s="245"/>
      <c r="K36" s="245"/>
      <c r="L36" s="245"/>
      <c r="M36" s="245"/>
      <c r="N36" s="245"/>
      <c r="O36" s="245"/>
      <c r="P36" s="245"/>
      <c r="Q36" s="245"/>
      <c r="R36" s="245"/>
      <c r="S36" s="245"/>
      <c r="T36" s="245"/>
      <c r="U36" s="245"/>
      <c r="V36" s="245"/>
      <c r="W36" s="245"/>
      <c r="X36" s="245"/>
      <c r="Y36" s="245"/>
      <c r="Z36" s="245"/>
      <c r="AA36" s="245"/>
      <c r="AB36" s="245"/>
      <c r="AC36" s="245"/>
      <c r="AD36" s="245"/>
      <c r="AE36" s="245"/>
      <c r="AF36" s="245"/>
      <c r="AG36" s="245"/>
      <c r="AH36" s="245"/>
      <c r="AI36" s="245"/>
      <c r="AJ36" s="245"/>
      <c r="AK36" s="246"/>
    </row>
    <row r="37" spans="1:37" s="43" customFormat="1" x14ac:dyDescent="0.25">
      <c r="A37" s="445" t="s">
        <v>436</v>
      </c>
      <c r="B37" s="446"/>
      <c r="C37" s="446"/>
      <c r="D37" s="245"/>
      <c r="E37" s="245"/>
      <c r="F37" s="245"/>
      <c r="G37" s="245"/>
      <c r="H37" s="245"/>
      <c r="I37" s="245"/>
      <c r="J37" s="245"/>
      <c r="K37" s="245"/>
      <c r="L37" s="245"/>
      <c r="M37" s="245"/>
      <c r="N37" s="245"/>
      <c r="O37" s="245"/>
      <c r="P37" s="245"/>
      <c r="Q37" s="245"/>
      <c r="R37" s="245"/>
      <c r="S37" s="245"/>
      <c r="T37" s="245"/>
      <c r="U37" s="245"/>
      <c r="V37" s="245"/>
      <c r="W37" s="245"/>
      <c r="X37" s="245"/>
      <c r="Y37" s="245"/>
      <c r="Z37" s="245"/>
      <c r="AA37" s="245"/>
      <c r="AB37" s="245"/>
      <c r="AC37" s="245"/>
      <c r="AD37" s="245"/>
      <c r="AE37" s="245"/>
      <c r="AF37" s="245"/>
      <c r="AG37" s="245"/>
      <c r="AH37" s="245"/>
      <c r="AI37" s="245"/>
      <c r="AJ37" s="245"/>
      <c r="AK37" s="246"/>
    </row>
    <row r="38" spans="1:37" s="43" customFormat="1" x14ac:dyDescent="0.25">
      <c r="A38" s="445" t="s">
        <v>437</v>
      </c>
      <c r="B38" s="446"/>
      <c r="C38" s="446"/>
      <c r="D38" s="245"/>
      <c r="E38" s="245"/>
      <c r="F38" s="245"/>
      <c r="G38" s="245"/>
      <c r="H38" s="245"/>
      <c r="I38" s="245"/>
      <c r="J38" s="245"/>
      <c r="K38" s="245"/>
      <c r="L38" s="245"/>
      <c r="M38" s="245"/>
      <c r="N38" s="245"/>
      <c r="O38" s="245"/>
      <c r="P38" s="245"/>
      <c r="Q38" s="245"/>
      <c r="R38" s="245"/>
      <c r="S38" s="245"/>
      <c r="T38" s="245"/>
      <c r="U38" s="245"/>
      <c r="V38" s="245"/>
      <c r="W38" s="245"/>
      <c r="X38" s="245"/>
      <c r="Y38" s="245"/>
      <c r="Z38" s="245"/>
      <c r="AA38" s="245"/>
      <c r="AB38" s="245"/>
      <c r="AC38" s="245"/>
      <c r="AD38" s="245"/>
      <c r="AE38" s="245"/>
      <c r="AF38" s="245"/>
      <c r="AG38" s="245"/>
      <c r="AH38" s="245"/>
      <c r="AI38" s="245"/>
      <c r="AJ38" s="245"/>
      <c r="AK38" s="246"/>
    </row>
    <row r="39" spans="1:37" s="42" customFormat="1" x14ac:dyDescent="0.25">
      <c r="A39" s="445" t="s">
        <v>438</v>
      </c>
      <c r="B39" s="446"/>
      <c r="C39" s="446"/>
      <c r="D39" s="245"/>
      <c r="E39" s="245"/>
      <c r="F39" s="245"/>
      <c r="G39" s="245"/>
      <c r="H39" s="245"/>
      <c r="I39" s="245"/>
      <c r="J39" s="245"/>
      <c r="K39" s="245"/>
      <c r="L39" s="245"/>
      <c r="M39" s="245"/>
      <c r="N39" s="245"/>
      <c r="O39" s="245"/>
      <c r="P39" s="245"/>
      <c r="Q39" s="245"/>
      <c r="R39" s="245"/>
      <c r="S39" s="245"/>
      <c r="T39" s="245"/>
      <c r="U39" s="245"/>
      <c r="V39" s="245"/>
      <c r="W39" s="245"/>
      <c r="X39" s="245"/>
      <c r="Y39" s="245"/>
      <c r="Z39" s="245"/>
      <c r="AA39" s="245"/>
      <c r="AB39" s="245"/>
      <c r="AC39" s="245"/>
      <c r="AD39" s="245"/>
      <c r="AE39" s="245"/>
      <c r="AF39" s="245"/>
      <c r="AG39" s="245"/>
      <c r="AH39" s="245"/>
      <c r="AI39" s="245"/>
      <c r="AJ39" s="245"/>
      <c r="AK39" s="246"/>
    </row>
    <row r="40" spans="1:37" s="41" customFormat="1" x14ac:dyDescent="0.25">
      <c r="A40" s="430" t="str">
        <f>"Total "&amp;Specialty&amp;" Capacity"</f>
        <v>Total Blood Transfusion Capacity</v>
      </c>
      <c r="B40" s="431"/>
      <c r="C40" s="431"/>
      <c r="D40" s="243"/>
      <c r="E40" s="243">
        <f>E34+SUM(E36:E39)</f>
        <v>0</v>
      </c>
      <c r="F40" s="243">
        <f t="shared" ref="F40:AK40" si="2">F34+SUM(F36:F39)</f>
        <v>0</v>
      </c>
      <c r="G40" s="243">
        <f t="shared" si="2"/>
        <v>0</v>
      </c>
      <c r="H40" s="243">
        <f t="shared" si="2"/>
        <v>0</v>
      </c>
      <c r="I40" s="243">
        <f t="shared" si="2"/>
        <v>0</v>
      </c>
      <c r="J40" s="243">
        <f t="shared" si="2"/>
        <v>0</v>
      </c>
      <c r="K40" s="243">
        <f t="shared" si="2"/>
        <v>0</v>
      </c>
      <c r="L40" s="243">
        <f t="shared" si="2"/>
        <v>0</v>
      </c>
      <c r="M40" s="243">
        <f t="shared" si="2"/>
        <v>0</v>
      </c>
      <c r="N40" s="243">
        <f t="shared" si="2"/>
        <v>0</v>
      </c>
      <c r="O40" s="243">
        <f t="shared" si="2"/>
        <v>0</v>
      </c>
      <c r="P40" s="243">
        <f t="shared" si="2"/>
        <v>0</v>
      </c>
      <c r="Q40" s="243">
        <f t="shared" si="2"/>
        <v>0</v>
      </c>
      <c r="R40" s="243">
        <f t="shared" si="2"/>
        <v>0</v>
      </c>
      <c r="S40" s="243">
        <f t="shared" si="2"/>
        <v>0</v>
      </c>
      <c r="T40" s="243">
        <f t="shared" si="2"/>
        <v>0</v>
      </c>
      <c r="U40" s="243">
        <f t="shared" si="2"/>
        <v>0</v>
      </c>
      <c r="V40" s="243">
        <f t="shared" si="2"/>
        <v>0</v>
      </c>
      <c r="W40" s="243">
        <f t="shared" si="2"/>
        <v>0</v>
      </c>
      <c r="X40" s="243">
        <f t="shared" si="2"/>
        <v>0</v>
      </c>
      <c r="Y40" s="243">
        <f t="shared" si="2"/>
        <v>0</v>
      </c>
      <c r="Z40" s="243">
        <f t="shared" si="2"/>
        <v>0</v>
      </c>
      <c r="AA40" s="243">
        <f t="shared" si="2"/>
        <v>0</v>
      </c>
      <c r="AB40" s="243">
        <f t="shared" si="2"/>
        <v>0</v>
      </c>
      <c r="AC40" s="243">
        <f t="shared" si="2"/>
        <v>0</v>
      </c>
      <c r="AD40" s="243">
        <f t="shared" si="2"/>
        <v>0</v>
      </c>
      <c r="AE40" s="243">
        <f t="shared" si="2"/>
        <v>0</v>
      </c>
      <c r="AF40" s="243">
        <f t="shared" si="2"/>
        <v>0</v>
      </c>
      <c r="AG40" s="243">
        <f t="shared" si="2"/>
        <v>0</v>
      </c>
      <c r="AH40" s="243">
        <f t="shared" si="2"/>
        <v>0</v>
      </c>
      <c r="AI40" s="243">
        <f t="shared" si="2"/>
        <v>0</v>
      </c>
      <c r="AJ40" s="243">
        <f t="shared" si="2"/>
        <v>0</v>
      </c>
      <c r="AK40" s="255">
        <f t="shared" si="2"/>
        <v>0</v>
      </c>
    </row>
    <row r="41" spans="1:37" s="41" customFormat="1" x14ac:dyDescent="0.25">
      <c r="A41" s="436" t="s">
        <v>453</v>
      </c>
      <c r="B41" s="437"/>
      <c r="C41" s="437"/>
      <c r="D41" s="256"/>
      <c r="E41" s="257"/>
      <c r="F41" s="257"/>
      <c r="G41" s="257"/>
      <c r="H41" s="257"/>
      <c r="I41" s="257"/>
      <c r="J41" s="257"/>
      <c r="K41" s="257"/>
      <c r="L41" s="257"/>
      <c r="M41" s="257"/>
      <c r="N41" s="257"/>
      <c r="O41" s="257"/>
      <c r="P41" s="257"/>
      <c r="Q41" s="257"/>
      <c r="R41" s="257"/>
      <c r="S41" s="257"/>
      <c r="T41" s="257"/>
      <c r="U41" s="257"/>
      <c r="V41" s="257"/>
      <c r="W41" s="257"/>
      <c r="X41" s="257"/>
      <c r="Y41" s="257"/>
      <c r="Z41" s="257"/>
      <c r="AA41" s="257"/>
      <c r="AB41" s="257"/>
      <c r="AC41" s="257"/>
      <c r="AD41" s="257"/>
      <c r="AE41" s="257"/>
      <c r="AF41" s="257"/>
      <c r="AG41" s="257"/>
      <c r="AH41" s="257"/>
      <c r="AI41" s="257"/>
      <c r="AJ41" s="257"/>
      <c r="AK41" s="246"/>
    </row>
    <row r="42" spans="1:37" s="41" customFormat="1" ht="15" customHeight="1" thickBot="1" x14ac:dyDescent="0.3">
      <c r="A42" s="428" t="str">
        <f>Specialty &amp; " Waiting list"</f>
        <v>Blood Transfusion Waiting list</v>
      </c>
      <c r="B42" s="429"/>
      <c r="C42" s="429"/>
      <c r="D42" s="247">
        <f>WaitingList-D40+D35+D41</f>
        <v>2401</v>
      </c>
      <c r="E42" s="247">
        <f t="array" ref="E42:AK42">IF((D42:AJ42-E40:AK40+E35:AK35+E41:AK41)&gt;0,D42:AJ42-E40:AK40+E35:AK35+E41:AK41,0)</f>
        <v>2401</v>
      </c>
      <c r="F42" s="247">
        <v>2401</v>
      </c>
      <c r="G42" s="247">
        <v>2401</v>
      </c>
      <c r="H42" s="247">
        <v>2401</v>
      </c>
      <c r="I42" s="247">
        <v>2401</v>
      </c>
      <c r="J42" s="247">
        <v>2401</v>
      </c>
      <c r="K42" s="247">
        <v>2401</v>
      </c>
      <c r="L42" s="247">
        <v>2401</v>
      </c>
      <c r="M42" s="247">
        <v>2401</v>
      </c>
      <c r="N42" s="247">
        <v>2401</v>
      </c>
      <c r="O42" s="247">
        <v>2401</v>
      </c>
      <c r="P42" s="247">
        <v>2401</v>
      </c>
      <c r="Q42" s="247">
        <v>2401</v>
      </c>
      <c r="R42" s="247">
        <v>2401</v>
      </c>
      <c r="S42" s="247">
        <v>2401</v>
      </c>
      <c r="T42" s="247">
        <v>2401</v>
      </c>
      <c r="U42" s="247">
        <v>2401</v>
      </c>
      <c r="V42" s="247">
        <v>2401</v>
      </c>
      <c r="W42" s="247">
        <v>2401</v>
      </c>
      <c r="X42" s="247">
        <v>2401</v>
      </c>
      <c r="Y42" s="247">
        <v>2401</v>
      </c>
      <c r="Z42" s="247">
        <v>2401</v>
      </c>
      <c r="AA42" s="247">
        <v>2401</v>
      </c>
      <c r="AB42" s="247">
        <v>2401</v>
      </c>
      <c r="AC42" s="247">
        <v>2401</v>
      </c>
      <c r="AD42" s="247">
        <v>2401</v>
      </c>
      <c r="AE42" s="247">
        <v>2401</v>
      </c>
      <c r="AF42" s="247">
        <v>2401</v>
      </c>
      <c r="AG42" s="247">
        <v>2401</v>
      </c>
      <c r="AH42" s="247">
        <v>2401</v>
      </c>
      <c r="AI42" s="247">
        <v>2401</v>
      </c>
      <c r="AJ42" s="247">
        <v>2401</v>
      </c>
      <c r="AK42" s="248">
        <v>2401</v>
      </c>
    </row>
  </sheetData>
  <sheetProtection password="CD36" sheet="1" objects="1" scenarios="1" insertRows="0" selectLockedCells="1"/>
  <mergeCells count="33">
    <mergeCell ref="A20:C20"/>
    <mergeCell ref="A21:C21"/>
    <mergeCell ref="A19:C19"/>
    <mergeCell ref="A17:C17"/>
    <mergeCell ref="E12:N14"/>
    <mergeCell ref="A18:C18"/>
    <mergeCell ref="A22:C22"/>
    <mergeCell ref="A35:C35"/>
    <mergeCell ref="A40:C40"/>
    <mergeCell ref="A37:C37"/>
    <mergeCell ref="A29:C29"/>
    <mergeCell ref="A24:C24"/>
    <mergeCell ref="A28:C28"/>
    <mergeCell ref="A39:C39"/>
    <mergeCell ref="A36:C36"/>
    <mergeCell ref="A38:C38"/>
    <mergeCell ref="A27:C27"/>
    <mergeCell ref="A26:C26"/>
    <mergeCell ref="A25:C25"/>
    <mergeCell ref="A2:N2"/>
    <mergeCell ref="A3:N3"/>
    <mergeCell ref="A5:N5"/>
    <mergeCell ref="A15:C15"/>
    <mergeCell ref="A16:C16"/>
    <mergeCell ref="E10:G10"/>
    <mergeCell ref="A8:N8"/>
    <mergeCell ref="A7:N7"/>
    <mergeCell ref="A42:C42"/>
    <mergeCell ref="A30:C30"/>
    <mergeCell ref="A31:C31"/>
    <mergeCell ref="A33:C33"/>
    <mergeCell ref="A34:C34"/>
    <mergeCell ref="A41:C41"/>
  </mergeCells>
  <phoneticPr fontId="0" type="noConversion"/>
  <conditionalFormatting sqref="D17:AK21 D26:AK30 D36:AK41">
    <cfRule type="cellIs" dxfId="2" priority="5" stopIfTrue="1" operator="equal">
      <formula>0</formula>
    </cfRule>
  </conditionalFormatting>
  <conditionalFormatting sqref="D22:AK22 D31:AK31 D42:AK42">
    <cfRule type="colorScale" priority="3">
      <colorScale>
        <cfvo type="formula" val="MaxWaitingList*0.95"/>
        <cfvo type="percentile" val="50"/>
        <cfvo type="formula" val="WaitingList"/>
        <color rgb="FF009E49"/>
        <color rgb="FFE28C05"/>
        <color rgb="FFD81E05"/>
      </colorScale>
    </cfRule>
  </conditionalFormatting>
  <conditionalFormatting sqref="D15:AK15 D24:AK24 D33:AK33">
    <cfRule type="expression" dxfId="1" priority="18" stopIfTrue="1">
      <formula>$H$10=""</formula>
    </cfRule>
  </conditionalFormatting>
  <conditionalFormatting sqref="C12:C13">
    <cfRule type="containsErrors" dxfId="0" priority="1" stopIfTrue="1">
      <formula>ISERROR(C12)</formula>
    </cfRule>
  </conditionalFormatting>
  <dataValidations count="1">
    <dataValidation type="date" operator="greaterThan" allowBlank="1" showInputMessage="1" showErrorMessage="1" errorTitle="Plan Start date" error="Please enter a future date to start your plan." sqref="H10">
      <formula1>NOW()</formula1>
    </dataValidation>
  </dataValidations>
  <pageMargins left="0.39370078740157483" right="0.39370078740157483" top="0.78740157480314965" bottom="0.59055118110236227" header="0.19685039370078741" footer="0"/>
  <pageSetup paperSize="9" scale="65" fitToWidth="0" pageOrder="overThenDown" orientation="landscape" errors="blank" r:id="rId1"/>
  <headerFooter>
    <oddHeader>&amp;R&amp;G</oddHeader>
  </headerFooter>
  <colBreaks count="1" manualBreakCount="1">
    <brk id="21" max="38" man="1"/>
  </colBreaks>
  <drawing r:id="rId2"/>
  <legacyDrawingHF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2:L52"/>
  <sheetViews>
    <sheetView showGridLines="0" showRowColHeaders="0" workbookViewId="0">
      <selection activeCell="A11" sqref="A11"/>
    </sheetView>
  </sheetViews>
  <sheetFormatPr defaultRowHeight="15" x14ac:dyDescent="0.25"/>
  <cols>
    <col min="1" max="1" width="26.7109375" customWidth="1"/>
  </cols>
  <sheetData>
    <row r="2" spans="1:12" ht="56.25" customHeight="1" x14ac:dyDescent="0.25">
      <c r="A2" s="454" t="str">
        <f>"Notes and Assumptions - "&amp;ModelName</f>
        <v>Notes and Assumptions - The IST IMAS First Outpatients Demand &amp; Capacity Model</v>
      </c>
      <c r="B2" s="455"/>
      <c r="C2" s="455"/>
      <c r="D2" s="455"/>
      <c r="E2" s="455"/>
      <c r="F2" s="455"/>
      <c r="G2" s="455"/>
      <c r="H2" s="455"/>
      <c r="I2" s="98"/>
      <c r="J2" s="99"/>
      <c r="K2" s="99"/>
      <c r="L2" s="100"/>
    </row>
    <row r="3" spans="1:12" x14ac:dyDescent="0.25">
      <c r="A3" s="456" t="s">
        <v>811</v>
      </c>
      <c r="B3" s="457"/>
      <c r="C3" s="457"/>
      <c r="D3" s="457"/>
      <c r="E3" s="457"/>
      <c r="F3" s="457"/>
      <c r="G3" s="457"/>
      <c r="H3" s="457"/>
      <c r="I3" s="457"/>
      <c r="J3" s="457"/>
      <c r="K3" s="457"/>
      <c r="L3" s="458"/>
    </row>
    <row r="4" spans="1:12" x14ac:dyDescent="0.25">
      <c r="A4" s="101"/>
      <c r="B4" s="8"/>
      <c r="C4" s="8"/>
      <c r="D4" s="8"/>
      <c r="E4" s="8"/>
      <c r="F4" s="8"/>
      <c r="G4" s="8"/>
      <c r="H4" s="8"/>
      <c r="I4" s="8"/>
      <c r="J4" s="8"/>
      <c r="K4" s="8"/>
      <c r="L4" s="102"/>
    </row>
    <row r="5" spans="1:12" x14ac:dyDescent="0.25">
      <c r="A5" s="459" t="s">
        <v>812</v>
      </c>
      <c r="B5" s="460"/>
      <c r="C5" s="460"/>
      <c r="D5" s="460"/>
      <c r="E5" s="460"/>
      <c r="F5" s="460"/>
      <c r="G5" s="460"/>
      <c r="H5" s="460"/>
      <c r="I5" s="460"/>
      <c r="J5" s="460"/>
      <c r="K5" s="460"/>
      <c r="L5" s="461"/>
    </row>
    <row r="6" spans="1:12" x14ac:dyDescent="0.25">
      <c r="A6" s="459"/>
      <c r="B6" s="460"/>
      <c r="C6" s="460"/>
      <c r="D6" s="460"/>
      <c r="E6" s="460"/>
      <c r="F6" s="460"/>
      <c r="G6" s="460"/>
      <c r="H6" s="460"/>
      <c r="I6" s="460"/>
      <c r="J6" s="460"/>
      <c r="K6" s="460"/>
      <c r="L6" s="461"/>
    </row>
    <row r="7" spans="1:12" x14ac:dyDescent="0.25">
      <c r="A7" s="459"/>
      <c r="B7" s="460"/>
      <c r="C7" s="460"/>
      <c r="D7" s="460"/>
      <c r="E7" s="460"/>
      <c r="F7" s="460"/>
      <c r="G7" s="460"/>
      <c r="H7" s="460"/>
      <c r="I7" s="460"/>
      <c r="J7" s="460"/>
      <c r="K7" s="460"/>
      <c r="L7" s="461"/>
    </row>
    <row r="8" spans="1:12" x14ac:dyDescent="0.25">
      <c r="A8" s="101"/>
      <c r="B8" s="8"/>
      <c r="C8" s="8"/>
      <c r="D8" s="8"/>
      <c r="E8" s="8"/>
      <c r="F8" s="8"/>
      <c r="G8" s="8"/>
      <c r="H8" s="8"/>
      <c r="I8" s="8"/>
      <c r="J8" s="8"/>
      <c r="K8" s="8"/>
      <c r="L8" s="102"/>
    </row>
    <row r="9" spans="1:12" x14ac:dyDescent="0.25">
      <c r="A9" s="462" t="s">
        <v>813</v>
      </c>
      <c r="B9" s="462" t="s">
        <v>814</v>
      </c>
      <c r="C9" s="462"/>
      <c r="D9" s="462"/>
      <c r="E9" s="462"/>
      <c r="F9" s="462"/>
      <c r="G9" s="462"/>
      <c r="H9" s="462"/>
      <c r="I9" s="462"/>
      <c r="J9" s="462"/>
      <c r="K9" s="462"/>
      <c r="L9" s="462"/>
    </row>
    <row r="10" spans="1:12" x14ac:dyDescent="0.25">
      <c r="A10" s="462"/>
      <c r="B10" s="462"/>
      <c r="C10" s="462"/>
      <c r="D10" s="462"/>
      <c r="E10" s="462"/>
      <c r="F10" s="462"/>
      <c r="G10" s="462"/>
      <c r="H10" s="462"/>
      <c r="I10" s="462"/>
      <c r="J10" s="462"/>
      <c r="K10" s="462"/>
      <c r="L10" s="462"/>
    </row>
    <row r="11" spans="1:12" ht="24.75" customHeight="1" x14ac:dyDescent="0.25">
      <c r="A11" s="265"/>
      <c r="B11" s="451"/>
      <c r="C11" s="452"/>
      <c r="D11" s="452"/>
      <c r="E11" s="452"/>
      <c r="F11" s="452"/>
      <c r="G11" s="452"/>
      <c r="H11" s="452"/>
      <c r="I11" s="452"/>
      <c r="J11" s="452"/>
      <c r="K11" s="452"/>
      <c r="L11" s="453"/>
    </row>
    <row r="12" spans="1:12" ht="24.75" customHeight="1" x14ac:dyDescent="0.25">
      <c r="A12" s="265"/>
      <c r="B12" s="451"/>
      <c r="C12" s="452"/>
      <c r="D12" s="452"/>
      <c r="E12" s="452"/>
      <c r="F12" s="452"/>
      <c r="G12" s="452"/>
      <c r="H12" s="452"/>
      <c r="I12" s="452"/>
      <c r="J12" s="452"/>
      <c r="K12" s="452"/>
      <c r="L12" s="453"/>
    </row>
    <row r="13" spans="1:12" ht="24.75" customHeight="1" x14ac:dyDescent="0.25">
      <c r="A13" s="265"/>
      <c r="B13" s="451"/>
      <c r="C13" s="452"/>
      <c r="D13" s="452"/>
      <c r="E13" s="452"/>
      <c r="F13" s="452"/>
      <c r="G13" s="452"/>
      <c r="H13" s="452"/>
      <c r="I13" s="452"/>
      <c r="J13" s="452"/>
      <c r="K13" s="452"/>
      <c r="L13" s="453"/>
    </row>
    <row r="14" spans="1:12" ht="24.75" customHeight="1" x14ac:dyDescent="0.25">
      <c r="A14" s="265"/>
      <c r="B14" s="451"/>
      <c r="C14" s="452"/>
      <c r="D14" s="452"/>
      <c r="E14" s="452"/>
      <c r="F14" s="452"/>
      <c r="G14" s="452"/>
      <c r="H14" s="452"/>
      <c r="I14" s="452"/>
      <c r="J14" s="452"/>
      <c r="K14" s="452"/>
      <c r="L14" s="453"/>
    </row>
    <row r="15" spans="1:12" ht="24.75" customHeight="1" x14ac:dyDescent="0.25">
      <c r="A15" s="265"/>
      <c r="B15" s="451"/>
      <c r="C15" s="452"/>
      <c r="D15" s="452"/>
      <c r="E15" s="452"/>
      <c r="F15" s="452"/>
      <c r="G15" s="452"/>
      <c r="H15" s="452"/>
      <c r="I15" s="452"/>
      <c r="J15" s="452"/>
      <c r="K15" s="452"/>
      <c r="L15" s="453"/>
    </row>
    <row r="16" spans="1:12" ht="24.75" customHeight="1" x14ac:dyDescent="0.25">
      <c r="A16" s="265"/>
      <c r="B16" s="451"/>
      <c r="C16" s="452"/>
      <c r="D16" s="452"/>
      <c r="E16" s="452"/>
      <c r="F16" s="452"/>
      <c r="G16" s="452"/>
      <c r="H16" s="452"/>
      <c r="I16" s="452"/>
      <c r="J16" s="452"/>
      <c r="K16" s="452"/>
      <c r="L16" s="453"/>
    </row>
    <row r="17" spans="1:12" ht="24.75" customHeight="1" x14ac:dyDescent="0.25">
      <c r="A17" s="265"/>
      <c r="B17" s="451"/>
      <c r="C17" s="452"/>
      <c r="D17" s="452"/>
      <c r="E17" s="452"/>
      <c r="F17" s="452"/>
      <c r="G17" s="452"/>
      <c r="H17" s="452"/>
      <c r="I17" s="452"/>
      <c r="J17" s="452"/>
      <c r="K17" s="452"/>
      <c r="L17" s="453"/>
    </row>
    <row r="18" spans="1:12" ht="24.75" customHeight="1" x14ac:dyDescent="0.25">
      <c r="A18" s="265"/>
      <c r="B18" s="451"/>
      <c r="C18" s="452"/>
      <c r="D18" s="452"/>
      <c r="E18" s="452"/>
      <c r="F18" s="452"/>
      <c r="G18" s="452"/>
      <c r="H18" s="452"/>
      <c r="I18" s="452"/>
      <c r="J18" s="452"/>
      <c r="K18" s="452"/>
      <c r="L18" s="453"/>
    </row>
    <row r="19" spans="1:12" ht="24.75" customHeight="1" x14ac:dyDescent="0.25">
      <c r="A19" s="265"/>
      <c r="B19" s="451"/>
      <c r="C19" s="452"/>
      <c r="D19" s="452"/>
      <c r="E19" s="452"/>
      <c r="F19" s="452"/>
      <c r="G19" s="452"/>
      <c r="H19" s="452"/>
      <c r="I19" s="452"/>
      <c r="J19" s="452"/>
      <c r="K19" s="452"/>
      <c r="L19" s="453"/>
    </row>
    <row r="20" spans="1:12" ht="24.75" customHeight="1" x14ac:dyDescent="0.25">
      <c r="A20" s="265"/>
      <c r="B20" s="451"/>
      <c r="C20" s="452"/>
      <c r="D20" s="452"/>
      <c r="E20" s="452"/>
      <c r="F20" s="452"/>
      <c r="G20" s="452"/>
      <c r="H20" s="452"/>
      <c r="I20" s="452"/>
      <c r="J20" s="452"/>
      <c r="K20" s="452"/>
      <c r="L20" s="453"/>
    </row>
    <row r="21" spans="1:12" ht="24.75" customHeight="1" x14ac:dyDescent="0.25">
      <c r="A21" s="265"/>
      <c r="B21" s="451"/>
      <c r="C21" s="452"/>
      <c r="D21" s="452"/>
      <c r="E21" s="452"/>
      <c r="F21" s="452"/>
      <c r="G21" s="452"/>
      <c r="H21" s="452"/>
      <c r="I21" s="452"/>
      <c r="J21" s="452"/>
      <c r="K21" s="452"/>
      <c r="L21" s="453"/>
    </row>
    <row r="22" spans="1:12" ht="24.75" customHeight="1" x14ac:dyDescent="0.25">
      <c r="A22" s="265"/>
      <c r="B22" s="451"/>
      <c r="C22" s="452"/>
      <c r="D22" s="452"/>
      <c r="E22" s="452"/>
      <c r="F22" s="452"/>
      <c r="G22" s="452"/>
      <c r="H22" s="452"/>
      <c r="I22" s="452"/>
      <c r="J22" s="452"/>
      <c r="K22" s="452"/>
      <c r="L22" s="453"/>
    </row>
    <row r="23" spans="1:12" ht="24.75" customHeight="1" x14ac:dyDescent="0.25">
      <c r="A23" s="265"/>
      <c r="B23" s="451"/>
      <c r="C23" s="452"/>
      <c r="D23" s="452"/>
      <c r="E23" s="452"/>
      <c r="F23" s="452"/>
      <c r="G23" s="452"/>
      <c r="H23" s="452"/>
      <c r="I23" s="452"/>
      <c r="J23" s="452"/>
      <c r="K23" s="452"/>
      <c r="L23" s="453"/>
    </row>
    <row r="24" spans="1:12" ht="24.75" customHeight="1" x14ac:dyDescent="0.25">
      <c r="A24" s="265"/>
      <c r="B24" s="451"/>
      <c r="C24" s="452"/>
      <c r="D24" s="452"/>
      <c r="E24" s="452"/>
      <c r="F24" s="452"/>
      <c r="G24" s="452"/>
      <c r="H24" s="452"/>
      <c r="I24" s="452"/>
      <c r="J24" s="452"/>
      <c r="K24" s="452"/>
      <c r="L24" s="453"/>
    </row>
    <row r="25" spans="1:12" ht="24.75" customHeight="1" x14ac:dyDescent="0.25">
      <c r="A25" s="265"/>
      <c r="B25" s="451"/>
      <c r="C25" s="452"/>
      <c r="D25" s="452"/>
      <c r="E25" s="452"/>
      <c r="F25" s="452"/>
      <c r="G25" s="452"/>
      <c r="H25" s="452"/>
      <c r="I25" s="452"/>
      <c r="J25" s="452"/>
      <c r="K25" s="452"/>
      <c r="L25" s="453"/>
    </row>
    <row r="26" spans="1:12" ht="24.75" customHeight="1" x14ac:dyDescent="0.25">
      <c r="A26" s="265"/>
      <c r="B26" s="451"/>
      <c r="C26" s="452"/>
      <c r="D26" s="452"/>
      <c r="E26" s="452"/>
      <c r="F26" s="452"/>
      <c r="G26" s="452"/>
      <c r="H26" s="452"/>
      <c r="I26" s="452"/>
      <c r="J26" s="452"/>
      <c r="K26" s="452"/>
      <c r="L26" s="453"/>
    </row>
    <row r="27" spans="1:12" ht="24.75" customHeight="1" x14ac:dyDescent="0.25">
      <c r="A27" s="265"/>
      <c r="B27" s="451"/>
      <c r="C27" s="452"/>
      <c r="D27" s="452"/>
      <c r="E27" s="452"/>
      <c r="F27" s="452"/>
      <c r="G27" s="452"/>
      <c r="H27" s="452"/>
      <c r="I27" s="452"/>
      <c r="J27" s="452"/>
      <c r="K27" s="452"/>
      <c r="L27" s="453"/>
    </row>
    <row r="28" spans="1:12" ht="24.75" customHeight="1" x14ac:dyDescent="0.25">
      <c r="A28" s="265"/>
      <c r="B28" s="451"/>
      <c r="C28" s="452"/>
      <c r="D28" s="452"/>
      <c r="E28" s="452"/>
      <c r="F28" s="452"/>
      <c r="G28" s="452"/>
      <c r="H28" s="452"/>
      <c r="I28" s="452"/>
      <c r="J28" s="452"/>
      <c r="K28" s="452"/>
      <c r="L28" s="453"/>
    </row>
    <row r="29" spans="1:12" ht="24.75" customHeight="1" x14ac:dyDescent="0.25">
      <c r="A29" s="265"/>
      <c r="B29" s="451"/>
      <c r="C29" s="452"/>
      <c r="D29" s="452"/>
      <c r="E29" s="452"/>
      <c r="F29" s="452"/>
      <c r="G29" s="452"/>
      <c r="H29" s="452"/>
      <c r="I29" s="452"/>
      <c r="J29" s="452"/>
      <c r="K29" s="452"/>
      <c r="L29" s="453"/>
    </row>
    <row r="30" spans="1:12" ht="24.75" customHeight="1" x14ac:dyDescent="0.25">
      <c r="A30" s="265"/>
      <c r="B30" s="451"/>
      <c r="C30" s="452"/>
      <c r="D30" s="452"/>
      <c r="E30" s="452"/>
      <c r="F30" s="452"/>
      <c r="G30" s="452"/>
      <c r="H30" s="452"/>
      <c r="I30" s="452"/>
      <c r="J30" s="452"/>
      <c r="K30" s="452"/>
      <c r="L30" s="453"/>
    </row>
    <row r="31" spans="1:12" ht="24.75" customHeight="1" x14ac:dyDescent="0.25">
      <c r="A31" s="265"/>
      <c r="B31" s="451"/>
      <c r="C31" s="452"/>
      <c r="D31" s="452"/>
      <c r="E31" s="452"/>
      <c r="F31" s="452"/>
      <c r="G31" s="452"/>
      <c r="H31" s="452"/>
      <c r="I31" s="452"/>
      <c r="J31" s="452"/>
      <c r="K31" s="452"/>
      <c r="L31" s="453"/>
    </row>
    <row r="32" spans="1:12" ht="24.75" customHeight="1" x14ac:dyDescent="0.25">
      <c r="A32" s="265"/>
      <c r="B32" s="451"/>
      <c r="C32" s="452"/>
      <c r="D32" s="452"/>
      <c r="E32" s="452"/>
      <c r="F32" s="452"/>
      <c r="G32" s="452"/>
      <c r="H32" s="452"/>
      <c r="I32" s="452"/>
      <c r="J32" s="452"/>
      <c r="K32" s="452"/>
      <c r="L32" s="453"/>
    </row>
    <row r="33" spans="1:12" ht="24.75" customHeight="1" x14ac:dyDescent="0.25">
      <c r="A33" s="265"/>
      <c r="B33" s="451"/>
      <c r="C33" s="452"/>
      <c r="D33" s="452"/>
      <c r="E33" s="452"/>
      <c r="F33" s="452"/>
      <c r="G33" s="452"/>
      <c r="H33" s="452"/>
      <c r="I33" s="452"/>
      <c r="J33" s="452"/>
      <c r="K33" s="452"/>
      <c r="L33" s="453"/>
    </row>
    <row r="34" spans="1:12" ht="24.75" customHeight="1" x14ac:dyDescent="0.25">
      <c r="A34" s="265"/>
      <c r="B34" s="451"/>
      <c r="C34" s="452"/>
      <c r="D34" s="452"/>
      <c r="E34" s="452"/>
      <c r="F34" s="452"/>
      <c r="G34" s="452"/>
      <c r="H34" s="452"/>
      <c r="I34" s="452"/>
      <c r="J34" s="452"/>
      <c r="K34" s="452"/>
      <c r="L34" s="453"/>
    </row>
    <row r="35" spans="1:12" ht="24.75" customHeight="1" x14ac:dyDescent="0.25">
      <c r="A35" s="265"/>
      <c r="B35" s="451"/>
      <c r="C35" s="452"/>
      <c r="D35" s="452"/>
      <c r="E35" s="452"/>
      <c r="F35" s="452"/>
      <c r="G35" s="452"/>
      <c r="H35" s="452"/>
      <c r="I35" s="452"/>
      <c r="J35" s="452"/>
      <c r="K35" s="452"/>
      <c r="L35" s="453"/>
    </row>
    <row r="36" spans="1:12" ht="24.75" customHeight="1" x14ac:dyDescent="0.25">
      <c r="A36" s="265"/>
      <c r="B36" s="451"/>
      <c r="C36" s="452"/>
      <c r="D36" s="452"/>
      <c r="E36" s="452"/>
      <c r="F36" s="452"/>
      <c r="G36" s="452"/>
      <c r="H36" s="452"/>
      <c r="I36" s="452"/>
      <c r="J36" s="452"/>
      <c r="K36" s="452"/>
      <c r="L36" s="453"/>
    </row>
    <row r="37" spans="1:12" ht="24.75" customHeight="1" x14ac:dyDescent="0.25">
      <c r="A37" s="265"/>
      <c r="B37" s="451"/>
      <c r="C37" s="452"/>
      <c r="D37" s="452"/>
      <c r="E37" s="452"/>
      <c r="F37" s="452"/>
      <c r="G37" s="452"/>
      <c r="H37" s="452"/>
      <c r="I37" s="452"/>
      <c r="J37" s="452"/>
      <c r="K37" s="452"/>
      <c r="L37" s="453"/>
    </row>
    <row r="38" spans="1:12" ht="24.75" customHeight="1" x14ac:dyDescent="0.25">
      <c r="A38" s="265"/>
      <c r="B38" s="451"/>
      <c r="C38" s="452"/>
      <c r="D38" s="452"/>
      <c r="E38" s="452"/>
      <c r="F38" s="452"/>
      <c r="G38" s="452"/>
      <c r="H38" s="452"/>
      <c r="I38" s="452"/>
      <c r="J38" s="452"/>
      <c r="K38" s="452"/>
      <c r="L38" s="453"/>
    </row>
    <row r="39" spans="1:12" ht="24.75" customHeight="1" x14ac:dyDescent="0.25">
      <c r="A39" s="265"/>
      <c r="B39" s="451"/>
      <c r="C39" s="452"/>
      <c r="D39" s="452"/>
      <c r="E39" s="452"/>
      <c r="F39" s="452"/>
      <c r="G39" s="452"/>
      <c r="H39" s="452"/>
      <c r="I39" s="452"/>
      <c r="J39" s="452"/>
      <c r="K39" s="452"/>
      <c r="L39" s="453"/>
    </row>
    <row r="40" spans="1:12" ht="24.75" customHeight="1" x14ac:dyDescent="0.25">
      <c r="A40" s="265"/>
      <c r="B40" s="451"/>
      <c r="C40" s="452"/>
      <c r="D40" s="452"/>
      <c r="E40" s="452"/>
      <c r="F40" s="452"/>
      <c r="G40" s="452"/>
      <c r="H40" s="452"/>
      <c r="I40" s="452"/>
      <c r="J40" s="452"/>
      <c r="K40" s="452"/>
      <c r="L40" s="453"/>
    </row>
    <row r="41" spans="1:12" ht="24.75" customHeight="1" x14ac:dyDescent="0.25">
      <c r="A41" s="265"/>
      <c r="B41" s="451"/>
      <c r="C41" s="452"/>
      <c r="D41" s="452"/>
      <c r="E41" s="452"/>
      <c r="F41" s="452"/>
      <c r="G41" s="452"/>
      <c r="H41" s="452"/>
      <c r="I41" s="452"/>
      <c r="J41" s="452"/>
      <c r="K41" s="452"/>
      <c r="L41" s="453"/>
    </row>
    <row r="42" spans="1:12" ht="24.75" customHeight="1" x14ac:dyDescent="0.25">
      <c r="A42" s="265"/>
      <c r="B42" s="451"/>
      <c r="C42" s="452"/>
      <c r="D42" s="452"/>
      <c r="E42" s="452"/>
      <c r="F42" s="452"/>
      <c r="G42" s="452"/>
      <c r="H42" s="452"/>
      <c r="I42" s="452"/>
      <c r="J42" s="452"/>
      <c r="K42" s="452"/>
      <c r="L42" s="453"/>
    </row>
    <row r="43" spans="1:12" ht="24.75" customHeight="1" x14ac:dyDescent="0.25">
      <c r="A43" s="265"/>
      <c r="B43" s="451"/>
      <c r="C43" s="452"/>
      <c r="D43" s="452"/>
      <c r="E43" s="452"/>
      <c r="F43" s="452"/>
      <c r="G43" s="452"/>
      <c r="H43" s="452"/>
      <c r="I43" s="452"/>
      <c r="J43" s="452"/>
      <c r="K43" s="452"/>
      <c r="L43" s="453"/>
    </row>
    <row r="44" spans="1:12" ht="24.75" customHeight="1" x14ac:dyDescent="0.25">
      <c r="A44" s="265"/>
      <c r="B44" s="451"/>
      <c r="C44" s="452"/>
      <c r="D44" s="452"/>
      <c r="E44" s="452"/>
      <c r="F44" s="452"/>
      <c r="G44" s="452"/>
      <c r="H44" s="452"/>
      <c r="I44" s="452"/>
      <c r="J44" s="452"/>
      <c r="K44" s="452"/>
      <c r="L44" s="453"/>
    </row>
    <row r="45" spans="1:12" ht="24.75" customHeight="1" x14ac:dyDescent="0.25">
      <c r="A45" s="265"/>
      <c r="B45" s="451"/>
      <c r="C45" s="452"/>
      <c r="D45" s="452"/>
      <c r="E45" s="452"/>
      <c r="F45" s="452"/>
      <c r="G45" s="452"/>
      <c r="H45" s="452"/>
      <c r="I45" s="452"/>
      <c r="J45" s="452"/>
      <c r="K45" s="452"/>
      <c r="L45" s="453"/>
    </row>
    <row r="46" spans="1:12" ht="24.75" customHeight="1" x14ac:dyDescent="0.25">
      <c r="A46" s="265"/>
      <c r="B46" s="451"/>
      <c r="C46" s="452"/>
      <c r="D46" s="452"/>
      <c r="E46" s="452"/>
      <c r="F46" s="452"/>
      <c r="G46" s="452"/>
      <c r="H46" s="452"/>
      <c r="I46" s="452"/>
      <c r="J46" s="452"/>
      <c r="K46" s="452"/>
      <c r="L46" s="453"/>
    </row>
    <row r="47" spans="1:12" ht="24.75" customHeight="1" x14ac:dyDescent="0.25">
      <c r="A47" s="265"/>
      <c r="B47" s="451"/>
      <c r="C47" s="452"/>
      <c r="D47" s="452"/>
      <c r="E47" s="452"/>
      <c r="F47" s="452"/>
      <c r="G47" s="452"/>
      <c r="H47" s="452"/>
      <c r="I47" s="452"/>
      <c r="J47" s="452"/>
      <c r="K47" s="452"/>
      <c r="L47" s="453"/>
    </row>
    <row r="48" spans="1:12" ht="24.75" customHeight="1" x14ac:dyDescent="0.25">
      <c r="A48" s="265"/>
      <c r="B48" s="451"/>
      <c r="C48" s="452"/>
      <c r="D48" s="452"/>
      <c r="E48" s="452"/>
      <c r="F48" s="452"/>
      <c r="G48" s="452"/>
      <c r="H48" s="452"/>
      <c r="I48" s="452"/>
      <c r="J48" s="452"/>
      <c r="K48" s="452"/>
      <c r="L48" s="453"/>
    </row>
    <row r="49" spans="1:12" ht="24.75" customHeight="1" x14ac:dyDescent="0.25">
      <c r="A49" s="265"/>
      <c r="B49" s="451"/>
      <c r="C49" s="452"/>
      <c r="D49" s="452"/>
      <c r="E49" s="452"/>
      <c r="F49" s="452"/>
      <c r="G49" s="452"/>
      <c r="H49" s="452"/>
      <c r="I49" s="452"/>
      <c r="J49" s="452"/>
      <c r="K49" s="452"/>
      <c r="L49" s="453"/>
    </row>
    <row r="50" spans="1:12" ht="24.75" customHeight="1" x14ac:dyDescent="0.25">
      <c r="A50" s="265"/>
      <c r="B50" s="451"/>
      <c r="C50" s="452"/>
      <c r="D50" s="452"/>
      <c r="E50" s="452"/>
      <c r="F50" s="452"/>
      <c r="G50" s="452"/>
      <c r="H50" s="452"/>
      <c r="I50" s="452"/>
      <c r="J50" s="452"/>
      <c r="K50" s="452"/>
      <c r="L50" s="453"/>
    </row>
    <row r="51" spans="1:12" ht="24.75" customHeight="1" x14ac:dyDescent="0.25">
      <c r="A51" s="265"/>
      <c r="B51" s="451"/>
      <c r="C51" s="452"/>
      <c r="D51" s="452"/>
      <c r="E51" s="452"/>
      <c r="F51" s="452"/>
      <c r="G51" s="452"/>
      <c r="H51" s="452"/>
      <c r="I51" s="452"/>
      <c r="J51" s="452"/>
      <c r="K51" s="452"/>
      <c r="L51" s="453"/>
    </row>
    <row r="52" spans="1:12" ht="24.75" customHeight="1" x14ac:dyDescent="0.25">
      <c r="A52" s="265"/>
      <c r="B52" s="451"/>
      <c r="C52" s="452"/>
      <c r="D52" s="452"/>
      <c r="E52" s="452"/>
      <c r="F52" s="452"/>
      <c r="G52" s="452"/>
      <c r="H52" s="452"/>
      <c r="I52" s="452"/>
      <c r="J52" s="452"/>
      <c r="K52" s="452"/>
      <c r="L52" s="453"/>
    </row>
  </sheetData>
  <sheetProtection algorithmName="SHA-512" hashValue="e9YlfNvkPjanHqRdlhHHMexm0+qgWY7bvsj8YMyvF6E95lar3lgNEn+P9PMaQbf/q3IH9FddqLq7V0l6APGC6A==" saltValue="y5r9adFTIkg4BJUgd8UchA==" spinCount="100000" sheet="1" objects="1" scenarios="1"/>
  <mergeCells count="47">
    <mergeCell ref="B18:L18"/>
    <mergeCell ref="A2:H2"/>
    <mergeCell ref="A3:L3"/>
    <mergeCell ref="A5:L7"/>
    <mergeCell ref="A9:A10"/>
    <mergeCell ref="B9:L10"/>
    <mergeCell ref="B11:L11"/>
    <mergeCell ref="B12:L12"/>
    <mergeCell ref="B13:L13"/>
    <mergeCell ref="B14:L14"/>
    <mergeCell ref="B15:L15"/>
    <mergeCell ref="B16:L16"/>
    <mergeCell ref="B17:L17"/>
    <mergeCell ref="B30:L30"/>
    <mergeCell ref="B19:L19"/>
    <mergeCell ref="B20:L20"/>
    <mergeCell ref="B21:L21"/>
    <mergeCell ref="B22:L22"/>
    <mergeCell ref="B23:L23"/>
    <mergeCell ref="B24:L24"/>
    <mergeCell ref="B25:L25"/>
    <mergeCell ref="B26:L26"/>
    <mergeCell ref="B27:L27"/>
    <mergeCell ref="B28:L28"/>
    <mergeCell ref="B29:L29"/>
    <mergeCell ref="B42:L42"/>
    <mergeCell ref="B31:L31"/>
    <mergeCell ref="B32:L32"/>
    <mergeCell ref="B33:L33"/>
    <mergeCell ref="B34:L34"/>
    <mergeCell ref="B35:L35"/>
    <mergeCell ref="B36:L36"/>
    <mergeCell ref="B37:L37"/>
    <mergeCell ref="B38:L38"/>
    <mergeCell ref="B39:L39"/>
    <mergeCell ref="B40:L40"/>
    <mergeCell ref="B41:L41"/>
    <mergeCell ref="B49:L49"/>
    <mergeCell ref="B50:L50"/>
    <mergeCell ref="B51:L51"/>
    <mergeCell ref="B52:L52"/>
    <mergeCell ref="B43:L43"/>
    <mergeCell ref="B44:L44"/>
    <mergeCell ref="B45:L45"/>
    <mergeCell ref="B46:L46"/>
    <mergeCell ref="B47:L47"/>
    <mergeCell ref="B48:L48"/>
  </mergeCell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tns:customPropertyEditors xmlns:tns="http://schemas.microsoft.com/office/2006/customDocumentInformationPanel">
  <tns:showOnOpen>false</tns:showOnOpen>
  <tns:defaultPropertyEditorNamespace>Standard properties</tns:defaultPropertyEditorNamespace>
</tns:customPropertyEditors>
</file>

<file path=customXml/item2.xml>�� 
</file>

<file path=customXml/itemProps1.xml><?xml version="1.0" encoding="utf-8"?>
<ds:datastoreItem xmlns:ds="http://schemas.openxmlformats.org/officeDocument/2006/customXml" ds:itemID="{EF7820F5-6E6E-42F7-900D-1D1B1F926D83}">
  <ds:schemaRefs>
    <ds:schemaRef ds:uri="http://schemas.microsoft.com/office/2006/customDocumentInformationPanel"/>
  </ds:schemaRefs>
</ds:datastoreItem>
</file>

<file path=customXml/itemProps2.xml><?xml version="1.0" encoding="utf-8"?>
<ds:datastoreItem xmlns:ds="http://schemas.openxmlformats.org/officeDocument/2006/customXml" ds:itemID="{631BFEC6-BA0B-45F6-8351-E1737F87FD52}">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36</vt:i4>
      </vt:variant>
    </vt:vector>
  </HeadingPairs>
  <TitlesOfParts>
    <vt:vector size="46" baseType="lpstr">
      <vt:lpstr>Welcome</vt:lpstr>
      <vt:lpstr>Demand</vt:lpstr>
      <vt:lpstr>SPC</vt:lpstr>
      <vt:lpstr>Capacity</vt:lpstr>
      <vt:lpstr>Parameters</vt:lpstr>
      <vt:lpstr>Summary</vt:lpstr>
      <vt:lpstr>Graphs</vt:lpstr>
      <vt:lpstr>Calculations</vt:lpstr>
      <vt:lpstr>Backlog Clearance</vt:lpstr>
      <vt:lpstr>Notes</vt:lpstr>
      <vt:lpstr>AdditionalAdmissions</vt:lpstr>
      <vt:lpstr>AdditionalMeanAdmissions</vt:lpstr>
      <vt:lpstr>AdHocSlots</vt:lpstr>
      <vt:lpstr>AdHocSlotsPerWeek</vt:lpstr>
      <vt:lpstr>DNADischargeRate</vt:lpstr>
      <vt:lpstr>DNARate</vt:lpstr>
      <vt:lpstr>EReferral</vt:lpstr>
      <vt:lpstr>MaxWait</vt:lpstr>
      <vt:lpstr>MaxWaitingListRange</vt:lpstr>
      <vt:lpstr>MinWait</vt:lpstr>
      <vt:lpstr>MinWaitingListRange</vt:lpstr>
      <vt:lpstr>ModelName</vt:lpstr>
      <vt:lpstr>'Backlog Clearance'!Print_Area</vt:lpstr>
      <vt:lpstr>Calculations!Print_Area</vt:lpstr>
      <vt:lpstr>Capacity!Print_Area</vt:lpstr>
      <vt:lpstr>Demand!Print_Area</vt:lpstr>
      <vt:lpstr>Graphs!Print_Area</vt:lpstr>
      <vt:lpstr>Parameters!Print_Area</vt:lpstr>
      <vt:lpstr>SPC!Print_Area</vt:lpstr>
      <vt:lpstr>Summary!Print_Area</vt:lpstr>
      <vt:lpstr>Welcome!Print_Area</vt:lpstr>
      <vt:lpstr>'Backlog Clearance'!Print_Titles</vt:lpstr>
      <vt:lpstr>Capacity!Print_Titles</vt:lpstr>
      <vt:lpstr>ProportionUrgent</vt:lpstr>
      <vt:lpstr>RearrangedRate</vt:lpstr>
      <vt:lpstr>RefsPerWeek</vt:lpstr>
      <vt:lpstr>ROTTRate</vt:lpstr>
      <vt:lpstr>RoutineAdmissions</vt:lpstr>
      <vt:lpstr>RoutineMeanAdmissions</vt:lpstr>
      <vt:lpstr>RoutineSlots</vt:lpstr>
      <vt:lpstr>SlotsPerWeek</vt:lpstr>
      <vt:lpstr>TargetUrgent</vt:lpstr>
      <vt:lpstr>Trust</vt:lpstr>
      <vt:lpstr>WaitingList</vt:lpstr>
      <vt:lpstr>WaitingListPlanRange1</vt:lpstr>
      <vt:lpstr>WaitingListPlanRange2</vt:lpstr>
    </vt:vector>
  </TitlesOfParts>
  <Company>IST IMAS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Intensive Support Team First Outpatient Model</dc:title>
  <dc:creator>Michael Watson</dc:creator>
  <cp:lastModifiedBy>Khunpha, Keith</cp:lastModifiedBy>
  <cp:lastPrinted>2012-05-25T14:14:15Z</cp:lastPrinted>
  <dcterms:created xsi:type="dcterms:W3CDTF">2011-03-01T13:40:03Z</dcterms:created>
  <dcterms:modified xsi:type="dcterms:W3CDTF">2017-02-06T10:38:11Z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